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hall\Desktop\"/>
    </mc:Choice>
  </mc:AlternateContent>
  <xr:revisionPtr revIDLastSave="0" documentId="8_{BDFFEFE8-51EB-4624-B60D-98CC317528C0}" xr6:coauthVersionLast="41" xr6:coauthVersionMax="41" xr10:uidLastSave="{00000000-0000-0000-0000-000000000000}"/>
  <bookViews>
    <workbookView xWindow="20370" yWindow="-120" windowWidth="29040" windowHeight="15840" xr2:uid="{00000000-000D-0000-FFFF-FFFF00000000}"/>
  </bookViews>
  <sheets>
    <sheet name="New" sheetId="20" r:id="rId1"/>
    <sheet name="Changed" sheetId="12" r:id="rId2"/>
    <sheet name="Removed" sheetId="13" r:id="rId3"/>
    <sheet name="All - By Name" sheetId="21" r:id="rId4"/>
    <sheet name="All - By Domain" sheetId="22" r:id="rId5"/>
    <sheet name="Extend Elements" sheetId="16" r:id="rId6"/>
  </sheets>
  <definedNames>
    <definedName name="_xlnm._FilterDatabase" localSheetId="4" hidden="1">'All - By Domain'!$A$1:$Q$4366</definedName>
    <definedName name="_xlnm._FilterDatabase" localSheetId="3" hidden="1">'All - By Name'!$A$1:$N$1904</definedName>
    <definedName name="_xlnm._FilterDatabase" localSheetId="1" hidden="1">Changed!$A$1:$N$71</definedName>
    <definedName name="_xlnm._FilterDatabase" localSheetId="5" hidden="1">'Extend Elements'!$A$1:$H$1700</definedName>
    <definedName name="_xlnm._FilterDatabase" localSheetId="0" hidden="1">New!$A$1:$N$144</definedName>
    <definedName name="_xlnm._FilterDatabase" localSheetId="2" hidden="1">Removed!$A$1:$N$7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4" i="12" l="1"/>
  <c r="M64" i="12"/>
  <c r="Q4373" i="22" l="1"/>
  <c r="P4373" i="22"/>
  <c r="Q4372" i="22"/>
  <c r="P4372" i="22"/>
  <c r="Q4371" i="22"/>
  <c r="P4371" i="22"/>
  <c r="Q4370" i="22"/>
  <c r="P4370" i="22"/>
  <c r="Q4369" i="22"/>
  <c r="P4369" i="22"/>
  <c r="Q4366" i="22"/>
  <c r="P4366" i="22"/>
  <c r="Q4365" i="22"/>
  <c r="P4365" i="22"/>
  <c r="Q4364" i="22"/>
  <c r="P4364" i="22"/>
  <c r="Q4363" i="22"/>
  <c r="P4363" i="22"/>
  <c r="Q4362" i="22"/>
  <c r="P4362" i="22"/>
  <c r="Q4361" i="22"/>
  <c r="P4361" i="22"/>
  <c r="Q4360" i="22"/>
  <c r="P4360" i="22"/>
  <c r="Q4359" i="22"/>
  <c r="P4359" i="22"/>
  <c r="Q4358" i="22"/>
  <c r="P4358" i="22"/>
  <c r="Q4357" i="22"/>
  <c r="P4357" i="22"/>
  <c r="Q4356" i="22"/>
  <c r="P4356" i="22"/>
  <c r="Q4355" i="22"/>
  <c r="P4355" i="22"/>
  <c r="Q4354" i="22"/>
  <c r="P4354" i="22"/>
  <c r="Q4353" i="22"/>
  <c r="P4353" i="22"/>
  <c r="Q4352" i="22"/>
  <c r="P4352" i="22"/>
  <c r="Q4351" i="22"/>
  <c r="P4351" i="22"/>
  <c r="Q4350" i="22"/>
  <c r="P4350" i="22"/>
  <c r="Q4349" i="22"/>
  <c r="P4349" i="22"/>
  <c r="Q4348" i="22"/>
  <c r="P4348" i="22"/>
  <c r="Q4347" i="22"/>
  <c r="P4347" i="22"/>
  <c r="Q4346" i="22"/>
  <c r="P4346" i="22"/>
  <c r="Q4345" i="22"/>
  <c r="P4345" i="22"/>
  <c r="Q4344" i="22"/>
  <c r="P4344" i="22"/>
  <c r="Q4343" i="22"/>
  <c r="P4343" i="22"/>
  <c r="Q4342" i="22"/>
  <c r="P4342" i="22"/>
  <c r="Q4341" i="22"/>
  <c r="P4341" i="22"/>
  <c r="Q4340" i="22"/>
  <c r="P4340" i="22"/>
  <c r="Q4339" i="22"/>
  <c r="P4339" i="22"/>
  <c r="Q4338" i="22"/>
  <c r="P4338" i="22"/>
  <c r="Q4337" i="22"/>
  <c r="P4337" i="22"/>
  <c r="Q4336" i="22"/>
  <c r="P4336" i="22"/>
  <c r="Q4335" i="22"/>
  <c r="P4335" i="22"/>
  <c r="Q4334" i="22"/>
  <c r="P4334" i="22"/>
  <c r="Q4333" i="22"/>
  <c r="P4333" i="22"/>
  <c r="Q4332" i="22"/>
  <c r="P4332" i="22"/>
  <c r="Q4331" i="22"/>
  <c r="P4331" i="22"/>
  <c r="Q4330" i="22"/>
  <c r="P4330" i="22"/>
  <c r="Q4329" i="22"/>
  <c r="P4329" i="22"/>
  <c r="Q4328" i="22"/>
  <c r="P4328" i="22"/>
  <c r="Q4327" i="22"/>
  <c r="P4327" i="22"/>
  <c r="Q4326" i="22"/>
  <c r="P4326" i="22"/>
  <c r="Q4325" i="22"/>
  <c r="P4325" i="22"/>
  <c r="Q4324" i="22"/>
  <c r="P4324" i="22"/>
  <c r="Q4323" i="22"/>
  <c r="P4323" i="22"/>
  <c r="Q4322" i="22"/>
  <c r="P4322" i="22"/>
  <c r="Q4321" i="22"/>
  <c r="P4321" i="22"/>
  <c r="Q4320" i="22"/>
  <c r="P4320" i="22"/>
  <c r="Q4319" i="22"/>
  <c r="P4319" i="22"/>
  <c r="Q4318" i="22"/>
  <c r="P4318" i="22"/>
  <c r="Q4317" i="22"/>
  <c r="P4317" i="22"/>
  <c r="Q4316" i="22"/>
  <c r="P4316" i="22"/>
  <c r="Q4315" i="22"/>
  <c r="P4315" i="22"/>
  <c r="Q4314" i="22"/>
  <c r="P4314" i="22"/>
  <c r="Q4313" i="22"/>
  <c r="P4313" i="22"/>
  <c r="Q4312" i="22"/>
  <c r="P4312" i="22"/>
  <c r="Q4311" i="22"/>
  <c r="P4311" i="22"/>
  <c r="Q4310" i="22"/>
  <c r="P4310" i="22"/>
  <c r="Q4309" i="22"/>
  <c r="P4309" i="22"/>
  <c r="Q4308" i="22"/>
  <c r="P4308" i="22"/>
  <c r="Q4307" i="22"/>
  <c r="P4307" i="22"/>
  <c r="Q4306" i="22"/>
  <c r="P4306" i="22"/>
  <c r="Q4305" i="22"/>
  <c r="P4305" i="22"/>
  <c r="Q4304" i="22"/>
  <c r="P4304" i="22"/>
  <c r="Q4303" i="22"/>
  <c r="P4303" i="22"/>
  <c r="Q4302" i="22"/>
  <c r="P4302" i="22"/>
  <c r="Q4301" i="22"/>
  <c r="P4301" i="22"/>
  <c r="Q4300" i="22"/>
  <c r="P4300" i="22"/>
  <c r="Q4299" i="22"/>
  <c r="P4299" i="22"/>
  <c r="Q4298" i="22"/>
  <c r="P4298" i="22"/>
  <c r="Q4297" i="22"/>
  <c r="P4297" i="22"/>
  <c r="Q4296" i="22"/>
  <c r="P4296" i="22"/>
  <c r="Q4295" i="22"/>
  <c r="P4295" i="22"/>
  <c r="Q4294" i="22"/>
  <c r="P4294" i="22"/>
  <c r="Q4293" i="22"/>
  <c r="P4293" i="22"/>
  <c r="Q4292" i="22"/>
  <c r="P4292" i="22"/>
  <c r="Q4291" i="22"/>
  <c r="P4291" i="22"/>
  <c r="Q4290" i="22"/>
  <c r="P4290" i="22"/>
  <c r="Q4289" i="22"/>
  <c r="P4289" i="22"/>
  <c r="Q4288" i="22"/>
  <c r="P4288" i="22"/>
  <c r="Q4287" i="22"/>
  <c r="P4287" i="22"/>
  <c r="Q4286" i="22"/>
  <c r="P4286" i="22"/>
  <c r="Q4285" i="22"/>
  <c r="P4285" i="22"/>
  <c r="Q4284" i="22"/>
  <c r="P4284" i="22"/>
  <c r="Q4283" i="22"/>
  <c r="P4283" i="22"/>
  <c r="Q4282" i="22"/>
  <c r="P4282" i="22"/>
  <c r="Q4281" i="22"/>
  <c r="P4281" i="22"/>
  <c r="Q4280" i="22"/>
  <c r="P4280" i="22"/>
  <c r="Q4279" i="22"/>
  <c r="P4279" i="22"/>
  <c r="Q4278" i="22"/>
  <c r="P4278" i="22"/>
  <c r="Q4277" i="22"/>
  <c r="P4277" i="22"/>
  <c r="Q4276" i="22"/>
  <c r="P4276" i="22"/>
  <c r="Q4275" i="22"/>
  <c r="P4275" i="22"/>
  <c r="Q4274" i="22"/>
  <c r="P4274" i="22"/>
  <c r="Q4273" i="22"/>
  <c r="P4273" i="22"/>
  <c r="Q4272" i="22"/>
  <c r="P4272" i="22"/>
  <c r="Q4271" i="22"/>
  <c r="P4271" i="22"/>
  <c r="Q4270" i="22"/>
  <c r="P4270" i="22"/>
  <c r="Q4269" i="22"/>
  <c r="P4269" i="22"/>
  <c r="Q4268" i="22"/>
  <c r="P4268" i="22"/>
  <c r="Q4267" i="22"/>
  <c r="P4267" i="22"/>
  <c r="Q4266" i="22"/>
  <c r="P4266" i="22"/>
  <c r="Q4265" i="22"/>
  <c r="P4265" i="22"/>
  <c r="Q4264" i="22"/>
  <c r="P4264" i="22"/>
  <c r="Q4263" i="22"/>
  <c r="P4263" i="22"/>
  <c r="Q4262" i="22"/>
  <c r="P4262" i="22"/>
  <c r="Q4261" i="22"/>
  <c r="P4261" i="22"/>
  <c r="Q4260" i="22"/>
  <c r="P4260" i="22"/>
  <c r="Q4259" i="22"/>
  <c r="P4259" i="22"/>
  <c r="Q4258" i="22"/>
  <c r="P4258" i="22"/>
  <c r="Q4257" i="22"/>
  <c r="P4257" i="22"/>
  <c r="Q4256" i="22"/>
  <c r="P4256" i="22"/>
  <c r="Q4255" i="22"/>
  <c r="P4255" i="22"/>
  <c r="Q4254" i="22"/>
  <c r="P4254" i="22"/>
  <c r="Q4253" i="22"/>
  <c r="P4253" i="22"/>
  <c r="Q4252" i="22"/>
  <c r="P4252" i="22"/>
  <c r="Q4251" i="22"/>
  <c r="P4251" i="22"/>
  <c r="Q4250" i="22"/>
  <c r="P4250" i="22"/>
  <c r="Q4249" i="22"/>
  <c r="P4249" i="22"/>
  <c r="Q4248" i="22"/>
  <c r="P4248" i="22"/>
  <c r="Q4247" i="22"/>
  <c r="P4247" i="22"/>
  <c r="Q4246" i="22"/>
  <c r="P4246" i="22"/>
  <c r="Q4245" i="22"/>
  <c r="P4245" i="22"/>
  <c r="Q4244" i="22"/>
  <c r="P4244" i="22"/>
  <c r="Q4243" i="22"/>
  <c r="P4243" i="22"/>
  <c r="Q4242" i="22"/>
  <c r="P4242" i="22"/>
  <c r="Q4241" i="22"/>
  <c r="P4241" i="22"/>
  <c r="Q4240" i="22"/>
  <c r="P4240" i="22"/>
  <c r="Q4239" i="22"/>
  <c r="P4239" i="22"/>
  <c r="Q4238" i="22"/>
  <c r="P4238" i="22"/>
  <c r="Q4237" i="22"/>
  <c r="P4237" i="22"/>
  <c r="Q4236" i="22"/>
  <c r="P4236" i="22"/>
  <c r="Q4235" i="22"/>
  <c r="P4235" i="22"/>
  <c r="Q4234" i="22"/>
  <c r="P4234" i="22"/>
  <c r="Q4233" i="22"/>
  <c r="P4233" i="22"/>
  <c r="Q4232" i="22"/>
  <c r="P4232" i="22"/>
  <c r="Q4231" i="22"/>
  <c r="P4231" i="22"/>
  <c r="Q4230" i="22"/>
  <c r="P4230" i="22"/>
  <c r="Q4229" i="22"/>
  <c r="P4229" i="22"/>
  <c r="Q4228" i="22"/>
  <c r="P4228" i="22"/>
  <c r="Q4227" i="22"/>
  <c r="P4227" i="22"/>
  <c r="Q4226" i="22"/>
  <c r="P4226" i="22"/>
  <c r="Q4225" i="22"/>
  <c r="P4225" i="22"/>
  <c r="Q4224" i="22"/>
  <c r="P4224" i="22"/>
  <c r="Q4223" i="22"/>
  <c r="P4223" i="22"/>
  <c r="Q4222" i="22"/>
  <c r="P4222" i="22"/>
  <c r="Q4221" i="22"/>
  <c r="P4221" i="22"/>
  <c r="Q4220" i="22"/>
  <c r="P4220" i="22"/>
  <c r="Q4219" i="22"/>
  <c r="P4219" i="22"/>
  <c r="Q4218" i="22"/>
  <c r="P4218" i="22"/>
  <c r="Q4217" i="22"/>
  <c r="P4217" i="22"/>
  <c r="Q4216" i="22"/>
  <c r="P4216" i="22"/>
  <c r="Q4215" i="22"/>
  <c r="P4215" i="22"/>
  <c r="Q4214" i="22"/>
  <c r="P4214" i="22"/>
  <c r="Q4213" i="22"/>
  <c r="P4213" i="22"/>
  <c r="Q4212" i="22"/>
  <c r="P4212" i="22"/>
  <c r="Q4211" i="22"/>
  <c r="P4211" i="22"/>
  <c r="Q4210" i="22"/>
  <c r="P4210" i="22"/>
  <c r="Q4209" i="22"/>
  <c r="P4209" i="22"/>
  <c r="Q4208" i="22"/>
  <c r="P4208" i="22"/>
  <c r="Q4207" i="22"/>
  <c r="P4207" i="22"/>
  <c r="Q4206" i="22"/>
  <c r="P4206" i="22"/>
  <c r="Q4203" i="22"/>
  <c r="P4203" i="22"/>
  <c r="Q4202" i="22"/>
  <c r="P4202" i="22"/>
  <c r="Q4199" i="22"/>
  <c r="P4199" i="22"/>
  <c r="Q4198" i="22"/>
  <c r="P4198" i="22"/>
  <c r="Q4197" i="22"/>
  <c r="P4197" i="22"/>
  <c r="Q4196" i="22"/>
  <c r="P4196" i="22"/>
  <c r="Q4195" i="22"/>
  <c r="P4195" i="22"/>
  <c r="Q4194" i="22"/>
  <c r="P4194" i="22"/>
  <c r="Q4193" i="22"/>
  <c r="P4193" i="22"/>
  <c r="Q4192" i="22"/>
  <c r="P4192" i="22"/>
  <c r="Q4191" i="22"/>
  <c r="P4191" i="22"/>
  <c r="Q4187" i="22"/>
  <c r="P4187" i="22"/>
  <c r="Q4186" i="22"/>
  <c r="P4186" i="22"/>
  <c r="Q4185" i="22"/>
  <c r="P4185" i="22"/>
  <c r="Q4184" i="22"/>
  <c r="P4184" i="22"/>
  <c r="Q4183" i="22"/>
  <c r="P4183" i="22"/>
  <c r="Q4182" i="22"/>
  <c r="P4182" i="22"/>
  <c r="Q4181" i="22"/>
  <c r="P4181" i="22"/>
  <c r="Q4180" i="22"/>
  <c r="P4180" i="22"/>
  <c r="Q4179" i="22"/>
  <c r="P4179" i="22"/>
  <c r="Q4178" i="22"/>
  <c r="P4178" i="22"/>
  <c r="Q4177" i="22"/>
  <c r="P4177" i="22"/>
  <c r="Q4176" i="22"/>
  <c r="P4176" i="22"/>
  <c r="Q4175" i="22"/>
  <c r="P4175" i="22"/>
  <c r="Q4174" i="22"/>
  <c r="P4174" i="22"/>
  <c r="Q4173" i="22"/>
  <c r="P4173" i="22"/>
  <c r="Q4172" i="22"/>
  <c r="P4172" i="22"/>
  <c r="Q4171" i="22"/>
  <c r="P4171" i="22"/>
  <c r="Q4170" i="22"/>
  <c r="P4170" i="22"/>
  <c r="Q4169" i="22"/>
  <c r="P4169" i="22"/>
  <c r="Q4168" i="22"/>
  <c r="P4168" i="22"/>
  <c r="Q4166" i="22"/>
  <c r="P4166" i="22"/>
  <c r="Q4165" i="22"/>
  <c r="P4165" i="22"/>
  <c r="Q4164" i="22"/>
  <c r="P4164" i="22"/>
  <c r="Q4163" i="22"/>
  <c r="P4163" i="22"/>
  <c r="Q4162" i="22"/>
  <c r="P4162" i="22"/>
  <c r="Q4161" i="22"/>
  <c r="P4161" i="22"/>
  <c r="Q4160" i="22"/>
  <c r="P4160" i="22"/>
  <c r="Q4159" i="22"/>
  <c r="P4159" i="22"/>
  <c r="Q4158" i="22"/>
  <c r="P4158" i="22"/>
  <c r="Q4157" i="22"/>
  <c r="P4157" i="22"/>
  <c r="Q4156" i="22"/>
  <c r="P4156" i="22"/>
  <c r="Q4155" i="22"/>
  <c r="P4155" i="22"/>
  <c r="Q4154" i="22"/>
  <c r="P4154" i="22"/>
  <c r="Q4153" i="22"/>
  <c r="P4153" i="22"/>
  <c r="Q4152" i="22"/>
  <c r="P4152" i="22"/>
  <c r="Q4151" i="22"/>
  <c r="P4151" i="22"/>
  <c r="Q4150" i="22"/>
  <c r="P4150" i="22"/>
  <c r="Q4149" i="22"/>
  <c r="P4149" i="22"/>
  <c r="Q4148" i="22"/>
  <c r="P4148" i="22"/>
  <c r="Q4147" i="22"/>
  <c r="P4147" i="22"/>
  <c r="Q4146" i="22"/>
  <c r="P4146" i="22"/>
  <c r="Q4145" i="22"/>
  <c r="P4145" i="22"/>
  <c r="Q4144" i="22"/>
  <c r="P4144" i="22"/>
  <c r="Q4143" i="22"/>
  <c r="P4143" i="22"/>
  <c r="Q4142" i="22"/>
  <c r="P4142" i="22"/>
  <c r="Q4141" i="22"/>
  <c r="P4141" i="22"/>
  <c r="Q4140" i="22"/>
  <c r="P4140" i="22"/>
  <c r="Q4139" i="22"/>
  <c r="P4139" i="22"/>
  <c r="Q4138" i="22"/>
  <c r="P4138" i="22"/>
  <c r="Q4137" i="22"/>
  <c r="P4137" i="22"/>
  <c r="Q4136" i="22"/>
  <c r="P4136" i="22"/>
  <c r="Q4135" i="22"/>
  <c r="P4135" i="22"/>
  <c r="Q4134" i="22"/>
  <c r="P4134" i="22"/>
  <c r="Q4133" i="22"/>
  <c r="P4133" i="22"/>
  <c r="Q4132" i="22"/>
  <c r="P4132" i="22"/>
  <c r="Q4131" i="22"/>
  <c r="P4131" i="22"/>
  <c r="Q4130" i="22"/>
  <c r="P4130" i="22"/>
  <c r="Q4129" i="22"/>
  <c r="P4129" i="22"/>
  <c r="Q4125" i="22"/>
  <c r="P4125" i="22"/>
  <c r="Q4124" i="22"/>
  <c r="P4124" i="22"/>
  <c r="Q4123" i="22"/>
  <c r="P4123" i="22"/>
  <c r="Q4122" i="22"/>
  <c r="P4122" i="22"/>
  <c r="Q4121" i="22"/>
  <c r="P4121" i="22"/>
  <c r="Q4120" i="22"/>
  <c r="P4120" i="22"/>
  <c r="Q4119" i="22"/>
  <c r="P4119" i="22"/>
  <c r="Q4118" i="22"/>
  <c r="P4118" i="22"/>
  <c r="Q4117" i="22"/>
  <c r="P4117" i="22"/>
  <c r="Q4116" i="22"/>
  <c r="P4116" i="22"/>
  <c r="Q4115" i="22"/>
  <c r="P4115" i="22"/>
  <c r="Q4114" i="22"/>
  <c r="P4114" i="22"/>
  <c r="Q4113" i="22"/>
  <c r="P4113" i="22"/>
  <c r="Q4112" i="22"/>
  <c r="P4112" i="22"/>
  <c r="Q4111" i="22"/>
  <c r="P4111" i="22"/>
  <c r="Q4110" i="22"/>
  <c r="P4110" i="22"/>
  <c r="Q4109" i="22"/>
  <c r="P4109" i="22"/>
  <c r="Q4108" i="22"/>
  <c r="P4108" i="22"/>
  <c r="Q4107" i="22"/>
  <c r="P4107" i="22"/>
  <c r="Q4106" i="22"/>
  <c r="P4106" i="22"/>
  <c r="Q4099" i="22"/>
  <c r="P4099" i="22"/>
  <c r="Q4098" i="22"/>
  <c r="P4098" i="22"/>
  <c r="Q4097" i="22"/>
  <c r="P4097" i="22"/>
  <c r="Q4096" i="22"/>
  <c r="P4096" i="22"/>
  <c r="Q4095" i="22"/>
  <c r="P4095" i="22"/>
  <c r="Q4094" i="22"/>
  <c r="P4094" i="22"/>
  <c r="Q4091" i="22"/>
  <c r="P4091" i="22"/>
  <c r="Q4090" i="22"/>
  <c r="P4090" i="22"/>
  <c r="Q4089" i="22"/>
  <c r="P4089" i="22"/>
  <c r="Q4088" i="22"/>
  <c r="P4088" i="22"/>
  <c r="Q4085" i="22"/>
  <c r="P4085" i="22"/>
  <c r="Q4084" i="22"/>
  <c r="P4084" i="22"/>
  <c r="Q4083" i="22"/>
  <c r="P4083" i="22"/>
  <c r="Q4082" i="22"/>
  <c r="P4082" i="22"/>
  <c r="Q4081" i="22"/>
  <c r="P4081" i="22"/>
  <c r="Q4080" i="22"/>
  <c r="P4080" i="22"/>
  <c r="Q4079" i="22"/>
  <c r="P4079" i="22"/>
  <c r="Q4078" i="22"/>
  <c r="P4078" i="22"/>
  <c r="Q4077" i="22"/>
  <c r="P4077" i="22"/>
  <c r="Q4076" i="22"/>
  <c r="P4076" i="22"/>
  <c r="Q4075" i="22"/>
  <c r="P4075" i="22"/>
  <c r="Q4074" i="22"/>
  <c r="P4074" i="22"/>
  <c r="Q4073" i="22"/>
  <c r="P4073" i="22"/>
  <c r="Q4072" i="22"/>
  <c r="P4072" i="22"/>
  <c r="Q4071" i="22"/>
  <c r="P4071" i="22"/>
  <c r="Q4070" i="22"/>
  <c r="P4070" i="22"/>
  <c r="Q4069" i="22"/>
  <c r="P4069" i="22"/>
  <c r="Q4068" i="22"/>
  <c r="P4068" i="22"/>
  <c r="Q4067" i="22"/>
  <c r="P4067" i="22"/>
  <c r="Q4064" i="22"/>
  <c r="P4064" i="22"/>
  <c r="Q4063" i="22"/>
  <c r="P4063" i="22"/>
  <c r="Q4060" i="22"/>
  <c r="P4060" i="22"/>
  <c r="Q4059" i="22"/>
  <c r="P4059" i="22"/>
  <c r="Q4058" i="22"/>
  <c r="P4058" i="22"/>
  <c r="Q4055" i="22"/>
  <c r="P4055" i="22"/>
  <c r="Q4054" i="22"/>
  <c r="P4054" i="22"/>
  <c r="Q4051" i="22"/>
  <c r="P4051" i="22"/>
  <c r="Q4050" i="22"/>
  <c r="P4050" i="22"/>
  <c r="Q4049" i="22"/>
  <c r="P4049" i="22"/>
  <c r="Q4048" i="22"/>
  <c r="P4048" i="22"/>
  <c r="Q4047" i="22"/>
  <c r="P4047" i="22"/>
  <c r="Q4046" i="22"/>
  <c r="P4046" i="22"/>
  <c r="Q4045" i="22"/>
  <c r="P4045" i="22"/>
  <c r="Q4044" i="22"/>
  <c r="P4044" i="22"/>
  <c r="Q4043" i="22"/>
  <c r="P4043" i="22"/>
  <c r="Q4042" i="22"/>
  <c r="P4042" i="22"/>
  <c r="Q4041" i="22"/>
  <c r="P4041" i="22"/>
  <c r="Q4040" i="22"/>
  <c r="P4040" i="22"/>
  <c r="Q4039" i="22"/>
  <c r="P4039" i="22"/>
  <c r="Q4038" i="22"/>
  <c r="P4038" i="22"/>
  <c r="Q4037" i="22"/>
  <c r="P4037" i="22"/>
  <c r="Q4036" i="22"/>
  <c r="P4036" i="22"/>
  <c r="Q4035" i="22"/>
  <c r="P4035" i="22"/>
  <c r="Q4034" i="22"/>
  <c r="P4034" i="22"/>
  <c r="Q4033" i="22"/>
  <c r="P4033" i="22"/>
  <c r="Q4030" i="22"/>
  <c r="P4030" i="22"/>
  <c r="Q4029" i="22"/>
  <c r="P4029" i="22"/>
  <c r="Q4028" i="22"/>
  <c r="P4028" i="22"/>
  <c r="Q4027" i="22"/>
  <c r="P4027" i="22"/>
  <c r="Q4026" i="22"/>
  <c r="P4026" i="22"/>
  <c r="Q4025" i="22"/>
  <c r="P4025" i="22"/>
  <c r="Q4024" i="22"/>
  <c r="P4024" i="22"/>
  <c r="Q4023" i="22"/>
  <c r="P4023" i="22"/>
  <c r="Q4022" i="22"/>
  <c r="P4022" i="22"/>
  <c r="Q4021" i="22"/>
  <c r="P4021" i="22"/>
  <c r="Q4020" i="22"/>
  <c r="P4020" i="22"/>
  <c r="Q4019" i="22"/>
  <c r="P4019" i="22"/>
  <c r="Q4018" i="22"/>
  <c r="P4018" i="22"/>
  <c r="Q4017" i="22"/>
  <c r="P4017" i="22"/>
  <c r="Q4016" i="22"/>
  <c r="P4016" i="22"/>
  <c r="Q4015" i="22"/>
  <c r="P4015" i="22"/>
  <c r="Q4014" i="22"/>
  <c r="P4014" i="22"/>
  <c r="Q4013" i="22"/>
  <c r="P4013" i="22"/>
  <c r="Q4012" i="22"/>
  <c r="P4012" i="22"/>
  <c r="Q4011" i="22"/>
  <c r="P4011" i="22"/>
  <c r="Q4010" i="22"/>
  <c r="P4010" i="22"/>
  <c r="Q4009" i="22"/>
  <c r="P4009" i="22"/>
  <c r="Q4008" i="22"/>
  <c r="P4008" i="22"/>
  <c r="Q4007" i="22"/>
  <c r="P4007" i="22"/>
  <c r="Q4006" i="22"/>
  <c r="P4006" i="22"/>
  <c r="Q4005" i="22"/>
  <c r="P4005" i="22"/>
  <c r="Q4004" i="22"/>
  <c r="P4004" i="22"/>
  <c r="Q4003" i="22"/>
  <c r="P4003" i="22"/>
  <c r="Q4002" i="22"/>
  <c r="P4002" i="22"/>
  <c r="Q4001" i="22"/>
  <c r="P4001" i="22"/>
  <c r="Q4000" i="22"/>
  <c r="P4000" i="22"/>
  <c r="Q3999" i="22"/>
  <c r="P3999" i="22"/>
  <c r="Q3998" i="22"/>
  <c r="P3998" i="22"/>
  <c r="Q3997" i="22"/>
  <c r="P3997" i="22"/>
  <c r="Q3996" i="22"/>
  <c r="P3996" i="22"/>
  <c r="Q3995" i="22"/>
  <c r="P3995" i="22"/>
  <c r="Q3994" i="22"/>
  <c r="P3994" i="22"/>
  <c r="Q3993" i="22"/>
  <c r="P3993" i="22"/>
  <c r="Q3992" i="22"/>
  <c r="P3992" i="22"/>
  <c r="Q3991" i="22"/>
  <c r="P3991" i="22"/>
  <c r="Q3990" i="22"/>
  <c r="P3990" i="22"/>
  <c r="Q3989" i="22"/>
  <c r="P3989" i="22"/>
  <c r="Q3988" i="22"/>
  <c r="P3988" i="22"/>
  <c r="Q3987" i="22"/>
  <c r="P3987" i="22"/>
  <c r="Q3986" i="22"/>
  <c r="P3986" i="22"/>
  <c r="Q3985" i="22"/>
  <c r="P3985" i="22"/>
  <c r="Q3984" i="22"/>
  <c r="P3984" i="22"/>
  <c r="Q3983" i="22"/>
  <c r="P3983" i="22"/>
  <c r="Q3980" i="22"/>
  <c r="P3980" i="22"/>
  <c r="Q3979" i="22"/>
  <c r="P3979" i="22"/>
  <c r="Q3978" i="22"/>
  <c r="P3978" i="22"/>
  <c r="Q3977" i="22"/>
  <c r="P3977" i="22"/>
  <c r="Q3976" i="22"/>
  <c r="P3976" i="22"/>
  <c r="Q3975" i="22"/>
  <c r="P3975" i="22"/>
  <c r="Q3972" i="22"/>
  <c r="P3972" i="22"/>
  <c r="Q3971" i="22"/>
  <c r="P3971" i="22"/>
  <c r="Q3970" i="22"/>
  <c r="P3970" i="22"/>
  <c r="Q3969" i="22"/>
  <c r="P3969" i="22"/>
  <c r="Q3968" i="22"/>
  <c r="P3968" i="22"/>
  <c r="Q3963" i="22"/>
  <c r="P3963" i="22"/>
  <c r="Q3960" i="22"/>
  <c r="P3960" i="22"/>
  <c r="Q3959" i="22"/>
  <c r="P3959" i="22"/>
  <c r="Q3958" i="22"/>
  <c r="P3958" i="22"/>
  <c r="Q3957" i="22"/>
  <c r="P3957" i="22"/>
  <c r="Q3956" i="22"/>
  <c r="P3956" i="22"/>
  <c r="Q3955" i="22"/>
  <c r="P3955" i="22"/>
  <c r="Q3954" i="22"/>
  <c r="P3954" i="22"/>
  <c r="Q3951" i="22"/>
  <c r="P3951" i="22"/>
  <c r="Q3950" i="22"/>
  <c r="P3950" i="22"/>
  <c r="Q3947" i="22"/>
  <c r="P3947" i="22"/>
  <c r="Q3946" i="22"/>
  <c r="P3946" i="22"/>
  <c r="Q3945" i="22"/>
  <c r="P3945" i="22"/>
  <c r="Q3944" i="22"/>
  <c r="P3944" i="22"/>
  <c r="Q3943" i="22"/>
  <c r="P3943" i="22"/>
  <c r="Q3942" i="22"/>
  <c r="P3942" i="22"/>
  <c r="Q3941" i="22"/>
  <c r="P3941" i="22"/>
  <c r="Q3938" i="22"/>
  <c r="P3938" i="22"/>
  <c r="Q3937" i="22"/>
  <c r="P3937" i="22"/>
  <c r="Q3934" i="22"/>
  <c r="P3934" i="22"/>
  <c r="Q3933" i="22"/>
  <c r="P3933" i="22"/>
  <c r="Q3932" i="22"/>
  <c r="P3932" i="22"/>
  <c r="Q3931" i="22"/>
  <c r="P3931" i="22"/>
  <c r="Q3930" i="22"/>
  <c r="P3930" i="22"/>
  <c r="Q3929" i="22"/>
  <c r="P3929" i="22"/>
  <c r="Q3928" i="22"/>
  <c r="P3928" i="22"/>
  <c r="Q3927" i="22"/>
  <c r="P3927" i="22"/>
  <c r="Q3926" i="22"/>
  <c r="P3926" i="22"/>
  <c r="Q3923" i="22"/>
  <c r="P3923" i="22"/>
  <c r="Q3922" i="22"/>
  <c r="P3922" i="22"/>
  <c r="Q3921" i="22"/>
  <c r="P3921" i="22"/>
  <c r="Q3920" i="22"/>
  <c r="P3920" i="22"/>
  <c r="Q3919" i="22"/>
  <c r="P3919" i="22"/>
  <c r="Q3918" i="22"/>
  <c r="P3918" i="22"/>
  <c r="Q3917" i="22"/>
  <c r="P3917" i="22"/>
  <c r="Q3916" i="22"/>
  <c r="P3916" i="22"/>
  <c r="Q3915" i="22"/>
  <c r="P3915" i="22"/>
  <c r="Q3914" i="22"/>
  <c r="P3914" i="22"/>
  <c r="Q3913" i="22"/>
  <c r="P3913" i="22"/>
  <c r="Q3912" i="22"/>
  <c r="P3912" i="22"/>
  <c r="Q3911" i="22"/>
  <c r="P3911" i="22"/>
  <c r="Q3910" i="22"/>
  <c r="P3910" i="22"/>
  <c r="Q3909" i="22"/>
  <c r="P3909" i="22"/>
  <c r="Q3908" i="22"/>
  <c r="P3908" i="22"/>
  <c r="Q3907" i="22"/>
  <c r="P3907" i="22"/>
  <c r="Q3906" i="22"/>
  <c r="P3906" i="22"/>
  <c r="Q3905" i="22"/>
  <c r="P3905" i="22"/>
  <c r="Q3904" i="22"/>
  <c r="P3904" i="22"/>
  <c r="Q3903" i="22"/>
  <c r="P3903" i="22"/>
  <c r="Q3902" i="22"/>
  <c r="P3902" i="22"/>
  <c r="Q3901" i="22"/>
  <c r="P3901" i="22"/>
  <c r="Q3900" i="22"/>
  <c r="P3900" i="22"/>
  <c r="Q3899" i="22"/>
  <c r="P3899" i="22"/>
  <c r="Q3898" i="22"/>
  <c r="P3898" i="22"/>
  <c r="Q3897" i="22"/>
  <c r="P3897" i="22"/>
  <c r="Q3896" i="22"/>
  <c r="P3896" i="22"/>
  <c r="Q3895" i="22"/>
  <c r="P3895" i="22"/>
  <c r="Q3894" i="22"/>
  <c r="P3894" i="22"/>
  <c r="Q3893" i="22"/>
  <c r="P3893" i="22"/>
  <c r="Q3892" i="22"/>
  <c r="P3892" i="22"/>
  <c r="Q3891" i="22"/>
  <c r="P3891" i="22"/>
  <c r="Q3890" i="22"/>
  <c r="P3890" i="22"/>
  <c r="Q3889" i="22"/>
  <c r="P3889" i="22"/>
  <c r="Q3888" i="22"/>
  <c r="P3888" i="22"/>
  <c r="Q3887" i="22"/>
  <c r="P3887" i="22"/>
  <c r="Q3886" i="22"/>
  <c r="P3886" i="22"/>
  <c r="Q3885" i="22"/>
  <c r="P3885" i="22"/>
  <c r="Q3884" i="22"/>
  <c r="P3884" i="22"/>
  <c r="Q3883" i="22"/>
  <c r="P3883" i="22"/>
  <c r="Q3882" i="22"/>
  <c r="P3882" i="22"/>
  <c r="Q3881" i="22"/>
  <c r="P3881" i="22"/>
  <c r="Q3880" i="22"/>
  <c r="P3880" i="22"/>
  <c r="Q3879" i="22"/>
  <c r="P3879" i="22"/>
  <c r="Q3878" i="22"/>
  <c r="P3878" i="22"/>
  <c r="Q3877" i="22"/>
  <c r="P3877" i="22"/>
  <c r="Q3876" i="22"/>
  <c r="P3876" i="22"/>
  <c r="Q3875" i="22"/>
  <c r="P3875" i="22"/>
  <c r="Q3874" i="22"/>
  <c r="P3874" i="22"/>
  <c r="Q3869" i="22"/>
  <c r="P3869" i="22"/>
  <c r="Q3868" i="22"/>
  <c r="P3868" i="22"/>
  <c r="Q3867" i="22"/>
  <c r="P3867" i="22"/>
  <c r="Q3864" i="22"/>
  <c r="P3864" i="22"/>
  <c r="Q3863" i="22"/>
  <c r="P3863" i="22"/>
  <c r="Q3860" i="22"/>
  <c r="P3860" i="22"/>
  <c r="Q3859" i="22"/>
  <c r="P3859" i="22"/>
  <c r="Q3856" i="22"/>
  <c r="P3856" i="22"/>
  <c r="Q3855" i="22"/>
  <c r="P3855" i="22"/>
  <c r="Q3854" i="22"/>
  <c r="P3854" i="22"/>
  <c r="Q3849" i="22"/>
  <c r="P3849" i="22"/>
  <c r="Q3848" i="22"/>
  <c r="P3848" i="22"/>
  <c r="Q3847" i="22"/>
  <c r="P3847" i="22"/>
  <c r="Q3846" i="22"/>
  <c r="P3846" i="22"/>
  <c r="Q3845" i="22"/>
  <c r="P3845" i="22"/>
  <c r="Q3844" i="22"/>
  <c r="P3844" i="22"/>
  <c r="Q3843" i="22"/>
  <c r="P3843" i="22"/>
  <c r="Q3842" i="22"/>
  <c r="P3842" i="22"/>
  <c r="Q3841" i="22"/>
  <c r="P3841" i="22"/>
  <c r="Q3840" i="22"/>
  <c r="P3840" i="22"/>
  <c r="Q3837" i="22"/>
  <c r="P3837" i="22"/>
  <c r="Q3836" i="22"/>
  <c r="P3836" i="22"/>
  <c r="Q3833" i="22"/>
  <c r="P3833" i="22"/>
  <c r="Q3831" i="22"/>
  <c r="P3831" i="22"/>
  <c r="Q3830" i="22"/>
  <c r="P3830" i="22"/>
  <c r="Q3829" i="22"/>
  <c r="P3829" i="22"/>
  <c r="Q3828" i="22"/>
  <c r="P3828" i="22"/>
  <c r="Q3827" i="22"/>
  <c r="P3827" i="22"/>
  <c r="Q3826" i="22"/>
  <c r="P3826" i="22"/>
  <c r="Q3825" i="22"/>
  <c r="P3825" i="22"/>
  <c r="Q3824" i="22"/>
  <c r="P3824" i="22"/>
  <c r="Q3823" i="22"/>
  <c r="P3823" i="22"/>
  <c r="Q3822" i="22"/>
  <c r="P3822" i="22"/>
  <c r="Q3821" i="22"/>
  <c r="P3821" i="22"/>
  <c r="Q3820" i="22"/>
  <c r="P3820" i="22"/>
  <c r="Q3819" i="22"/>
  <c r="P3819" i="22"/>
  <c r="Q3818" i="22"/>
  <c r="P3818" i="22"/>
  <c r="Q3817" i="22"/>
  <c r="P3817" i="22"/>
  <c r="Q3816" i="22"/>
  <c r="P3816" i="22"/>
  <c r="Q3815" i="22"/>
  <c r="P3815" i="22"/>
  <c r="Q3814" i="22"/>
  <c r="P3814" i="22"/>
  <c r="Q3813" i="22"/>
  <c r="P3813" i="22"/>
  <c r="Q3812" i="22"/>
  <c r="P3812" i="22"/>
  <c r="Q3811" i="22"/>
  <c r="P3811" i="22"/>
  <c r="Q3810" i="22"/>
  <c r="P3810" i="22"/>
  <c r="Q3809" i="22"/>
  <c r="P3809" i="22"/>
  <c r="Q3806" i="22"/>
  <c r="P3806" i="22"/>
  <c r="Q3805" i="22"/>
  <c r="P3805" i="22"/>
  <c r="Q3804" i="22"/>
  <c r="P3804" i="22"/>
  <c r="Q3803" i="22"/>
  <c r="P3803" i="22"/>
  <c r="Q3802" i="22"/>
  <c r="P3802" i="22"/>
  <c r="Q3801" i="22"/>
  <c r="P3801" i="22"/>
  <c r="Q3800" i="22"/>
  <c r="P3800" i="22"/>
  <c r="Q3799" i="22"/>
  <c r="P3799" i="22"/>
  <c r="Q3798" i="22"/>
  <c r="P3798" i="22"/>
  <c r="Q3797" i="22"/>
  <c r="P3797" i="22"/>
  <c r="Q3796" i="22"/>
  <c r="P3796" i="22"/>
  <c r="Q3795" i="22"/>
  <c r="P3795" i="22"/>
  <c r="Q3788" i="22"/>
  <c r="P3788" i="22"/>
  <c r="Q3787" i="22"/>
  <c r="P3787" i="22"/>
  <c r="Q3786" i="22"/>
  <c r="P3786" i="22"/>
  <c r="Q3785" i="22"/>
  <c r="P3785" i="22"/>
  <c r="Q3784" i="22"/>
  <c r="P3784" i="22"/>
  <c r="Q3783" i="22"/>
  <c r="P3783" i="22"/>
  <c r="Q3782" i="22"/>
  <c r="P3782" i="22"/>
  <c r="Q3779" i="22"/>
  <c r="P3779" i="22"/>
  <c r="Q3778" i="22"/>
  <c r="P3778" i="22"/>
  <c r="Q3777" i="22"/>
  <c r="P3777" i="22"/>
  <c r="Q3776" i="22"/>
  <c r="P3776" i="22"/>
  <c r="Q3775" i="22"/>
  <c r="P3775" i="22"/>
  <c r="Q3774" i="22"/>
  <c r="P3774" i="22"/>
  <c r="Q3773" i="22"/>
  <c r="P3773" i="22"/>
  <c r="Q3772" i="22"/>
  <c r="P3772" i="22"/>
  <c r="Q3771" i="22"/>
  <c r="P3771" i="22"/>
  <c r="Q3770" i="22"/>
  <c r="P3770" i="22"/>
  <c r="Q3769" i="22"/>
  <c r="P3769" i="22"/>
  <c r="Q3768" i="22"/>
  <c r="P3768" i="22"/>
  <c r="Q3767" i="22"/>
  <c r="P3767" i="22"/>
  <c r="Q3766" i="22"/>
  <c r="P3766" i="22"/>
  <c r="Q3763" i="22"/>
  <c r="P3763" i="22"/>
  <c r="Q3762" i="22"/>
  <c r="P3762" i="22"/>
  <c r="Q3761" i="22"/>
  <c r="P3761" i="22"/>
  <c r="Q3760" i="22"/>
  <c r="P3760" i="22"/>
  <c r="Q3759" i="22"/>
  <c r="P3759" i="22"/>
  <c r="Q3758" i="22"/>
  <c r="P3758" i="22"/>
  <c r="Q3757" i="22"/>
  <c r="P3757" i="22"/>
  <c r="Q3756" i="22"/>
  <c r="P3756" i="22"/>
  <c r="Q3755" i="22"/>
  <c r="P3755" i="22"/>
  <c r="Q3754" i="22"/>
  <c r="P3754" i="22"/>
  <c r="Q3753" i="22"/>
  <c r="P3753" i="22"/>
  <c r="Q3752" i="22"/>
  <c r="P3752" i="22"/>
  <c r="Q3751" i="22"/>
  <c r="P3751" i="22"/>
  <c r="Q3750" i="22"/>
  <c r="P3750" i="22"/>
  <c r="Q3749" i="22"/>
  <c r="P3749" i="22"/>
  <c r="Q3746" i="22"/>
  <c r="P3746" i="22"/>
  <c r="Q3745" i="22"/>
  <c r="P3745" i="22"/>
  <c r="Q3744" i="22"/>
  <c r="P3744" i="22"/>
  <c r="Q3743" i="22"/>
  <c r="P3743" i="22"/>
  <c r="Q3742" i="22"/>
  <c r="P3742" i="22"/>
  <c r="Q3741" i="22"/>
  <c r="P3741" i="22"/>
  <c r="Q3740" i="22"/>
  <c r="P3740" i="22"/>
  <c r="Q3739" i="22"/>
  <c r="P3739" i="22"/>
  <c r="Q3738" i="22"/>
  <c r="P3738" i="22"/>
  <c r="Q3737" i="22"/>
  <c r="P3737" i="22"/>
  <c r="Q3736" i="22"/>
  <c r="P3736" i="22"/>
  <c r="Q3735" i="22"/>
  <c r="P3735" i="22"/>
  <c r="Q3734" i="22"/>
  <c r="P3734" i="22"/>
  <c r="Q3733" i="22"/>
  <c r="P3733" i="22"/>
  <c r="Q3732" i="22"/>
  <c r="P3732" i="22"/>
  <c r="Q3731" i="22"/>
  <c r="P3731" i="22"/>
  <c r="Q3730" i="22"/>
  <c r="P3730" i="22"/>
  <c r="Q3729" i="22"/>
  <c r="P3729" i="22"/>
  <c r="Q3728" i="22"/>
  <c r="P3728" i="22"/>
  <c r="Q3727" i="22"/>
  <c r="P3727" i="22"/>
  <c r="Q3726" i="22"/>
  <c r="P3726" i="22"/>
  <c r="Q3725" i="22"/>
  <c r="P3725" i="22"/>
  <c r="Q3724" i="22"/>
  <c r="P3724" i="22"/>
  <c r="Q3723" i="22"/>
  <c r="P3723" i="22"/>
  <c r="Q3722" i="22"/>
  <c r="P3722" i="22"/>
  <c r="Q3721" i="22"/>
  <c r="P3721" i="22"/>
  <c r="Q3720" i="22"/>
  <c r="P3720" i="22"/>
  <c r="Q3719" i="22"/>
  <c r="P3719" i="22"/>
  <c r="Q3718" i="22"/>
  <c r="P3718" i="22"/>
  <c r="Q3717" i="22"/>
  <c r="P3717" i="22"/>
  <c r="Q3716" i="22"/>
  <c r="P3716" i="22"/>
  <c r="Q3715" i="22"/>
  <c r="P3715" i="22"/>
  <c r="Q3714" i="22"/>
  <c r="P3714" i="22"/>
  <c r="Q3713" i="22"/>
  <c r="P3713" i="22"/>
  <c r="Q3712" i="22"/>
  <c r="P3712" i="22"/>
  <c r="Q3711" i="22"/>
  <c r="P3711" i="22"/>
  <c r="Q3710" i="22"/>
  <c r="P3710" i="22"/>
  <c r="Q3709" i="22"/>
  <c r="P3709" i="22"/>
  <c r="Q3708" i="22"/>
  <c r="P3708" i="22"/>
  <c r="Q3707" i="22"/>
  <c r="P3707" i="22"/>
  <c r="Q3706" i="22"/>
  <c r="P3706" i="22"/>
  <c r="Q3705" i="22"/>
  <c r="P3705" i="22"/>
  <c r="Q3704" i="22"/>
  <c r="P3704" i="22"/>
  <c r="Q3703" i="22"/>
  <c r="P3703" i="22"/>
  <c r="Q3702" i="22"/>
  <c r="P3702" i="22"/>
  <c r="Q3701" i="22"/>
  <c r="P3701" i="22"/>
  <c r="Q3698" i="22"/>
  <c r="P3698" i="22"/>
  <c r="Q3697" i="22"/>
  <c r="P3697" i="22"/>
  <c r="Q3696" i="22"/>
  <c r="P3696" i="22"/>
  <c r="Q3695" i="22"/>
  <c r="P3695" i="22"/>
  <c r="Q3694" i="22"/>
  <c r="P3694" i="22"/>
  <c r="Q3693" i="22"/>
  <c r="P3693" i="22"/>
  <c r="Q3692" i="22"/>
  <c r="P3692" i="22"/>
  <c r="Q3691" i="22"/>
  <c r="P3691" i="22"/>
  <c r="Q3690" i="22"/>
  <c r="P3690" i="22"/>
  <c r="Q3689" i="22"/>
  <c r="P3689" i="22"/>
  <c r="Q3688" i="22"/>
  <c r="P3688" i="22"/>
  <c r="Q3687" i="22"/>
  <c r="P3687" i="22"/>
  <c r="Q3686" i="22"/>
  <c r="P3686" i="22"/>
  <c r="Q3685" i="22"/>
  <c r="P3685" i="22"/>
  <c r="Q3684" i="22"/>
  <c r="P3684" i="22"/>
  <c r="Q3683" i="22"/>
  <c r="P3683" i="22"/>
  <c r="Q3682" i="22"/>
  <c r="P3682" i="22"/>
  <c r="Q3681" i="22"/>
  <c r="P3681" i="22"/>
  <c r="Q3680" i="22"/>
  <c r="P3680" i="22"/>
  <c r="Q3679" i="22"/>
  <c r="P3679" i="22"/>
  <c r="Q3678" i="22"/>
  <c r="P3678" i="22"/>
  <c r="Q3677" i="22"/>
  <c r="P3677" i="22"/>
  <c r="Q3676" i="22"/>
  <c r="P3676" i="22"/>
  <c r="Q3675" i="22"/>
  <c r="P3675" i="22"/>
  <c r="Q3674" i="22"/>
  <c r="P3674" i="22"/>
  <c r="Q3673" i="22"/>
  <c r="P3673" i="22"/>
  <c r="Q3672" i="22"/>
  <c r="P3672" i="22"/>
  <c r="Q3671" i="22"/>
  <c r="P3671" i="22"/>
  <c r="Q3670" i="22"/>
  <c r="P3670" i="22"/>
  <c r="Q3669" i="22"/>
  <c r="P3669" i="22"/>
  <c r="Q3668" i="22"/>
  <c r="P3668" i="22"/>
  <c r="Q3667" i="22"/>
  <c r="P3667" i="22"/>
  <c r="Q3666" i="22"/>
  <c r="P3666" i="22"/>
  <c r="Q3665" i="22"/>
  <c r="P3665" i="22"/>
  <c r="Q3664" i="22"/>
  <c r="P3664" i="22"/>
  <c r="Q3663" i="22"/>
  <c r="P3663" i="22"/>
  <c r="Q3662" i="22"/>
  <c r="P3662" i="22"/>
  <c r="Q3661" i="22"/>
  <c r="P3661" i="22"/>
  <c r="Q3660" i="22"/>
  <c r="P3660" i="22"/>
  <c r="Q3659" i="22"/>
  <c r="P3659" i="22"/>
  <c r="Q3658" i="22"/>
  <c r="P3658" i="22"/>
  <c r="Q3657" i="22"/>
  <c r="P3657" i="22"/>
  <c r="Q3656" i="22"/>
  <c r="P3656" i="22"/>
  <c r="Q3655" i="22"/>
  <c r="P3655" i="22"/>
  <c r="Q3654" i="22"/>
  <c r="P3654" i="22"/>
  <c r="Q3653" i="22"/>
  <c r="P3653" i="22"/>
  <c r="Q3652" i="22"/>
  <c r="P3652" i="22"/>
  <c r="Q3651" i="22"/>
  <c r="P3651" i="22"/>
  <c r="Q3650" i="22"/>
  <c r="P3650" i="22"/>
  <c r="Q3649" i="22"/>
  <c r="P3649" i="22"/>
  <c r="Q3648" i="22"/>
  <c r="P3648" i="22"/>
  <c r="Q3647" i="22"/>
  <c r="P3647" i="22"/>
  <c r="Q3646" i="22"/>
  <c r="P3646" i="22"/>
  <c r="Q3645" i="22"/>
  <c r="P3645" i="22"/>
  <c r="Q3644" i="22"/>
  <c r="P3644" i="22"/>
  <c r="Q3643" i="22"/>
  <c r="P3643" i="22"/>
  <c r="Q3642" i="22"/>
  <c r="P3642" i="22"/>
  <c r="Q3641" i="22"/>
  <c r="P3641" i="22"/>
  <c r="Q3638" i="22"/>
  <c r="P3638" i="22"/>
  <c r="Q3637" i="22"/>
  <c r="P3637" i="22"/>
  <c r="Q3634" i="22"/>
  <c r="P3634" i="22"/>
  <c r="Q3633" i="22"/>
  <c r="P3633" i="22"/>
  <c r="Q3632" i="22"/>
  <c r="P3632" i="22"/>
  <c r="Q3631" i="22"/>
  <c r="P3631" i="22"/>
  <c r="Q3630" i="22"/>
  <c r="P3630" i="22"/>
  <c r="Q3629" i="22"/>
  <c r="P3629" i="22"/>
  <c r="Q3628" i="22"/>
  <c r="P3628" i="22"/>
  <c r="Q3627" i="22"/>
  <c r="P3627" i="22"/>
  <c r="Q3626" i="22"/>
  <c r="P3626" i="22"/>
  <c r="Q3625" i="22"/>
  <c r="P3625" i="22"/>
  <c r="Q3624" i="22"/>
  <c r="P3624" i="22"/>
  <c r="Q3623" i="22"/>
  <c r="P3623" i="22"/>
  <c r="Q3618" i="22"/>
  <c r="P3618" i="22"/>
  <c r="Q3615" i="22"/>
  <c r="P3615" i="22"/>
  <c r="Q3614" i="22"/>
  <c r="P3614" i="22"/>
  <c r="Q3611" i="22"/>
  <c r="P3611" i="22"/>
  <c r="Q3610" i="22"/>
  <c r="P3610" i="22"/>
  <c r="Q3609" i="22"/>
  <c r="P3609" i="22"/>
  <c r="Q3608" i="22"/>
  <c r="P3608" i="22"/>
  <c r="Q3607" i="22"/>
  <c r="P3607" i="22"/>
  <c r="Q3606" i="22"/>
  <c r="P3606" i="22"/>
  <c r="Q3605" i="22"/>
  <c r="P3605" i="22"/>
  <c r="Q3604" i="22"/>
  <c r="P3604" i="22"/>
  <c r="Q3603" i="22"/>
  <c r="P3603" i="22"/>
  <c r="Q3602" i="22"/>
  <c r="P3602" i="22"/>
  <c r="Q3601" i="22"/>
  <c r="P3601" i="22"/>
  <c r="Q3600" i="22"/>
  <c r="P3600" i="22"/>
  <c r="Q3595" i="22"/>
  <c r="P3595" i="22"/>
  <c r="Q3594" i="22"/>
  <c r="P3594" i="22"/>
  <c r="Q3593" i="22"/>
  <c r="P3593" i="22"/>
  <c r="Q3592" i="22"/>
  <c r="P3592" i="22"/>
  <c r="Q3589" i="22"/>
  <c r="P3589" i="22"/>
  <c r="Q3588" i="22"/>
  <c r="P3588" i="22"/>
  <c r="Q3587" i="22"/>
  <c r="P3587" i="22"/>
  <c r="Q3586" i="22"/>
  <c r="P3586" i="22"/>
  <c r="Q3585" i="22"/>
  <c r="P3585" i="22"/>
  <c r="Q3578" i="22"/>
  <c r="P3578" i="22"/>
  <c r="Q3577" i="22"/>
  <c r="P3577" i="22"/>
  <c r="Q3576" i="22"/>
  <c r="P3576" i="22"/>
  <c r="Q3575" i="22"/>
  <c r="P3575" i="22"/>
  <c r="Q3574" i="22"/>
  <c r="P3574" i="22"/>
  <c r="Q3573" i="22"/>
  <c r="P3573" i="22"/>
  <c r="Q3572" i="22"/>
  <c r="P3572" i="22"/>
  <c r="Q3571" i="22"/>
  <c r="P3571" i="22"/>
  <c r="Q3570" i="22"/>
  <c r="P3570" i="22"/>
  <c r="Q3569" i="22"/>
  <c r="P3569" i="22"/>
  <c r="Q3568" i="22"/>
  <c r="P3568" i="22"/>
  <c r="Q3567" i="22"/>
  <c r="P3567" i="22"/>
  <c r="Q3566" i="22"/>
  <c r="P3566" i="22"/>
  <c r="Q3563" i="22"/>
  <c r="P3563" i="22"/>
  <c r="Q3562" i="22"/>
  <c r="P3562" i="22"/>
  <c r="Q3559" i="22"/>
  <c r="P3559" i="22"/>
  <c r="Q3558" i="22"/>
  <c r="P3558" i="22"/>
  <c r="Q3557" i="22"/>
  <c r="P3557" i="22"/>
  <c r="Q3556" i="22"/>
  <c r="P3556" i="22"/>
  <c r="Q3555" i="22"/>
  <c r="P3555" i="22"/>
  <c r="Q3554" i="22"/>
  <c r="P3554" i="22"/>
  <c r="Q3553" i="22"/>
  <c r="P3553" i="22"/>
  <c r="Q3552" i="22"/>
  <c r="P3552" i="22"/>
  <c r="Q3551" i="22"/>
  <c r="P3551" i="22"/>
  <c r="Q3550" i="22"/>
  <c r="P3550" i="22"/>
  <c r="Q3549" i="22"/>
  <c r="P3549" i="22"/>
  <c r="Q3548" i="22"/>
  <c r="P3548" i="22"/>
  <c r="Q3547" i="22"/>
  <c r="P3547" i="22"/>
  <c r="Q3546" i="22"/>
  <c r="P3546" i="22"/>
  <c r="Q3545" i="22"/>
  <c r="P3545" i="22"/>
  <c r="Q3544" i="22"/>
  <c r="P3544" i="22"/>
  <c r="Q3543" i="22"/>
  <c r="P3543" i="22"/>
  <c r="Q3542" i="22"/>
  <c r="P3542" i="22"/>
  <c r="Q3541" i="22"/>
  <c r="P3541" i="22"/>
  <c r="Q3538" i="22"/>
  <c r="P3538" i="22"/>
  <c r="Q3537" i="22"/>
  <c r="P3537" i="22"/>
  <c r="Q3536" i="22"/>
  <c r="P3536" i="22"/>
  <c r="Q3535" i="22"/>
  <c r="P3535" i="22"/>
  <c r="Q3532" i="22"/>
  <c r="P3532" i="22"/>
  <c r="Q3531" i="22"/>
  <c r="P3531" i="22"/>
  <c r="Q3530" i="22"/>
  <c r="P3530" i="22"/>
  <c r="Q3526" i="22"/>
  <c r="P3526" i="22"/>
  <c r="Q3525" i="22"/>
  <c r="P3525" i="22"/>
  <c r="Q3524" i="22"/>
  <c r="P3524" i="22"/>
  <c r="Q3523" i="22"/>
  <c r="P3523" i="22"/>
  <c r="Q3522" i="22"/>
  <c r="P3522" i="22"/>
  <c r="Q3521" i="22"/>
  <c r="P3521" i="22"/>
  <c r="Q3520" i="22"/>
  <c r="P3520" i="22"/>
  <c r="Q3519" i="22"/>
  <c r="P3519" i="22"/>
  <c r="Q3518" i="22"/>
  <c r="P3518" i="22"/>
  <c r="Q3517" i="22"/>
  <c r="P3517" i="22"/>
  <c r="Q3516" i="22"/>
  <c r="P3516" i="22"/>
  <c r="Q3515" i="22"/>
  <c r="P3515" i="22"/>
  <c r="Q3514" i="22"/>
  <c r="P3514" i="22"/>
  <c r="Q3513" i="22"/>
  <c r="P3513" i="22"/>
  <c r="Q3512" i="22"/>
  <c r="P3512" i="22"/>
  <c r="Q3511" i="22"/>
  <c r="P3511" i="22"/>
  <c r="Q3510" i="22"/>
  <c r="P3510" i="22"/>
  <c r="Q3509" i="22"/>
  <c r="P3509" i="22"/>
  <c r="Q3502" i="22"/>
  <c r="P3502" i="22"/>
  <c r="Q3501" i="22"/>
  <c r="P3501" i="22"/>
  <c r="Q3500" i="22"/>
  <c r="P3500" i="22"/>
  <c r="Q3499" i="22"/>
  <c r="P3499" i="22"/>
  <c r="Q3498" i="22"/>
  <c r="P3498" i="22"/>
  <c r="Q3497" i="22"/>
  <c r="P3497" i="22"/>
  <c r="Q3494" i="22"/>
  <c r="P3494" i="22"/>
  <c r="Q3493" i="22"/>
  <c r="P3493" i="22"/>
  <c r="Q3492" i="22"/>
  <c r="P3492" i="22"/>
  <c r="Q3491" i="22"/>
  <c r="P3491" i="22"/>
  <c r="Q3488" i="22"/>
  <c r="P3488" i="22"/>
  <c r="Q3487" i="22"/>
  <c r="P3487" i="22"/>
  <c r="Q3486" i="22"/>
  <c r="P3486" i="22"/>
  <c r="Q3485" i="22"/>
  <c r="P3485" i="22"/>
  <c r="Q3484" i="22"/>
  <c r="P3484" i="22"/>
  <c r="Q3483" i="22"/>
  <c r="P3483" i="22"/>
  <c r="Q3482" i="22"/>
  <c r="P3482" i="22"/>
  <c r="Q3481" i="22"/>
  <c r="P3481" i="22"/>
  <c r="Q3480" i="22"/>
  <c r="P3480" i="22"/>
  <c r="Q3479" i="22"/>
  <c r="P3479" i="22"/>
  <c r="Q3478" i="22"/>
  <c r="P3478" i="22"/>
  <c r="Q3477" i="22"/>
  <c r="P3477" i="22"/>
  <c r="Q3476" i="22"/>
  <c r="P3476" i="22"/>
  <c r="Q3475" i="22"/>
  <c r="P3475" i="22"/>
  <c r="Q3474" i="22"/>
  <c r="P3474" i="22"/>
  <c r="Q3473" i="22"/>
  <c r="P3473" i="22"/>
  <c r="Q3472" i="22"/>
  <c r="P3472" i="22"/>
  <c r="Q3471" i="22"/>
  <c r="P3471" i="22"/>
  <c r="Q3470" i="22"/>
  <c r="P3470" i="22"/>
  <c r="Q3469" i="22"/>
  <c r="P3469" i="22"/>
  <c r="Q3468" i="22"/>
  <c r="P3468" i="22"/>
  <c r="Q3467" i="22"/>
  <c r="P3467" i="22"/>
  <c r="Q3466" i="22"/>
  <c r="P3466" i="22"/>
  <c r="Q3463" i="22"/>
  <c r="P3463" i="22"/>
  <c r="Q3462" i="22"/>
  <c r="P3462" i="22"/>
  <c r="Q3461" i="22"/>
  <c r="P3461" i="22"/>
  <c r="Q3460" i="22"/>
  <c r="P3460" i="22"/>
  <c r="Q3459" i="22"/>
  <c r="P3459" i="22"/>
  <c r="Q3458" i="22"/>
  <c r="P3458" i="22"/>
  <c r="Q3457" i="22"/>
  <c r="P3457" i="22"/>
  <c r="Q3456" i="22"/>
  <c r="P3456" i="22"/>
  <c r="Q3455" i="22"/>
  <c r="P3455" i="22"/>
  <c r="Q3454" i="22"/>
  <c r="P3454" i="22"/>
  <c r="Q3453" i="22"/>
  <c r="P3453" i="22"/>
  <c r="Q3452" i="22"/>
  <c r="P3452" i="22"/>
  <c r="Q3451" i="22"/>
  <c r="P3451" i="22"/>
  <c r="Q3450" i="22"/>
  <c r="P3450" i="22"/>
  <c r="Q3449" i="22"/>
  <c r="P3449" i="22"/>
  <c r="Q3448" i="22"/>
  <c r="P3448" i="22"/>
  <c r="Q3447" i="22"/>
  <c r="P3447" i="22"/>
  <c r="Q3446" i="22"/>
  <c r="P3446" i="22"/>
  <c r="Q3445" i="22"/>
  <c r="P3445" i="22"/>
  <c r="Q3444" i="22"/>
  <c r="P3444" i="22"/>
  <c r="Q3443" i="22"/>
  <c r="P3443" i="22"/>
  <c r="Q3442" i="22"/>
  <c r="P3442" i="22"/>
  <c r="Q3441" i="22"/>
  <c r="P3441" i="22"/>
  <c r="Q3440" i="22"/>
  <c r="P3440" i="22"/>
  <c r="Q3437" i="22"/>
  <c r="P3437" i="22"/>
  <c r="Q3436" i="22"/>
  <c r="P3436" i="22"/>
  <c r="Q3435" i="22"/>
  <c r="P3435" i="22"/>
  <c r="Q3434" i="22"/>
  <c r="P3434" i="22"/>
  <c r="Q3433" i="22"/>
  <c r="P3433" i="22"/>
  <c r="Q3432" i="22"/>
  <c r="P3432" i="22"/>
  <c r="Q3431" i="22"/>
  <c r="P3431" i="22"/>
  <c r="Q3430" i="22"/>
  <c r="P3430" i="22"/>
  <c r="Q3429" i="22"/>
  <c r="P3429" i="22"/>
  <c r="Q3428" i="22"/>
  <c r="P3428" i="22"/>
  <c r="Q3427" i="22"/>
  <c r="P3427" i="22"/>
  <c r="Q3426" i="22"/>
  <c r="P3426" i="22"/>
  <c r="Q3425" i="22"/>
  <c r="P3425" i="22"/>
  <c r="Q3420" i="22"/>
  <c r="P3420" i="22"/>
  <c r="Q3415" i="22"/>
  <c r="P3415" i="22"/>
  <c r="Q3410" i="22"/>
  <c r="P3410" i="22"/>
  <c r="Q3405" i="22"/>
  <c r="P3405" i="22"/>
  <c r="Q3400" i="22"/>
  <c r="P3400" i="22"/>
  <c r="Q3395" i="22"/>
  <c r="P3395" i="22"/>
  <c r="Q3394" i="22"/>
  <c r="P3394" i="22"/>
  <c r="Q3393" i="22"/>
  <c r="P3393" i="22"/>
  <c r="Q3392" i="22"/>
  <c r="P3392" i="22"/>
  <c r="Q3391" i="22"/>
  <c r="P3391" i="22"/>
  <c r="Q3390" i="22"/>
  <c r="P3390" i="22"/>
  <c r="Q3389" i="22"/>
  <c r="P3389" i="22"/>
  <c r="Q3388" i="22"/>
  <c r="P3388" i="22"/>
  <c r="Q3387" i="22"/>
  <c r="P3387" i="22"/>
  <c r="Q3386" i="22"/>
  <c r="P3386" i="22"/>
  <c r="Q3385" i="22"/>
  <c r="P3385" i="22"/>
  <c r="Q3384" i="22"/>
  <c r="P3384" i="22"/>
  <c r="Q3383" i="22"/>
  <c r="P3383" i="22"/>
  <c r="Q3382" i="22"/>
  <c r="P3382" i="22"/>
  <c r="Q3381" i="22"/>
  <c r="P3381" i="22"/>
  <c r="Q3380" i="22"/>
  <c r="P3380" i="22"/>
  <c r="Q3379" i="22"/>
  <c r="P3379" i="22"/>
  <c r="Q3378" i="22"/>
  <c r="P3378" i="22"/>
  <c r="Q3377" i="22"/>
  <c r="P3377" i="22"/>
  <c r="Q3376" i="22"/>
  <c r="P3376" i="22"/>
  <c r="Q3375" i="22"/>
  <c r="P3375" i="22"/>
  <c r="Q3374" i="22"/>
  <c r="P3374" i="22"/>
  <c r="Q3373" i="22"/>
  <c r="P3373" i="22"/>
  <c r="Q3370" i="22"/>
  <c r="P3370" i="22"/>
  <c r="Q3369" i="22"/>
  <c r="P3369" i="22"/>
  <c r="Q3368" i="22"/>
  <c r="P3368" i="22"/>
  <c r="Q3367" i="22"/>
  <c r="P3367" i="22"/>
  <c r="Q3366" i="22"/>
  <c r="P3366" i="22"/>
  <c r="Q3365" i="22"/>
  <c r="P3365" i="22"/>
  <c r="Q3364" i="22"/>
  <c r="P3364" i="22"/>
  <c r="Q3363" i="22"/>
  <c r="P3363" i="22"/>
  <c r="Q3362" i="22"/>
  <c r="P3362" i="22"/>
  <c r="Q3360" i="22"/>
  <c r="P3360" i="22"/>
  <c r="Q3358" i="22"/>
  <c r="P3358" i="22"/>
  <c r="Q3356" i="22"/>
  <c r="P3356" i="22"/>
  <c r="Q3355" i="22"/>
  <c r="P3355" i="22"/>
  <c r="Q3354" i="22"/>
  <c r="P3354" i="22"/>
  <c r="Q3353" i="22"/>
  <c r="P3353" i="22"/>
  <c r="Q3352" i="22"/>
  <c r="P3352" i="22"/>
  <c r="Q3351" i="22"/>
  <c r="P3351" i="22"/>
  <c r="Q3350" i="22"/>
  <c r="P3350" i="22"/>
  <c r="Q3349" i="22"/>
  <c r="P3349" i="22"/>
  <c r="Q3348" i="22"/>
  <c r="P3348" i="22"/>
  <c r="Q3347" i="22"/>
  <c r="P3347" i="22"/>
  <c r="Q3346" i="22"/>
  <c r="P3346" i="22"/>
  <c r="Q3345" i="22"/>
  <c r="P3345" i="22"/>
  <c r="Q3344" i="22"/>
  <c r="P3344" i="22"/>
  <c r="Q3341" i="22"/>
  <c r="P3341" i="22"/>
  <c r="Q3340" i="22"/>
  <c r="P3340" i="22"/>
  <c r="Q3339" i="22"/>
  <c r="P3339" i="22"/>
  <c r="Q3338" i="22"/>
  <c r="P3338" i="22"/>
  <c r="Q3337" i="22"/>
  <c r="P3337" i="22"/>
  <c r="Q3336" i="22"/>
  <c r="P3336" i="22"/>
  <c r="Q3335" i="22"/>
  <c r="P3335" i="22"/>
  <c r="Q3334" i="22"/>
  <c r="P3334" i="22"/>
  <c r="Q3333" i="22"/>
  <c r="P3333" i="22"/>
  <c r="Q3332" i="22"/>
  <c r="P3332" i="22"/>
  <c r="Q3331" i="22"/>
  <c r="P3331" i="22"/>
  <c r="Q3330" i="22"/>
  <c r="P3330" i="22"/>
  <c r="Q3329" i="22"/>
  <c r="P3329" i="22"/>
  <c r="Q3328" i="22"/>
  <c r="P3328" i="22"/>
  <c r="Q3327" i="22"/>
  <c r="P3327" i="22"/>
  <c r="Q3326" i="22"/>
  <c r="P3326" i="22"/>
  <c r="Q3325" i="22"/>
  <c r="P3325" i="22"/>
  <c r="Q3322" i="22"/>
  <c r="P3322" i="22"/>
  <c r="Q3321" i="22"/>
  <c r="P3321" i="22"/>
  <c r="Q3320" i="22"/>
  <c r="P3320" i="22"/>
  <c r="Q3319" i="22"/>
  <c r="P3319" i="22"/>
  <c r="Q3318" i="22"/>
  <c r="P3318" i="22"/>
  <c r="Q3317" i="22"/>
  <c r="P3317" i="22"/>
  <c r="Q3316" i="22"/>
  <c r="P3316" i="22"/>
  <c r="Q3315" i="22"/>
  <c r="P3315" i="22"/>
  <c r="Q3314" i="22"/>
  <c r="P3314" i="22"/>
  <c r="Q3311" i="22"/>
  <c r="P3311" i="22"/>
  <c r="Q3310" i="22"/>
  <c r="P3310" i="22"/>
  <c r="Q3309" i="22"/>
  <c r="P3309" i="22"/>
  <c r="Q3308" i="22"/>
  <c r="P3308" i="22"/>
  <c r="Q3307" i="22"/>
  <c r="P3307" i="22"/>
  <c r="Q3306" i="22"/>
  <c r="P3306" i="22"/>
  <c r="Q3305" i="22"/>
  <c r="P3305" i="22"/>
  <c r="Q3304" i="22"/>
  <c r="P3304" i="22"/>
  <c r="Q3303" i="22"/>
  <c r="P3303" i="22"/>
  <c r="Q3302" i="22"/>
  <c r="P3302" i="22"/>
  <c r="Q3301" i="22"/>
  <c r="P3301" i="22"/>
  <c r="Q3300" i="22"/>
  <c r="P3300" i="22"/>
  <c r="Q3299" i="22"/>
  <c r="P3299" i="22"/>
  <c r="Q3296" i="22"/>
  <c r="P3296" i="22"/>
  <c r="Q3295" i="22"/>
  <c r="P3295" i="22"/>
  <c r="Q3292" i="22"/>
  <c r="P3292" i="22"/>
  <c r="Q3291" i="22"/>
  <c r="P3291" i="22"/>
  <c r="Q3290" i="22"/>
  <c r="P3290" i="22"/>
  <c r="Q3289" i="22"/>
  <c r="P3289" i="22"/>
  <c r="Q3288" i="22"/>
  <c r="P3288" i="22"/>
  <c r="Q3287" i="22"/>
  <c r="P3287" i="22"/>
  <c r="Q3286" i="22"/>
  <c r="P3286" i="22"/>
  <c r="Q3285" i="22"/>
  <c r="P3285" i="22"/>
  <c r="Q3284" i="22"/>
  <c r="P3284" i="22"/>
  <c r="Q3283" i="22"/>
  <c r="P3283" i="22"/>
  <c r="Q3282" i="22"/>
  <c r="P3282" i="22"/>
  <c r="Q3281" i="22"/>
  <c r="P3281" i="22"/>
  <c r="Q3280" i="22"/>
  <c r="P3280" i="22"/>
  <c r="Q3279" i="22"/>
  <c r="P3279" i="22"/>
  <c r="Q3278" i="22"/>
  <c r="P3278" i="22"/>
  <c r="Q3277" i="22"/>
  <c r="P3277" i="22"/>
  <c r="Q3276" i="22"/>
  <c r="P3276" i="22"/>
  <c r="Q3275" i="22"/>
  <c r="P3275" i="22"/>
  <c r="Q3274" i="22"/>
  <c r="P3274" i="22"/>
  <c r="Q3273" i="22"/>
  <c r="P3273" i="22"/>
  <c r="Q3272" i="22"/>
  <c r="P3272" i="22"/>
  <c r="Q3271" i="22"/>
  <c r="P3271" i="22"/>
  <c r="Q3270" i="22"/>
  <c r="P3270" i="22"/>
  <c r="Q3267" i="22"/>
  <c r="P3267" i="22"/>
  <c r="Q3266" i="22"/>
  <c r="P3266" i="22"/>
  <c r="Q3265" i="22"/>
  <c r="P3265" i="22"/>
  <c r="Q3264" i="22"/>
  <c r="P3264" i="22"/>
  <c r="Q3263" i="22"/>
  <c r="P3263" i="22"/>
  <c r="Q3260" i="22"/>
  <c r="P3260" i="22"/>
  <c r="Q3259" i="22"/>
  <c r="P3259" i="22"/>
  <c r="Q3258" i="22"/>
  <c r="P3258" i="22"/>
  <c r="Q3255" i="22"/>
  <c r="P3255" i="22"/>
  <c r="Q3254" i="22"/>
  <c r="P3254" i="22"/>
  <c r="Q3253" i="22"/>
  <c r="P3253" i="22"/>
  <c r="Q3252" i="22"/>
  <c r="P3252" i="22"/>
  <c r="Q3251" i="22"/>
  <c r="P3251" i="22"/>
  <c r="Q3250" i="22"/>
  <c r="P3250" i="22"/>
  <c r="Q3249" i="22"/>
  <c r="P3249" i="22"/>
  <c r="Q3248" i="22"/>
  <c r="P3248" i="22"/>
  <c r="Q3247" i="22"/>
  <c r="P3247" i="22"/>
  <c r="Q3246" i="22"/>
  <c r="P3246" i="22"/>
  <c r="Q3245" i="22"/>
  <c r="P3245" i="22"/>
  <c r="Q3244" i="22"/>
  <c r="P3244" i="22"/>
  <c r="Q3243" i="22"/>
  <c r="P3243" i="22"/>
  <c r="Q3242" i="22"/>
  <c r="P3242" i="22"/>
  <c r="Q3241" i="22"/>
  <c r="P3241" i="22"/>
  <c r="Q3240" i="22"/>
  <c r="P3240" i="22"/>
  <c r="Q3239" i="22"/>
  <c r="P3239" i="22"/>
  <c r="Q3238" i="22"/>
  <c r="P3238" i="22"/>
  <c r="Q3237" i="22"/>
  <c r="P3237" i="22"/>
  <c r="Q3236" i="22"/>
  <c r="P3236" i="22"/>
  <c r="Q3235" i="22"/>
  <c r="P3235" i="22"/>
  <c r="Q3234" i="22"/>
  <c r="P3234" i="22"/>
  <c r="Q3231" i="22"/>
  <c r="P3231" i="22"/>
  <c r="Q3230" i="22"/>
  <c r="P3230" i="22"/>
  <c r="Q3229" i="22"/>
  <c r="P3229" i="22"/>
  <c r="Q3228" i="22"/>
  <c r="P3228" i="22"/>
  <c r="Q3227" i="22"/>
  <c r="P3227" i="22"/>
  <c r="Q3226" i="22"/>
  <c r="P3226" i="22"/>
  <c r="Q3225" i="22"/>
  <c r="P3225" i="22"/>
  <c r="Q3224" i="22"/>
  <c r="P3224" i="22"/>
  <c r="Q3223" i="22"/>
  <c r="P3223" i="22"/>
  <c r="Q3222" i="22"/>
  <c r="P3222" i="22"/>
  <c r="Q3221" i="22"/>
  <c r="P3221" i="22"/>
  <c r="Q3220" i="22"/>
  <c r="P3220" i="22"/>
  <c r="Q3219" i="22"/>
  <c r="P3219" i="22"/>
  <c r="Q3216" i="22"/>
  <c r="P3216" i="22"/>
  <c r="Q3215" i="22"/>
  <c r="P3215" i="22"/>
  <c r="Q3214" i="22"/>
  <c r="P3214" i="22"/>
  <c r="Q3213" i="22"/>
  <c r="P3213" i="22"/>
  <c r="Q3212" i="22"/>
  <c r="P3212" i="22"/>
  <c r="Q3211" i="22"/>
  <c r="P3211" i="22"/>
  <c r="Q3210" i="22"/>
  <c r="P3210" i="22"/>
  <c r="Q3209" i="22"/>
  <c r="P3209" i="22"/>
  <c r="Q3208" i="22"/>
  <c r="P3208" i="22"/>
  <c r="Q3207" i="22"/>
  <c r="P3207" i="22"/>
  <c r="Q3206" i="22"/>
  <c r="P3206" i="22"/>
  <c r="Q3205" i="22"/>
  <c r="P3205" i="22"/>
  <c r="Q3204" i="22"/>
  <c r="P3204" i="22"/>
  <c r="Q3203" i="22"/>
  <c r="P3203" i="22"/>
  <c r="Q3202" i="22"/>
  <c r="P3202" i="22"/>
  <c r="Q3201" i="22"/>
  <c r="P3201" i="22"/>
  <c r="Q3200" i="22"/>
  <c r="P3200" i="22"/>
  <c r="Q3199" i="22"/>
  <c r="P3199" i="22"/>
  <c r="Q3198" i="22"/>
  <c r="P3198" i="22"/>
  <c r="Q3197" i="22"/>
  <c r="P3197" i="22"/>
  <c r="Q3196" i="22"/>
  <c r="P3196" i="22"/>
  <c r="Q3195" i="22"/>
  <c r="P3195" i="22"/>
  <c r="Q3194" i="22"/>
  <c r="P3194" i="22"/>
  <c r="Q3193" i="22"/>
  <c r="P3193" i="22"/>
  <c r="Q3192" i="22"/>
  <c r="P3192" i="22"/>
  <c r="Q3191" i="22"/>
  <c r="P3191" i="22"/>
  <c r="Q3188" i="22"/>
  <c r="P3188" i="22"/>
  <c r="Q3187" i="22"/>
  <c r="P3187" i="22"/>
  <c r="Q3186" i="22"/>
  <c r="P3186" i="22"/>
  <c r="Q3185" i="22"/>
  <c r="P3185" i="22"/>
  <c r="Q3184" i="22"/>
  <c r="P3184" i="22"/>
  <c r="Q3183" i="22"/>
  <c r="P3183" i="22"/>
  <c r="Q3182" i="22"/>
  <c r="P3182" i="22"/>
  <c r="Q3180" i="22"/>
  <c r="P3180" i="22"/>
  <c r="Q3178" i="22"/>
  <c r="P3178" i="22"/>
  <c r="Q3176" i="22"/>
  <c r="P3176" i="22"/>
  <c r="Q3175" i="22"/>
  <c r="P3175" i="22"/>
  <c r="Q3174" i="22"/>
  <c r="P3174" i="22"/>
  <c r="Q3173" i="22"/>
  <c r="P3173" i="22"/>
  <c r="Q3172" i="22"/>
  <c r="P3172" i="22"/>
  <c r="Q3171" i="22"/>
  <c r="P3171" i="22"/>
  <c r="Q3170" i="22"/>
  <c r="P3170" i="22"/>
  <c r="Q3169" i="22"/>
  <c r="P3169" i="22"/>
  <c r="Q3168" i="22"/>
  <c r="P3168" i="22"/>
  <c r="Q3167" i="22"/>
  <c r="P3167" i="22"/>
  <c r="Q3166" i="22"/>
  <c r="P3166" i="22"/>
  <c r="Q3165" i="22"/>
  <c r="P3165" i="22"/>
  <c r="Q3164" i="22"/>
  <c r="P3164" i="22"/>
  <c r="Q3163" i="22"/>
  <c r="P3163" i="22"/>
  <c r="Q3162" i="22"/>
  <c r="P3162" i="22"/>
  <c r="Q3161" i="22"/>
  <c r="P3161" i="22"/>
  <c r="Q3160" i="22"/>
  <c r="P3160" i="22"/>
  <c r="Q3159" i="22"/>
  <c r="P3159" i="22"/>
  <c r="Q3158" i="22"/>
  <c r="P3158" i="22"/>
  <c r="Q3157" i="22"/>
  <c r="P3157" i="22"/>
  <c r="Q3156" i="22"/>
  <c r="P3156" i="22"/>
  <c r="Q3155" i="22"/>
  <c r="P3155" i="22"/>
  <c r="Q3154" i="22"/>
  <c r="P3154" i="22"/>
  <c r="Q3153" i="22"/>
  <c r="P3153" i="22"/>
  <c r="Q3152" i="22"/>
  <c r="P3152" i="22"/>
  <c r="Q3151" i="22"/>
  <c r="P3151" i="22"/>
  <c r="Q3150" i="22"/>
  <c r="P3150" i="22"/>
  <c r="Q3149" i="22"/>
  <c r="P3149" i="22"/>
  <c r="Q3148" i="22"/>
  <c r="P3148" i="22"/>
  <c r="Q3147" i="22"/>
  <c r="P3147" i="22"/>
  <c r="Q3146" i="22"/>
  <c r="P3146" i="22"/>
  <c r="Q3145" i="22"/>
  <c r="P3145" i="22"/>
  <c r="Q3144" i="22"/>
  <c r="P3144" i="22"/>
  <c r="Q3143" i="22"/>
  <c r="P3143" i="22"/>
  <c r="Q3142" i="22"/>
  <c r="P3142" i="22"/>
  <c r="Q3141" i="22"/>
  <c r="P3141" i="22"/>
  <c r="Q3140" i="22"/>
  <c r="P3140" i="22"/>
  <c r="Q3139" i="22"/>
  <c r="P3139" i="22"/>
  <c r="Q3138" i="22"/>
  <c r="P3138" i="22"/>
  <c r="Q3137" i="22"/>
  <c r="P3137" i="22"/>
  <c r="Q3136" i="22"/>
  <c r="P3136" i="22"/>
  <c r="Q3133" i="22"/>
  <c r="P3133" i="22"/>
  <c r="Q3132" i="22"/>
  <c r="P3132" i="22"/>
  <c r="Q3131" i="22"/>
  <c r="P3131" i="22"/>
  <c r="Q3130" i="22"/>
  <c r="P3130" i="22"/>
  <c r="Q3129" i="22"/>
  <c r="P3129" i="22"/>
  <c r="Q3128" i="22"/>
  <c r="P3128" i="22"/>
  <c r="Q3127" i="22"/>
  <c r="P3127" i="22"/>
  <c r="Q3126" i="22"/>
  <c r="P3126" i="22"/>
  <c r="Q3125" i="22"/>
  <c r="P3125" i="22"/>
  <c r="Q3124" i="22"/>
  <c r="P3124" i="22"/>
  <c r="Q3123" i="22"/>
  <c r="P3123" i="22"/>
  <c r="Q3122" i="22"/>
  <c r="P3122" i="22"/>
  <c r="Q3121" i="22"/>
  <c r="P3121" i="22"/>
  <c r="Q3120" i="22"/>
  <c r="P3120" i="22"/>
  <c r="Q3115" i="22"/>
  <c r="P3115" i="22"/>
  <c r="Q3110" i="22"/>
  <c r="P3110" i="22"/>
  <c r="Q3105" i="22"/>
  <c r="P3105" i="22"/>
  <c r="Q3100" i="22"/>
  <c r="P3100" i="22"/>
  <c r="Q3095" i="22"/>
  <c r="P3095" i="22"/>
  <c r="Q3090" i="22"/>
  <c r="P3090" i="22"/>
  <c r="Q3089" i="22"/>
  <c r="P3089" i="22"/>
  <c r="Q3088" i="22"/>
  <c r="P3088" i="22"/>
  <c r="Q3087" i="22"/>
  <c r="P3087" i="22"/>
  <c r="Q3086" i="22"/>
  <c r="P3086" i="22"/>
  <c r="Q3085" i="22"/>
  <c r="P3085" i="22"/>
  <c r="Q3084" i="22"/>
  <c r="P3084" i="22"/>
  <c r="Q3083" i="22"/>
  <c r="P3083" i="22"/>
  <c r="Q3082" i="22"/>
  <c r="P3082" i="22"/>
  <c r="Q3081" i="22"/>
  <c r="P3081" i="22"/>
  <c r="Q3080" i="22"/>
  <c r="P3080" i="22"/>
  <c r="Q3079" i="22"/>
  <c r="P3079" i="22"/>
  <c r="Q3078" i="22"/>
  <c r="P3078" i="22"/>
  <c r="Q3077" i="22"/>
  <c r="P3077" i="22"/>
  <c r="Q3076" i="22"/>
  <c r="P3076" i="22"/>
  <c r="Q3075" i="22"/>
  <c r="P3075" i="22"/>
  <c r="Q3074" i="22"/>
  <c r="P3074" i="22"/>
  <c r="Q3073" i="22"/>
  <c r="P3073" i="22"/>
  <c r="Q3072" i="22"/>
  <c r="P3072" i="22"/>
  <c r="Q3071" i="22"/>
  <c r="P3071" i="22"/>
  <c r="Q3068" i="22"/>
  <c r="P3068" i="22"/>
  <c r="Q3067" i="22"/>
  <c r="P3067" i="22"/>
  <c r="Q3066" i="22"/>
  <c r="P3066" i="22"/>
  <c r="Q3065" i="22"/>
  <c r="P3065" i="22"/>
  <c r="Q3064" i="22"/>
  <c r="P3064" i="22"/>
  <c r="Q3063" i="22"/>
  <c r="P3063" i="22"/>
  <c r="Q3062" i="22"/>
  <c r="P3062" i="22"/>
  <c r="Q3060" i="22"/>
  <c r="P3060" i="22"/>
  <c r="Q3058" i="22"/>
  <c r="P3058" i="22"/>
  <c r="Q3056" i="22"/>
  <c r="P3056" i="22"/>
  <c r="Q3055" i="22"/>
  <c r="P3055" i="22"/>
  <c r="Q3054" i="22"/>
  <c r="P3054" i="22"/>
  <c r="Q3053" i="22"/>
  <c r="P3053" i="22"/>
  <c r="Q3052" i="22"/>
  <c r="P3052" i="22"/>
  <c r="Q3051" i="22"/>
  <c r="P3051" i="22"/>
  <c r="Q3050" i="22"/>
  <c r="P3050" i="22"/>
  <c r="Q3047" i="22"/>
  <c r="P3047" i="22"/>
  <c r="Q3046" i="22"/>
  <c r="P3046" i="22"/>
  <c r="Q3045" i="22"/>
  <c r="P3045" i="22"/>
  <c r="Q3044" i="22"/>
  <c r="P3044" i="22"/>
  <c r="Q3043" i="22"/>
  <c r="P3043" i="22"/>
  <c r="Q3042" i="22"/>
  <c r="P3042" i="22"/>
  <c r="Q3041" i="22"/>
  <c r="P3041" i="22"/>
  <c r="Q3040" i="22"/>
  <c r="P3040" i="22"/>
  <c r="Q3039" i="22"/>
  <c r="P3039" i="22"/>
  <c r="Q3038" i="22"/>
  <c r="P3038" i="22"/>
  <c r="Q3037" i="22"/>
  <c r="P3037" i="22"/>
  <c r="Q3036" i="22"/>
  <c r="P3036" i="22"/>
  <c r="Q3035" i="22"/>
  <c r="P3035" i="22"/>
  <c r="Q3034" i="22"/>
  <c r="P3034" i="22"/>
  <c r="Q3033" i="22"/>
  <c r="P3033" i="22"/>
  <c r="Q3030" i="22"/>
  <c r="P3030" i="22"/>
  <c r="Q3029" i="22"/>
  <c r="P3029" i="22"/>
  <c r="Q3028" i="22"/>
  <c r="P3028" i="22"/>
  <c r="Q3027" i="22"/>
  <c r="P3027" i="22"/>
  <c r="Q3026" i="22"/>
  <c r="P3026" i="22"/>
  <c r="Q3025" i="22"/>
  <c r="P3025" i="22"/>
  <c r="Q3024" i="22"/>
  <c r="P3024" i="22"/>
  <c r="Q3023" i="22"/>
  <c r="P3023" i="22"/>
  <c r="Q3022" i="22"/>
  <c r="P3022" i="22"/>
  <c r="Q3021" i="22"/>
  <c r="P3021" i="22"/>
  <c r="Q3020" i="22"/>
  <c r="P3020" i="22"/>
  <c r="Q3019" i="22"/>
  <c r="P3019" i="22"/>
  <c r="Q3018" i="22"/>
  <c r="P3018" i="22"/>
  <c r="Q3017" i="22"/>
  <c r="P3017" i="22"/>
  <c r="Q3016" i="22"/>
  <c r="P3016" i="22"/>
  <c r="Q3015" i="22"/>
  <c r="P3015" i="22"/>
  <c r="Q3014" i="22"/>
  <c r="P3014" i="22"/>
  <c r="Q3011" i="22"/>
  <c r="P3011" i="22"/>
  <c r="Q3010" i="22"/>
  <c r="P3010" i="22"/>
  <c r="Q3009" i="22"/>
  <c r="P3009" i="22"/>
  <c r="Q3008" i="22"/>
  <c r="P3008" i="22"/>
  <c r="Q3007" i="22"/>
  <c r="P3007" i="22"/>
  <c r="Q3006" i="22"/>
  <c r="P3006" i="22"/>
  <c r="Q3005" i="22"/>
  <c r="P3005" i="22"/>
  <c r="Q3004" i="22"/>
  <c r="P3004" i="22"/>
  <c r="Q3003" i="22"/>
  <c r="P3003" i="22"/>
  <c r="Q3002" i="22"/>
  <c r="P3002" i="22"/>
  <c r="Q3001" i="22"/>
  <c r="P3001" i="22"/>
  <c r="Q3000" i="22"/>
  <c r="P3000" i="22"/>
  <c r="Q2999" i="22"/>
  <c r="P2999" i="22"/>
  <c r="Q2998" i="22"/>
  <c r="P2998" i="22"/>
  <c r="Q2997" i="22"/>
  <c r="P2997" i="22"/>
  <c r="Q2996" i="22"/>
  <c r="P2996" i="22"/>
  <c r="Q2995" i="22"/>
  <c r="P2995" i="22"/>
  <c r="Q2994" i="22"/>
  <c r="P2994" i="22"/>
  <c r="Q2993" i="22"/>
  <c r="P2993" i="22"/>
  <c r="Q2992" i="22"/>
  <c r="P2992" i="22"/>
  <c r="Q2991" i="22"/>
  <c r="P2991" i="22"/>
  <c r="Q2988" i="22"/>
  <c r="P2988" i="22"/>
  <c r="Q2985" i="22"/>
  <c r="P2985" i="22"/>
  <c r="Q2984" i="22"/>
  <c r="P2984" i="22"/>
  <c r="Q2983" i="22"/>
  <c r="P2983" i="22"/>
  <c r="Q2982" i="22"/>
  <c r="P2982" i="22"/>
  <c r="Q2981" i="22"/>
  <c r="P2981" i="22"/>
  <c r="Q2980" i="22"/>
  <c r="P2980" i="22"/>
  <c r="Q2979" i="22"/>
  <c r="P2979" i="22"/>
  <c r="Q2978" i="22"/>
  <c r="P2978" i="22"/>
  <c r="Q2977" i="22"/>
  <c r="P2977" i="22"/>
  <c r="Q2976" i="22"/>
  <c r="P2976" i="22"/>
  <c r="Q2975" i="22"/>
  <c r="P2975" i="22"/>
  <c r="Q2974" i="22"/>
  <c r="P2974" i="22"/>
  <c r="Q2973" i="22"/>
  <c r="P2973" i="22"/>
  <c r="Q2972" i="22"/>
  <c r="P2972" i="22"/>
  <c r="Q2969" i="22"/>
  <c r="P2969" i="22"/>
  <c r="Q2968" i="22"/>
  <c r="P2968" i="22"/>
  <c r="Q2967" i="22"/>
  <c r="P2967" i="22"/>
  <c r="Q2966" i="22"/>
  <c r="P2966" i="22"/>
  <c r="Q2965" i="22"/>
  <c r="P2965" i="22"/>
  <c r="Q2964" i="22"/>
  <c r="P2964" i="22"/>
  <c r="Q2963" i="22"/>
  <c r="P2963" i="22"/>
  <c r="Q2960" i="22"/>
  <c r="P2960" i="22"/>
  <c r="Q2959" i="22"/>
  <c r="P2959" i="22"/>
  <c r="Q2958" i="22"/>
  <c r="P2958" i="22"/>
  <c r="Q2957" i="22"/>
  <c r="P2957" i="22"/>
  <c r="Q2954" i="22"/>
  <c r="P2954" i="22"/>
  <c r="Q2953" i="22"/>
  <c r="P2953" i="22"/>
  <c r="Q2952" i="22"/>
  <c r="P2952" i="22"/>
  <c r="Q2951" i="22"/>
  <c r="P2951" i="22"/>
  <c r="Q2950" i="22"/>
  <c r="P2950" i="22"/>
  <c r="Q2949" i="22"/>
  <c r="P2949" i="22"/>
  <c r="Q2948" i="22"/>
  <c r="P2948" i="22"/>
  <c r="Q2947" i="22"/>
  <c r="P2947" i="22"/>
  <c r="Q2946" i="22"/>
  <c r="P2946" i="22"/>
  <c r="Q2945" i="22"/>
  <c r="P2945" i="22"/>
  <c r="Q2944" i="22"/>
  <c r="P2944" i="22"/>
  <c r="Q2943" i="22"/>
  <c r="P2943" i="22"/>
  <c r="Q2942" i="22"/>
  <c r="P2942" i="22"/>
  <c r="Q2941" i="22"/>
  <c r="P2941" i="22"/>
  <c r="Q2940" i="22"/>
  <c r="P2940" i="22"/>
  <c r="Q2939" i="22"/>
  <c r="P2939" i="22"/>
  <c r="Q2938" i="22"/>
  <c r="P2938" i="22"/>
  <c r="Q2937" i="22"/>
  <c r="P2937" i="22"/>
  <c r="Q2936" i="22"/>
  <c r="P2936" i="22"/>
  <c r="Q2935" i="22"/>
  <c r="P2935" i="22"/>
  <c r="Q2934" i="22"/>
  <c r="P2934" i="22"/>
  <c r="Q2933" i="22"/>
  <c r="P2933" i="22"/>
  <c r="Q2932" i="22"/>
  <c r="P2932" i="22"/>
  <c r="Q2931" i="22"/>
  <c r="P2931" i="22"/>
  <c r="Q2930" i="22"/>
  <c r="P2930" i="22"/>
  <c r="Q2929" i="22"/>
  <c r="P2929" i="22"/>
  <c r="Q2928" i="22"/>
  <c r="P2928" i="22"/>
  <c r="Q2925" i="22"/>
  <c r="P2925" i="22"/>
  <c r="Q2924" i="22"/>
  <c r="P2924" i="22"/>
  <c r="Q2923" i="22"/>
  <c r="P2923" i="22"/>
  <c r="Q2920" i="22"/>
  <c r="P2920" i="22"/>
  <c r="Q2919" i="22"/>
  <c r="P2919" i="22"/>
  <c r="Q2918" i="22"/>
  <c r="P2918" i="22"/>
  <c r="Q2917" i="22"/>
  <c r="P2917" i="22"/>
  <c r="Q2916" i="22"/>
  <c r="P2916" i="22"/>
  <c r="Q2915" i="22"/>
  <c r="P2915" i="22"/>
  <c r="Q2914" i="22"/>
  <c r="P2914" i="22"/>
  <c r="Q2913" i="22"/>
  <c r="P2913" i="22"/>
  <c r="Q2912" i="22"/>
  <c r="P2912" i="22"/>
  <c r="Q2911" i="22"/>
  <c r="P2911" i="22"/>
  <c r="Q2910" i="22"/>
  <c r="P2910" i="22"/>
  <c r="Q2909" i="22"/>
  <c r="P2909" i="22"/>
  <c r="Q2908" i="22"/>
  <c r="P2908" i="22"/>
  <c r="Q2907" i="22"/>
  <c r="P2907" i="22"/>
  <c r="Q2906" i="22"/>
  <c r="P2906" i="22"/>
  <c r="Q2905" i="22"/>
  <c r="P2905" i="22"/>
  <c r="Q2904" i="22"/>
  <c r="P2904" i="22"/>
  <c r="Q2903" i="22"/>
  <c r="P2903" i="22"/>
  <c r="Q2902" i="22"/>
  <c r="P2902" i="22"/>
  <c r="Q2901" i="22"/>
  <c r="P2901" i="22"/>
  <c r="Q2900" i="22"/>
  <c r="P2900" i="22"/>
  <c r="Q2899" i="22"/>
  <c r="P2899" i="22"/>
  <c r="Q2896" i="22"/>
  <c r="P2896" i="22"/>
  <c r="Q2895" i="22"/>
  <c r="P2895" i="22"/>
  <c r="Q2894" i="22"/>
  <c r="P2894" i="22"/>
  <c r="Q2893" i="22"/>
  <c r="P2893" i="22"/>
  <c r="Q2892" i="22"/>
  <c r="P2892" i="22"/>
  <c r="Q2891" i="22"/>
  <c r="P2891" i="22"/>
  <c r="Q2890" i="22"/>
  <c r="P2890" i="22"/>
  <c r="Q2889" i="22"/>
  <c r="P2889" i="22"/>
  <c r="Q2888" i="22"/>
  <c r="P2888" i="22"/>
  <c r="Q2887" i="22"/>
  <c r="P2887" i="22"/>
  <c r="Q2886" i="22"/>
  <c r="P2886" i="22"/>
  <c r="Q2885" i="22"/>
  <c r="P2885" i="22"/>
  <c r="Q2884" i="22"/>
  <c r="P2884" i="22"/>
  <c r="Q2883" i="22"/>
  <c r="P2883" i="22"/>
  <c r="Q2882" i="22"/>
  <c r="P2882" i="22"/>
  <c r="Q2881" i="22"/>
  <c r="P2881" i="22"/>
  <c r="Q2880" i="22"/>
  <c r="P2880" i="22"/>
  <c r="Q2879" i="22"/>
  <c r="P2879" i="22"/>
  <c r="Q2878" i="22"/>
  <c r="P2878" i="22"/>
  <c r="Q2877" i="22"/>
  <c r="P2877" i="22"/>
  <c r="Q2876" i="22"/>
  <c r="P2876" i="22"/>
  <c r="Q2873" i="22"/>
  <c r="P2873" i="22"/>
  <c r="Q2872" i="22"/>
  <c r="P2872" i="22"/>
  <c r="Q2871" i="22"/>
  <c r="P2871" i="22"/>
  <c r="Q2870" i="22"/>
  <c r="P2870" i="22"/>
  <c r="Q2869" i="22"/>
  <c r="P2869" i="22"/>
  <c r="Q2868" i="22"/>
  <c r="P2868" i="22"/>
  <c r="Q2867" i="22"/>
  <c r="P2867" i="22"/>
  <c r="Q2865" i="22"/>
  <c r="P2865" i="22"/>
  <c r="Q2863" i="22"/>
  <c r="P2863" i="22"/>
  <c r="Q2861" i="22"/>
  <c r="P2861" i="22"/>
  <c r="Q2860" i="22"/>
  <c r="P2860" i="22"/>
  <c r="Q2859" i="22"/>
  <c r="P2859" i="22"/>
  <c r="Q2858" i="22"/>
  <c r="P2858" i="22"/>
  <c r="Q2857" i="22"/>
  <c r="P2857" i="22"/>
  <c r="Q2856" i="22"/>
  <c r="P2856" i="22"/>
  <c r="Q2855" i="22"/>
  <c r="P2855" i="22"/>
  <c r="Q2854" i="22"/>
  <c r="P2854" i="22"/>
  <c r="Q2853" i="22"/>
  <c r="P2853" i="22"/>
  <c r="Q2852" i="22"/>
  <c r="P2852" i="22"/>
  <c r="Q2851" i="22"/>
  <c r="P2851" i="22"/>
  <c r="Q2850" i="22"/>
  <c r="P2850" i="22"/>
  <c r="Q2849" i="22"/>
  <c r="P2849" i="22"/>
  <c r="Q2848" i="22"/>
  <c r="P2848" i="22"/>
  <c r="Q2847" i="22"/>
  <c r="P2847" i="22"/>
  <c r="Q2846" i="22"/>
  <c r="P2846" i="22"/>
  <c r="Q2845" i="22"/>
  <c r="P2845" i="22"/>
  <c r="Q2844" i="22"/>
  <c r="P2844" i="22"/>
  <c r="Q2843" i="22"/>
  <c r="P2843" i="22"/>
  <c r="Q2842" i="22"/>
  <c r="P2842" i="22"/>
  <c r="Q2841" i="22"/>
  <c r="P2841" i="22"/>
  <c r="Q2840" i="22"/>
  <c r="P2840" i="22"/>
  <c r="Q2839" i="22"/>
  <c r="P2839" i="22"/>
  <c r="Q2838" i="22"/>
  <c r="P2838" i="22"/>
  <c r="Q2837" i="22"/>
  <c r="P2837" i="22"/>
  <c r="Q2836" i="22"/>
  <c r="P2836" i="22"/>
  <c r="Q2835" i="22"/>
  <c r="P2835" i="22"/>
  <c r="Q2834" i="22"/>
  <c r="P2834" i="22"/>
  <c r="Q2833" i="22"/>
  <c r="P2833" i="22"/>
  <c r="Q2832" i="22"/>
  <c r="P2832" i="22"/>
  <c r="Q2831" i="22"/>
  <c r="P2831" i="22"/>
  <c r="Q2830" i="22"/>
  <c r="P2830" i="22"/>
  <c r="Q2829" i="22"/>
  <c r="P2829" i="22"/>
  <c r="Q2828" i="22"/>
  <c r="P2828" i="22"/>
  <c r="Q2827" i="22"/>
  <c r="P2827" i="22"/>
  <c r="Q2826" i="22"/>
  <c r="P2826" i="22"/>
  <c r="Q2825" i="22"/>
  <c r="P2825" i="22"/>
  <c r="Q2822" i="22"/>
  <c r="P2822" i="22"/>
  <c r="Q2821" i="22"/>
  <c r="P2821" i="22"/>
  <c r="Q2820" i="22"/>
  <c r="P2820" i="22"/>
  <c r="Q2819" i="22"/>
  <c r="P2819" i="22"/>
  <c r="Q2818" i="22"/>
  <c r="P2818" i="22"/>
  <c r="Q2817" i="22"/>
  <c r="P2817" i="22"/>
  <c r="Q2816" i="22"/>
  <c r="P2816" i="22"/>
  <c r="Q2811" i="22"/>
  <c r="P2811" i="22"/>
  <c r="Q2806" i="22"/>
  <c r="P2806" i="22"/>
  <c r="Q2801" i="22"/>
  <c r="P2801" i="22"/>
  <c r="Q2796" i="22"/>
  <c r="P2796" i="22"/>
  <c r="Q2791" i="22"/>
  <c r="P2791" i="22"/>
  <c r="Q2786" i="22"/>
  <c r="P2786" i="22"/>
  <c r="Q2785" i="22"/>
  <c r="P2785" i="22"/>
  <c r="Q2784" i="22"/>
  <c r="P2784" i="22"/>
  <c r="Q2783" i="22"/>
  <c r="P2783" i="22"/>
  <c r="Q2782" i="22"/>
  <c r="P2782" i="22"/>
  <c r="Q2781" i="22"/>
  <c r="P2781" i="22"/>
  <c r="Q2780" i="22"/>
  <c r="P2780" i="22"/>
  <c r="Q2779" i="22"/>
  <c r="P2779" i="22"/>
  <c r="Q2778" i="22"/>
  <c r="P2778" i="22"/>
  <c r="Q2777" i="22"/>
  <c r="P2777" i="22"/>
  <c r="Q2776" i="22"/>
  <c r="P2776" i="22"/>
  <c r="Q2775" i="22"/>
  <c r="P2775" i="22"/>
  <c r="Q2774" i="22"/>
  <c r="P2774" i="22"/>
  <c r="Q2773" i="22"/>
  <c r="P2773" i="22"/>
  <c r="Q2772" i="22"/>
  <c r="P2772" i="22"/>
  <c r="Q2771" i="22"/>
  <c r="P2771" i="22"/>
  <c r="Q2770" i="22"/>
  <c r="P2770" i="22"/>
  <c r="Q2769" i="22"/>
  <c r="P2769" i="22"/>
  <c r="Q2768" i="22"/>
  <c r="P2768" i="22"/>
  <c r="Q2767" i="22"/>
  <c r="P2767" i="22"/>
  <c r="Q2764" i="22"/>
  <c r="P2764" i="22"/>
  <c r="Q2763" i="22"/>
  <c r="P2763" i="22"/>
  <c r="Q2762" i="22"/>
  <c r="P2762" i="22"/>
  <c r="Q2761" i="22"/>
  <c r="P2761" i="22"/>
  <c r="Q2760" i="22"/>
  <c r="P2760" i="22"/>
  <c r="Q2759" i="22"/>
  <c r="P2759" i="22"/>
  <c r="Q2758" i="22"/>
  <c r="P2758" i="22"/>
  <c r="Q2756" i="22"/>
  <c r="P2756" i="22"/>
  <c r="Q2754" i="22"/>
  <c r="P2754" i="22"/>
  <c r="Q2752" i="22"/>
  <c r="P2752" i="22"/>
  <c r="Q2751" i="22"/>
  <c r="P2751" i="22"/>
  <c r="Q2750" i="22"/>
  <c r="P2750" i="22"/>
  <c r="Q2749" i="22"/>
  <c r="P2749" i="22"/>
  <c r="Q2748" i="22"/>
  <c r="P2748" i="22"/>
  <c r="Q2745" i="22"/>
  <c r="P2745" i="22"/>
  <c r="Q2744" i="22"/>
  <c r="P2744" i="22"/>
  <c r="Q2743" i="22"/>
  <c r="P2743" i="22"/>
  <c r="Q2742" i="22"/>
  <c r="P2742" i="22"/>
  <c r="Q2741" i="22"/>
  <c r="P2741" i="22"/>
  <c r="Q2740" i="22"/>
  <c r="P2740" i="22"/>
  <c r="Q2739" i="22"/>
  <c r="P2739" i="22"/>
  <c r="Q2738" i="22"/>
  <c r="P2738" i="22"/>
  <c r="Q2737" i="22"/>
  <c r="P2737" i="22"/>
  <c r="Q2736" i="22"/>
  <c r="P2736" i="22"/>
  <c r="Q2735" i="22"/>
  <c r="P2735" i="22"/>
  <c r="Q2734" i="22"/>
  <c r="P2734" i="22"/>
  <c r="Q2733" i="22"/>
  <c r="P2733" i="22"/>
  <c r="Q2732" i="22"/>
  <c r="P2732" i="22"/>
  <c r="Q2731" i="22"/>
  <c r="P2731" i="22"/>
  <c r="Q2730" i="22"/>
  <c r="P2730" i="22"/>
  <c r="Q2729" i="22"/>
  <c r="P2729" i="22"/>
  <c r="Q2726" i="22"/>
  <c r="P2726" i="22"/>
  <c r="Q2725" i="22"/>
  <c r="P2725" i="22"/>
  <c r="Q2724" i="22"/>
  <c r="P2724" i="22"/>
  <c r="Q2723" i="22"/>
  <c r="P2723" i="22"/>
  <c r="Q2722" i="22"/>
  <c r="P2722" i="22"/>
  <c r="Q2721" i="22"/>
  <c r="P2721" i="22"/>
  <c r="Q2720" i="22"/>
  <c r="P2720" i="22"/>
  <c r="Q2719" i="22"/>
  <c r="P2719" i="22"/>
  <c r="Q2718" i="22"/>
  <c r="P2718" i="22"/>
  <c r="Q2717" i="22"/>
  <c r="P2717" i="22"/>
  <c r="Q2714" i="22"/>
  <c r="P2714" i="22"/>
  <c r="Q2713" i="22"/>
  <c r="P2713" i="22"/>
  <c r="Q2712" i="22"/>
  <c r="P2712" i="22"/>
  <c r="Q2711" i="22"/>
  <c r="P2711" i="22"/>
  <c r="Q2710" i="22"/>
  <c r="P2710" i="22"/>
  <c r="Q2709" i="22"/>
  <c r="P2709" i="22"/>
  <c r="Q2708" i="22"/>
  <c r="P2708" i="22"/>
  <c r="Q2707" i="22"/>
  <c r="P2707" i="22"/>
  <c r="Q2706" i="22"/>
  <c r="P2706" i="22"/>
  <c r="Q2705" i="22"/>
  <c r="P2705" i="22"/>
  <c r="Q2704" i="22"/>
  <c r="P2704" i="22"/>
  <c r="Q2703" i="22"/>
  <c r="P2703" i="22"/>
  <c r="Q2702" i="22"/>
  <c r="P2702" i="22"/>
  <c r="Q2701" i="22"/>
  <c r="P2701" i="22"/>
  <c r="Q2700" i="22"/>
  <c r="P2700" i="22"/>
  <c r="Q2699" i="22"/>
  <c r="P2699" i="22"/>
  <c r="Q2696" i="22"/>
  <c r="P2696" i="22"/>
  <c r="Q2695" i="22"/>
  <c r="P2695" i="22"/>
  <c r="Q2694" i="22"/>
  <c r="P2694" i="22"/>
  <c r="Q2693" i="22"/>
  <c r="P2693" i="22"/>
  <c r="Q2692" i="22"/>
  <c r="P2692" i="22"/>
  <c r="Q2691" i="22"/>
  <c r="P2691" i="22"/>
  <c r="Q2690" i="22"/>
  <c r="P2690" i="22"/>
  <c r="Q2689" i="22"/>
  <c r="P2689" i="22"/>
  <c r="Q2688" i="22"/>
  <c r="P2688" i="22"/>
  <c r="Q2687" i="22"/>
  <c r="P2687" i="22"/>
  <c r="Q2686" i="22"/>
  <c r="P2686" i="22"/>
  <c r="Q2685" i="22"/>
  <c r="P2685" i="22"/>
  <c r="Q2684" i="22"/>
  <c r="P2684" i="22"/>
  <c r="Q2683" i="22"/>
  <c r="P2683" i="22"/>
  <c r="Q2682" i="22"/>
  <c r="P2682" i="22"/>
  <c r="Q2681" i="22"/>
  <c r="P2681" i="22"/>
  <c r="Q2680" i="22"/>
  <c r="P2680" i="22"/>
  <c r="Q2679" i="22"/>
  <c r="P2679" i="22"/>
  <c r="Q2678" i="22"/>
  <c r="P2678" i="22"/>
  <c r="Q2677" i="22"/>
  <c r="P2677" i="22"/>
  <c r="Q2676" i="22"/>
  <c r="P2676" i="22"/>
  <c r="Q2675" i="22"/>
  <c r="P2675" i="22"/>
  <c r="Q2674" i="22"/>
  <c r="P2674" i="22"/>
  <c r="Q2673" i="22"/>
  <c r="P2673" i="22"/>
  <c r="Q2668" i="22"/>
  <c r="P2668" i="22"/>
  <c r="Q2663" i="22"/>
  <c r="P2663" i="22"/>
  <c r="Q2658" i="22"/>
  <c r="P2658" i="22"/>
  <c r="Q2653" i="22"/>
  <c r="P2653" i="22"/>
  <c r="Q2648" i="22"/>
  <c r="P2648" i="22"/>
  <c r="Q2643" i="22"/>
  <c r="P2643" i="22"/>
  <c r="Q2642" i="22"/>
  <c r="P2642" i="22"/>
  <c r="Q2641" i="22"/>
  <c r="P2641" i="22"/>
  <c r="Q2640" i="22"/>
  <c r="P2640" i="22"/>
  <c r="Q2639" i="22"/>
  <c r="P2639" i="22"/>
  <c r="Q2638" i="22"/>
  <c r="P2638" i="22"/>
  <c r="Q2637" i="22"/>
  <c r="P2637" i="22"/>
  <c r="Q2636" i="22"/>
  <c r="P2636" i="22"/>
  <c r="Q2635" i="22"/>
  <c r="P2635" i="22"/>
  <c r="Q2634" i="22"/>
  <c r="P2634" i="22"/>
  <c r="Q2633" i="22"/>
  <c r="P2633" i="22"/>
  <c r="Q2632" i="22"/>
  <c r="P2632" i="22"/>
  <c r="Q2631" i="22"/>
  <c r="P2631" i="22"/>
  <c r="Q2630" i="22"/>
  <c r="P2630" i="22"/>
  <c r="Q2629" i="22"/>
  <c r="P2629" i="22"/>
  <c r="Q2626" i="22"/>
  <c r="P2626" i="22"/>
  <c r="Q2625" i="22"/>
  <c r="P2625" i="22"/>
  <c r="Q2624" i="22"/>
  <c r="P2624" i="22"/>
  <c r="Q2623" i="22"/>
  <c r="P2623" i="22"/>
  <c r="Q2622" i="22"/>
  <c r="P2622" i="22"/>
  <c r="Q2621" i="22"/>
  <c r="P2621" i="22"/>
  <c r="Q2620" i="22"/>
  <c r="P2620" i="22"/>
  <c r="Q2618" i="22"/>
  <c r="P2618" i="22"/>
  <c r="Q2616" i="22"/>
  <c r="P2616" i="22"/>
  <c r="Q2614" i="22"/>
  <c r="P2614" i="22"/>
  <c r="Q2613" i="22"/>
  <c r="P2613" i="22"/>
  <c r="Q2612" i="22"/>
  <c r="P2612" i="22"/>
  <c r="Q2611" i="22"/>
  <c r="P2611" i="22"/>
  <c r="Q2608" i="22"/>
  <c r="P2608" i="22"/>
  <c r="Q2607" i="22"/>
  <c r="P2607" i="22"/>
  <c r="Q2606" i="22"/>
  <c r="P2606" i="22"/>
  <c r="Q2605" i="22"/>
  <c r="P2605" i="22"/>
  <c r="Q2604" i="22"/>
  <c r="P2604" i="22"/>
  <c r="Q2603" i="22"/>
  <c r="P2603" i="22"/>
  <c r="Q2602" i="22"/>
  <c r="P2602" i="22"/>
  <c r="Q2601" i="22"/>
  <c r="P2601" i="22"/>
  <c r="Q2600" i="22"/>
  <c r="P2600" i="22"/>
  <c r="Q2599" i="22"/>
  <c r="P2599" i="22"/>
  <c r="Q2598" i="22"/>
  <c r="P2598" i="22"/>
  <c r="Q2597" i="22"/>
  <c r="P2597" i="22"/>
  <c r="Q2596" i="22"/>
  <c r="P2596" i="22"/>
  <c r="Q2595" i="22"/>
  <c r="P2595" i="22"/>
  <c r="Q2594" i="22"/>
  <c r="P2594" i="22"/>
  <c r="Q2593" i="22"/>
  <c r="P2593" i="22"/>
  <c r="Q2592" i="22"/>
  <c r="P2592" i="22"/>
  <c r="Q2591" i="22"/>
  <c r="P2591" i="22"/>
  <c r="Q2588" i="22"/>
  <c r="P2588" i="22"/>
  <c r="Q2587" i="22"/>
  <c r="P2587" i="22"/>
  <c r="Q2586" i="22"/>
  <c r="P2586" i="22"/>
  <c r="Q2585" i="22"/>
  <c r="P2585" i="22"/>
  <c r="Q2584" i="22"/>
  <c r="P2584" i="22"/>
  <c r="Q2583" i="22"/>
  <c r="P2583" i="22"/>
  <c r="Q2582" i="22"/>
  <c r="P2582" i="22"/>
  <c r="Q2580" i="22"/>
  <c r="P2580" i="22"/>
  <c r="Q2578" i="22"/>
  <c r="P2578" i="22"/>
  <c r="Q2576" i="22"/>
  <c r="P2576" i="22"/>
  <c r="Q2575" i="22"/>
  <c r="P2575" i="22"/>
  <c r="Q2574" i="22"/>
  <c r="P2574" i="22"/>
  <c r="Q2573" i="22"/>
  <c r="P2573" i="22"/>
  <c r="Q2572" i="22"/>
  <c r="P2572" i="22"/>
  <c r="Q2571" i="22"/>
  <c r="P2571" i="22"/>
  <c r="Q2570" i="22"/>
  <c r="P2570" i="22"/>
  <c r="Q2569" i="22"/>
  <c r="P2569" i="22"/>
  <c r="Q2568" i="22"/>
  <c r="P2568" i="22"/>
  <c r="Q2567" i="22"/>
  <c r="P2567" i="22"/>
  <c r="Q2566" i="22"/>
  <c r="P2566" i="22"/>
  <c r="Q2565" i="22"/>
  <c r="P2565" i="22"/>
  <c r="Q2564" i="22"/>
  <c r="P2564" i="22"/>
  <c r="Q2555" i="22"/>
  <c r="P2555" i="22"/>
  <c r="Q2554" i="22"/>
  <c r="P2554" i="22"/>
  <c r="Q2553" i="22"/>
  <c r="P2553" i="22"/>
  <c r="Q2552" i="22"/>
  <c r="P2552" i="22"/>
  <c r="Q2551" i="22"/>
  <c r="P2551" i="22"/>
  <c r="Q2550" i="22"/>
  <c r="P2550" i="22"/>
  <c r="Q2549" i="22"/>
  <c r="P2549" i="22"/>
  <c r="Q2548" i="22"/>
  <c r="P2548" i="22"/>
  <c r="Q2547" i="22"/>
  <c r="P2547" i="22"/>
  <c r="Q2546" i="22"/>
  <c r="P2546" i="22"/>
  <c r="Q2545" i="22"/>
  <c r="P2545" i="22"/>
  <c r="Q2544" i="22"/>
  <c r="P2544" i="22"/>
  <c r="Q2542" i="22"/>
  <c r="P2542" i="22"/>
  <c r="Q2540" i="22"/>
  <c r="P2540" i="22"/>
  <c r="Q2539" i="22"/>
  <c r="P2539" i="22"/>
  <c r="Q2538" i="22"/>
  <c r="P2538" i="22"/>
  <c r="Q2537" i="22"/>
  <c r="P2537" i="22"/>
  <c r="Q2536" i="22"/>
  <c r="P2536" i="22"/>
  <c r="Q2535" i="22"/>
  <c r="P2535" i="22"/>
  <c r="Q2534" i="22"/>
  <c r="P2534" i="22"/>
  <c r="Q2533" i="22"/>
  <c r="P2533" i="22"/>
  <c r="Q2532" i="22"/>
  <c r="P2532" i="22"/>
  <c r="Q2531" i="22"/>
  <c r="P2531" i="22"/>
  <c r="Q2530" i="22"/>
  <c r="P2530" i="22"/>
  <c r="Q2529" i="22"/>
  <c r="P2529" i="22"/>
  <c r="Q2528" i="22"/>
  <c r="P2528" i="22"/>
  <c r="Q2527" i="22"/>
  <c r="P2527" i="22"/>
  <c r="Q2526" i="22"/>
  <c r="P2526" i="22"/>
  <c r="Q2525" i="22"/>
  <c r="P2525" i="22"/>
  <c r="Q2524" i="22"/>
  <c r="P2524" i="22"/>
  <c r="Q2523" i="22"/>
  <c r="P2523" i="22"/>
  <c r="Q2522" i="22"/>
  <c r="P2522" i="22"/>
  <c r="Q2521" i="22"/>
  <c r="P2521" i="22"/>
  <c r="Q2520" i="22"/>
  <c r="P2520" i="22"/>
  <c r="Q2519" i="22"/>
  <c r="P2519" i="22"/>
  <c r="Q2518" i="22"/>
  <c r="P2518" i="22"/>
  <c r="Q2517" i="22"/>
  <c r="P2517" i="22"/>
  <c r="Q2516" i="22"/>
  <c r="P2516" i="22"/>
  <c r="Q2515" i="22"/>
  <c r="P2515" i="22"/>
  <c r="Q2514" i="22"/>
  <c r="P2514" i="22"/>
  <c r="Q2513" i="22"/>
  <c r="P2513" i="22"/>
  <c r="Q2512" i="22"/>
  <c r="P2512" i="22"/>
  <c r="Q2511" i="22"/>
  <c r="P2511" i="22"/>
  <c r="Q2510" i="22"/>
  <c r="P2510" i="22"/>
  <c r="Q2509" i="22"/>
  <c r="P2509" i="22"/>
  <c r="Q2506" i="22"/>
  <c r="P2506" i="22"/>
  <c r="Q2505" i="22"/>
  <c r="P2505" i="22"/>
  <c r="Q2502" i="22"/>
  <c r="P2502" i="22"/>
  <c r="Q2501" i="22"/>
  <c r="P2501" i="22"/>
  <c r="Q2498" i="22"/>
  <c r="P2498" i="22"/>
  <c r="Q2497" i="22"/>
  <c r="P2497" i="22"/>
  <c r="Q2496" i="22"/>
  <c r="P2496" i="22"/>
  <c r="Q2495" i="22"/>
  <c r="P2495" i="22"/>
  <c r="Q2494" i="22"/>
  <c r="P2494" i="22"/>
  <c r="Q2493" i="22"/>
  <c r="P2493" i="22"/>
  <c r="Q2492" i="22"/>
  <c r="P2492" i="22"/>
  <c r="Q2491" i="22"/>
  <c r="P2491" i="22"/>
  <c r="Q2490" i="22"/>
  <c r="P2490" i="22"/>
  <c r="Q2489" i="22"/>
  <c r="P2489" i="22"/>
  <c r="Q2488" i="22"/>
  <c r="P2488" i="22"/>
  <c r="Q2487" i="22"/>
  <c r="P2487" i="22"/>
  <c r="Q2486" i="22"/>
  <c r="P2486" i="22"/>
  <c r="Q2485" i="22"/>
  <c r="P2485" i="22"/>
  <c r="Q2484" i="22"/>
  <c r="P2484" i="22"/>
  <c r="Q2481" i="22"/>
  <c r="P2481" i="22"/>
  <c r="Q2480" i="22"/>
  <c r="P2480" i="22"/>
  <c r="Q2479" i="22"/>
  <c r="P2479" i="22"/>
  <c r="Q2478" i="22"/>
  <c r="P2478" i="22"/>
  <c r="Q2477" i="22"/>
  <c r="P2477" i="22"/>
  <c r="Q2476" i="22"/>
  <c r="P2476" i="22"/>
  <c r="Q2475" i="22"/>
  <c r="P2475" i="22"/>
  <c r="Q2474" i="22"/>
  <c r="P2474" i="22"/>
  <c r="Q2473" i="22"/>
  <c r="P2473" i="22"/>
  <c r="Q2472" i="22"/>
  <c r="P2472" i="22"/>
  <c r="Q2471" i="22"/>
  <c r="P2471" i="22"/>
  <c r="Q2470" i="22"/>
  <c r="P2470" i="22"/>
  <c r="Q2469" i="22"/>
  <c r="P2469" i="22"/>
  <c r="Q2468" i="22"/>
  <c r="P2468" i="22"/>
  <c r="Q2467" i="22"/>
  <c r="P2467" i="22"/>
  <c r="Q2466" i="22"/>
  <c r="P2466" i="22"/>
  <c r="Q2465" i="22"/>
  <c r="P2465" i="22"/>
  <c r="Q2464" i="22"/>
  <c r="P2464" i="22"/>
  <c r="Q2463" i="22"/>
  <c r="P2463" i="22"/>
  <c r="Q2462" i="22"/>
  <c r="P2462" i="22"/>
  <c r="Q2461" i="22"/>
  <c r="P2461" i="22"/>
  <c r="Q2458" i="22"/>
  <c r="P2458" i="22"/>
  <c r="Q2457" i="22"/>
  <c r="P2457" i="22"/>
  <c r="Q2454" i="22"/>
  <c r="P2454" i="22"/>
  <c r="Q2453" i="22"/>
  <c r="P2453" i="22"/>
  <c r="Q2452" i="22"/>
  <c r="P2452" i="22"/>
  <c r="Q2451" i="22"/>
  <c r="P2451" i="22"/>
  <c r="Q2450" i="22"/>
  <c r="P2450" i="22"/>
  <c r="Q2449" i="22"/>
  <c r="P2449" i="22"/>
  <c r="Q2448" i="22"/>
  <c r="P2448" i="22"/>
  <c r="Q2447" i="22"/>
  <c r="P2447" i="22"/>
  <c r="Q2446" i="22"/>
  <c r="P2446" i="22"/>
  <c r="Q2445" i="22"/>
  <c r="P2445" i="22"/>
  <c r="Q2444" i="22"/>
  <c r="P2444" i="22"/>
  <c r="Q2443" i="22"/>
  <c r="P2443" i="22"/>
  <c r="Q2442" i="22"/>
  <c r="P2442" i="22"/>
  <c r="Q2441" i="22"/>
  <c r="P2441" i="22"/>
  <c r="Q2440" i="22"/>
  <c r="P2440" i="22"/>
  <c r="Q2439" i="22"/>
  <c r="P2439" i="22"/>
  <c r="Q2438" i="22"/>
  <c r="P2438" i="22"/>
  <c r="Q2437" i="22"/>
  <c r="P2437" i="22"/>
  <c r="Q2436" i="22"/>
  <c r="P2436" i="22"/>
  <c r="Q2435" i="22"/>
  <c r="P2435" i="22"/>
  <c r="Q2434" i="22"/>
  <c r="P2434" i="22"/>
  <c r="Q2433" i="22"/>
  <c r="P2433" i="22"/>
  <c r="Q2432" i="22"/>
  <c r="P2432" i="22"/>
  <c r="Q2431" i="22"/>
  <c r="P2431" i="22"/>
  <c r="Q2430" i="22"/>
  <c r="P2430" i="22"/>
  <c r="Q2429" i="22"/>
  <c r="P2429" i="22"/>
  <c r="Q2428" i="22"/>
  <c r="P2428" i="22"/>
  <c r="Q2427" i="22"/>
  <c r="P2427" i="22"/>
  <c r="Q2426" i="22"/>
  <c r="P2426" i="22"/>
  <c r="Q2425" i="22"/>
  <c r="P2425" i="22"/>
  <c r="Q2424" i="22"/>
  <c r="P2424" i="22"/>
  <c r="Q2423" i="22"/>
  <c r="P2423" i="22"/>
  <c r="Q2420" i="22"/>
  <c r="P2420" i="22"/>
  <c r="Q2419" i="22"/>
  <c r="P2419" i="22"/>
  <c r="Q2418" i="22"/>
  <c r="P2418" i="22"/>
  <c r="Q2417" i="22"/>
  <c r="P2417" i="22"/>
  <c r="Q2416" i="22"/>
  <c r="P2416" i="22"/>
  <c r="Q2415" i="22"/>
  <c r="P2415" i="22"/>
  <c r="Q2414" i="22"/>
  <c r="P2414" i="22"/>
  <c r="Q2413" i="22"/>
  <c r="P2413" i="22"/>
  <c r="Q2412" i="22"/>
  <c r="P2412" i="22"/>
  <c r="Q2411" i="22"/>
  <c r="P2411" i="22"/>
  <c r="Q2410" i="22"/>
  <c r="P2410" i="22"/>
  <c r="Q2409" i="22"/>
  <c r="P2409" i="22"/>
  <c r="Q2408" i="22"/>
  <c r="P2408" i="22"/>
  <c r="Q2407" i="22"/>
  <c r="P2407" i="22"/>
  <c r="Q2406" i="22"/>
  <c r="P2406" i="22"/>
  <c r="Q2405" i="22"/>
  <c r="P2405" i="22"/>
  <c r="Q2404" i="22"/>
  <c r="P2404" i="22"/>
  <c r="Q2402" i="22"/>
  <c r="P2402" i="22"/>
  <c r="Q2400" i="22"/>
  <c r="P2400" i="22"/>
  <c r="Q2398" i="22"/>
  <c r="P2398" i="22"/>
  <c r="Q2397" i="22"/>
  <c r="P2397" i="22"/>
  <c r="Q2396" i="22"/>
  <c r="P2396" i="22"/>
  <c r="Q2395" i="22"/>
  <c r="P2395" i="22"/>
  <c r="Q2393" i="22"/>
  <c r="P2393" i="22"/>
  <c r="Q2392" i="22"/>
  <c r="P2392" i="22"/>
  <c r="Q2391" i="22"/>
  <c r="P2391" i="22"/>
  <c r="Q2390" i="22"/>
  <c r="P2390" i="22"/>
  <c r="Q2389" i="22"/>
  <c r="P2389" i="22"/>
  <c r="Q2388" i="22"/>
  <c r="P2388" i="22"/>
  <c r="Q2387" i="22"/>
  <c r="P2387" i="22"/>
  <c r="Q2386" i="22"/>
  <c r="P2386" i="22"/>
  <c r="Q2385" i="22"/>
  <c r="P2385" i="22"/>
  <c r="Q2384" i="22"/>
  <c r="P2384" i="22"/>
  <c r="Q2381" i="22"/>
  <c r="P2381" i="22"/>
  <c r="Q2380" i="22"/>
  <c r="P2380" i="22"/>
  <c r="Q2377" i="22"/>
  <c r="P2377" i="22"/>
  <c r="Q2376" i="22"/>
  <c r="P2376" i="22"/>
  <c r="Q2373" i="22"/>
  <c r="P2373" i="22"/>
  <c r="Q2372" i="22"/>
  <c r="P2372" i="22"/>
  <c r="Q2371" i="22"/>
  <c r="P2371" i="22"/>
  <c r="Q2370" i="22"/>
  <c r="P2370" i="22"/>
  <c r="Q2369" i="22"/>
  <c r="P2369" i="22"/>
  <c r="Q2368" i="22"/>
  <c r="P2368" i="22"/>
  <c r="Q2367" i="22"/>
  <c r="P2367" i="22"/>
  <c r="Q2366" i="22"/>
  <c r="P2366" i="22"/>
  <c r="Q2365" i="22"/>
  <c r="P2365" i="22"/>
  <c r="Q2364" i="22"/>
  <c r="P2364" i="22"/>
  <c r="Q2363" i="22"/>
  <c r="P2363" i="22"/>
  <c r="Q2362" i="22"/>
  <c r="P2362" i="22"/>
  <c r="Q2361" i="22"/>
  <c r="P2361" i="22"/>
  <c r="Q2360" i="22"/>
  <c r="P2360" i="22"/>
  <c r="Q2359" i="22"/>
  <c r="P2359" i="22"/>
  <c r="Q2358" i="22"/>
  <c r="P2358" i="22"/>
  <c r="Q2357" i="22"/>
  <c r="P2357" i="22"/>
  <c r="Q2352" i="22"/>
  <c r="P2352" i="22"/>
  <c r="Q2347" i="22"/>
  <c r="P2347" i="22"/>
  <c r="Q2342" i="22"/>
  <c r="P2342" i="22"/>
  <c r="Q2337" i="22"/>
  <c r="P2337" i="22"/>
  <c r="Q2332" i="22"/>
  <c r="P2332" i="22"/>
  <c r="Q2327" i="22"/>
  <c r="P2327" i="22"/>
  <c r="Q2326" i="22"/>
  <c r="P2326" i="22"/>
  <c r="Q2325" i="22"/>
  <c r="P2325" i="22"/>
  <c r="Q2324" i="22"/>
  <c r="P2324" i="22"/>
  <c r="Q2323" i="22"/>
  <c r="P2323" i="22"/>
  <c r="Q2322" i="22"/>
  <c r="P2322" i="22"/>
  <c r="Q2321" i="22"/>
  <c r="P2321" i="22"/>
  <c r="Q2320" i="22"/>
  <c r="P2320" i="22"/>
  <c r="Q2319" i="22"/>
  <c r="P2319" i="22"/>
  <c r="Q2318" i="22"/>
  <c r="P2318" i="22"/>
  <c r="Q2317" i="22"/>
  <c r="P2317" i="22"/>
  <c r="Q2316" i="22"/>
  <c r="P2316" i="22"/>
  <c r="Q2315" i="22"/>
  <c r="P2315" i="22"/>
  <c r="Q2314" i="22"/>
  <c r="P2314" i="22"/>
  <c r="Q2313" i="22"/>
  <c r="P2313" i="22"/>
  <c r="Q2312" i="22"/>
  <c r="P2312" i="22"/>
  <c r="Q2311" i="22"/>
  <c r="P2311" i="22"/>
  <c r="Q2310" i="22"/>
  <c r="P2310" i="22"/>
  <c r="Q2309" i="22"/>
  <c r="P2309" i="22"/>
  <c r="Q2308" i="22"/>
  <c r="P2308" i="22"/>
  <c r="Q2307" i="22"/>
  <c r="P2307" i="22"/>
  <c r="Q2304" i="22"/>
  <c r="P2304" i="22"/>
  <c r="Q2303" i="22"/>
  <c r="P2303" i="22"/>
  <c r="Q2302" i="22"/>
  <c r="P2302" i="22"/>
  <c r="Q2301" i="22"/>
  <c r="P2301" i="22"/>
  <c r="Q2300" i="22"/>
  <c r="P2300" i="22"/>
  <c r="Q2299" i="22"/>
  <c r="P2299" i="22"/>
  <c r="Q2298" i="22"/>
  <c r="P2298" i="22"/>
  <c r="Q2296" i="22"/>
  <c r="P2296" i="22"/>
  <c r="Q2294" i="22"/>
  <c r="P2294" i="22"/>
  <c r="Q2292" i="22"/>
  <c r="P2292" i="22"/>
  <c r="Q2291" i="22"/>
  <c r="P2291" i="22"/>
  <c r="Q2290" i="22"/>
  <c r="P2290" i="22"/>
  <c r="Q2289" i="22"/>
  <c r="P2289" i="22"/>
  <c r="Q2288" i="22"/>
  <c r="P2288" i="22"/>
  <c r="Q2287" i="22"/>
  <c r="P2287" i="22"/>
  <c r="Q2285" i="22"/>
  <c r="P2285" i="22"/>
  <c r="Q2284" i="22"/>
  <c r="P2284" i="22"/>
  <c r="Q2283" i="22"/>
  <c r="P2283" i="22"/>
  <c r="Q2282" i="22"/>
  <c r="P2282" i="22"/>
  <c r="Q2281" i="22"/>
  <c r="P2281" i="22"/>
  <c r="Q2280" i="22"/>
  <c r="P2280" i="22"/>
  <c r="Q2279" i="22"/>
  <c r="P2279" i="22"/>
  <c r="Q2278" i="22"/>
  <c r="P2278" i="22"/>
  <c r="Q2277" i="22"/>
  <c r="P2277" i="22"/>
  <c r="Q2276" i="22"/>
  <c r="P2276" i="22"/>
  <c r="Q2275" i="22"/>
  <c r="P2275" i="22"/>
  <c r="Q2274" i="22"/>
  <c r="P2274" i="22"/>
  <c r="Q2273" i="22"/>
  <c r="P2273" i="22"/>
  <c r="Q2272" i="22"/>
  <c r="P2272" i="22"/>
  <c r="Q2271" i="22"/>
  <c r="P2271" i="22"/>
  <c r="Q2270" i="22"/>
  <c r="P2270" i="22"/>
  <c r="Q2269" i="22"/>
  <c r="P2269" i="22"/>
  <c r="Q2266" i="22"/>
  <c r="P2266" i="22"/>
  <c r="Q2265" i="22"/>
  <c r="P2265" i="22"/>
  <c r="Q2264" i="22"/>
  <c r="P2264" i="22"/>
  <c r="Q2263" i="22"/>
  <c r="P2263" i="22"/>
  <c r="Q2262" i="22"/>
  <c r="P2262" i="22"/>
  <c r="Q2261" i="22"/>
  <c r="P2261" i="22"/>
  <c r="Q2260" i="22"/>
  <c r="P2260" i="22"/>
  <c r="Q2259" i="22"/>
  <c r="P2259" i="22"/>
  <c r="Q2258" i="22"/>
  <c r="P2258" i="22"/>
  <c r="Q2257" i="22"/>
  <c r="P2257" i="22"/>
  <c r="Q2256" i="22"/>
  <c r="P2256" i="22"/>
  <c r="Q2255" i="22"/>
  <c r="P2255" i="22"/>
  <c r="Q2254" i="22"/>
  <c r="P2254" i="22"/>
  <c r="Q2253" i="22"/>
  <c r="P2253" i="22"/>
  <c r="Q2252" i="22"/>
  <c r="P2252" i="22"/>
  <c r="Q2251" i="22"/>
  <c r="P2251" i="22"/>
  <c r="Q2250" i="22"/>
  <c r="P2250" i="22"/>
  <c r="Q2249" i="22"/>
  <c r="P2249" i="22"/>
  <c r="Q2248" i="22"/>
  <c r="P2248" i="22"/>
  <c r="Q2247" i="22"/>
  <c r="P2247" i="22"/>
  <c r="Q2246" i="22"/>
  <c r="P2246" i="22"/>
  <c r="Q2245" i="22"/>
  <c r="P2245" i="22"/>
  <c r="Q2244" i="22"/>
  <c r="P2244" i="22"/>
  <c r="Q2243" i="22"/>
  <c r="P2243" i="22"/>
  <c r="Q2242" i="22"/>
  <c r="P2242" i="22"/>
  <c r="Q2241" i="22"/>
  <c r="P2241" i="22"/>
  <c r="Q2240" i="22"/>
  <c r="P2240" i="22"/>
  <c r="Q2239" i="22"/>
  <c r="P2239" i="22"/>
  <c r="Q2238" i="22"/>
  <c r="P2238" i="22"/>
  <c r="Q2237" i="22"/>
  <c r="P2237" i="22"/>
  <c r="Q2236" i="22"/>
  <c r="P2236" i="22"/>
  <c r="Q2235" i="22"/>
  <c r="P2235" i="22"/>
  <c r="Q2234" i="22"/>
  <c r="P2234" i="22"/>
  <c r="Q2233" i="22"/>
  <c r="P2233" i="22"/>
  <c r="Q2232" i="22"/>
  <c r="P2232" i="22"/>
  <c r="Q2231" i="22"/>
  <c r="P2231" i="22"/>
  <c r="Q2230" i="22"/>
  <c r="P2230" i="22"/>
  <c r="Q2229" i="22"/>
  <c r="P2229" i="22"/>
  <c r="Q2228" i="22"/>
  <c r="P2228" i="22"/>
  <c r="Q2227" i="22"/>
  <c r="P2227" i="22"/>
  <c r="Q2226" i="22"/>
  <c r="P2226" i="22"/>
  <c r="Q2225" i="22"/>
  <c r="P2225" i="22"/>
  <c r="Q2224" i="22"/>
  <c r="P2224" i="22"/>
  <c r="Q2223" i="22"/>
  <c r="P2223" i="22"/>
  <c r="Q2222" i="22"/>
  <c r="P2222" i="22"/>
  <c r="Q2221" i="22"/>
  <c r="P2221" i="22"/>
  <c r="Q2220" i="22"/>
  <c r="P2220" i="22"/>
  <c r="Q2219" i="22"/>
  <c r="P2219" i="22"/>
  <c r="Q2218" i="22"/>
  <c r="P2218" i="22"/>
  <c r="Q2217" i="22"/>
  <c r="P2217" i="22"/>
  <c r="Q2216" i="22"/>
  <c r="P2216" i="22"/>
  <c r="Q2215" i="22"/>
  <c r="P2215" i="22"/>
  <c r="Q2214" i="22"/>
  <c r="P2214" i="22"/>
  <c r="Q2213" i="22"/>
  <c r="P2213" i="22"/>
  <c r="Q2212" i="22"/>
  <c r="P2212" i="22"/>
  <c r="Q2211" i="22"/>
  <c r="P2211" i="22"/>
  <c r="Q2210" i="22"/>
  <c r="P2210" i="22"/>
  <c r="Q2209" i="22"/>
  <c r="P2209" i="22"/>
  <c r="Q2208" i="22"/>
  <c r="P2208" i="22"/>
  <c r="Q2207" i="22"/>
  <c r="P2207" i="22"/>
  <c r="Q2206" i="22"/>
  <c r="P2206" i="22"/>
  <c r="Q2205" i="22"/>
  <c r="P2205" i="22"/>
  <c r="Q2204" i="22"/>
  <c r="P2204" i="22"/>
  <c r="Q2203" i="22"/>
  <c r="P2203" i="22"/>
  <c r="Q2202" i="22"/>
  <c r="P2202" i="22"/>
  <c r="Q2201" i="22"/>
  <c r="P2201" i="22"/>
  <c r="Q2200" i="22"/>
  <c r="P2200" i="22"/>
  <c r="Q2199" i="22"/>
  <c r="P2199" i="22"/>
  <c r="Q2198" i="22"/>
  <c r="P2198" i="22"/>
  <c r="Q2197" i="22"/>
  <c r="P2197" i="22"/>
  <c r="Q2196" i="22"/>
  <c r="P2196" i="22"/>
  <c r="Q2195" i="22"/>
  <c r="P2195" i="22"/>
  <c r="Q2194" i="22"/>
  <c r="P2194" i="22"/>
  <c r="Q2193" i="22"/>
  <c r="P2193" i="22"/>
  <c r="Q2192" i="22"/>
  <c r="P2192" i="22"/>
  <c r="Q2191" i="22"/>
  <c r="P2191" i="22"/>
  <c r="Q2190" i="22"/>
  <c r="P2190" i="22"/>
  <c r="Q2189" i="22"/>
  <c r="P2189" i="22"/>
  <c r="Q2188" i="22"/>
  <c r="P2188" i="22"/>
  <c r="Q2187" i="22"/>
  <c r="P2187" i="22"/>
  <c r="Q2186" i="22"/>
  <c r="P2186" i="22"/>
  <c r="Q2185" i="22"/>
  <c r="P2185" i="22"/>
  <c r="Q2184" i="22"/>
  <c r="P2184" i="22"/>
  <c r="Q2183" i="22"/>
  <c r="P2183" i="22"/>
  <c r="Q2182" i="22"/>
  <c r="P2182" i="22"/>
  <c r="Q2181" i="22"/>
  <c r="P2181" i="22"/>
  <c r="Q2180" i="22"/>
  <c r="P2180" i="22"/>
  <c r="Q2179" i="22"/>
  <c r="P2179" i="22"/>
  <c r="Q2177" i="22"/>
  <c r="P2177" i="22"/>
  <c r="Q2175" i="22"/>
  <c r="P2175" i="22"/>
  <c r="Q2173" i="22"/>
  <c r="P2173" i="22"/>
  <c r="Q2172" i="22"/>
  <c r="P2172" i="22"/>
  <c r="Q2171" i="22"/>
  <c r="P2171" i="22"/>
  <c r="Q2170" i="22"/>
  <c r="P2170" i="22"/>
  <c r="Q2169" i="22"/>
  <c r="P2169" i="22"/>
  <c r="Q2168" i="22"/>
  <c r="P2168" i="22"/>
  <c r="Q2167" i="22"/>
  <c r="P2167" i="22"/>
  <c r="Q2166" i="22"/>
  <c r="P2166" i="22"/>
  <c r="Q2165" i="22"/>
  <c r="P2165" i="22"/>
  <c r="Q2164" i="22"/>
  <c r="P2164" i="22"/>
  <c r="Q2163" i="22"/>
  <c r="P2163" i="22"/>
  <c r="Q2162" i="22"/>
  <c r="P2162" i="22"/>
  <c r="Q2161" i="22"/>
  <c r="P2161" i="22"/>
  <c r="Q2160" i="22"/>
  <c r="P2160" i="22"/>
  <c r="Q2159" i="22"/>
  <c r="P2159" i="22"/>
  <c r="Q2158" i="22"/>
  <c r="P2158" i="22"/>
  <c r="Q2157" i="22"/>
  <c r="P2157" i="22"/>
  <c r="Q2156" i="22"/>
  <c r="P2156" i="22"/>
  <c r="Q2155" i="22"/>
  <c r="P2155" i="22"/>
  <c r="Q2154" i="22"/>
  <c r="P2154" i="22"/>
  <c r="Q2153" i="22"/>
  <c r="P2153" i="22"/>
  <c r="Q2152" i="22"/>
  <c r="P2152" i="22"/>
  <c r="Q2151" i="22"/>
  <c r="P2151" i="22"/>
  <c r="Q2148" i="22"/>
  <c r="P2148" i="22"/>
  <c r="Q2147" i="22"/>
  <c r="P2147" i="22"/>
  <c r="Q2146" i="22"/>
  <c r="P2146" i="22"/>
  <c r="Q2145" i="22"/>
  <c r="P2145" i="22"/>
  <c r="Q2144" i="22"/>
  <c r="P2144" i="22"/>
  <c r="Q2143" i="22"/>
  <c r="P2143" i="22"/>
  <c r="Q2142" i="22"/>
  <c r="P2142" i="22"/>
  <c r="Q2141" i="22"/>
  <c r="P2141" i="22"/>
  <c r="Q2140" i="22"/>
  <c r="P2140" i="22"/>
  <c r="Q2139" i="22"/>
  <c r="P2139" i="22"/>
  <c r="Q2138" i="22"/>
  <c r="P2138" i="22"/>
  <c r="Q2137" i="22"/>
  <c r="P2137" i="22"/>
  <c r="Q2136" i="22"/>
  <c r="P2136" i="22"/>
  <c r="Q2135" i="22"/>
  <c r="P2135" i="22"/>
  <c r="Q2134" i="22"/>
  <c r="P2134" i="22"/>
  <c r="Q2133" i="22"/>
  <c r="P2133" i="22"/>
  <c r="Q2132" i="22"/>
  <c r="P2132" i="22"/>
  <c r="Q2131" i="22"/>
  <c r="P2131" i="22"/>
  <c r="Q2130" i="22"/>
  <c r="P2130" i="22"/>
  <c r="Q2129" i="22"/>
  <c r="P2129" i="22"/>
  <c r="Q2128" i="22"/>
  <c r="P2128" i="22"/>
  <c r="Q2127" i="22"/>
  <c r="P2127" i="22"/>
  <c r="Q2126" i="22"/>
  <c r="P2126" i="22"/>
  <c r="Q2125" i="22"/>
  <c r="P2125" i="22"/>
  <c r="Q2124" i="22"/>
  <c r="P2124" i="22"/>
  <c r="Q2123" i="22"/>
  <c r="P2123" i="22"/>
  <c r="Q2122" i="22"/>
  <c r="P2122" i="22"/>
  <c r="Q2121" i="22"/>
  <c r="P2121" i="22"/>
  <c r="Q2120" i="22"/>
  <c r="P2120" i="22"/>
  <c r="Q2119" i="22"/>
  <c r="P2119" i="22"/>
  <c r="Q2118" i="22"/>
  <c r="P2118" i="22"/>
  <c r="Q2117" i="22"/>
  <c r="P2117" i="22"/>
  <c r="Q2116" i="22"/>
  <c r="P2116" i="22"/>
  <c r="Q2115" i="22"/>
  <c r="P2115" i="22"/>
  <c r="Q2114" i="22"/>
  <c r="P2114" i="22"/>
  <c r="Q2113" i="22"/>
  <c r="P2113" i="22"/>
  <c r="Q2112" i="22"/>
  <c r="P2112" i="22"/>
  <c r="Q2111" i="22"/>
  <c r="P2111" i="22"/>
  <c r="Q2110" i="22"/>
  <c r="P2110" i="22"/>
  <c r="Q2109" i="22"/>
  <c r="P2109" i="22"/>
  <c r="Q2108" i="22"/>
  <c r="P2108" i="22"/>
  <c r="Q2107" i="22"/>
  <c r="P2107" i="22"/>
  <c r="Q2106" i="22"/>
  <c r="P2106" i="22"/>
  <c r="Q2105" i="22"/>
  <c r="P2105" i="22"/>
  <c r="Q2104" i="22"/>
  <c r="P2104" i="22"/>
  <c r="Q2103" i="22"/>
  <c r="P2103" i="22"/>
  <c r="Q2100" i="22"/>
  <c r="P2100" i="22"/>
  <c r="Q2099" i="22"/>
  <c r="P2099" i="22"/>
  <c r="Q2096" i="22"/>
  <c r="P2096" i="22"/>
  <c r="Q2095" i="22"/>
  <c r="P2095" i="22"/>
  <c r="Q2094" i="22"/>
  <c r="P2094" i="22"/>
  <c r="Q2093" i="22"/>
  <c r="P2093" i="22"/>
  <c r="Q2090" i="22"/>
  <c r="P2090" i="22"/>
  <c r="Q2089" i="22"/>
  <c r="P2089" i="22"/>
  <c r="Q2088" i="22"/>
  <c r="P2088" i="22"/>
  <c r="Q2085" i="22"/>
  <c r="P2085" i="22"/>
  <c r="Q2084" i="22"/>
  <c r="P2084" i="22"/>
  <c r="Q2083" i="22"/>
  <c r="P2083" i="22"/>
  <c r="Q2082" i="22"/>
  <c r="P2082" i="22"/>
  <c r="Q2081" i="22"/>
  <c r="P2081" i="22"/>
  <c r="Q2080" i="22"/>
  <c r="P2080" i="22"/>
  <c r="Q2079" i="22"/>
  <c r="P2079" i="22"/>
  <c r="Q2078" i="22"/>
  <c r="P2078" i="22"/>
  <c r="Q2077" i="22"/>
  <c r="P2077" i="22"/>
  <c r="Q2074" i="22"/>
  <c r="P2074" i="22"/>
  <c r="Q2065" i="22"/>
  <c r="P2065" i="22"/>
  <c r="Q2064" i="22"/>
  <c r="P2064" i="22"/>
  <c r="Q2063" i="22"/>
  <c r="P2063" i="22"/>
  <c r="Q2062" i="22"/>
  <c r="P2062" i="22"/>
  <c r="Q2059" i="22"/>
  <c r="P2059" i="22"/>
  <c r="Q2058" i="22"/>
  <c r="P2058" i="22"/>
  <c r="Q2057" i="22"/>
  <c r="P2057" i="22"/>
  <c r="Q2056" i="22"/>
  <c r="P2056" i="22"/>
  <c r="Q2055" i="22"/>
  <c r="P2055" i="22"/>
  <c r="Q2054" i="22"/>
  <c r="P2054" i="22"/>
  <c r="Q2053" i="22"/>
  <c r="P2053" i="22"/>
  <c r="Q2052" i="22"/>
  <c r="P2052" i="22"/>
  <c r="Q2051" i="22"/>
  <c r="P2051" i="22"/>
  <c r="Q2050" i="22"/>
  <c r="P2050" i="22"/>
  <c r="Q2049" i="22"/>
  <c r="P2049" i="22"/>
  <c r="Q2048" i="22"/>
  <c r="P2048" i="22"/>
  <c r="Q2047" i="22"/>
  <c r="P2047" i="22"/>
  <c r="Q2046" i="22"/>
  <c r="P2046" i="22"/>
  <c r="Q2045" i="22"/>
  <c r="P2045" i="22"/>
  <c r="Q2044" i="22"/>
  <c r="P2044" i="22"/>
  <c r="Q2043" i="22"/>
  <c r="P2043" i="22"/>
  <c r="Q2042" i="22"/>
  <c r="P2042" i="22"/>
  <c r="Q2041" i="22"/>
  <c r="P2041" i="22"/>
  <c r="Q2040" i="22"/>
  <c r="P2040" i="22"/>
  <c r="Q2039" i="22"/>
  <c r="P2039" i="22"/>
  <c r="Q2038" i="22"/>
  <c r="P2038" i="22"/>
  <c r="Q2037" i="22"/>
  <c r="P2037" i="22"/>
  <c r="Q2036" i="22"/>
  <c r="P2036" i="22"/>
  <c r="Q2035" i="22"/>
  <c r="P2035" i="22"/>
  <c r="Q2034" i="22"/>
  <c r="P2034" i="22"/>
  <c r="Q2033" i="22"/>
  <c r="P2033" i="22"/>
  <c r="Q2032" i="22"/>
  <c r="P2032" i="22"/>
  <c r="Q2031" i="22"/>
  <c r="P2031" i="22"/>
  <c r="Q2030" i="22"/>
  <c r="P2030" i="22"/>
  <c r="Q2027" i="22"/>
  <c r="P2027" i="22"/>
  <c r="Q2026" i="22"/>
  <c r="P2026" i="22"/>
  <c r="Q2025" i="22"/>
  <c r="P2025" i="22"/>
  <c r="Q2024" i="22"/>
  <c r="P2024" i="22"/>
  <c r="Q2021" i="22"/>
  <c r="P2021" i="22"/>
  <c r="Q2020" i="22"/>
  <c r="P2020" i="22"/>
  <c r="Q2019" i="22"/>
  <c r="P2019" i="22"/>
  <c r="Q2018" i="22"/>
  <c r="P2018" i="22"/>
  <c r="Q2017" i="22"/>
  <c r="P2017" i="22"/>
  <c r="Q2016" i="22"/>
  <c r="P2016" i="22"/>
  <c r="Q2015" i="22"/>
  <c r="P2015" i="22"/>
  <c r="Q2014" i="22"/>
  <c r="P2014" i="22"/>
  <c r="Q2013" i="22"/>
  <c r="P2013" i="22"/>
  <c r="Q2012" i="22"/>
  <c r="P2012" i="22"/>
  <c r="Q2011" i="22"/>
  <c r="P2011" i="22"/>
  <c r="Q2010" i="22"/>
  <c r="P2010" i="22"/>
  <c r="Q2007" i="22"/>
  <c r="P2007" i="22"/>
  <c r="Q2006" i="22"/>
  <c r="P2006" i="22"/>
  <c r="Q2005" i="22"/>
  <c r="P2005" i="22"/>
  <c r="Q2004" i="22"/>
  <c r="P2004" i="22"/>
  <c r="Q2003" i="22"/>
  <c r="P2003" i="22"/>
  <c r="Q2002" i="22"/>
  <c r="P2002" i="22"/>
  <c r="Q2001" i="22"/>
  <c r="P2001" i="22"/>
  <c r="Q2000" i="22"/>
  <c r="P2000" i="22"/>
  <c r="Q1999" i="22"/>
  <c r="P1999" i="22"/>
  <c r="Q1998" i="22"/>
  <c r="P1998" i="22"/>
  <c r="Q1997" i="22"/>
  <c r="P1997" i="22"/>
  <c r="Q1996" i="22"/>
  <c r="P1996" i="22"/>
  <c r="Q1995" i="22"/>
  <c r="P1995" i="22"/>
  <c r="Q1994" i="22"/>
  <c r="P1994" i="22"/>
  <c r="Q1993" i="22"/>
  <c r="P1993" i="22"/>
  <c r="Q1992" i="22"/>
  <c r="P1992" i="22"/>
  <c r="Q1991" i="22"/>
  <c r="P1991" i="22"/>
  <c r="Q1990" i="22"/>
  <c r="P1990" i="22"/>
  <c r="Q1989" i="22"/>
  <c r="P1989" i="22"/>
  <c r="Q1988" i="22"/>
  <c r="P1988" i="22"/>
  <c r="Q1987" i="22"/>
  <c r="P1987" i="22"/>
  <c r="Q1986" i="22"/>
  <c r="P1986" i="22"/>
  <c r="Q1985" i="22"/>
  <c r="P1985" i="22"/>
  <c r="Q1984" i="22"/>
  <c r="P1984" i="22"/>
  <c r="Q1981" i="22"/>
  <c r="P1981" i="22"/>
  <c r="Q1980" i="22"/>
  <c r="P1980" i="22"/>
  <c r="Q1979" i="22"/>
  <c r="P1979" i="22"/>
  <c r="Q1978" i="22"/>
  <c r="P1978" i="22"/>
  <c r="Q1977" i="22"/>
  <c r="P1977" i="22"/>
  <c r="Q1976" i="22"/>
  <c r="P1976" i="22"/>
  <c r="Q1975" i="22"/>
  <c r="P1975" i="22"/>
  <c r="Q1974" i="22"/>
  <c r="P1974" i="22"/>
  <c r="Q1973" i="22"/>
  <c r="P1973" i="22"/>
  <c r="Q1972" i="22"/>
  <c r="P1972" i="22"/>
  <c r="Q1971" i="22"/>
  <c r="P1971" i="22"/>
  <c r="Q1970" i="22"/>
  <c r="P1970" i="22"/>
  <c r="Q1967" i="22"/>
  <c r="P1967" i="22"/>
  <c r="Q1966" i="22"/>
  <c r="P1966" i="22"/>
  <c r="Q1965" i="22"/>
  <c r="P1965" i="22"/>
  <c r="Q1964" i="22"/>
  <c r="P1964" i="22"/>
  <c r="Q1963" i="22"/>
  <c r="P1963" i="22"/>
  <c r="Q1962" i="22"/>
  <c r="P1962" i="22"/>
  <c r="Q1961" i="22"/>
  <c r="P1961" i="22"/>
  <c r="Q1960" i="22"/>
  <c r="P1960" i="22"/>
  <c r="Q1959" i="22"/>
  <c r="P1959" i="22"/>
  <c r="Q1958" i="22"/>
  <c r="P1958" i="22"/>
  <c r="Q1957" i="22"/>
  <c r="P1957" i="22"/>
  <c r="Q1956" i="22"/>
  <c r="P1956" i="22"/>
  <c r="Q1953" i="22"/>
  <c r="P1953" i="22"/>
  <c r="Q1952" i="22"/>
  <c r="P1952" i="22"/>
  <c r="Q1951" i="22"/>
  <c r="P1951" i="22"/>
  <c r="Q1950" i="22"/>
  <c r="P1950" i="22"/>
  <c r="Q1949" i="22"/>
  <c r="P1949" i="22"/>
  <c r="Q1946" i="22"/>
  <c r="P1946" i="22"/>
  <c r="Q1945" i="22"/>
  <c r="P1945" i="22"/>
  <c r="Q1944" i="22"/>
  <c r="P1944" i="22"/>
  <c r="Q1941" i="22"/>
  <c r="P1941" i="22"/>
  <c r="Q1940" i="22"/>
  <c r="P1940" i="22"/>
  <c r="Q1939" i="22"/>
  <c r="P1939" i="22"/>
  <c r="Q1938" i="22"/>
  <c r="P1938" i="22"/>
  <c r="Q1937" i="22"/>
  <c r="P1937" i="22"/>
  <c r="Q1936" i="22"/>
  <c r="P1936" i="22"/>
  <c r="Q1935" i="22"/>
  <c r="P1935" i="22"/>
  <c r="Q1934" i="22"/>
  <c r="P1934" i="22"/>
  <c r="Q1933" i="22"/>
  <c r="P1933" i="22"/>
  <c r="Q1932" i="22"/>
  <c r="P1932" i="22"/>
  <c r="Q1931" i="22"/>
  <c r="P1931" i="22"/>
  <c r="Q1930" i="22"/>
  <c r="P1930" i="22"/>
  <c r="Q1929" i="22"/>
  <c r="P1929" i="22"/>
  <c r="Q1928" i="22"/>
  <c r="P1928" i="22"/>
  <c r="Q1927" i="22"/>
  <c r="P1927" i="22"/>
  <c r="Q1926" i="22"/>
  <c r="P1926" i="22"/>
  <c r="Q1925" i="22"/>
  <c r="P1925" i="22"/>
  <c r="Q1924" i="22"/>
  <c r="P1924" i="22"/>
  <c r="Q1923" i="22"/>
  <c r="P1923" i="22"/>
  <c r="Q1922" i="22"/>
  <c r="P1922" i="22"/>
  <c r="Q1919" i="22"/>
  <c r="P1919" i="22"/>
  <c r="Q1918" i="22"/>
  <c r="P1918" i="22"/>
  <c r="Q1917" i="22"/>
  <c r="P1917" i="22"/>
  <c r="Q1916" i="22"/>
  <c r="P1916" i="22"/>
  <c r="Q1915" i="22"/>
  <c r="P1915" i="22"/>
  <c r="Q1914" i="22"/>
  <c r="P1914" i="22"/>
  <c r="Q1913" i="22"/>
  <c r="P1913" i="22"/>
  <c r="Q1912" i="22"/>
  <c r="P1912" i="22"/>
  <c r="Q1911" i="22"/>
  <c r="P1911" i="22"/>
  <c r="Q1910" i="22"/>
  <c r="P1910" i="22"/>
  <c r="Q1909" i="22"/>
  <c r="P1909" i="22"/>
  <c r="Q1908" i="22"/>
  <c r="P1908" i="22"/>
  <c r="Q1907" i="22"/>
  <c r="P1907" i="22"/>
  <c r="Q1906" i="22"/>
  <c r="P1906" i="22"/>
  <c r="Q1905" i="22"/>
  <c r="P1905" i="22"/>
  <c r="Q1904" i="22"/>
  <c r="P1904" i="22"/>
  <c r="Q1901" i="22"/>
  <c r="P1901" i="22"/>
  <c r="Q1900" i="22"/>
  <c r="P1900" i="22"/>
  <c r="Q1899" i="22"/>
  <c r="P1899" i="22"/>
  <c r="Q1898" i="22"/>
  <c r="P1898" i="22"/>
  <c r="Q1897" i="22"/>
  <c r="P1897" i="22"/>
  <c r="Q1896" i="22"/>
  <c r="P1896" i="22"/>
  <c r="Q1895" i="22"/>
  <c r="P1895" i="22"/>
  <c r="Q1894" i="22"/>
  <c r="P1894" i="22"/>
  <c r="Q1893" i="22"/>
  <c r="P1893" i="22"/>
  <c r="Q1892" i="22"/>
  <c r="P1892" i="22"/>
  <c r="Q1891" i="22"/>
  <c r="P1891" i="22"/>
  <c r="Q1890" i="22"/>
  <c r="P1890" i="22"/>
  <c r="Q1889" i="22"/>
  <c r="P1889" i="22"/>
  <c r="Q1888" i="22"/>
  <c r="P1888" i="22"/>
  <c r="Q1887" i="22"/>
  <c r="P1887" i="22"/>
  <c r="Q1886" i="22"/>
  <c r="P1886" i="22"/>
  <c r="Q1885" i="22"/>
  <c r="P1885" i="22"/>
  <c r="Q1884" i="22"/>
  <c r="P1884" i="22"/>
  <c r="Q1883" i="22"/>
  <c r="P1883" i="22"/>
  <c r="Q1880" i="22"/>
  <c r="P1880" i="22"/>
  <c r="Q1879" i="22"/>
  <c r="P1879" i="22"/>
  <c r="Q1878" i="22"/>
  <c r="P1878" i="22"/>
  <c r="Q1877" i="22"/>
  <c r="P1877" i="22"/>
  <c r="Q1876" i="22"/>
  <c r="P1876" i="22"/>
  <c r="Q1875" i="22"/>
  <c r="P1875" i="22"/>
  <c r="Q1874" i="22"/>
  <c r="P1874" i="22"/>
  <c r="Q1873" i="22"/>
  <c r="P1873" i="22"/>
  <c r="Q1872" i="22"/>
  <c r="P1872" i="22"/>
  <c r="Q1871" i="22"/>
  <c r="P1871" i="22"/>
  <c r="Q1870" i="22"/>
  <c r="P1870" i="22"/>
  <c r="Q1869" i="22"/>
  <c r="P1869" i="22"/>
  <c r="Q1868" i="22"/>
  <c r="P1868" i="22"/>
  <c r="Q1867" i="22"/>
  <c r="P1867" i="22"/>
  <c r="Q1866" i="22"/>
  <c r="P1866" i="22"/>
  <c r="Q1865" i="22"/>
  <c r="P1865" i="22"/>
  <c r="Q1864" i="22"/>
  <c r="P1864" i="22"/>
  <c r="Q1863" i="22"/>
  <c r="P1863" i="22"/>
  <c r="Q1862" i="22"/>
  <c r="P1862" i="22"/>
  <c r="Q1861" i="22"/>
  <c r="P1861" i="22"/>
  <c r="Q1860" i="22"/>
  <c r="P1860" i="22"/>
  <c r="Q1859" i="22"/>
  <c r="P1859" i="22"/>
  <c r="Q1858" i="22"/>
  <c r="P1858" i="22"/>
  <c r="Q1857" i="22"/>
  <c r="P1857" i="22"/>
  <c r="Q1856" i="22"/>
  <c r="P1856" i="22"/>
  <c r="Q1855" i="22"/>
  <c r="P1855" i="22"/>
  <c r="Q1854" i="22"/>
  <c r="P1854" i="22"/>
  <c r="Q1853" i="22"/>
  <c r="P1853" i="22"/>
  <c r="Q1852" i="22"/>
  <c r="P1852" i="22"/>
  <c r="Q1849" i="22"/>
  <c r="P1849" i="22"/>
  <c r="Q1848" i="22"/>
  <c r="P1848" i="22"/>
  <c r="Q1847" i="22"/>
  <c r="P1847" i="22"/>
  <c r="Q1846" i="22"/>
  <c r="P1846" i="22"/>
  <c r="Q1845" i="22"/>
  <c r="P1845" i="22"/>
  <c r="Q1844" i="22"/>
  <c r="P1844" i="22"/>
  <c r="Q1843" i="22"/>
  <c r="P1843" i="22"/>
  <c r="Q1842" i="22"/>
  <c r="P1842" i="22"/>
  <c r="Q1841" i="22"/>
  <c r="P1841" i="22"/>
  <c r="Q1838" i="22"/>
  <c r="P1838" i="22"/>
  <c r="Q1837" i="22"/>
  <c r="P1837" i="22"/>
  <c r="Q1836" i="22"/>
  <c r="P1836" i="22"/>
  <c r="Q1835" i="22"/>
  <c r="P1835" i="22"/>
  <c r="Q1834" i="22"/>
  <c r="P1834" i="22"/>
  <c r="Q1833" i="22"/>
  <c r="P1833" i="22"/>
  <c r="Q1832" i="22"/>
  <c r="P1832" i="22"/>
  <c r="Q1831" i="22"/>
  <c r="P1831" i="22"/>
  <c r="Q1830" i="22"/>
  <c r="P1830" i="22"/>
  <c r="Q1829" i="22"/>
  <c r="P1829" i="22"/>
  <c r="Q1828" i="22"/>
  <c r="P1828" i="22"/>
  <c r="Q1827" i="22"/>
  <c r="P1827" i="22"/>
  <c r="Q1826" i="22"/>
  <c r="P1826" i="22"/>
  <c r="Q1825" i="22"/>
  <c r="P1825" i="22"/>
  <c r="Q1824" i="22"/>
  <c r="P1824" i="22"/>
  <c r="Q1823" i="22"/>
  <c r="P1823" i="22"/>
  <c r="Q1822" i="22"/>
  <c r="P1822" i="22"/>
  <c r="Q1821" i="22"/>
  <c r="P1821" i="22"/>
  <c r="Q1820" i="22"/>
  <c r="P1820" i="22"/>
  <c r="Q1819" i="22"/>
  <c r="P1819" i="22"/>
  <c r="Q1818" i="22"/>
  <c r="P1818" i="22"/>
  <c r="Q1817" i="22"/>
  <c r="P1817" i="22"/>
  <c r="Q1816" i="22"/>
  <c r="P1816" i="22"/>
  <c r="Q1815" i="22"/>
  <c r="P1815" i="22"/>
  <c r="Q1814" i="22"/>
  <c r="P1814" i="22"/>
  <c r="Q1813" i="22"/>
  <c r="P1813" i="22"/>
  <c r="Q1812" i="22"/>
  <c r="P1812" i="22"/>
  <c r="Q1811" i="22"/>
  <c r="P1811" i="22"/>
  <c r="Q1809" i="22"/>
  <c r="P1809" i="22"/>
  <c r="Q1808" i="22"/>
  <c r="P1808" i="22"/>
  <c r="Q1806" i="22"/>
  <c r="P1806" i="22"/>
  <c r="Q1804" i="22"/>
  <c r="P1804" i="22"/>
  <c r="Q1803" i="22"/>
  <c r="P1803" i="22"/>
  <c r="Q1802" i="22"/>
  <c r="P1802" i="22"/>
  <c r="Q1801" i="22"/>
  <c r="P1801" i="22"/>
  <c r="Q1798" i="22"/>
  <c r="P1798" i="22"/>
  <c r="Q1797" i="22"/>
  <c r="P1797" i="22"/>
  <c r="Q1796" i="22"/>
  <c r="P1796" i="22"/>
  <c r="Q1795" i="22"/>
  <c r="P1795" i="22"/>
  <c r="Q1794" i="22"/>
  <c r="P1794" i="22"/>
  <c r="Q1793" i="22"/>
  <c r="P1793" i="22"/>
  <c r="Q1792" i="22"/>
  <c r="P1792" i="22"/>
  <c r="Q1791" i="22"/>
  <c r="P1791" i="22"/>
  <c r="Q1790" i="22"/>
  <c r="P1790" i="22"/>
  <c r="Q1789" i="22"/>
  <c r="P1789" i="22"/>
  <c r="Q1788" i="22"/>
  <c r="P1788" i="22"/>
  <c r="Q1787" i="22"/>
  <c r="P1787" i="22"/>
  <c r="Q1786" i="22"/>
  <c r="P1786" i="22"/>
  <c r="Q1785" i="22"/>
  <c r="P1785" i="22"/>
  <c r="Q1784" i="22"/>
  <c r="P1784" i="22"/>
  <c r="Q1783" i="22"/>
  <c r="P1783" i="22"/>
  <c r="Q1782" i="22"/>
  <c r="P1782" i="22"/>
  <c r="Q1781" i="22"/>
  <c r="P1781" i="22"/>
  <c r="Q1780" i="22"/>
  <c r="P1780" i="22"/>
  <c r="Q1779" i="22"/>
  <c r="P1779" i="22"/>
  <c r="Q1778" i="22"/>
  <c r="P1778" i="22"/>
  <c r="Q1777" i="22"/>
  <c r="P1777" i="22"/>
  <c r="Q1776" i="22"/>
  <c r="P1776" i="22"/>
  <c r="Q1775" i="22"/>
  <c r="P1775" i="22"/>
  <c r="Q1774" i="22"/>
  <c r="P1774" i="22"/>
  <c r="Q1773" i="22"/>
  <c r="P1773" i="22"/>
  <c r="Q1772" i="22"/>
  <c r="P1772" i="22"/>
  <c r="Q1771" i="22"/>
  <c r="P1771" i="22"/>
  <c r="Q1770" i="22"/>
  <c r="P1770" i="22"/>
  <c r="Q1769" i="22"/>
  <c r="P1769" i="22"/>
  <c r="Q1768" i="22"/>
  <c r="P1768" i="22"/>
  <c r="Q1767" i="22"/>
  <c r="P1767" i="22"/>
  <c r="Q1766" i="22"/>
  <c r="P1766" i="22"/>
  <c r="Q1765" i="22"/>
  <c r="P1765" i="22"/>
  <c r="Q1764" i="22"/>
  <c r="P1764" i="22"/>
  <c r="Q1763" i="22"/>
  <c r="P1763" i="22"/>
  <c r="Q1762" i="22"/>
  <c r="P1762" i="22"/>
  <c r="Q1761" i="22"/>
  <c r="P1761" i="22"/>
  <c r="Q1760" i="22"/>
  <c r="P1760" i="22"/>
  <c r="Q1759" i="22"/>
  <c r="P1759" i="22"/>
  <c r="Q1758" i="22"/>
  <c r="P1758" i="22"/>
  <c r="Q1757" i="22"/>
  <c r="P1757" i="22"/>
  <c r="Q1756" i="22"/>
  <c r="P1756" i="22"/>
  <c r="Q1755" i="22"/>
  <c r="P1755" i="22"/>
  <c r="Q1754" i="22"/>
  <c r="P1754" i="22"/>
  <c r="Q1753" i="22"/>
  <c r="P1753" i="22"/>
  <c r="Q1752" i="22"/>
  <c r="P1752" i="22"/>
  <c r="Q1751" i="22"/>
  <c r="P1751" i="22"/>
  <c r="Q1750" i="22"/>
  <c r="P1750" i="22"/>
  <c r="Q1749" i="22"/>
  <c r="P1749" i="22"/>
  <c r="Q1748" i="22"/>
  <c r="P1748" i="22"/>
  <c r="Q1747" i="22"/>
  <c r="P1747" i="22"/>
  <c r="Q1746" i="22"/>
  <c r="P1746" i="22"/>
  <c r="Q1745" i="22"/>
  <c r="P1745" i="22"/>
  <c r="Q1744" i="22"/>
  <c r="P1744" i="22"/>
  <c r="Q1743" i="22"/>
  <c r="P1743" i="22"/>
  <c r="Q1742" i="22"/>
  <c r="P1742" i="22"/>
  <c r="Q1741" i="22"/>
  <c r="P1741" i="22"/>
  <c r="Q1740" i="22"/>
  <c r="P1740" i="22"/>
  <c r="Q1737" i="22"/>
  <c r="P1737" i="22"/>
  <c r="Q1736" i="22"/>
  <c r="P1736" i="22"/>
  <c r="Q1733" i="22"/>
  <c r="P1733" i="22"/>
  <c r="Q1728" i="22"/>
  <c r="P1728" i="22"/>
  <c r="Q1723" i="22"/>
  <c r="P1723" i="22"/>
  <c r="Q1718" i="22"/>
  <c r="P1718" i="22"/>
  <c r="Q1713" i="22"/>
  <c r="P1713" i="22"/>
  <c r="Q1708" i="22"/>
  <c r="P1708" i="22"/>
  <c r="Q1703" i="22"/>
  <c r="P1703" i="22"/>
  <c r="Q1702" i="22"/>
  <c r="P1702" i="22"/>
  <c r="Q1701" i="22"/>
  <c r="P1701" i="22"/>
  <c r="Q1700" i="22"/>
  <c r="P1700" i="22"/>
  <c r="Q1699" i="22"/>
  <c r="P1699" i="22"/>
  <c r="Q1698" i="22"/>
  <c r="P1698" i="22"/>
  <c r="Q1697" i="22"/>
  <c r="P1697" i="22"/>
  <c r="Q1696" i="22"/>
  <c r="P1696" i="22"/>
  <c r="Q1695" i="22"/>
  <c r="P1695" i="22"/>
  <c r="Q1694" i="22"/>
  <c r="P1694" i="22"/>
  <c r="Q1693" i="22"/>
  <c r="P1693" i="22"/>
  <c r="Q1692" i="22"/>
  <c r="P1692" i="22"/>
  <c r="Q1691" i="22"/>
  <c r="P1691" i="22"/>
  <c r="Q1690" i="22"/>
  <c r="P1690" i="22"/>
  <c r="Q1689" i="22"/>
  <c r="P1689" i="22"/>
  <c r="Q1688" i="22"/>
  <c r="P1688" i="22"/>
  <c r="Q1687" i="22"/>
  <c r="P1687" i="22"/>
  <c r="Q1686" i="22"/>
  <c r="P1686" i="22"/>
  <c r="Q1685" i="22"/>
  <c r="P1685" i="22"/>
  <c r="Q1684" i="22"/>
  <c r="P1684" i="22"/>
  <c r="Q1681" i="22"/>
  <c r="P1681" i="22"/>
  <c r="Q1680" i="22"/>
  <c r="P1680" i="22"/>
  <c r="Q1679" i="22"/>
  <c r="P1679" i="22"/>
  <c r="Q1678" i="22"/>
  <c r="P1678" i="22"/>
  <c r="Q1677" i="22"/>
  <c r="P1677" i="22"/>
  <c r="Q1676" i="22"/>
  <c r="P1676" i="22"/>
  <c r="Q1675" i="22"/>
  <c r="P1675" i="22"/>
  <c r="Q1673" i="22"/>
  <c r="P1673" i="22"/>
  <c r="Q1671" i="22"/>
  <c r="P1671" i="22"/>
  <c r="Q1669" i="22"/>
  <c r="P1669" i="22"/>
  <c r="Q1668" i="22"/>
  <c r="P1668" i="22"/>
  <c r="Q1667" i="22"/>
  <c r="P1667" i="22"/>
  <c r="Q1666" i="22"/>
  <c r="P1666" i="22"/>
  <c r="Q1665" i="22"/>
  <c r="P1665" i="22"/>
  <c r="Q1664" i="22"/>
  <c r="P1664" i="22"/>
  <c r="Q1663" i="22"/>
  <c r="P1663" i="22"/>
  <c r="Q1662" i="22"/>
  <c r="P1662" i="22"/>
  <c r="Q1661" i="22"/>
  <c r="P1661" i="22"/>
  <c r="Q1658" i="22"/>
  <c r="P1658" i="22"/>
  <c r="Q1655" i="22"/>
  <c r="P1655" i="22"/>
  <c r="Q1654" i="22"/>
  <c r="P1654" i="22"/>
  <c r="Q1651" i="22"/>
  <c r="P1651" i="22"/>
  <c r="Q1650" i="22"/>
  <c r="P1650" i="22"/>
  <c r="Q1649" i="22"/>
  <c r="P1649" i="22"/>
  <c r="Q1648" i="22"/>
  <c r="P1648" i="22"/>
  <c r="Q1647" i="22"/>
  <c r="P1647" i="22"/>
  <c r="Q1646" i="22"/>
  <c r="P1646" i="22"/>
  <c r="Q1645" i="22"/>
  <c r="P1645" i="22"/>
  <c r="Q1644" i="22"/>
  <c r="P1644" i="22"/>
  <c r="Q1643" i="22"/>
  <c r="P1643" i="22"/>
  <c r="Q1642" i="22"/>
  <c r="P1642" i="22"/>
  <c r="Q1641" i="22"/>
  <c r="P1641" i="22"/>
  <c r="Q1640" i="22"/>
  <c r="P1640" i="22"/>
  <c r="Q1639" i="22"/>
  <c r="P1639" i="22"/>
  <c r="Q1638" i="22"/>
  <c r="P1638" i="22"/>
  <c r="Q1637" i="22"/>
  <c r="P1637" i="22"/>
  <c r="Q1636" i="22"/>
  <c r="P1636" i="22"/>
  <c r="Q1635" i="22"/>
  <c r="P1635" i="22"/>
  <c r="Q1634" i="22"/>
  <c r="P1634" i="22"/>
  <c r="Q1633" i="22"/>
  <c r="P1633" i="22"/>
  <c r="Q1632" i="22"/>
  <c r="P1632" i="22"/>
  <c r="Q1631" i="22"/>
  <c r="P1631" i="22"/>
  <c r="Q1628" i="22"/>
  <c r="P1628" i="22"/>
  <c r="Q1627" i="22"/>
  <c r="P1627" i="22"/>
  <c r="Q1626" i="22"/>
  <c r="P1626" i="22"/>
  <c r="Q1625" i="22"/>
  <c r="P1625" i="22"/>
  <c r="Q1624" i="22"/>
  <c r="P1624" i="22"/>
  <c r="Q1623" i="22"/>
  <c r="P1623" i="22"/>
  <c r="Q1622" i="22"/>
  <c r="P1622" i="22"/>
  <c r="Q1620" i="22"/>
  <c r="P1620" i="22"/>
  <c r="Q1618" i="22"/>
  <c r="P1618" i="22"/>
  <c r="Q1616" i="22"/>
  <c r="P1616" i="22"/>
  <c r="Q1615" i="22"/>
  <c r="P1615" i="22"/>
  <c r="Q1614" i="22"/>
  <c r="P1614" i="22"/>
  <c r="Q1613" i="22"/>
  <c r="P1613" i="22"/>
  <c r="Q1612" i="22"/>
  <c r="P1612" i="22"/>
  <c r="Q1609" i="22"/>
  <c r="P1609" i="22"/>
  <c r="Q1608" i="22"/>
  <c r="P1608" i="22"/>
  <c r="Q1607" i="22"/>
  <c r="P1607" i="22"/>
  <c r="Q1604" i="22"/>
  <c r="P1604" i="22"/>
  <c r="Q1603" i="22"/>
  <c r="P1603" i="22"/>
  <c r="Q1602" i="22"/>
  <c r="P1602" i="22"/>
  <c r="Q1601" i="22"/>
  <c r="P1601" i="22"/>
  <c r="Q1600" i="22"/>
  <c r="P1600" i="22"/>
  <c r="Q1599" i="22"/>
  <c r="P1599" i="22"/>
  <c r="Q1598" i="22"/>
  <c r="P1598" i="22"/>
  <c r="Q1597" i="22"/>
  <c r="P1597" i="22"/>
  <c r="Q1596" i="22"/>
  <c r="P1596" i="22"/>
  <c r="Q1595" i="22"/>
  <c r="P1595" i="22"/>
  <c r="Q1594" i="22"/>
  <c r="P1594" i="22"/>
  <c r="Q1593" i="22"/>
  <c r="P1593" i="22"/>
  <c r="Q1592" i="22"/>
  <c r="P1592" i="22"/>
  <c r="Q1589" i="22"/>
  <c r="P1589" i="22"/>
  <c r="Q1588" i="22"/>
  <c r="P1588" i="22"/>
  <c r="Q1587" i="22"/>
  <c r="P1587" i="22"/>
  <c r="Q1585" i="22"/>
  <c r="P1585" i="22"/>
  <c r="Q1583" i="22"/>
  <c r="P1583" i="22"/>
  <c r="Q1582" i="22"/>
  <c r="P1582" i="22"/>
  <c r="Q1581" i="22"/>
  <c r="P1581" i="22"/>
  <c r="Q1580" i="22"/>
  <c r="P1580" i="22"/>
  <c r="Q1579" i="22"/>
  <c r="P1579" i="22"/>
  <c r="Q1578" i="22"/>
  <c r="P1578" i="22"/>
  <c r="Q1577" i="22"/>
  <c r="P1577" i="22"/>
  <c r="Q1576" i="22"/>
  <c r="P1576" i="22"/>
  <c r="Q1573" i="22"/>
  <c r="P1573" i="22"/>
  <c r="Q1572" i="22"/>
  <c r="P1572" i="22"/>
  <c r="Q1571" i="22"/>
  <c r="P1571" i="22"/>
  <c r="Q1570" i="22"/>
  <c r="P1570" i="22"/>
  <c r="Q1569" i="22"/>
  <c r="P1569" i="22"/>
  <c r="Q1568" i="22"/>
  <c r="P1568" i="22"/>
  <c r="Q1567" i="22"/>
  <c r="P1567" i="22"/>
  <c r="Q1566" i="22"/>
  <c r="P1566" i="22"/>
  <c r="Q1565" i="22"/>
  <c r="P1565" i="22"/>
  <c r="Q1564" i="22"/>
  <c r="P1564" i="22"/>
  <c r="Q1563" i="22"/>
  <c r="P1563" i="22"/>
  <c r="Q1562" i="22"/>
  <c r="P1562" i="22"/>
  <c r="Q1561" i="22"/>
  <c r="P1561" i="22"/>
  <c r="Q1560" i="22"/>
  <c r="P1560" i="22"/>
  <c r="Q1559" i="22"/>
  <c r="P1559" i="22"/>
  <c r="Q1558" i="22"/>
  <c r="P1558" i="22"/>
  <c r="Q1557" i="22"/>
  <c r="P1557" i="22"/>
  <c r="Q1556" i="22"/>
  <c r="P1556" i="22"/>
  <c r="Q1553" i="22"/>
  <c r="P1553" i="22"/>
  <c r="Q1552" i="22"/>
  <c r="P1552" i="22"/>
  <c r="Q1551" i="22"/>
  <c r="P1551" i="22"/>
  <c r="Q1550" i="22"/>
  <c r="P1550" i="22"/>
  <c r="Q1549" i="22"/>
  <c r="P1549" i="22"/>
  <c r="Q1548" i="22"/>
  <c r="P1548" i="22"/>
  <c r="Q1547" i="22"/>
  <c r="P1547" i="22"/>
  <c r="Q1546" i="22"/>
  <c r="P1546" i="22"/>
  <c r="Q1545" i="22"/>
  <c r="P1545" i="22"/>
  <c r="Q1544" i="22"/>
  <c r="P1544" i="22"/>
  <c r="Q1543" i="22"/>
  <c r="P1543" i="22"/>
  <c r="Q1542" i="22"/>
  <c r="P1542" i="22"/>
  <c r="Q1541" i="22"/>
  <c r="P1541" i="22"/>
  <c r="Q1540" i="22"/>
  <c r="P1540" i="22"/>
  <c r="Q1539" i="22"/>
  <c r="P1539" i="22"/>
  <c r="Q1538" i="22"/>
  <c r="P1538" i="22"/>
  <c r="Q1537" i="22"/>
  <c r="P1537" i="22"/>
  <c r="Q1536" i="22"/>
  <c r="P1536" i="22"/>
  <c r="Q1535" i="22"/>
  <c r="P1535" i="22"/>
  <c r="Q1534" i="22"/>
  <c r="P1534" i="22"/>
  <c r="Q1533" i="22"/>
  <c r="P1533" i="22"/>
  <c r="Q1532" i="22"/>
  <c r="P1532" i="22"/>
  <c r="Q1531" i="22"/>
  <c r="P1531" i="22"/>
  <c r="Q1530" i="22"/>
  <c r="P1530" i="22"/>
  <c r="Q1529" i="22"/>
  <c r="P1529" i="22"/>
  <c r="Q1528" i="22"/>
  <c r="P1528" i="22"/>
  <c r="Q1527" i="22"/>
  <c r="P1527" i="22"/>
  <c r="Q1526" i="22"/>
  <c r="P1526" i="22"/>
  <c r="Q1525" i="22"/>
  <c r="P1525" i="22"/>
  <c r="Q1524" i="22"/>
  <c r="P1524" i="22"/>
  <c r="Q1521" i="22"/>
  <c r="P1521" i="22"/>
  <c r="Q1520" i="22"/>
  <c r="P1520" i="22"/>
  <c r="Q1519" i="22"/>
  <c r="P1519" i="22"/>
  <c r="Q1518" i="22"/>
  <c r="P1518" i="22"/>
  <c r="Q1517" i="22"/>
  <c r="P1517" i="22"/>
  <c r="Q1516" i="22"/>
  <c r="P1516" i="22"/>
  <c r="Q1515" i="22"/>
  <c r="P1515" i="22"/>
  <c r="Q1514" i="22"/>
  <c r="P1514" i="22"/>
  <c r="Q1513" i="22"/>
  <c r="P1513" i="22"/>
  <c r="Q1512" i="22"/>
  <c r="P1512" i="22"/>
  <c r="Q1511" i="22"/>
  <c r="P1511" i="22"/>
  <c r="Q1510" i="22"/>
  <c r="P1510" i="22"/>
  <c r="Q1509" i="22"/>
  <c r="P1509" i="22"/>
  <c r="Q1508" i="22"/>
  <c r="P1508" i="22"/>
  <c r="Q1507" i="22"/>
  <c r="P1507" i="22"/>
  <c r="Q1506" i="22"/>
  <c r="P1506" i="22"/>
  <c r="Q1505" i="22"/>
  <c r="P1505" i="22"/>
  <c r="Q1504" i="22"/>
  <c r="P1504" i="22"/>
  <c r="Q1503" i="22"/>
  <c r="P1503" i="22"/>
  <c r="Q1502" i="22"/>
  <c r="P1502" i="22"/>
  <c r="Q1501" i="22"/>
  <c r="P1501" i="22"/>
  <c r="Q1500" i="22"/>
  <c r="P1500" i="22"/>
  <c r="Q1499" i="22"/>
  <c r="P1499" i="22"/>
  <c r="Q1498" i="22"/>
  <c r="P1498" i="22"/>
  <c r="Q1497" i="22"/>
  <c r="P1497" i="22"/>
  <c r="Q1496" i="22"/>
  <c r="P1496" i="22"/>
  <c r="Q1495" i="22"/>
  <c r="P1495" i="22"/>
  <c r="Q1494" i="22"/>
  <c r="P1494" i="22"/>
  <c r="Q1493" i="22"/>
  <c r="P1493" i="22"/>
  <c r="Q1492" i="22"/>
  <c r="P1492" i="22"/>
  <c r="Q1491" i="22"/>
  <c r="P1491" i="22"/>
  <c r="Q1490" i="22"/>
  <c r="P1490" i="22"/>
  <c r="Q1489" i="22"/>
  <c r="P1489" i="22"/>
  <c r="Q1488" i="22"/>
  <c r="P1488" i="22"/>
  <c r="Q1487" i="22"/>
  <c r="P1487" i="22"/>
  <c r="Q1486" i="22"/>
  <c r="P1486" i="22"/>
  <c r="Q1485" i="22"/>
  <c r="P1485" i="22"/>
  <c r="Q1484" i="22"/>
  <c r="P1484" i="22"/>
  <c r="Q1483" i="22"/>
  <c r="P1483" i="22"/>
  <c r="Q1482" i="22"/>
  <c r="P1482" i="22"/>
  <c r="Q1481" i="22"/>
  <c r="P1481" i="22"/>
  <c r="Q1480" i="22"/>
  <c r="P1480" i="22"/>
  <c r="Q1479" i="22"/>
  <c r="P1479" i="22"/>
  <c r="Q1478" i="22"/>
  <c r="P1478" i="22"/>
  <c r="Q1477" i="22"/>
  <c r="P1477" i="22"/>
  <c r="Q1476" i="22"/>
  <c r="P1476" i="22"/>
  <c r="Q1475" i="22"/>
  <c r="P1475" i="22"/>
  <c r="Q1474" i="22"/>
  <c r="P1474" i="22"/>
  <c r="Q1473" i="22"/>
  <c r="P1473" i="22"/>
  <c r="Q1472" i="22"/>
  <c r="P1472" i="22"/>
  <c r="Q1471" i="22"/>
  <c r="P1471" i="22"/>
  <c r="Q1470" i="22"/>
  <c r="P1470" i="22"/>
  <c r="Q1469" i="22"/>
  <c r="P1469" i="22"/>
  <c r="Q1468" i="22"/>
  <c r="P1468" i="22"/>
  <c r="Q1467" i="22"/>
  <c r="P1467" i="22"/>
  <c r="Q1466" i="22"/>
  <c r="P1466" i="22"/>
  <c r="Q1465" i="22"/>
  <c r="P1465" i="22"/>
  <c r="Q1464" i="22"/>
  <c r="P1464" i="22"/>
  <c r="Q1463" i="22"/>
  <c r="P1463" i="22"/>
  <c r="Q1460" i="22"/>
  <c r="P1460" i="22"/>
  <c r="Q1459" i="22"/>
  <c r="P1459" i="22"/>
  <c r="Q1456" i="22"/>
  <c r="P1456" i="22"/>
  <c r="Q1455" i="22"/>
  <c r="P1455" i="22"/>
  <c r="Q1454" i="22"/>
  <c r="P1454" i="22"/>
  <c r="Q1453" i="22"/>
  <c r="P1453" i="22"/>
  <c r="Q1452" i="22"/>
  <c r="P1452" i="22"/>
  <c r="Q1451" i="22"/>
  <c r="P1451" i="22"/>
  <c r="Q1450" i="22"/>
  <c r="P1450" i="22"/>
  <c r="Q1449" i="22"/>
  <c r="P1449" i="22"/>
  <c r="Q1448" i="22"/>
  <c r="P1448" i="22"/>
  <c r="Q1447" i="22"/>
  <c r="P1447" i="22"/>
  <c r="Q1446" i="22"/>
  <c r="P1446" i="22"/>
  <c r="Q1445" i="22"/>
  <c r="P1445" i="22"/>
  <c r="Q1444" i="22"/>
  <c r="P1444" i="22"/>
  <c r="Q1443" i="22"/>
  <c r="P1443" i="22"/>
  <c r="Q1442" i="22"/>
  <c r="P1442" i="22"/>
  <c r="Q1441" i="22"/>
  <c r="P1441" i="22"/>
  <c r="Q1440" i="22"/>
  <c r="P1440" i="22"/>
  <c r="Q1439" i="22"/>
  <c r="P1439" i="22"/>
  <c r="Q1438" i="22"/>
  <c r="P1438" i="22"/>
  <c r="Q1437" i="22"/>
  <c r="P1437" i="22"/>
  <c r="Q1436" i="22"/>
  <c r="P1436" i="22"/>
  <c r="Q1435" i="22"/>
  <c r="P1435" i="22"/>
  <c r="Q1434" i="22"/>
  <c r="P1434" i="22"/>
  <c r="Q1433" i="22"/>
  <c r="P1433" i="22"/>
  <c r="Q1432" i="22"/>
  <c r="P1432" i="22"/>
  <c r="Q1431" i="22"/>
  <c r="P1431" i="22"/>
  <c r="Q1430" i="22"/>
  <c r="P1430" i="22"/>
  <c r="Q1429" i="22"/>
  <c r="P1429" i="22"/>
  <c r="Q1428" i="22"/>
  <c r="P1428" i="22"/>
  <c r="Q1427" i="22"/>
  <c r="P1427" i="22"/>
  <c r="Q1426" i="22"/>
  <c r="P1426" i="22"/>
  <c r="Q1425" i="22"/>
  <c r="P1425" i="22"/>
  <c r="Q1424" i="22"/>
  <c r="P1424" i="22"/>
  <c r="Q1423" i="22"/>
  <c r="P1423" i="22"/>
  <c r="Q1422" i="22"/>
  <c r="P1422" i="22"/>
  <c r="Q1421" i="22"/>
  <c r="P1421" i="22"/>
  <c r="Q1418" i="22"/>
  <c r="P1418" i="22"/>
  <c r="Q1417" i="22"/>
  <c r="P1417" i="22"/>
  <c r="Q1416" i="22"/>
  <c r="P1416" i="22"/>
  <c r="Q1415" i="22"/>
  <c r="P1415" i="22"/>
  <c r="Q1414" i="22"/>
  <c r="P1414" i="22"/>
  <c r="Q1413" i="22"/>
  <c r="P1413" i="22"/>
  <c r="Q1412" i="22"/>
  <c r="P1412" i="22"/>
  <c r="Q1411" i="22"/>
  <c r="P1411" i="22"/>
  <c r="Q1410" i="22"/>
  <c r="P1410" i="22"/>
  <c r="Q1409" i="22"/>
  <c r="P1409" i="22"/>
  <c r="Q1408" i="22"/>
  <c r="P1408" i="22"/>
  <c r="Q1407" i="22"/>
  <c r="P1407" i="22"/>
  <c r="Q1406" i="22"/>
  <c r="P1406" i="22"/>
  <c r="Q1405" i="22"/>
  <c r="P1405" i="22"/>
  <c r="Q1404" i="22"/>
  <c r="P1404" i="22"/>
  <c r="Q1403" i="22"/>
  <c r="P1403" i="22"/>
  <c r="Q1402" i="22"/>
  <c r="P1402" i="22"/>
  <c r="Q1401" i="22"/>
  <c r="P1401" i="22"/>
  <c r="Q1400" i="22"/>
  <c r="P1400" i="22"/>
  <c r="Q1399" i="22"/>
  <c r="P1399" i="22"/>
  <c r="Q1398" i="22"/>
  <c r="P1398" i="22"/>
  <c r="Q1397" i="22"/>
  <c r="P1397" i="22"/>
  <c r="Q1396" i="22"/>
  <c r="P1396" i="22"/>
  <c r="Q1395" i="22"/>
  <c r="P1395" i="22"/>
  <c r="Q1394" i="22"/>
  <c r="P1394" i="22"/>
  <c r="Q1393" i="22"/>
  <c r="P1393" i="22"/>
  <c r="Q1392" i="22"/>
  <c r="P1392" i="22"/>
  <c r="Q1391" i="22"/>
  <c r="P1391" i="22"/>
  <c r="Q1390" i="22"/>
  <c r="P1390" i="22"/>
  <c r="Q1387" i="22"/>
  <c r="P1387" i="22"/>
  <c r="Q1386" i="22"/>
  <c r="P1386" i="22"/>
  <c r="Q1385" i="22"/>
  <c r="P1385" i="22"/>
  <c r="Q1384" i="22"/>
  <c r="P1384" i="22"/>
  <c r="Q1383" i="22"/>
  <c r="P1383" i="22"/>
  <c r="Q1382" i="22"/>
  <c r="P1382" i="22"/>
  <c r="Q1381" i="22"/>
  <c r="P1381" i="22"/>
  <c r="Q1380" i="22"/>
  <c r="P1380" i="22"/>
  <c r="Q1379" i="22"/>
  <c r="P1379" i="22"/>
  <c r="Q1378" i="22"/>
  <c r="P1378" i="22"/>
  <c r="Q1377" i="22"/>
  <c r="P1377" i="22"/>
  <c r="Q1376" i="22"/>
  <c r="P1376" i="22"/>
  <c r="Q1375" i="22"/>
  <c r="P1375" i="22"/>
  <c r="Q1374" i="22"/>
  <c r="P1374" i="22"/>
  <c r="Q1373" i="22"/>
  <c r="P1373" i="22"/>
  <c r="Q1372" i="22"/>
  <c r="P1372" i="22"/>
  <c r="Q1371" i="22"/>
  <c r="P1371" i="22"/>
  <c r="Q1370" i="22"/>
  <c r="P1370" i="22"/>
  <c r="Q1369" i="22"/>
  <c r="P1369" i="22"/>
  <c r="Q1368" i="22"/>
  <c r="P1368" i="22"/>
  <c r="Q1367" i="22"/>
  <c r="P1367" i="22"/>
  <c r="Q1366" i="22"/>
  <c r="P1366" i="22"/>
  <c r="Q1365" i="22"/>
  <c r="P1365" i="22"/>
  <c r="Q1364" i="22"/>
  <c r="P1364" i="22"/>
  <c r="Q1363" i="22"/>
  <c r="P1363" i="22"/>
  <c r="Q1362" i="22"/>
  <c r="P1362" i="22"/>
  <c r="Q1361" i="22"/>
  <c r="P1361" i="22"/>
  <c r="Q1360" i="22"/>
  <c r="P1360" i="22"/>
  <c r="Q1359" i="22"/>
  <c r="P1359" i="22"/>
  <c r="Q1358" i="22"/>
  <c r="P1358" i="22"/>
  <c r="Q1357" i="22"/>
  <c r="P1357" i="22"/>
  <c r="Q1356" i="22"/>
  <c r="P1356" i="22"/>
  <c r="Q1355" i="22"/>
  <c r="P1355" i="22"/>
  <c r="Q1354" i="22"/>
  <c r="P1354" i="22"/>
  <c r="Q1353" i="22"/>
  <c r="P1353" i="22"/>
  <c r="Q1352" i="22"/>
  <c r="P1352" i="22"/>
  <c r="Q1351" i="22"/>
  <c r="P1351" i="22"/>
  <c r="Q1350" i="22"/>
  <c r="P1350" i="22"/>
  <c r="Q1349" i="22"/>
  <c r="P1349" i="22"/>
  <c r="Q1348" i="22"/>
  <c r="P1348" i="22"/>
  <c r="Q1347" i="22"/>
  <c r="P1347" i="22"/>
  <c r="Q1346" i="22"/>
  <c r="P1346" i="22"/>
  <c r="Q1345" i="22"/>
  <c r="P1345" i="22"/>
  <c r="Q1344" i="22"/>
  <c r="P1344" i="22"/>
  <c r="Q1343" i="22"/>
  <c r="P1343" i="22"/>
  <c r="Q1342" i="22"/>
  <c r="P1342" i="22"/>
  <c r="Q1341" i="22"/>
  <c r="P1341" i="22"/>
  <c r="Q1340" i="22"/>
  <c r="P1340" i="22"/>
  <c r="Q1339" i="22"/>
  <c r="P1339" i="22"/>
  <c r="Q1338" i="22"/>
  <c r="P1338" i="22"/>
  <c r="Q1337" i="22"/>
  <c r="P1337" i="22"/>
  <c r="Q1336" i="22"/>
  <c r="P1336" i="22"/>
  <c r="Q1335" i="22"/>
  <c r="P1335" i="22"/>
  <c r="Q1334" i="22"/>
  <c r="P1334" i="22"/>
  <c r="Q1333" i="22"/>
  <c r="P1333" i="22"/>
  <c r="Q1332" i="22"/>
  <c r="P1332" i="22"/>
  <c r="Q1331" i="22"/>
  <c r="P1331" i="22"/>
  <c r="Q1330" i="22"/>
  <c r="P1330" i="22"/>
  <c r="Q1329" i="22"/>
  <c r="P1329" i="22"/>
  <c r="Q1328" i="22"/>
  <c r="P1328" i="22"/>
  <c r="Q1327" i="22"/>
  <c r="P1327" i="22"/>
  <c r="Q1326" i="22"/>
  <c r="P1326" i="22"/>
  <c r="Q1325" i="22"/>
  <c r="P1325" i="22"/>
  <c r="Q1324" i="22"/>
  <c r="P1324" i="22"/>
  <c r="Q1323" i="22"/>
  <c r="P1323" i="22"/>
  <c r="Q1320" i="22"/>
  <c r="P1320" i="22"/>
  <c r="Q1319" i="22"/>
  <c r="P1319" i="22"/>
  <c r="Q1318" i="22"/>
  <c r="P1318" i="22"/>
  <c r="Q1317" i="22"/>
  <c r="P1317" i="22"/>
  <c r="Q1316" i="22"/>
  <c r="P1316" i="22"/>
  <c r="Q1315" i="22"/>
  <c r="P1315" i="22"/>
  <c r="Q1314" i="22"/>
  <c r="P1314" i="22"/>
  <c r="Q1313" i="22"/>
  <c r="P1313" i="22"/>
  <c r="Q1312" i="22"/>
  <c r="P1312" i="22"/>
  <c r="Q1311" i="22"/>
  <c r="P1311" i="22"/>
  <c r="Q1310" i="22"/>
  <c r="P1310" i="22"/>
  <c r="Q1309" i="22"/>
  <c r="P1309" i="22"/>
  <c r="Q1308" i="22"/>
  <c r="P1308" i="22"/>
  <c r="Q1307" i="22"/>
  <c r="P1307" i="22"/>
  <c r="Q1304" i="22"/>
  <c r="P1304" i="22"/>
  <c r="Q1303" i="22"/>
  <c r="P1303" i="22"/>
  <c r="Q1302" i="22"/>
  <c r="P1302" i="22"/>
  <c r="Q1301" i="22"/>
  <c r="P1301" i="22"/>
  <c r="Q1300" i="22"/>
  <c r="P1300" i="22"/>
  <c r="Q1299" i="22"/>
  <c r="P1299" i="22"/>
  <c r="Q1298" i="22"/>
  <c r="P1298" i="22"/>
  <c r="Q1297" i="22"/>
  <c r="P1297" i="22"/>
  <c r="Q1296" i="22"/>
  <c r="P1296" i="22"/>
  <c r="Q1295" i="22"/>
  <c r="P1295" i="22"/>
  <c r="Q1294" i="22"/>
  <c r="P1294" i="22"/>
  <c r="Q1293" i="22"/>
  <c r="P1293" i="22"/>
  <c r="Q1292" i="22"/>
  <c r="P1292" i="22"/>
  <c r="Q1291" i="22"/>
  <c r="P1291" i="22"/>
  <c r="Q1290" i="22"/>
  <c r="P1290" i="22"/>
  <c r="Q1289" i="22"/>
  <c r="P1289" i="22"/>
  <c r="Q1288" i="22"/>
  <c r="P1288" i="22"/>
  <c r="Q1287" i="22"/>
  <c r="P1287" i="22"/>
  <c r="Q1286" i="22"/>
  <c r="P1286" i="22"/>
  <c r="Q1285" i="22"/>
  <c r="P1285" i="22"/>
  <c r="Q1284" i="22"/>
  <c r="P1284" i="22"/>
  <c r="Q1283" i="22"/>
  <c r="P1283" i="22"/>
  <c r="Q1282" i="22"/>
  <c r="P1282" i="22"/>
  <c r="Q1281" i="22"/>
  <c r="P1281" i="22"/>
  <c r="Q1280" i="22"/>
  <c r="P1280" i="22"/>
  <c r="Q1279" i="22"/>
  <c r="P1279" i="22"/>
  <c r="Q1278" i="22"/>
  <c r="P1278" i="22"/>
  <c r="Q1277" i="22"/>
  <c r="P1277" i="22"/>
  <c r="Q1276" i="22"/>
  <c r="P1276" i="22"/>
  <c r="Q1275" i="22"/>
  <c r="P1275" i="22"/>
  <c r="Q1274" i="22"/>
  <c r="P1274" i="22"/>
  <c r="Q1273" i="22"/>
  <c r="P1273" i="22"/>
  <c r="Q1272" i="22"/>
  <c r="P1272" i="22"/>
  <c r="Q1271" i="22"/>
  <c r="P1271" i="22"/>
  <c r="Q1270" i="22"/>
  <c r="P1270" i="22"/>
  <c r="Q1269" i="22"/>
  <c r="P1269" i="22"/>
  <c r="Q1268" i="22"/>
  <c r="P1268" i="22"/>
  <c r="Q1267" i="22"/>
  <c r="P1267" i="22"/>
  <c r="Q1266" i="22"/>
  <c r="P1266" i="22"/>
  <c r="Q1265" i="22"/>
  <c r="P1265" i="22"/>
  <c r="Q1264" i="22"/>
  <c r="P1264" i="22"/>
  <c r="Q1263" i="22"/>
  <c r="P1263" i="22"/>
  <c r="Q1262" i="22"/>
  <c r="P1262" i="22"/>
  <c r="Q1259" i="22"/>
  <c r="P1259" i="22"/>
  <c r="Q1258" i="22"/>
  <c r="P1258" i="22"/>
  <c r="Q1257" i="22"/>
  <c r="P1257" i="22"/>
  <c r="Q1256" i="22"/>
  <c r="P1256" i="22"/>
  <c r="Q1255" i="22"/>
  <c r="P1255" i="22"/>
  <c r="Q1254" i="22"/>
  <c r="P1254" i="22"/>
  <c r="Q1253" i="22"/>
  <c r="P1253" i="22"/>
  <c r="Q1252" i="22"/>
  <c r="P1252" i="22"/>
  <c r="Q1251" i="22"/>
  <c r="P1251" i="22"/>
  <c r="Q1250" i="22"/>
  <c r="P1250" i="22"/>
  <c r="Q1249" i="22"/>
  <c r="P1249" i="22"/>
  <c r="Q1248" i="22"/>
  <c r="P1248" i="22"/>
  <c r="Q1247" i="22"/>
  <c r="P1247" i="22"/>
  <c r="Q1246" i="22"/>
  <c r="P1246" i="22"/>
  <c r="Q1245" i="22"/>
  <c r="P1245" i="22"/>
  <c r="Q1242" i="22"/>
  <c r="P1242" i="22"/>
  <c r="Q1241" i="22"/>
  <c r="P1241" i="22"/>
  <c r="Q1240" i="22"/>
  <c r="P1240" i="22"/>
  <c r="Q1239" i="22"/>
  <c r="P1239" i="22"/>
  <c r="Q1238" i="22"/>
  <c r="P1238" i="22"/>
  <c r="Q1237" i="22"/>
  <c r="P1237" i="22"/>
  <c r="Q1236" i="22"/>
  <c r="P1236" i="22"/>
  <c r="Q1235" i="22"/>
  <c r="P1235" i="22"/>
  <c r="Q1234" i="22"/>
  <c r="P1234" i="22"/>
  <c r="Q1233" i="22"/>
  <c r="P1233" i="22"/>
  <c r="Q1232" i="22"/>
  <c r="P1232" i="22"/>
  <c r="Q1231" i="22"/>
  <c r="P1231" i="22"/>
  <c r="Q1230" i="22"/>
  <c r="P1230" i="22"/>
  <c r="Q1229" i="22"/>
  <c r="P1229" i="22"/>
  <c r="Q1228" i="22"/>
  <c r="P1228" i="22"/>
  <c r="Q1227" i="22"/>
  <c r="P1227" i="22"/>
  <c r="Q1226" i="22"/>
  <c r="P1226" i="22"/>
  <c r="Q1225" i="22"/>
  <c r="P1225" i="22"/>
  <c r="Q1224" i="22"/>
  <c r="P1224" i="22"/>
  <c r="Q1223" i="22"/>
  <c r="P1223" i="22"/>
  <c r="Q1218" i="22"/>
  <c r="P1218" i="22"/>
  <c r="Q1217" i="22"/>
  <c r="P1217" i="22"/>
  <c r="Q1214" i="22"/>
  <c r="P1214" i="22"/>
  <c r="Q1213" i="22"/>
  <c r="P1213" i="22"/>
  <c r="Q1210" i="22"/>
  <c r="P1210" i="22"/>
  <c r="Q1209" i="22"/>
  <c r="P1209" i="22"/>
  <c r="Q1208" i="22"/>
  <c r="P1208" i="22"/>
  <c r="Q1205" i="22"/>
  <c r="P1205" i="22"/>
  <c r="Q1204" i="22"/>
  <c r="P1204" i="22"/>
  <c r="Q1201" i="22"/>
  <c r="P1201" i="22"/>
  <c r="Q1200" i="22"/>
  <c r="P1200" i="22"/>
  <c r="Q1199" i="22"/>
  <c r="P1199" i="22"/>
  <c r="Q1198" i="22"/>
  <c r="P1198" i="22"/>
  <c r="Q1197" i="22"/>
  <c r="P1197" i="22"/>
  <c r="Q1196" i="22"/>
  <c r="P1196" i="22"/>
  <c r="Q1195" i="22"/>
  <c r="P1195" i="22"/>
  <c r="Q1194" i="22"/>
  <c r="P1194" i="22"/>
  <c r="Q1193" i="22"/>
  <c r="P1193" i="22"/>
  <c r="Q1192" i="22"/>
  <c r="P1192" i="22"/>
  <c r="Q1191" i="22"/>
  <c r="P1191" i="22"/>
  <c r="Q1190" i="22"/>
  <c r="P1190" i="22"/>
  <c r="Q1189" i="22"/>
  <c r="P1189" i="22"/>
  <c r="Q1188" i="22"/>
  <c r="P1188" i="22"/>
  <c r="Q1187" i="22"/>
  <c r="P1187" i="22"/>
  <c r="Q1186" i="22"/>
  <c r="P1186" i="22"/>
  <c r="Q1185" i="22"/>
  <c r="P1185" i="22"/>
  <c r="Q1184" i="22"/>
  <c r="P1184" i="22"/>
  <c r="Q1183" i="22"/>
  <c r="P1183" i="22"/>
  <c r="Q1182" i="22"/>
  <c r="P1182" i="22"/>
  <c r="Q1181" i="22"/>
  <c r="P1181" i="22"/>
  <c r="Q1180" i="22"/>
  <c r="P1180" i="22"/>
  <c r="Q1179" i="22"/>
  <c r="P1179" i="22"/>
  <c r="Q1178" i="22"/>
  <c r="P1178" i="22"/>
  <c r="Q1177" i="22"/>
  <c r="P1177" i="22"/>
  <c r="Q1176" i="22"/>
  <c r="P1176" i="22"/>
  <c r="Q1175" i="22"/>
  <c r="P1175" i="22"/>
  <c r="Q1170" i="22"/>
  <c r="P1170" i="22"/>
  <c r="Q1169" i="22"/>
  <c r="P1169" i="22"/>
  <c r="Q1164" i="22"/>
  <c r="P1164" i="22"/>
  <c r="Q1159" i="22"/>
  <c r="P1159" i="22"/>
  <c r="Q1154" i="22"/>
  <c r="P1154" i="22"/>
  <c r="Q1149" i="22"/>
  <c r="P1149" i="22"/>
  <c r="Q1144" i="22"/>
  <c r="P1144" i="22"/>
  <c r="Q1143" i="22"/>
  <c r="P1143" i="22"/>
  <c r="Q1142" i="22"/>
  <c r="P1142" i="22"/>
  <c r="Q1141" i="22"/>
  <c r="P1141" i="22"/>
  <c r="Q1140" i="22"/>
  <c r="P1140" i="22"/>
  <c r="Q1139" i="22"/>
  <c r="P1139" i="22"/>
  <c r="Q1138" i="22"/>
  <c r="P1138" i="22"/>
  <c r="Q1137" i="22"/>
  <c r="P1137" i="22"/>
  <c r="Q1136" i="22"/>
  <c r="P1136" i="22"/>
  <c r="Q1135" i="22"/>
  <c r="P1135" i="22"/>
  <c r="Q1134" i="22"/>
  <c r="P1134" i="22"/>
  <c r="Q1133" i="22"/>
  <c r="P1133" i="22"/>
  <c r="Q1132" i="22"/>
  <c r="P1132" i="22"/>
  <c r="Q1131" i="22"/>
  <c r="P1131" i="22"/>
  <c r="Q1130" i="22"/>
  <c r="P1130" i="22"/>
  <c r="Q1129" i="22"/>
  <c r="P1129" i="22"/>
  <c r="Q1128" i="22"/>
  <c r="P1128" i="22"/>
  <c r="Q1127" i="22"/>
  <c r="P1127" i="22"/>
  <c r="Q1126" i="22"/>
  <c r="P1126" i="22"/>
  <c r="Q1125" i="22"/>
  <c r="P1125" i="22"/>
  <c r="Q1124" i="22"/>
  <c r="P1124" i="22"/>
  <c r="Q1121" i="22"/>
  <c r="P1121" i="22"/>
  <c r="Q1120" i="22"/>
  <c r="P1120" i="22"/>
  <c r="Q1119" i="22"/>
  <c r="P1119" i="22"/>
  <c r="Q1118" i="22"/>
  <c r="P1118" i="22"/>
  <c r="Q1117" i="22"/>
  <c r="P1117" i="22"/>
  <c r="Q1116" i="22"/>
  <c r="P1116" i="22"/>
  <c r="Q1115" i="22"/>
  <c r="P1115" i="22"/>
  <c r="Q1113" i="22"/>
  <c r="P1113" i="22"/>
  <c r="Q1111" i="22"/>
  <c r="P1111" i="22"/>
  <c r="Q1109" i="22"/>
  <c r="P1109" i="22"/>
  <c r="Q1108" i="22"/>
  <c r="P1108" i="22"/>
  <c r="Q1107" i="22"/>
  <c r="P1107" i="22"/>
  <c r="Q1106" i="22"/>
  <c r="P1106" i="22"/>
  <c r="Q1105" i="22"/>
  <c r="P1105" i="22"/>
  <c r="Q1104" i="22"/>
  <c r="P1104" i="22"/>
  <c r="Q1103" i="22"/>
  <c r="P1103" i="22"/>
  <c r="Q1102" i="22"/>
  <c r="P1102" i="22"/>
  <c r="Q1101" i="22"/>
  <c r="P1101" i="22"/>
  <c r="Q1100" i="22"/>
  <c r="P1100" i="22"/>
  <c r="Q1099" i="22"/>
  <c r="P1099" i="22"/>
  <c r="Q1098" i="22"/>
  <c r="P1098" i="22"/>
  <c r="Q1097" i="22"/>
  <c r="P1097" i="22"/>
  <c r="Q1096" i="22"/>
  <c r="P1096" i="22"/>
  <c r="Q1095" i="22"/>
  <c r="P1095" i="22"/>
  <c r="Q1094" i="22"/>
  <c r="P1094" i="22"/>
  <c r="Q1093" i="22"/>
  <c r="P1093" i="22"/>
  <c r="Q1092" i="22"/>
  <c r="P1092" i="22"/>
  <c r="Q1091" i="22"/>
  <c r="P1091" i="22"/>
  <c r="Q1082" i="22"/>
  <c r="P1082" i="22"/>
  <c r="Q1081" i="22"/>
  <c r="P1081" i="22"/>
  <c r="Q1080" i="22"/>
  <c r="P1080" i="22"/>
  <c r="Q1079" i="22"/>
  <c r="P1079" i="22"/>
  <c r="Q1076" i="22"/>
  <c r="P1076" i="22"/>
  <c r="Q1075" i="22"/>
  <c r="P1075" i="22"/>
  <c r="Q1074" i="22"/>
  <c r="P1074" i="22"/>
  <c r="Q1073" i="22"/>
  <c r="P1073" i="22"/>
  <c r="Q1072" i="22"/>
  <c r="P1072" i="22"/>
  <c r="Q1071" i="22"/>
  <c r="P1071" i="22"/>
  <c r="Q1070" i="22"/>
  <c r="P1070" i="22"/>
  <c r="Q1069" i="22"/>
  <c r="P1069" i="22"/>
  <c r="Q1068" i="22"/>
  <c r="P1068" i="22"/>
  <c r="Q1067" i="22"/>
  <c r="P1067" i="22"/>
  <c r="Q1066" i="22"/>
  <c r="P1066" i="22"/>
  <c r="Q1065" i="22"/>
  <c r="P1065" i="22"/>
  <c r="Q1064" i="22"/>
  <c r="P1064" i="22"/>
  <c r="Q1063" i="22"/>
  <c r="P1063" i="22"/>
  <c r="Q1062" i="22"/>
  <c r="P1062" i="22"/>
  <c r="Q1061" i="22"/>
  <c r="P1061" i="22"/>
  <c r="Q1060" i="22"/>
  <c r="P1060" i="22"/>
  <c r="Q1059" i="22"/>
  <c r="P1059" i="22"/>
  <c r="Q1058" i="22"/>
  <c r="P1058" i="22"/>
  <c r="Q1057" i="22"/>
  <c r="P1057" i="22"/>
  <c r="Q1056" i="22"/>
  <c r="P1056" i="22"/>
  <c r="Q1055" i="22"/>
  <c r="P1055" i="22"/>
  <c r="Q1054" i="22"/>
  <c r="P1054" i="22"/>
  <c r="Q1053" i="22"/>
  <c r="P1053" i="22"/>
  <c r="Q1052" i="22"/>
  <c r="P1052" i="22"/>
  <c r="Q1051" i="22"/>
  <c r="P1051" i="22"/>
  <c r="Q1050" i="22"/>
  <c r="P1050" i="22"/>
  <c r="Q1049" i="22"/>
  <c r="P1049" i="22"/>
  <c r="Q1048" i="22"/>
  <c r="P1048" i="22"/>
  <c r="Q1047" i="22"/>
  <c r="P1047" i="22"/>
  <c r="Q1046" i="22"/>
  <c r="P1046" i="22"/>
  <c r="Q1045" i="22"/>
  <c r="P1045" i="22"/>
  <c r="Q1044" i="22"/>
  <c r="P1044" i="22"/>
  <c r="Q1043" i="22"/>
  <c r="P1043" i="22"/>
  <c r="Q1042" i="22"/>
  <c r="P1042" i="22"/>
  <c r="Q1040" i="22"/>
  <c r="P1040" i="22"/>
  <c r="Q1038" i="22"/>
  <c r="P1038" i="22"/>
  <c r="Q1036" i="22"/>
  <c r="P1036" i="22"/>
  <c r="Q1035" i="22"/>
  <c r="P1035" i="22"/>
  <c r="Q1034" i="22"/>
  <c r="P1034" i="22"/>
  <c r="Q1033" i="22"/>
  <c r="P1033" i="22"/>
  <c r="Q1032" i="22"/>
  <c r="P1032" i="22"/>
  <c r="Q1031" i="22"/>
  <c r="P1031" i="22"/>
  <c r="Q1030" i="22"/>
  <c r="P1030" i="22"/>
  <c r="Q1029" i="22"/>
  <c r="P1029" i="22"/>
  <c r="Q1028" i="22"/>
  <c r="P1028" i="22"/>
  <c r="Q1027" i="22"/>
  <c r="P1027" i="22"/>
  <c r="Q1026" i="22"/>
  <c r="P1026" i="22"/>
  <c r="Q1025" i="22"/>
  <c r="P1025" i="22"/>
  <c r="Q1024" i="22"/>
  <c r="P1024" i="22"/>
  <c r="Q1023" i="22"/>
  <c r="P1023" i="22"/>
  <c r="Q1022" i="22"/>
  <c r="P1022" i="22"/>
  <c r="Q1021" i="22"/>
  <c r="P1021" i="22"/>
  <c r="Q1020" i="22"/>
  <c r="P1020" i="22"/>
  <c r="Q1019" i="22"/>
  <c r="P1019" i="22"/>
  <c r="Q1018" i="22"/>
  <c r="P1018" i="22"/>
  <c r="Q1015" i="22"/>
  <c r="P1015" i="22"/>
  <c r="Q1014" i="22"/>
  <c r="P1014" i="22"/>
  <c r="Q1013" i="22"/>
  <c r="P1013" i="22"/>
  <c r="Q1012" i="22"/>
  <c r="P1012" i="22"/>
  <c r="Q1011" i="22"/>
  <c r="P1011" i="22"/>
  <c r="Q1010" i="22"/>
  <c r="P1010" i="22"/>
  <c r="Q1009" i="22"/>
  <c r="P1009" i="22"/>
  <c r="Q1008" i="22"/>
  <c r="P1008" i="22"/>
  <c r="Q1007" i="22"/>
  <c r="P1007" i="22"/>
  <c r="Q1006" i="22"/>
  <c r="P1006" i="22"/>
  <c r="Q1005" i="22"/>
  <c r="P1005" i="22"/>
  <c r="Q1004" i="22"/>
  <c r="P1004" i="22"/>
  <c r="Q1003" i="22"/>
  <c r="P1003" i="22"/>
  <c r="Q1002" i="22"/>
  <c r="P1002" i="22"/>
  <c r="Q1001" i="22"/>
  <c r="P1001" i="22"/>
  <c r="Q1000" i="22"/>
  <c r="P1000" i="22"/>
  <c r="Q999" i="22"/>
  <c r="P999" i="22"/>
  <c r="Q998" i="22"/>
  <c r="P998" i="22"/>
  <c r="Q997" i="22"/>
  <c r="P997" i="22"/>
  <c r="Q996" i="22"/>
  <c r="P996" i="22"/>
  <c r="Q995" i="22"/>
  <c r="P995" i="22"/>
  <c r="Q994" i="22"/>
  <c r="P994" i="22"/>
  <c r="Q993" i="22"/>
  <c r="P993" i="22"/>
  <c r="Q992" i="22"/>
  <c r="P992" i="22"/>
  <c r="Q991" i="22"/>
  <c r="P991" i="22"/>
  <c r="Q990" i="22"/>
  <c r="P990" i="22"/>
  <c r="Q989" i="22"/>
  <c r="P989" i="22"/>
  <c r="Q988" i="22"/>
  <c r="P988" i="22"/>
  <c r="Q987" i="22"/>
  <c r="P987" i="22"/>
  <c r="Q986" i="22"/>
  <c r="P986" i="22"/>
  <c r="Q985" i="22"/>
  <c r="P985" i="22"/>
  <c r="Q984" i="22"/>
  <c r="P984" i="22"/>
  <c r="Q983" i="22"/>
  <c r="P983" i="22"/>
  <c r="Q982" i="22"/>
  <c r="P982" i="22"/>
  <c r="Q981" i="22"/>
  <c r="P981" i="22"/>
  <c r="Q980" i="22"/>
  <c r="P980" i="22"/>
  <c r="Q979" i="22"/>
  <c r="P979" i="22"/>
  <c r="Q978" i="22"/>
  <c r="P978" i="22"/>
  <c r="Q977" i="22"/>
  <c r="P977" i="22"/>
  <c r="Q976" i="22"/>
  <c r="P976" i="22"/>
  <c r="Q975" i="22"/>
  <c r="P975" i="22"/>
  <c r="Q974" i="22"/>
  <c r="P974" i="22"/>
  <c r="Q973" i="22"/>
  <c r="P973" i="22"/>
  <c r="Q972" i="22"/>
  <c r="P972" i="22"/>
  <c r="Q971" i="22"/>
  <c r="P971" i="22"/>
  <c r="Q970" i="22"/>
  <c r="P970" i="22"/>
  <c r="Q969" i="22"/>
  <c r="P969" i="22"/>
  <c r="Q968" i="22"/>
  <c r="P968" i="22"/>
  <c r="Q967" i="22"/>
  <c r="P967" i="22"/>
  <c r="Q966" i="22"/>
  <c r="P966" i="22"/>
  <c r="Q965" i="22"/>
  <c r="P965" i="22"/>
  <c r="Q964" i="22"/>
  <c r="P964" i="22"/>
  <c r="Q963" i="22"/>
  <c r="P963" i="22"/>
  <c r="Q962" i="22"/>
  <c r="P962" i="22"/>
  <c r="Q961" i="22"/>
  <c r="P961" i="22"/>
  <c r="Q960" i="22"/>
  <c r="P960" i="22"/>
  <c r="Q959" i="22"/>
  <c r="P959" i="22"/>
  <c r="Q958" i="22"/>
  <c r="P958" i="22"/>
  <c r="Q957" i="22"/>
  <c r="P957" i="22"/>
  <c r="Q956" i="22"/>
  <c r="P956" i="22"/>
  <c r="Q955" i="22"/>
  <c r="P955" i="22"/>
  <c r="Q954" i="22"/>
  <c r="P954" i="22"/>
  <c r="Q953" i="22"/>
  <c r="P953" i="22"/>
  <c r="Q952" i="22"/>
  <c r="P952" i="22"/>
  <c r="Q951" i="22"/>
  <c r="P951" i="22"/>
  <c r="Q950" i="22"/>
  <c r="P950" i="22"/>
  <c r="Q949" i="22"/>
  <c r="P949" i="22"/>
  <c r="Q948" i="22"/>
  <c r="P948" i="22"/>
  <c r="Q947" i="22"/>
  <c r="P947" i="22"/>
  <c r="Q938" i="22"/>
  <c r="P938" i="22"/>
  <c r="Q937" i="22"/>
  <c r="P937" i="22"/>
  <c r="Q936" i="22"/>
  <c r="P936" i="22"/>
  <c r="Q935" i="22"/>
  <c r="P935" i="22"/>
  <c r="Q932" i="22"/>
  <c r="P932" i="22"/>
  <c r="Q931" i="22"/>
  <c r="P931" i="22"/>
  <c r="Q930" i="22"/>
  <c r="P930" i="22"/>
  <c r="Q929" i="22"/>
  <c r="P929" i="22"/>
  <c r="Q928" i="22"/>
  <c r="P928" i="22"/>
  <c r="Q927" i="22"/>
  <c r="P927" i="22"/>
  <c r="Q926" i="22"/>
  <c r="P926" i="22"/>
  <c r="Q925" i="22"/>
  <c r="P925" i="22"/>
  <c r="Q924" i="22"/>
  <c r="P924" i="22"/>
  <c r="Q923" i="22"/>
  <c r="P923" i="22"/>
  <c r="Q922" i="22"/>
  <c r="P922" i="22"/>
  <c r="Q921" i="22"/>
  <c r="P921" i="22"/>
  <c r="Q920" i="22"/>
  <c r="P920" i="22"/>
  <c r="Q919" i="22"/>
  <c r="P919" i="22"/>
  <c r="Q918" i="22"/>
  <c r="P918" i="22"/>
  <c r="Q917" i="22"/>
  <c r="P917" i="22"/>
  <c r="Q916" i="22"/>
  <c r="P916" i="22"/>
  <c r="Q915" i="22"/>
  <c r="P915" i="22"/>
  <c r="Q914" i="22"/>
  <c r="P914" i="22"/>
  <c r="Q913" i="22"/>
  <c r="P913" i="22"/>
  <c r="Q912" i="22"/>
  <c r="P912" i="22"/>
  <c r="Q911" i="22"/>
  <c r="P911" i="22"/>
  <c r="Q910" i="22"/>
  <c r="P910" i="22"/>
  <c r="Q909" i="22"/>
  <c r="P909" i="22"/>
  <c r="Q908" i="22"/>
  <c r="P908" i="22"/>
  <c r="Q907" i="22"/>
  <c r="P907" i="22"/>
  <c r="Q906" i="22"/>
  <c r="P906" i="22"/>
  <c r="Q905" i="22"/>
  <c r="P905" i="22"/>
  <c r="Q902" i="22"/>
  <c r="P902" i="22"/>
  <c r="Q901" i="22"/>
  <c r="P901" i="22"/>
  <c r="Q900" i="22"/>
  <c r="P900" i="22"/>
  <c r="Q899" i="22"/>
  <c r="P899" i="22"/>
  <c r="Q898" i="22"/>
  <c r="P898" i="22"/>
  <c r="Q897" i="22"/>
  <c r="P897" i="22"/>
  <c r="Q895" i="22"/>
  <c r="P895" i="22"/>
  <c r="Q894" i="22"/>
  <c r="P894" i="22"/>
  <c r="Q893" i="22"/>
  <c r="P893" i="22"/>
  <c r="Q892" i="22"/>
  <c r="P892" i="22"/>
  <c r="Q891" i="22"/>
  <c r="P891" i="22"/>
  <c r="Q890" i="22"/>
  <c r="P890" i="22"/>
  <c r="Q889" i="22"/>
  <c r="P889" i="22"/>
  <c r="Q888" i="22"/>
  <c r="P888" i="22"/>
  <c r="Q887" i="22"/>
  <c r="P887" i="22"/>
  <c r="Q886" i="22"/>
  <c r="P886" i="22"/>
  <c r="Q885" i="22"/>
  <c r="P885" i="22"/>
  <c r="Q884" i="22"/>
  <c r="P884" i="22"/>
  <c r="Q883" i="22"/>
  <c r="P883" i="22"/>
  <c r="Q882" i="22"/>
  <c r="P882" i="22"/>
  <c r="Q881" i="22"/>
  <c r="P881" i="22"/>
  <c r="Q880" i="22"/>
  <c r="P880" i="22"/>
  <c r="Q879" i="22"/>
  <c r="P879" i="22"/>
  <c r="Q878" i="22"/>
  <c r="P878" i="22"/>
  <c r="Q877" i="22"/>
  <c r="P877" i="22"/>
  <c r="Q876" i="22"/>
  <c r="P876" i="22"/>
  <c r="Q873" i="22"/>
  <c r="P873" i="22"/>
  <c r="Q872" i="22"/>
  <c r="P872" i="22"/>
  <c r="Q871" i="22"/>
  <c r="P871" i="22"/>
  <c r="Q870" i="22"/>
  <c r="P870" i="22"/>
  <c r="Q869" i="22"/>
  <c r="P869" i="22"/>
  <c r="Q868" i="22"/>
  <c r="P868" i="22"/>
  <c r="Q867" i="22"/>
  <c r="P867" i="22"/>
  <c r="Q866" i="22"/>
  <c r="P866" i="22"/>
  <c r="Q865" i="22"/>
  <c r="P865" i="22"/>
  <c r="Q864" i="22"/>
  <c r="P864" i="22"/>
  <c r="Q863" i="22"/>
  <c r="P863" i="22"/>
  <c r="Q862" i="22"/>
  <c r="P862" i="22"/>
  <c r="Q861" i="22"/>
  <c r="P861" i="22"/>
  <c r="Q860" i="22"/>
  <c r="P860" i="22"/>
  <c r="Q859" i="22"/>
  <c r="P859" i="22"/>
  <c r="Q858" i="22"/>
  <c r="P858" i="22"/>
  <c r="Q857" i="22"/>
  <c r="P857" i="22"/>
  <c r="Q856" i="22"/>
  <c r="P856" i="22"/>
  <c r="Q855" i="22"/>
  <c r="P855" i="22"/>
  <c r="Q854" i="22"/>
  <c r="P854" i="22"/>
  <c r="Q853" i="22"/>
  <c r="P853" i="22"/>
  <c r="Q852" i="22"/>
  <c r="P852" i="22"/>
  <c r="Q851" i="22"/>
  <c r="P851" i="22"/>
  <c r="Q850" i="22"/>
  <c r="P850" i="22"/>
  <c r="Q849" i="22"/>
  <c r="P849" i="22"/>
  <c r="Q848" i="22"/>
  <c r="P848" i="22"/>
  <c r="Q847" i="22"/>
  <c r="P847" i="22"/>
  <c r="Q846" i="22"/>
  <c r="P846" i="22"/>
  <c r="Q845" i="22"/>
  <c r="P845" i="22"/>
  <c r="Q844" i="22"/>
  <c r="P844" i="22"/>
  <c r="Q843" i="22"/>
  <c r="P843" i="22"/>
  <c r="Q842" i="22"/>
  <c r="P842" i="22"/>
  <c r="Q841" i="22"/>
  <c r="P841" i="22"/>
  <c r="Q840" i="22"/>
  <c r="P840" i="22"/>
  <c r="Q839" i="22"/>
  <c r="P839" i="22"/>
  <c r="Q838" i="22"/>
  <c r="P838" i="22"/>
  <c r="Q837" i="22"/>
  <c r="P837" i="22"/>
  <c r="Q836" i="22"/>
  <c r="P836" i="22"/>
  <c r="Q835" i="22"/>
  <c r="P835" i="22"/>
  <c r="Q834" i="22"/>
  <c r="P834" i="22"/>
  <c r="Q833" i="22"/>
  <c r="P833" i="22"/>
  <c r="Q832" i="22"/>
  <c r="P832" i="22"/>
  <c r="Q831" i="22"/>
  <c r="P831" i="22"/>
  <c r="Q830" i="22"/>
  <c r="P830" i="22"/>
  <c r="Q829" i="22"/>
  <c r="P829" i="22"/>
  <c r="Q828" i="22"/>
  <c r="P828" i="22"/>
  <c r="Q827" i="22"/>
  <c r="P827" i="22"/>
  <c r="Q818" i="22"/>
  <c r="P818" i="22"/>
  <c r="Q817" i="22"/>
  <c r="P817" i="22"/>
  <c r="Q816" i="22"/>
  <c r="P816" i="22"/>
  <c r="Q815" i="22"/>
  <c r="P815" i="22"/>
  <c r="Q812" i="22"/>
  <c r="P812" i="22"/>
  <c r="Q811" i="22"/>
  <c r="P811" i="22"/>
  <c r="Q810" i="22"/>
  <c r="P810" i="22"/>
  <c r="Q809" i="22"/>
  <c r="P809" i="22"/>
  <c r="Q808" i="22"/>
  <c r="P808" i="22"/>
  <c r="Q807" i="22"/>
  <c r="P807" i="22"/>
  <c r="Q806" i="22"/>
  <c r="P806" i="22"/>
  <c r="Q805" i="22"/>
  <c r="P805" i="22"/>
  <c r="Q804" i="22"/>
  <c r="P804" i="22"/>
  <c r="Q803" i="22"/>
  <c r="P803" i="22"/>
  <c r="Q802" i="22"/>
  <c r="P802" i="22"/>
  <c r="Q801" i="22"/>
  <c r="P801" i="22"/>
  <c r="Q800" i="22"/>
  <c r="P800" i="22"/>
  <c r="Q799" i="22"/>
  <c r="P799" i="22"/>
  <c r="Q798" i="22"/>
  <c r="P798" i="22"/>
  <c r="Q797" i="22"/>
  <c r="P797" i="22"/>
  <c r="Q796" i="22"/>
  <c r="P796" i="22"/>
  <c r="Q795" i="22"/>
  <c r="P795" i="22"/>
  <c r="Q794" i="22"/>
  <c r="P794" i="22"/>
  <c r="Q793" i="22"/>
  <c r="P793" i="22"/>
  <c r="Q792" i="22"/>
  <c r="P792" i="22"/>
  <c r="Q791" i="22"/>
  <c r="P791" i="22"/>
  <c r="Q790" i="22"/>
  <c r="P790" i="22"/>
  <c r="Q789" i="22"/>
  <c r="P789" i="22"/>
  <c r="Q788" i="22"/>
  <c r="P788" i="22"/>
  <c r="Q787" i="22"/>
  <c r="P787" i="22"/>
  <c r="Q786" i="22"/>
  <c r="P786" i="22"/>
  <c r="Q785" i="22"/>
  <c r="P785" i="22"/>
  <c r="Q784" i="22"/>
  <c r="P784" i="22"/>
  <c r="Q783" i="22"/>
  <c r="P783" i="22"/>
  <c r="Q782" i="22"/>
  <c r="P782" i="22"/>
  <c r="Q781" i="22"/>
  <c r="P781" i="22"/>
  <c r="Q780" i="22"/>
  <c r="P780" i="22"/>
  <c r="Q779" i="22"/>
  <c r="P779" i="22"/>
  <c r="Q778" i="22"/>
  <c r="P778" i="22"/>
  <c r="Q777" i="22"/>
  <c r="P777" i="22"/>
  <c r="Q776" i="22"/>
  <c r="P776" i="22"/>
  <c r="Q775" i="22"/>
  <c r="P775" i="22"/>
  <c r="Q774" i="22"/>
  <c r="P774" i="22"/>
  <c r="Q773" i="22"/>
  <c r="P773" i="22"/>
  <c r="Q772" i="22"/>
  <c r="P772" i="22"/>
  <c r="Q771" i="22"/>
  <c r="P771" i="22"/>
  <c r="Q770" i="22"/>
  <c r="P770" i="22"/>
  <c r="Q769" i="22"/>
  <c r="P769" i="22"/>
  <c r="Q766" i="22"/>
  <c r="P766" i="22"/>
  <c r="Q765" i="22"/>
  <c r="P765" i="22"/>
  <c r="Q764" i="22"/>
  <c r="P764" i="22"/>
  <c r="Q761" i="22"/>
  <c r="P761" i="22"/>
  <c r="Q760" i="22"/>
  <c r="P760" i="22"/>
  <c r="Q759" i="22"/>
  <c r="P759" i="22"/>
  <c r="Q758" i="22"/>
  <c r="P758" i="22"/>
  <c r="Q757" i="22"/>
  <c r="P757" i="22"/>
  <c r="Q756" i="22"/>
  <c r="P756" i="22"/>
  <c r="Q755" i="22"/>
  <c r="P755" i="22"/>
  <c r="Q754" i="22"/>
  <c r="P754" i="22"/>
  <c r="Q753" i="22"/>
  <c r="P753" i="22"/>
  <c r="Q752" i="22"/>
  <c r="P752" i="22"/>
  <c r="Q751" i="22"/>
  <c r="P751" i="22"/>
  <c r="Q750" i="22"/>
  <c r="P750" i="22"/>
  <c r="Q749" i="22"/>
  <c r="P749" i="22"/>
  <c r="Q748" i="22"/>
  <c r="P748" i="22"/>
  <c r="Q747" i="22"/>
  <c r="P747" i="22"/>
  <c r="Q746" i="22"/>
  <c r="P746" i="22"/>
  <c r="Q745" i="22"/>
  <c r="P745" i="22"/>
  <c r="Q744" i="22"/>
  <c r="P744" i="22"/>
  <c r="Q743" i="22"/>
  <c r="P743" i="22"/>
  <c r="Q742" i="22"/>
  <c r="P742" i="22"/>
  <c r="Q741" i="22"/>
  <c r="P741" i="22"/>
  <c r="Q740" i="22"/>
  <c r="P740" i="22"/>
  <c r="Q739" i="22"/>
  <c r="P739" i="22"/>
  <c r="Q738" i="22"/>
  <c r="P738" i="22"/>
  <c r="Q737" i="22"/>
  <c r="P737" i="22"/>
  <c r="Q736" i="22"/>
  <c r="P736" i="22"/>
  <c r="Q735" i="22"/>
  <c r="P735" i="22"/>
  <c r="Q734" i="22"/>
  <c r="P734" i="22"/>
  <c r="Q733" i="22"/>
  <c r="P733" i="22"/>
  <c r="Q732" i="22"/>
  <c r="P732" i="22"/>
  <c r="Q731" i="22"/>
  <c r="P731" i="22"/>
  <c r="Q730" i="22"/>
  <c r="P730" i="22"/>
  <c r="Q729" i="22"/>
  <c r="P729" i="22"/>
  <c r="Q728" i="22"/>
  <c r="P728" i="22"/>
  <c r="Q727" i="22"/>
  <c r="P727" i="22"/>
  <c r="Q726" i="22"/>
  <c r="P726" i="22"/>
  <c r="Q725" i="22"/>
  <c r="P725" i="22"/>
  <c r="Q724" i="22"/>
  <c r="P724" i="22"/>
  <c r="Q723" i="22"/>
  <c r="P723" i="22"/>
  <c r="Q722" i="22"/>
  <c r="P722" i="22"/>
  <c r="Q721" i="22"/>
  <c r="P721" i="22"/>
  <c r="Q720" i="22"/>
  <c r="P720" i="22"/>
  <c r="Q719" i="22"/>
  <c r="P719" i="22"/>
  <c r="Q716" i="22"/>
  <c r="P716" i="22"/>
  <c r="Q715" i="22"/>
  <c r="P715" i="22"/>
  <c r="Q714" i="22"/>
  <c r="P714" i="22"/>
  <c r="Q713" i="22"/>
  <c r="P713" i="22"/>
  <c r="Q712" i="22"/>
  <c r="P712" i="22"/>
  <c r="Q711" i="22"/>
  <c r="P711" i="22"/>
  <c r="Q710" i="22"/>
  <c r="P710" i="22"/>
  <c r="Q709" i="22"/>
  <c r="P709" i="22"/>
  <c r="Q708" i="22"/>
  <c r="P708" i="22"/>
  <c r="Q707" i="22"/>
  <c r="P707" i="22"/>
  <c r="Q706" i="22"/>
  <c r="P706" i="22"/>
  <c r="Q705" i="22"/>
  <c r="P705" i="22"/>
  <c r="Q704" i="22"/>
  <c r="P704" i="22"/>
  <c r="Q703" i="22"/>
  <c r="P703" i="22"/>
  <c r="Q702" i="22"/>
  <c r="P702" i="22"/>
  <c r="Q701" i="22"/>
  <c r="P701" i="22"/>
  <c r="Q700" i="22"/>
  <c r="P700" i="22"/>
  <c r="Q699" i="22"/>
  <c r="P699" i="22"/>
  <c r="Q698" i="22"/>
  <c r="P698" i="22"/>
  <c r="Q697" i="22"/>
  <c r="P697" i="22"/>
  <c r="Q696" i="22"/>
  <c r="P696" i="22"/>
  <c r="Q695" i="22"/>
  <c r="P695" i="22"/>
  <c r="Q694" i="22"/>
  <c r="P694" i="22"/>
  <c r="Q693" i="22"/>
  <c r="P693" i="22"/>
  <c r="Q692" i="22"/>
  <c r="P692" i="22"/>
  <c r="Q690" i="22"/>
  <c r="P690" i="22"/>
  <c r="Q688" i="22"/>
  <c r="P688" i="22"/>
  <c r="Q686" i="22"/>
  <c r="P686" i="22"/>
  <c r="Q685" i="22"/>
  <c r="P685" i="22"/>
  <c r="Q684" i="22"/>
  <c r="P684" i="22"/>
  <c r="Q683" i="22"/>
  <c r="P683" i="22"/>
  <c r="Q682" i="22"/>
  <c r="P682" i="22"/>
  <c r="Q681" i="22"/>
  <c r="P681" i="22"/>
  <c r="Q680" i="22"/>
  <c r="P680" i="22"/>
  <c r="Q679" i="22"/>
  <c r="P679" i="22"/>
  <c r="Q678" i="22"/>
  <c r="P678" i="22"/>
  <c r="Q677" i="22"/>
  <c r="P677" i="22"/>
  <c r="Q676" i="22"/>
  <c r="P676" i="22"/>
  <c r="Q675" i="22"/>
  <c r="P675" i="22"/>
  <c r="Q674" i="22"/>
  <c r="P674" i="22"/>
  <c r="Q673" i="22"/>
  <c r="P673" i="22"/>
  <c r="Q672" i="22"/>
  <c r="P672" i="22"/>
  <c r="Q671" i="22"/>
  <c r="P671" i="22"/>
  <c r="Q670" i="22"/>
  <c r="P670" i="22"/>
  <c r="Q669" i="22"/>
  <c r="P669" i="22"/>
  <c r="Q668" i="22"/>
  <c r="P668" i="22"/>
  <c r="Q667" i="22"/>
  <c r="P667" i="22"/>
  <c r="Q666" i="22"/>
  <c r="P666" i="22"/>
  <c r="Q665" i="22"/>
  <c r="P665" i="22"/>
  <c r="Q664" i="22"/>
  <c r="P664" i="22"/>
  <c r="Q663" i="22"/>
  <c r="P663" i="22"/>
  <c r="Q660" i="22"/>
  <c r="P660" i="22"/>
  <c r="Q659" i="22"/>
  <c r="P659" i="22"/>
  <c r="Q658" i="22"/>
  <c r="P658" i="22"/>
  <c r="Q657" i="22"/>
  <c r="P657" i="22"/>
  <c r="Q656" i="22"/>
  <c r="P656" i="22"/>
  <c r="Q653" i="22"/>
  <c r="P653" i="22"/>
  <c r="Q652" i="22"/>
  <c r="P652" i="22"/>
  <c r="Q651" i="22"/>
  <c r="P651" i="22"/>
  <c r="Q650" i="22"/>
  <c r="P650" i="22"/>
  <c r="Q649" i="22"/>
  <c r="P649" i="22"/>
  <c r="Q648" i="22"/>
  <c r="P648" i="22"/>
  <c r="Q647" i="22"/>
  <c r="P647" i="22"/>
  <c r="Q646" i="22"/>
  <c r="P646" i="22"/>
  <c r="Q645" i="22"/>
  <c r="P645" i="22"/>
  <c r="Q644" i="22"/>
  <c r="P644" i="22"/>
  <c r="Q643" i="22"/>
  <c r="P643" i="22"/>
  <c r="Q642" i="22"/>
  <c r="P642" i="22"/>
  <c r="Q641" i="22"/>
  <c r="P641" i="22"/>
  <c r="Q640" i="22"/>
  <c r="P640" i="22"/>
  <c r="Q639" i="22"/>
  <c r="P639" i="22"/>
  <c r="Q638" i="22"/>
  <c r="P638" i="22"/>
  <c r="Q637" i="22"/>
  <c r="P637" i="22"/>
  <c r="Q636" i="22"/>
  <c r="P636" i="22"/>
  <c r="Q635" i="22"/>
  <c r="P635" i="22"/>
  <c r="Q632" i="22"/>
  <c r="P632" i="22"/>
  <c r="Q631" i="22"/>
  <c r="P631" i="22"/>
  <c r="Q630" i="22"/>
  <c r="P630" i="22"/>
  <c r="Q629" i="22"/>
  <c r="P629" i="22"/>
  <c r="Q628" i="22"/>
  <c r="P628" i="22"/>
  <c r="Q627" i="22"/>
  <c r="P627" i="22"/>
  <c r="Q626" i="22"/>
  <c r="P626" i="22"/>
  <c r="Q625" i="22"/>
  <c r="P625" i="22"/>
  <c r="Q624" i="22"/>
  <c r="P624" i="22"/>
  <c r="Q623" i="22"/>
  <c r="P623" i="22"/>
  <c r="Q622" i="22"/>
  <c r="P622" i="22"/>
  <c r="Q621" i="22"/>
  <c r="P621" i="22"/>
  <c r="Q620" i="22"/>
  <c r="P620" i="22"/>
  <c r="Q617" i="22"/>
  <c r="P617" i="22"/>
  <c r="Q616" i="22"/>
  <c r="P616" i="22"/>
  <c r="Q615" i="22"/>
  <c r="P615" i="22"/>
  <c r="Q614" i="22"/>
  <c r="P614" i="22"/>
  <c r="Q613" i="22"/>
  <c r="P613" i="22"/>
  <c r="Q612" i="22"/>
  <c r="P612" i="22"/>
  <c r="Q611" i="22"/>
  <c r="P611" i="22"/>
  <c r="Q610" i="22"/>
  <c r="P610" i="22"/>
  <c r="Q609" i="22"/>
  <c r="P609" i="22"/>
  <c r="Q608" i="22"/>
  <c r="P608" i="22"/>
  <c r="Q607" i="22"/>
  <c r="P607" i="22"/>
  <c r="Q604" i="22"/>
  <c r="P604" i="22"/>
  <c r="Q603" i="22"/>
  <c r="P603" i="22"/>
  <c r="Q602" i="22"/>
  <c r="P602" i="22"/>
  <c r="Q601" i="22"/>
  <c r="P601" i="22"/>
  <c r="Q600" i="22"/>
  <c r="P600" i="22"/>
  <c r="Q599" i="22"/>
  <c r="P599" i="22"/>
  <c r="Q598" i="22"/>
  <c r="P598" i="22"/>
  <c r="Q597" i="22"/>
  <c r="P597" i="22"/>
  <c r="Q596" i="22"/>
  <c r="P596" i="22"/>
  <c r="Q595" i="22"/>
  <c r="P595" i="22"/>
  <c r="Q594" i="22"/>
  <c r="P594" i="22"/>
  <c r="Q593" i="22"/>
  <c r="P593" i="22"/>
  <c r="Q592" i="22"/>
  <c r="P592" i="22"/>
  <c r="Q591" i="22"/>
  <c r="P591" i="22"/>
  <c r="Q590" i="22"/>
  <c r="P590" i="22"/>
  <c r="Q589" i="22"/>
  <c r="P589" i="22"/>
  <c r="Q588" i="22"/>
  <c r="P588" i="22"/>
  <c r="Q587" i="22"/>
  <c r="P587" i="22"/>
  <c r="Q586" i="22"/>
  <c r="P586" i="22"/>
  <c r="Q585" i="22"/>
  <c r="P585" i="22"/>
  <c r="Q584" i="22"/>
  <c r="P584" i="22"/>
  <c r="Q583" i="22"/>
  <c r="P583" i="22"/>
  <c r="Q582" i="22"/>
  <c r="P582" i="22"/>
  <c r="Q581" i="22"/>
  <c r="P581" i="22"/>
  <c r="Q580" i="22"/>
  <c r="P580" i="22"/>
  <c r="Q579" i="22"/>
  <c r="P579" i="22"/>
  <c r="Q578" i="22"/>
  <c r="P578" i="22"/>
  <c r="Q577" i="22"/>
  <c r="P577" i="22"/>
  <c r="Q576" i="22"/>
  <c r="P576" i="22"/>
  <c r="Q575" i="22"/>
  <c r="P575" i="22"/>
  <c r="Q573" i="22"/>
  <c r="P573" i="22"/>
  <c r="Q571" i="22"/>
  <c r="P571" i="22"/>
  <c r="Q569" i="22"/>
  <c r="P569" i="22"/>
  <c r="Q568" i="22"/>
  <c r="P568" i="22"/>
  <c r="Q567" i="22"/>
  <c r="P567" i="22"/>
  <c r="Q566" i="22"/>
  <c r="P566" i="22"/>
  <c r="Q563" i="22"/>
  <c r="P563" i="22"/>
  <c r="Q562" i="22"/>
  <c r="P562" i="22"/>
  <c r="Q561" i="22"/>
  <c r="P561" i="22"/>
  <c r="Q560" i="22"/>
  <c r="P560" i="22"/>
  <c r="Q559" i="22"/>
  <c r="P559" i="22"/>
  <c r="Q558" i="22"/>
  <c r="P558" i="22"/>
  <c r="Q557" i="22"/>
  <c r="P557" i="22"/>
  <c r="Q556" i="22"/>
  <c r="P556" i="22"/>
  <c r="Q555" i="22"/>
  <c r="P555" i="22"/>
  <c r="Q554" i="22"/>
  <c r="P554" i="22"/>
  <c r="Q553" i="22"/>
  <c r="P553" i="22"/>
  <c r="Q552" i="22"/>
  <c r="P552" i="22"/>
  <c r="Q551" i="22"/>
  <c r="P551" i="22"/>
  <c r="Q550" i="22"/>
  <c r="P550" i="22"/>
  <c r="Q549" i="22"/>
  <c r="P549" i="22"/>
  <c r="Q548" i="22"/>
  <c r="P548" i="22"/>
  <c r="Q547" i="22"/>
  <c r="P547" i="22"/>
  <c r="Q546" i="22"/>
  <c r="P546" i="22"/>
  <c r="Q545" i="22"/>
  <c r="P545" i="22"/>
  <c r="Q544" i="22"/>
  <c r="P544" i="22"/>
  <c r="Q543" i="22"/>
  <c r="P543" i="22"/>
  <c r="Q542" i="22"/>
  <c r="P542" i="22"/>
  <c r="Q541" i="22"/>
  <c r="P541" i="22"/>
  <c r="Q540" i="22"/>
  <c r="P540" i="22"/>
  <c r="Q539" i="22"/>
  <c r="P539" i="22"/>
  <c r="Q538" i="22"/>
  <c r="P538" i="22"/>
  <c r="Q537" i="22"/>
  <c r="P537" i="22"/>
  <c r="Q536" i="22"/>
  <c r="P536" i="22"/>
  <c r="Q535" i="22"/>
  <c r="P535" i="22"/>
  <c r="Q534" i="22"/>
  <c r="P534" i="22"/>
  <c r="Q533" i="22"/>
  <c r="P533" i="22"/>
  <c r="Q532" i="22"/>
  <c r="P532" i="22"/>
  <c r="Q531" i="22"/>
  <c r="P531" i="22"/>
  <c r="Q530" i="22"/>
  <c r="P530" i="22"/>
  <c r="Q529" i="22"/>
  <c r="P529" i="22"/>
  <c r="Q528" i="22"/>
  <c r="P528" i="22"/>
  <c r="Q527" i="22"/>
  <c r="P527" i="22"/>
  <c r="Q526" i="22"/>
  <c r="P526" i="22"/>
  <c r="Q525" i="22"/>
  <c r="P525" i="22"/>
  <c r="Q524" i="22"/>
  <c r="P524" i="22"/>
  <c r="Q523" i="22"/>
  <c r="P523" i="22"/>
  <c r="Q522" i="22"/>
  <c r="P522" i="22"/>
  <c r="Q521" i="22"/>
  <c r="P521" i="22"/>
  <c r="Q520" i="22"/>
  <c r="P520" i="22"/>
  <c r="Q519" i="22"/>
  <c r="P519" i="22"/>
  <c r="Q518" i="22"/>
  <c r="P518" i="22"/>
  <c r="Q517" i="22"/>
  <c r="P517" i="22"/>
  <c r="Q516" i="22"/>
  <c r="P516" i="22"/>
  <c r="Q515" i="22"/>
  <c r="P515" i="22"/>
  <c r="Q514" i="22"/>
  <c r="P514" i="22"/>
  <c r="Q513" i="22"/>
  <c r="P513" i="22"/>
  <c r="Q512" i="22"/>
  <c r="P512" i="22"/>
  <c r="Q511" i="22"/>
  <c r="P511" i="22"/>
  <c r="Q510" i="22"/>
  <c r="P510" i="22"/>
  <c r="Q509" i="22"/>
  <c r="P509" i="22"/>
  <c r="Q508" i="22"/>
  <c r="P508" i="22"/>
  <c r="Q507" i="22"/>
  <c r="P507" i="22"/>
  <c r="Q506" i="22"/>
  <c r="P506" i="22"/>
  <c r="Q505" i="22"/>
  <c r="P505" i="22"/>
  <c r="Q504" i="22"/>
  <c r="P504" i="22"/>
  <c r="Q503" i="22"/>
  <c r="P503" i="22"/>
  <c r="Q502" i="22"/>
  <c r="P502" i="22"/>
  <c r="Q501" i="22"/>
  <c r="P501" i="22"/>
  <c r="Q500" i="22"/>
  <c r="P500" i="22"/>
  <c r="Q499" i="22"/>
  <c r="P499" i="22"/>
  <c r="Q498" i="22"/>
  <c r="P498" i="22"/>
  <c r="Q497" i="22"/>
  <c r="P497" i="22"/>
  <c r="Q496" i="22"/>
  <c r="P496" i="22"/>
  <c r="Q495" i="22"/>
  <c r="P495" i="22"/>
  <c r="Q494" i="22"/>
  <c r="P494" i="22"/>
  <c r="Q493" i="22"/>
  <c r="P493" i="22"/>
  <c r="Q492" i="22"/>
  <c r="P492" i="22"/>
  <c r="Q491" i="22"/>
  <c r="P491" i="22"/>
  <c r="Q490" i="22"/>
  <c r="P490" i="22"/>
  <c r="Q489" i="22"/>
  <c r="P489" i="22"/>
  <c r="Q488" i="22"/>
  <c r="P488" i="22"/>
  <c r="Q487" i="22"/>
  <c r="P487" i="22"/>
  <c r="Q482" i="22"/>
  <c r="P482" i="22"/>
  <c r="Q477" i="22"/>
  <c r="P477" i="22"/>
  <c r="Q472" i="22"/>
  <c r="P472" i="22"/>
  <c r="Q467" i="22"/>
  <c r="P467" i="22"/>
  <c r="Q462" i="22"/>
  <c r="P462" i="22"/>
  <c r="Q457" i="22"/>
  <c r="P457" i="22"/>
  <c r="Q456" i="22"/>
  <c r="P456" i="22"/>
  <c r="Q455" i="22"/>
  <c r="P455" i="22"/>
  <c r="Q454" i="22"/>
  <c r="P454" i="22"/>
  <c r="Q453" i="22"/>
  <c r="P453" i="22"/>
  <c r="Q452" i="22"/>
  <c r="P452" i="22"/>
  <c r="Q451" i="22"/>
  <c r="P451" i="22"/>
  <c r="Q450" i="22"/>
  <c r="P450" i="22"/>
  <c r="Q449" i="22"/>
  <c r="P449" i="22"/>
  <c r="Q448" i="22"/>
  <c r="P448" i="22"/>
  <c r="Q447" i="22"/>
  <c r="P447" i="22"/>
  <c r="Q446" i="22"/>
  <c r="P446" i="22"/>
  <c r="Q445" i="22"/>
  <c r="P445" i="22"/>
  <c r="Q444" i="22"/>
  <c r="P444" i="22"/>
  <c r="Q443" i="22"/>
  <c r="P443" i="22"/>
  <c r="Q442" i="22"/>
  <c r="P442" i="22"/>
  <c r="Q441" i="22"/>
  <c r="P441" i="22"/>
  <c r="Q440" i="22"/>
  <c r="P440" i="22"/>
  <c r="Q439" i="22"/>
  <c r="P439" i="22"/>
  <c r="Q436" i="22"/>
  <c r="P436" i="22"/>
  <c r="Q435" i="22"/>
  <c r="P435" i="22"/>
  <c r="Q434" i="22"/>
  <c r="P434" i="22"/>
  <c r="Q433" i="22"/>
  <c r="P433" i="22"/>
  <c r="Q432" i="22"/>
  <c r="P432" i="22"/>
  <c r="Q431" i="22"/>
  <c r="P431" i="22"/>
  <c r="Q430" i="22"/>
  <c r="P430" i="22"/>
  <c r="Q428" i="22"/>
  <c r="P428" i="22"/>
  <c r="Q426" i="22"/>
  <c r="P426" i="22"/>
  <c r="Q424" i="22"/>
  <c r="P424" i="22"/>
  <c r="Q423" i="22"/>
  <c r="P423" i="22"/>
  <c r="Q422" i="22"/>
  <c r="P422" i="22"/>
  <c r="Q421" i="22"/>
  <c r="P421" i="22"/>
  <c r="Q420" i="22"/>
  <c r="P420" i="22"/>
  <c r="Q419" i="22"/>
  <c r="P419" i="22"/>
  <c r="Q418" i="22"/>
  <c r="P418" i="22"/>
  <c r="Q417" i="22"/>
  <c r="P417" i="22"/>
  <c r="Q416" i="22"/>
  <c r="P416" i="22"/>
  <c r="Q413" i="22"/>
  <c r="P413" i="22"/>
  <c r="Q412" i="22"/>
  <c r="P412" i="22"/>
  <c r="Q411" i="22"/>
  <c r="P411" i="22"/>
  <c r="Q410" i="22"/>
  <c r="P410" i="22"/>
  <c r="Q409" i="22"/>
  <c r="P409" i="22"/>
  <c r="Q408" i="22"/>
  <c r="P408" i="22"/>
  <c r="Q407" i="22"/>
  <c r="P407" i="22"/>
  <c r="Q406" i="22"/>
  <c r="P406" i="22"/>
  <c r="Q405" i="22"/>
  <c r="P405" i="22"/>
  <c r="Q404" i="22"/>
  <c r="P404" i="22"/>
  <c r="Q403" i="22"/>
  <c r="P403" i="22"/>
  <c r="Q402" i="22"/>
  <c r="P402" i="22"/>
  <c r="Q401" i="22"/>
  <c r="P401" i="22"/>
  <c r="Q400" i="22"/>
  <c r="P400" i="22"/>
  <c r="Q399" i="22"/>
  <c r="P399" i="22"/>
  <c r="Q398" i="22"/>
  <c r="P398" i="22"/>
  <c r="Q397" i="22"/>
  <c r="P397" i="22"/>
  <c r="Q396" i="22"/>
  <c r="P396" i="22"/>
  <c r="Q395" i="22"/>
  <c r="P395" i="22"/>
  <c r="Q394" i="22"/>
  <c r="P394" i="22"/>
  <c r="Q393" i="22"/>
  <c r="P393" i="22"/>
  <c r="Q392" i="22"/>
  <c r="P392" i="22"/>
  <c r="Q391" i="22"/>
  <c r="P391" i="22"/>
  <c r="Q390" i="22"/>
  <c r="P390" i="22"/>
  <c r="Q389" i="22"/>
  <c r="P389" i="22"/>
  <c r="Q388" i="22"/>
  <c r="P388" i="22"/>
  <c r="Q387" i="22"/>
  <c r="P387" i="22"/>
  <c r="Q386" i="22"/>
  <c r="P386" i="22"/>
  <c r="Q385" i="22"/>
  <c r="P385" i="22"/>
  <c r="Q384" i="22"/>
  <c r="P384" i="22"/>
  <c r="Q383" i="22"/>
  <c r="P383" i="22"/>
  <c r="Q382" i="22"/>
  <c r="P382" i="22"/>
  <c r="Q379" i="22"/>
  <c r="P379" i="22"/>
  <c r="Q378" i="22"/>
  <c r="P378" i="22"/>
  <c r="Q377" i="22"/>
  <c r="P377" i="22"/>
  <c r="Q376" i="22"/>
  <c r="P376" i="22"/>
  <c r="Q375" i="22"/>
  <c r="P375" i="22"/>
  <c r="Q374" i="22"/>
  <c r="P374" i="22"/>
  <c r="Q373" i="22"/>
  <c r="P373" i="22"/>
  <c r="Q371" i="22"/>
  <c r="P371" i="22"/>
  <c r="Q369" i="22"/>
  <c r="P369" i="22"/>
  <c r="Q367" i="22"/>
  <c r="P367" i="22"/>
  <c r="Q366" i="22"/>
  <c r="P366" i="22"/>
  <c r="Q365" i="22"/>
  <c r="P365" i="22"/>
  <c r="Q364" i="22"/>
  <c r="P364" i="22"/>
  <c r="Q361" i="22"/>
  <c r="P361" i="22"/>
  <c r="Q360" i="22"/>
  <c r="P360" i="22"/>
  <c r="Q355" i="22"/>
  <c r="P355" i="22"/>
  <c r="Q354" i="22"/>
  <c r="P354" i="22"/>
  <c r="Q353" i="22"/>
  <c r="P353" i="22"/>
  <c r="Q352" i="22"/>
  <c r="P352" i="22"/>
  <c r="Q351" i="22"/>
  <c r="P351" i="22"/>
  <c r="Q350" i="22"/>
  <c r="P350" i="22"/>
  <c r="Q349" i="22"/>
  <c r="P349" i="22"/>
  <c r="Q348" i="22"/>
  <c r="P348" i="22"/>
  <c r="Q347" i="22"/>
  <c r="P347" i="22"/>
  <c r="Q346" i="22"/>
  <c r="P346" i="22"/>
  <c r="Q345" i="22"/>
  <c r="P345" i="22"/>
  <c r="Q344" i="22"/>
  <c r="P344" i="22"/>
  <c r="Q343" i="22"/>
  <c r="P343" i="22"/>
  <c r="Q342" i="22"/>
  <c r="P342" i="22"/>
  <c r="Q341" i="22"/>
  <c r="P341" i="22"/>
  <c r="Q340" i="22"/>
  <c r="P340" i="22"/>
  <c r="Q339" i="22"/>
  <c r="P339" i="22"/>
  <c r="Q338" i="22"/>
  <c r="P338" i="22"/>
  <c r="Q337" i="22"/>
  <c r="P337" i="22"/>
  <c r="Q336" i="22"/>
  <c r="P336" i="22"/>
  <c r="Q335" i="22"/>
  <c r="P335" i="22"/>
  <c r="Q334" i="22"/>
  <c r="P334" i="22"/>
  <c r="Q333" i="22"/>
  <c r="P333" i="22"/>
  <c r="Q332" i="22"/>
  <c r="P332" i="22"/>
  <c r="Q331" i="22"/>
  <c r="P331" i="22"/>
  <c r="Q330" i="22"/>
  <c r="P330" i="22"/>
  <c r="Q329" i="22"/>
  <c r="P329" i="22"/>
  <c r="Q328" i="22"/>
  <c r="P328" i="22"/>
  <c r="Q327" i="22"/>
  <c r="P327" i="22"/>
  <c r="Q326" i="22"/>
  <c r="P326" i="22"/>
  <c r="Q325" i="22"/>
  <c r="P325" i="22"/>
  <c r="Q324" i="22"/>
  <c r="P324" i="22"/>
  <c r="Q323" i="22"/>
  <c r="P323" i="22"/>
  <c r="Q322" i="22"/>
  <c r="P322" i="22"/>
  <c r="Q321" i="22"/>
  <c r="P321" i="22"/>
  <c r="Q320" i="22"/>
  <c r="P320" i="22"/>
  <c r="Q319" i="22"/>
  <c r="P319" i="22"/>
  <c r="Q318" i="22"/>
  <c r="P318" i="22"/>
  <c r="Q317" i="22"/>
  <c r="P317" i="22"/>
  <c r="Q316" i="22"/>
  <c r="P316" i="22"/>
  <c r="Q315" i="22"/>
  <c r="P315" i="22"/>
  <c r="Q314" i="22"/>
  <c r="P314" i="22"/>
  <c r="Q313" i="22"/>
  <c r="P313" i="22"/>
  <c r="Q312" i="22"/>
  <c r="P312" i="22"/>
  <c r="Q311" i="22"/>
  <c r="P311" i="22"/>
  <c r="Q310" i="22"/>
  <c r="P310" i="22"/>
  <c r="Q309" i="22"/>
  <c r="P309" i="22"/>
  <c r="Q308" i="22"/>
  <c r="P308" i="22"/>
  <c r="Q307" i="22"/>
  <c r="P307" i="22"/>
  <c r="Q306" i="22"/>
  <c r="P306" i="22"/>
  <c r="Q305" i="22"/>
  <c r="P305" i="22"/>
  <c r="Q304" i="22"/>
  <c r="P304" i="22"/>
  <c r="Q303" i="22"/>
  <c r="P303" i="22"/>
  <c r="Q300" i="22"/>
  <c r="P300" i="22"/>
  <c r="Q299" i="22"/>
  <c r="P299" i="22"/>
  <c r="Q296" i="22"/>
  <c r="P296" i="22"/>
  <c r="Q295" i="22"/>
  <c r="P295" i="22"/>
  <c r="Q294" i="22"/>
  <c r="P294" i="22"/>
  <c r="Q293" i="22"/>
  <c r="P293" i="22"/>
  <c r="Q292" i="22"/>
  <c r="P292" i="22"/>
  <c r="Q291" i="22"/>
  <c r="P291" i="22"/>
  <c r="Q290" i="22"/>
  <c r="P290" i="22"/>
  <c r="Q289" i="22"/>
  <c r="P289" i="22"/>
  <c r="Q288" i="22"/>
  <c r="P288" i="22"/>
  <c r="Q287" i="22"/>
  <c r="P287" i="22"/>
  <c r="Q286" i="22"/>
  <c r="P286" i="22"/>
  <c r="Q285" i="22"/>
  <c r="P285" i="22"/>
  <c r="Q284" i="22"/>
  <c r="P284" i="22"/>
  <c r="Q283" i="22"/>
  <c r="P283" i="22"/>
  <c r="Q282" i="22"/>
  <c r="P282" i="22"/>
  <c r="Q281" i="22"/>
  <c r="P281" i="22"/>
  <c r="Q280" i="22"/>
  <c r="P280" i="22"/>
  <c r="Q279" i="22"/>
  <c r="P279" i="22"/>
  <c r="Q278" i="22"/>
  <c r="P278" i="22"/>
  <c r="Q277" i="22"/>
  <c r="P277" i="22"/>
  <c r="Q276" i="22"/>
  <c r="P276" i="22"/>
  <c r="Q275" i="22"/>
  <c r="P275" i="22"/>
  <c r="Q274" i="22"/>
  <c r="P274" i="22"/>
  <c r="Q273" i="22"/>
  <c r="P273" i="22"/>
  <c r="Q272" i="22"/>
  <c r="P272" i="22"/>
  <c r="Q271" i="22"/>
  <c r="P271" i="22"/>
  <c r="Q270" i="22"/>
  <c r="P270" i="22"/>
  <c r="Q269" i="22"/>
  <c r="P269" i="22"/>
  <c r="Q268" i="22"/>
  <c r="P268" i="22"/>
  <c r="Q267" i="22"/>
  <c r="P267" i="22"/>
  <c r="Q266" i="22"/>
  <c r="P266" i="22"/>
  <c r="Q265" i="22"/>
  <c r="P265" i="22"/>
  <c r="Q260" i="22"/>
  <c r="P260" i="22"/>
  <c r="Q259" i="22"/>
  <c r="P259" i="22"/>
  <c r="Q258" i="22"/>
  <c r="P258" i="22"/>
  <c r="Q257" i="22"/>
  <c r="P257" i="22"/>
  <c r="Q256" i="22"/>
  <c r="P256" i="22"/>
  <c r="Q255" i="22"/>
  <c r="P255" i="22"/>
  <c r="Q254" i="22"/>
  <c r="P254" i="22"/>
  <c r="Q253" i="22"/>
  <c r="P253" i="22"/>
  <c r="Q252" i="22"/>
  <c r="P252" i="22"/>
  <c r="Q251" i="22"/>
  <c r="P251" i="22"/>
  <c r="Q250" i="22"/>
  <c r="P250" i="22"/>
  <c r="Q249" i="22"/>
  <c r="P249" i="22"/>
  <c r="Q248" i="22"/>
  <c r="P248" i="22"/>
  <c r="Q247" i="22"/>
  <c r="P247" i="22"/>
  <c r="Q246" i="22"/>
  <c r="P246" i="22"/>
  <c r="Q245" i="22"/>
  <c r="P245" i="22"/>
  <c r="Q244" i="22"/>
  <c r="P244" i="22"/>
  <c r="Q243" i="22"/>
  <c r="P243" i="22"/>
  <c r="Q242" i="22"/>
  <c r="P242" i="22"/>
  <c r="Q235" i="22"/>
  <c r="P235" i="22"/>
  <c r="Q234" i="22"/>
  <c r="P234" i="22"/>
  <c r="Q233" i="22"/>
  <c r="P233" i="22"/>
  <c r="Q232" i="22"/>
  <c r="P232" i="22"/>
  <c r="Q231" i="22"/>
  <c r="P231" i="22"/>
  <c r="Q230" i="22"/>
  <c r="P230" i="22"/>
  <c r="Q229" i="22"/>
  <c r="P229" i="22"/>
  <c r="Q228" i="22"/>
  <c r="P228" i="22"/>
  <c r="Q227" i="22"/>
  <c r="P227" i="22"/>
  <c r="Q226" i="22"/>
  <c r="P226" i="22"/>
  <c r="Q225" i="22"/>
  <c r="P225" i="22"/>
  <c r="Q224" i="22"/>
  <c r="P224" i="22"/>
  <c r="Q223" i="22"/>
  <c r="P223" i="22"/>
  <c r="Q222" i="22"/>
  <c r="P222" i="22"/>
  <c r="Q221" i="22"/>
  <c r="P221" i="22"/>
  <c r="Q220" i="22"/>
  <c r="P220" i="22"/>
  <c r="Q219" i="22"/>
  <c r="P219" i="22"/>
  <c r="Q218" i="22"/>
  <c r="P218" i="22"/>
  <c r="Q217" i="22"/>
  <c r="P217" i="22"/>
  <c r="Q216" i="22"/>
  <c r="P216" i="22"/>
  <c r="Q215" i="22"/>
  <c r="P215" i="22"/>
  <c r="Q214" i="22"/>
  <c r="P214" i="22"/>
  <c r="Q213" i="22"/>
  <c r="P213" i="22"/>
  <c r="Q212" i="22"/>
  <c r="P212" i="22"/>
  <c r="Q211" i="22"/>
  <c r="P211" i="22"/>
  <c r="Q210" i="22"/>
  <c r="P210" i="22"/>
  <c r="Q209" i="22"/>
  <c r="P209" i="22"/>
  <c r="Q208" i="22"/>
  <c r="P208" i="22"/>
  <c r="Q207" i="22"/>
  <c r="P207" i="22"/>
  <c r="Q206" i="22"/>
  <c r="P206" i="22"/>
  <c r="Q205" i="22"/>
  <c r="P205" i="22"/>
  <c r="Q204" i="22"/>
  <c r="P204" i="22"/>
  <c r="Q199" i="22"/>
  <c r="P199" i="22"/>
  <c r="Q198" i="22"/>
  <c r="P198" i="22"/>
  <c r="Q197" i="22"/>
  <c r="P197" i="22"/>
  <c r="Q192" i="22"/>
  <c r="P192" i="22"/>
  <c r="Q187" i="22"/>
  <c r="P187" i="22"/>
  <c r="Q182" i="22"/>
  <c r="P182" i="22"/>
  <c r="Q177" i="22"/>
  <c r="P177" i="22"/>
  <c r="Q172" i="22"/>
  <c r="P172" i="22"/>
  <c r="Q171" i="22"/>
  <c r="P171" i="22"/>
  <c r="Q170" i="22"/>
  <c r="P170" i="22"/>
  <c r="Q169" i="22"/>
  <c r="P169" i="22"/>
  <c r="Q168" i="22"/>
  <c r="P168" i="22"/>
  <c r="Q167" i="22"/>
  <c r="P167" i="22"/>
  <c r="Q166" i="22"/>
  <c r="P166" i="22"/>
  <c r="Q165" i="22"/>
  <c r="P165" i="22"/>
  <c r="Q164" i="22"/>
  <c r="P164" i="22"/>
  <c r="Q163" i="22"/>
  <c r="P163" i="22"/>
  <c r="Q162" i="22"/>
  <c r="P162" i="22"/>
  <c r="Q161" i="22"/>
  <c r="P161" i="22"/>
  <c r="Q160" i="22"/>
  <c r="P160" i="22"/>
  <c r="Q159" i="22"/>
  <c r="P159" i="22"/>
  <c r="Q158" i="22"/>
  <c r="P158" i="22"/>
  <c r="Q157" i="22"/>
  <c r="P157" i="22"/>
  <c r="Q156" i="22"/>
  <c r="P156" i="22"/>
  <c r="Q155" i="22"/>
  <c r="P155" i="22"/>
  <c r="Q152" i="22"/>
  <c r="P152" i="22"/>
  <c r="Q151" i="22"/>
  <c r="P151" i="22"/>
  <c r="Q150" i="22"/>
  <c r="P150" i="22"/>
  <c r="Q149" i="22"/>
  <c r="P149" i="22"/>
  <c r="Q148" i="22"/>
  <c r="P148" i="22"/>
  <c r="Q147" i="22"/>
  <c r="P147" i="22"/>
  <c r="Q145" i="22"/>
  <c r="P145" i="22"/>
  <c r="Q143" i="22"/>
  <c r="P143" i="22"/>
  <c r="Q141" i="22"/>
  <c r="P141" i="22"/>
  <c r="Q140" i="22"/>
  <c r="P140" i="22"/>
  <c r="Q139" i="22"/>
  <c r="P139" i="22"/>
  <c r="Q138" i="22"/>
  <c r="P138" i="22"/>
  <c r="Q137" i="22"/>
  <c r="P137" i="22"/>
  <c r="Q136" i="22"/>
  <c r="P136" i="22"/>
  <c r="Q135" i="22"/>
  <c r="P135" i="22"/>
  <c r="Q134" i="22"/>
  <c r="P134" i="22"/>
  <c r="Q133" i="22"/>
  <c r="P133" i="22"/>
  <c r="Q132" i="22"/>
  <c r="P132" i="22"/>
  <c r="Q131" i="22"/>
  <c r="P131" i="22"/>
  <c r="Q130" i="22"/>
  <c r="P130" i="22"/>
  <c r="Q129" i="22"/>
  <c r="P129" i="22"/>
  <c r="Q128" i="22"/>
  <c r="P128" i="22"/>
  <c r="Q127" i="22"/>
  <c r="P127" i="22"/>
  <c r="Q126" i="22"/>
  <c r="P126" i="22"/>
  <c r="Q125" i="22"/>
  <c r="P125" i="22"/>
  <c r="Q124" i="22"/>
  <c r="P124" i="22"/>
  <c r="Q123" i="22"/>
  <c r="P123" i="22"/>
  <c r="Q122" i="22"/>
  <c r="P122" i="22"/>
  <c r="Q121" i="22"/>
  <c r="P121" i="22"/>
  <c r="Q120" i="22"/>
  <c r="P120" i="22"/>
  <c r="Q119" i="22"/>
  <c r="P119" i="22"/>
  <c r="Q118" i="22"/>
  <c r="P118" i="22"/>
  <c r="Q117" i="22"/>
  <c r="P117" i="22"/>
  <c r="Q116" i="22"/>
  <c r="P116" i="22"/>
  <c r="Q115" i="22"/>
  <c r="P115" i="22"/>
  <c r="Q114" i="22"/>
  <c r="P114" i="22"/>
  <c r="Q113" i="22"/>
  <c r="P113" i="22"/>
  <c r="Q112" i="22"/>
  <c r="P112" i="22"/>
  <c r="Q111" i="22"/>
  <c r="P111" i="22"/>
  <c r="Q110" i="22"/>
  <c r="P110" i="22"/>
  <c r="Q109" i="22"/>
  <c r="P109" i="22"/>
  <c r="Q108" i="22"/>
  <c r="P108" i="22"/>
  <c r="Q107" i="22"/>
  <c r="P107" i="22"/>
  <c r="Q106" i="22"/>
  <c r="P106" i="22"/>
  <c r="Q105" i="22"/>
  <c r="P105" i="22"/>
  <c r="Q104" i="22"/>
  <c r="P104" i="22"/>
  <c r="Q103" i="22"/>
  <c r="P103" i="22"/>
  <c r="Q102" i="22"/>
  <c r="P102" i="22"/>
  <c r="Q101" i="22"/>
  <c r="P101" i="22"/>
  <c r="Q100" i="22"/>
  <c r="P100" i="22"/>
  <c r="Q99" i="22"/>
  <c r="P99" i="22"/>
  <c r="Q98" i="22"/>
  <c r="P98" i="22"/>
  <c r="Q97" i="22"/>
  <c r="P97" i="22"/>
  <c r="Q96" i="22"/>
  <c r="P96" i="22"/>
  <c r="Q95" i="22"/>
  <c r="P95" i="22"/>
  <c r="Q94" i="22"/>
  <c r="P94" i="22"/>
  <c r="Q93" i="22"/>
  <c r="P93" i="22"/>
  <c r="Q92" i="22"/>
  <c r="P92" i="22"/>
  <c r="Q91" i="22"/>
  <c r="P91" i="22"/>
  <c r="Q90" i="22"/>
  <c r="P90" i="22"/>
  <c r="Q89" i="22"/>
  <c r="P89" i="22"/>
  <c r="Q88" i="22"/>
  <c r="P88" i="22"/>
  <c r="Q87" i="22"/>
  <c r="P87" i="22"/>
  <c r="Q86" i="22"/>
  <c r="P86" i="22"/>
  <c r="Q85" i="22"/>
  <c r="P85" i="22"/>
  <c r="Q84" i="22"/>
  <c r="P84" i="22"/>
  <c r="Q83" i="22"/>
  <c r="P83" i="22"/>
  <c r="Q82" i="22"/>
  <c r="P82" i="22"/>
  <c r="Q81" i="22"/>
  <c r="P81" i="22"/>
  <c r="Q80" i="22"/>
  <c r="P80" i="22"/>
  <c r="Q79" i="22"/>
  <c r="P79" i="22"/>
  <c r="Q78" i="22"/>
  <c r="P78" i="22"/>
  <c r="Q77" i="22"/>
  <c r="P77" i="22"/>
  <c r="Q76" i="22"/>
  <c r="P76" i="22"/>
  <c r="Q75" i="22"/>
  <c r="P75" i="22"/>
  <c r="Q74" i="22"/>
  <c r="P74" i="22"/>
  <c r="Q73" i="22"/>
  <c r="P73" i="22"/>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5" i="22"/>
  <c r="P35" i="22"/>
  <c r="Q33" i="22"/>
  <c r="P33"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8" i="22"/>
  <c r="P8" i="22"/>
  <c r="Q5" i="22"/>
  <c r="P5" i="22"/>
  <c r="Q4" i="22"/>
  <c r="P4" i="22"/>
  <c r="Q3" i="22"/>
  <c r="P3" i="22"/>
  <c r="Q2" i="22"/>
  <c r="P2" i="22"/>
  <c r="N1904" i="21"/>
  <c r="M1904" i="21"/>
  <c r="N1903" i="21"/>
  <c r="M1903" i="21"/>
  <c r="N1902" i="21"/>
  <c r="M1902" i="21"/>
  <c r="N1901" i="21"/>
  <c r="M1901" i="21"/>
  <c r="N1900" i="21"/>
  <c r="M1900" i="21"/>
  <c r="N1899" i="21"/>
  <c r="M1899" i="21"/>
  <c r="N1894" i="21"/>
  <c r="M1894" i="21"/>
  <c r="N1893" i="21"/>
  <c r="M1893" i="21"/>
  <c r="N1892" i="21"/>
  <c r="M1892" i="21"/>
  <c r="N1891" i="21"/>
  <c r="M1891" i="21"/>
  <c r="N1890" i="21"/>
  <c r="M1890" i="21"/>
  <c r="N1889" i="21"/>
  <c r="M1889" i="21"/>
  <c r="N1888" i="21"/>
  <c r="M1888" i="21"/>
  <c r="N1887" i="21"/>
  <c r="M1887" i="21"/>
  <c r="N1886" i="21"/>
  <c r="M1886" i="21"/>
  <c r="N1885" i="21"/>
  <c r="M1885" i="21"/>
  <c r="N1884" i="21"/>
  <c r="M1884" i="21"/>
  <c r="N1883" i="21"/>
  <c r="M1883" i="21"/>
  <c r="N1882" i="21"/>
  <c r="M1882" i="21"/>
  <c r="N1881" i="21"/>
  <c r="M1881" i="21"/>
  <c r="N1880" i="21"/>
  <c r="M1880" i="21"/>
  <c r="N1879" i="21"/>
  <c r="M1879" i="21"/>
  <c r="N1878" i="21"/>
  <c r="M1878" i="21"/>
  <c r="N1877" i="21"/>
  <c r="M1877" i="21"/>
  <c r="N1876" i="21"/>
  <c r="M1876" i="21"/>
  <c r="N1875" i="21"/>
  <c r="M1875" i="21"/>
  <c r="N1874" i="21"/>
  <c r="M1874" i="21"/>
  <c r="N1873" i="21"/>
  <c r="M1873" i="21"/>
  <c r="N1872" i="21"/>
  <c r="M1872" i="21"/>
  <c r="N1871" i="21"/>
  <c r="M1871" i="21"/>
  <c r="N1870" i="21"/>
  <c r="M1870" i="21"/>
  <c r="N1869" i="21"/>
  <c r="M1869" i="21"/>
  <c r="N1868" i="21"/>
  <c r="M1868" i="21"/>
  <c r="N1867" i="21"/>
  <c r="M1867" i="21"/>
  <c r="N1866" i="21"/>
  <c r="M1866" i="21"/>
  <c r="N1865" i="21"/>
  <c r="M1865" i="21"/>
  <c r="N1864" i="21"/>
  <c r="M1864" i="21"/>
  <c r="N1863" i="21"/>
  <c r="M1863" i="21"/>
  <c r="N1862" i="21"/>
  <c r="M1862" i="21"/>
  <c r="N1861" i="21"/>
  <c r="M1861" i="21"/>
  <c r="N1860" i="21"/>
  <c r="M1860" i="21"/>
  <c r="N1859" i="21"/>
  <c r="M1859" i="21"/>
  <c r="N1858" i="21"/>
  <c r="M1858" i="21"/>
  <c r="N1857" i="21"/>
  <c r="M1857" i="21"/>
  <c r="N1856" i="21"/>
  <c r="M1856" i="21"/>
  <c r="N1855" i="21"/>
  <c r="M1855" i="21"/>
  <c r="N1854" i="21"/>
  <c r="M1854" i="21"/>
  <c r="N1853" i="21"/>
  <c r="M1853" i="21"/>
  <c r="N1852" i="21"/>
  <c r="M1852" i="21"/>
  <c r="N1851" i="21"/>
  <c r="M1851" i="21"/>
  <c r="N1850" i="21"/>
  <c r="M1850" i="21"/>
  <c r="N1849" i="21"/>
  <c r="M1849" i="21"/>
  <c r="N1848" i="21"/>
  <c r="M1848" i="21"/>
  <c r="N1847" i="21"/>
  <c r="M1847" i="21"/>
  <c r="N1846" i="21"/>
  <c r="M1846" i="21"/>
  <c r="N1845" i="21"/>
  <c r="M1845" i="21"/>
  <c r="N1844" i="21"/>
  <c r="M1844" i="21"/>
  <c r="N1843" i="21"/>
  <c r="M1843" i="21"/>
  <c r="N1840" i="21"/>
  <c r="M1840" i="21"/>
  <c r="N1839" i="21"/>
  <c r="M1839" i="21"/>
  <c r="N1838" i="21"/>
  <c r="M1838" i="21"/>
  <c r="N1837" i="21"/>
  <c r="M1837" i="21"/>
  <c r="N1836" i="21"/>
  <c r="M1836" i="21"/>
  <c r="N1835" i="21"/>
  <c r="M1835" i="21"/>
  <c r="N1834" i="21"/>
  <c r="M1834" i="21"/>
  <c r="N1833" i="21"/>
  <c r="M1833" i="21"/>
  <c r="N1832" i="21"/>
  <c r="M1832" i="21"/>
  <c r="N1831" i="21"/>
  <c r="M1831" i="21"/>
  <c r="N1830" i="21"/>
  <c r="M1830" i="21"/>
  <c r="N1829" i="21"/>
  <c r="M1829" i="21"/>
  <c r="N1828" i="21"/>
  <c r="M1828" i="21"/>
  <c r="N1827" i="21"/>
  <c r="M1827" i="21"/>
  <c r="N1826" i="21"/>
  <c r="M1826" i="21"/>
  <c r="N1825" i="21"/>
  <c r="M1825" i="21"/>
  <c r="N1824" i="21"/>
  <c r="M1824" i="21"/>
  <c r="N1823" i="21"/>
  <c r="M1823" i="21"/>
  <c r="N1822" i="21"/>
  <c r="M1822" i="21"/>
  <c r="N1821" i="21"/>
  <c r="M1821" i="21"/>
  <c r="N1820" i="21"/>
  <c r="M1820" i="21"/>
  <c r="N1819" i="21"/>
  <c r="M1819" i="21"/>
  <c r="N1818" i="21"/>
  <c r="M1818" i="21"/>
  <c r="N1809" i="21"/>
  <c r="M1809" i="21"/>
  <c r="N1808" i="21"/>
  <c r="M1808" i="21"/>
  <c r="N1807" i="21"/>
  <c r="M1807" i="21"/>
  <c r="N1806" i="21"/>
  <c r="M1806" i="21"/>
  <c r="N1805" i="21"/>
  <c r="M1805" i="21"/>
  <c r="N1804" i="21"/>
  <c r="M1804" i="21"/>
  <c r="N1803" i="21"/>
  <c r="M1803" i="21"/>
  <c r="N1802" i="21"/>
  <c r="M1802" i="21"/>
  <c r="N1801" i="21"/>
  <c r="M1801" i="21"/>
  <c r="N1798" i="21"/>
  <c r="M1798" i="21"/>
  <c r="N1797" i="21"/>
  <c r="M1797" i="21"/>
  <c r="N1796" i="21"/>
  <c r="M1796" i="21"/>
  <c r="N1795" i="21"/>
  <c r="M1795" i="21"/>
  <c r="N1794" i="21"/>
  <c r="M1794" i="21"/>
  <c r="N1793" i="21"/>
  <c r="M1793" i="21"/>
  <c r="N1792" i="21"/>
  <c r="M1792" i="21"/>
  <c r="N1791" i="21"/>
  <c r="M1791" i="21"/>
  <c r="N1790" i="21"/>
  <c r="M1790" i="21"/>
  <c r="N1789" i="21"/>
  <c r="M1789" i="21"/>
  <c r="N1788" i="21"/>
  <c r="M1788" i="21"/>
  <c r="N1787" i="21"/>
  <c r="M1787" i="21"/>
  <c r="N1786" i="21"/>
  <c r="M1786" i="21"/>
  <c r="N1785" i="21"/>
  <c r="M1785" i="21"/>
  <c r="N1784" i="21"/>
  <c r="M1784" i="21"/>
  <c r="N1783" i="21"/>
  <c r="M1783" i="21"/>
  <c r="N1782" i="21"/>
  <c r="M1782" i="21"/>
  <c r="N1781" i="21"/>
  <c r="M1781" i="21"/>
  <c r="N1780" i="21"/>
  <c r="M1780" i="21"/>
  <c r="N1779" i="21"/>
  <c r="M1779" i="21"/>
  <c r="N1778" i="21"/>
  <c r="M1778" i="21"/>
  <c r="N1775" i="21"/>
  <c r="M1775" i="21"/>
  <c r="N1774" i="21"/>
  <c r="M1774" i="21"/>
  <c r="N1773" i="21"/>
  <c r="M1773" i="21"/>
  <c r="N1772" i="21"/>
  <c r="M1772" i="21"/>
  <c r="N1771" i="21"/>
  <c r="M1771" i="21"/>
  <c r="N1770" i="21"/>
  <c r="M1770" i="21"/>
  <c r="N1769" i="21"/>
  <c r="M1769" i="21"/>
  <c r="N1768" i="21"/>
  <c r="M1768" i="21"/>
  <c r="N1765" i="21"/>
  <c r="M1765" i="21"/>
  <c r="N1764" i="21"/>
  <c r="M1764" i="21"/>
  <c r="N1763" i="21"/>
  <c r="M1763" i="21"/>
  <c r="N1762" i="21"/>
  <c r="M1762" i="21"/>
  <c r="N1761" i="21"/>
  <c r="M1761" i="21"/>
  <c r="N1760" i="21"/>
  <c r="M1760" i="21"/>
  <c r="N1759" i="21"/>
  <c r="M1759" i="21"/>
  <c r="N1758" i="21"/>
  <c r="M1758" i="21"/>
  <c r="N1757" i="21"/>
  <c r="M1757" i="21"/>
  <c r="N1756" i="21"/>
  <c r="M1756" i="21"/>
  <c r="N1755" i="21"/>
  <c r="M1755" i="21"/>
  <c r="N1754" i="21"/>
  <c r="M1754" i="21"/>
  <c r="N1753" i="21"/>
  <c r="M1753" i="21"/>
  <c r="N1752" i="21"/>
  <c r="M1752" i="21"/>
  <c r="N1751" i="21"/>
  <c r="M1751" i="21"/>
  <c r="N1750" i="21"/>
  <c r="M1750" i="21"/>
  <c r="N1749" i="21"/>
  <c r="M1749" i="21"/>
  <c r="N1748" i="21"/>
  <c r="M1748" i="21"/>
  <c r="N1747" i="21"/>
  <c r="M1747" i="21"/>
  <c r="N1746" i="21"/>
  <c r="M1746" i="21"/>
  <c r="N1745" i="21"/>
  <c r="M1745" i="21"/>
  <c r="N1744" i="21"/>
  <c r="M1744" i="21"/>
  <c r="N1743" i="21"/>
  <c r="M1743" i="21"/>
  <c r="N1742" i="21"/>
  <c r="M1742" i="21"/>
  <c r="N1741" i="21"/>
  <c r="M1741" i="21"/>
  <c r="N1740" i="21"/>
  <c r="M1740" i="21"/>
  <c r="N1739" i="21"/>
  <c r="M1739" i="21"/>
  <c r="N1738" i="21"/>
  <c r="M1738" i="21"/>
  <c r="N1737" i="21"/>
  <c r="M1737" i="21"/>
  <c r="N1734" i="21"/>
  <c r="M1734" i="21"/>
  <c r="N1733" i="21"/>
  <c r="M1733" i="21"/>
  <c r="N1732" i="21"/>
  <c r="M1732" i="21"/>
  <c r="N1731" i="21"/>
  <c r="M1731" i="21"/>
  <c r="N1730" i="21"/>
  <c r="M1730" i="21"/>
  <c r="N1729" i="21"/>
  <c r="M1729" i="21"/>
  <c r="N1728" i="21"/>
  <c r="M1728" i="21"/>
  <c r="N1727" i="21"/>
  <c r="M1727" i="21"/>
  <c r="N1726" i="21"/>
  <c r="M1726" i="21"/>
  <c r="N1725" i="21"/>
  <c r="M1725" i="21"/>
  <c r="N1724" i="21"/>
  <c r="M1724" i="21"/>
  <c r="N1723" i="21"/>
  <c r="M1723" i="21"/>
  <c r="N1722" i="21"/>
  <c r="M1722" i="21"/>
  <c r="N1721" i="21"/>
  <c r="M1721" i="21"/>
  <c r="N1720" i="21"/>
  <c r="M1720" i="21"/>
  <c r="N1719" i="21"/>
  <c r="M1719" i="21"/>
  <c r="N1718" i="21"/>
  <c r="M1718" i="21"/>
  <c r="N1717" i="21"/>
  <c r="M1717" i="21"/>
  <c r="N1716" i="21"/>
  <c r="M1716" i="21"/>
  <c r="N1715" i="21"/>
  <c r="M1715" i="21"/>
  <c r="N1714" i="21"/>
  <c r="M1714" i="21"/>
  <c r="N1713" i="21"/>
  <c r="M1713" i="21"/>
  <c r="N1712" i="21"/>
  <c r="M1712" i="21"/>
  <c r="N1711" i="21"/>
  <c r="M1711" i="21"/>
  <c r="N1710" i="21"/>
  <c r="M1710" i="21"/>
  <c r="N1709" i="21"/>
  <c r="M1709" i="21"/>
  <c r="N1708" i="21"/>
  <c r="M1708" i="21"/>
  <c r="N1707" i="21"/>
  <c r="M1707" i="21"/>
  <c r="N1706" i="21"/>
  <c r="M1706" i="21"/>
  <c r="N1705" i="21"/>
  <c r="M1705" i="21"/>
  <c r="N1704" i="21"/>
  <c r="M1704" i="21"/>
  <c r="N1703" i="21"/>
  <c r="M1703" i="21"/>
  <c r="N1702" i="21"/>
  <c r="M1702" i="21"/>
  <c r="N1701" i="21"/>
  <c r="M1701" i="21"/>
  <c r="N1700" i="21"/>
  <c r="M1700" i="21"/>
  <c r="N1699" i="21"/>
  <c r="M1699" i="21"/>
  <c r="N1698" i="21"/>
  <c r="M1698" i="21"/>
  <c r="N1697" i="21"/>
  <c r="M1697" i="21"/>
  <c r="N1696" i="21"/>
  <c r="M1696" i="21"/>
  <c r="N1695" i="21"/>
  <c r="M1695" i="21"/>
  <c r="N1694" i="21"/>
  <c r="M1694" i="21"/>
  <c r="N1693" i="21"/>
  <c r="M1693" i="21"/>
  <c r="N1692" i="21"/>
  <c r="M1692" i="21"/>
  <c r="N1689" i="21"/>
  <c r="M1689" i="21"/>
  <c r="N1688" i="21"/>
  <c r="M1688" i="21"/>
  <c r="N1687" i="21"/>
  <c r="M1687" i="21"/>
  <c r="N1686" i="21"/>
  <c r="M1686" i="21"/>
  <c r="N1685" i="21"/>
  <c r="M1685" i="21"/>
  <c r="N1684" i="21"/>
  <c r="M1684" i="21"/>
  <c r="N1683" i="21"/>
  <c r="M1683" i="21"/>
  <c r="N1682" i="21"/>
  <c r="M1682" i="21"/>
  <c r="N1681" i="21"/>
  <c r="M1681" i="21"/>
  <c r="N1680" i="21"/>
  <c r="M1680" i="21"/>
  <c r="N1679" i="21"/>
  <c r="M1679" i="21"/>
  <c r="N1678" i="21"/>
  <c r="M1678" i="21"/>
  <c r="N1677" i="21"/>
  <c r="M1677" i="21"/>
  <c r="N1676" i="21"/>
  <c r="M1676" i="21"/>
  <c r="N1675" i="21"/>
  <c r="M1675" i="21"/>
  <c r="N1674" i="21"/>
  <c r="M1674" i="21"/>
  <c r="N1673" i="21"/>
  <c r="M1673" i="21"/>
  <c r="N1672" i="21"/>
  <c r="M1672" i="21"/>
  <c r="N1671" i="21"/>
  <c r="M1671" i="21"/>
  <c r="N1670" i="21"/>
  <c r="M1670" i="21"/>
  <c r="N1669" i="21"/>
  <c r="M1669" i="21"/>
  <c r="N1668" i="21"/>
  <c r="M1668" i="21"/>
  <c r="N1667" i="21"/>
  <c r="M1667" i="21"/>
  <c r="N1666" i="21"/>
  <c r="M1666" i="21"/>
  <c r="N1665" i="21"/>
  <c r="M1665" i="21"/>
  <c r="N1662" i="21"/>
  <c r="M1662" i="21"/>
  <c r="N1661" i="21"/>
  <c r="M1661" i="21"/>
  <c r="N1660" i="21"/>
  <c r="M1660" i="21"/>
  <c r="N1659" i="21"/>
  <c r="M1659" i="21"/>
  <c r="N1658" i="21"/>
  <c r="M1658" i="21"/>
  <c r="N1657" i="21"/>
  <c r="M1657" i="21"/>
  <c r="N1656" i="21"/>
  <c r="M1656" i="21"/>
  <c r="N1655" i="21"/>
  <c r="M1655" i="21"/>
  <c r="N1654" i="21"/>
  <c r="M1654" i="21"/>
  <c r="N1653" i="21"/>
  <c r="M1653" i="21"/>
  <c r="N1652" i="21"/>
  <c r="M1652" i="21"/>
  <c r="N1651" i="21"/>
  <c r="M1651" i="21"/>
  <c r="N1650" i="21"/>
  <c r="M1650" i="21"/>
  <c r="N1649" i="21"/>
  <c r="M1649" i="21"/>
  <c r="N1648" i="21"/>
  <c r="M1648" i="21"/>
  <c r="N1645" i="21"/>
  <c r="M1645" i="21"/>
  <c r="N1644" i="21"/>
  <c r="M1644" i="21"/>
  <c r="N1639" i="21"/>
  <c r="M1639" i="21"/>
  <c r="N1638" i="21"/>
  <c r="M1638" i="21"/>
  <c r="N1635" i="21"/>
  <c r="M1635" i="21"/>
  <c r="N1634" i="21"/>
  <c r="M1634" i="21"/>
  <c r="N1633" i="21"/>
  <c r="M1633" i="21"/>
  <c r="N1632" i="21"/>
  <c r="M1632" i="21"/>
  <c r="N1629" i="21"/>
  <c r="M1629" i="21"/>
  <c r="N1628" i="21"/>
  <c r="M1628" i="21"/>
  <c r="N1627" i="21"/>
  <c r="M1627" i="21"/>
  <c r="N1626" i="21"/>
  <c r="M1626" i="21"/>
  <c r="N1625" i="21"/>
  <c r="M1625" i="21"/>
  <c r="N1624" i="21"/>
  <c r="M1624" i="21"/>
  <c r="N1623" i="21"/>
  <c r="M1623" i="21"/>
  <c r="N1622" i="21"/>
  <c r="M1622" i="21"/>
  <c r="N1621" i="21"/>
  <c r="M1621" i="21"/>
  <c r="N1620" i="21"/>
  <c r="M1620" i="21"/>
  <c r="N1619" i="21"/>
  <c r="M1619" i="21"/>
  <c r="N1618" i="21"/>
  <c r="M1618" i="21"/>
  <c r="N1617" i="21"/>
  <c r="M1617" i="21"/>
  <c r="N1616" i="21"/>
  <c r="M1616" i="21"/>
  <c r="N1615" i="21"/>
  <c r="M1615" i="21"/>
  <c r="N1614" i="21"/>
  <c r="M1614" i="21"/>
  <c r="N1613" i="21"/>
  <c r="M1613" i="21"/>
  <c r="N1612" i="21"/>
  <c r="M1612" i="21"/>
  <c r="N1611" i="21"/>
  <c r="M1611" i="21"/>
  <c r="N1610" i="21"/>
  <c r="M1610" i="21"/>
  <c r="N1609" i="21"/>
  <c r="M1609" i="21"/>
  <c r="N1608" i="21"/>
  <c r="M1608" i="21"/>
  <c r="N1607" i="21"/>
  <c r="M1607" i="21"/>
  <c r="N1606" i="21"/>
  <c r="M1606" i="21"/>
  <c r="N1605" i="21"/>
  <c r="M1605" i="21"/>
  <c r="N1604" i="21"/>
  <c r="M1604" i="21"/>
  <c r="N1603" i="21"/>
  <c r="M1603" i="21"/>
  <c r="N1602" i="21"/>
  <c r="M1602" i="21"/>
  <c r="N1601" i="21"/>
  <c r="M1601" i="21"/>
  <c r="N1600" i="21"/>
  <c r="M1600" i="21"/>
  <c r="N1599" i="21"/>
  <c r="M1599" i="21"/>
  <c r="N1598" i="21"/>
  <c r="M1598" i="21"/>
  <c r="N1597" i="21"/>
  <c r="M1597" i="21"/>
  <c r="N1596" i="21"/>
  <c r="M1596" i="21"/>
  <c r="N1595" i="21"/>
  <c r="M1595" i="21"/>
  <c r="N1594" i="21"/>
  <c r="M1594" i="21"/>
  <c r="N1593" i="21"/>
  <c r="M1593" i="21"/>
  <c r="N1592" i="21"/>
  <c r="M1592" i="21"/>
  <c r="N1591" i="21"/>
  <c r="M1591" i="21"/>
  <c r="N1590" i="21"/>
  <c r="M1590" i="21"/>
  <c r="N1589" i="21"/>
  <c r="M1589" i="21"/>
  <c r="N1588" i="21"/>
  <c r="M1588" i="21"/>
  <c r="N1587" i="21"/>
  <c r="M1587" i="21"/>
  <c r="N1586" i="21"/>
  <c r="M1586" i="21"/>
  <c r="N1585" i="21"/>
  <c r="M1585" i="21"/>
  <c r="N1584" i="21"/>
  <c r="M1584" i="21"/>
  <c r="N1583" i="21"/>
  <c r="M1583" i="21"/>
  <c r="N1582" i="21"/>
  <c r="M1582" i="21"/>
  <c r="N1581" i="21"/>
  <c r="M1581" i="21"/>
  <c r="N1580" i="21"/>
  <c r="M1580" i="21"/>
  <c r="N1579" i="21"/>
  <c r="M1579" i="21"/>
  <c r="N1578" i="21"/>
  <c r="M1578" i="21"/>
  <c r="N1577" i="21"/>
  <c r="M1577" i="21"/>
  <c r="N1576" i="21"/>
  <c r="M1576" i="21"/>
  <c r="N1575" i="21"/>
  <c r="M1575" i="21"/>
  <c r="N1574" i="21"/>
  <c r="M1574" i="21"/>
  <c r="N1573" i="21"/>
  <c r="M1573" i="21"/>
  <c r="N1570" i="21"/>
  <c r="M1570" i="21"/>
  <c r="N1569" i="21"/>
  <c r="M1569" i="21"/>
  <c r="N1568" i="21"/>
  <c r="M1568" i="21"/>
  <c r="N1567" i="21"/>
  <c r="M1567" i="21"/>
  <c r="N1566" i="21"/>
  <c r="M1566" i="21"/>
  <c r="N1565" i="21"/>
  <c r="M1565" i="21"/>
  <c r="N1564" i="21"/>
  <c r="M1564" i="21"/>
  <c r="N1563" i="21"/>
  <c r="M1563" i="21"/>
  <c r="N1562" i="21"/>
  <c r="M1562" i="21"/>
  <c r="N1561" i="21"/>
  <c r="M1561" i="21"/>
  <c r="N1560" i="21"/>
  <c r="M1560" i="21"/>
  <c r="N1559" i="21"/>
  <c r="M1559" i="21"/>
  <c r="N1558" i="21"/>
  <c r="M1558" i="21"/>
  <c r="N1557" i="21"/>
  <c r="M1557" i="21"/>
  <c r="N1556" i="21"/>
  <c r="M1556" i="21"/>
  <c r="N1553" i="21"/>
  <c r="M1553" i="21"/>
  <c r="N1552" i="21"/>
  <c r="M1552" i="21"/>
  <c r="N1551" i="21"/>
  <c r="M1551" i="21"/>
  <c r="N1550" i="21"/>
  <c r="M1550" i="21"/>
  <c r="N1549" i="21"/>
  <c r="M1549" i="21"/>
  <c r="N1548" i="21"/>
  <c r="M1548" i="21"/>
  <c r="N1547" i="21"/>
  <c r="M1547" i="21"/>
  <c r="N1546" i="21"/>
  <c r="M1546" i="21"/>
  <c r="N1545" i="21"/>
  <c r="M1545" i="21"/>
  <c r="N1544" i="21"/>
  <c r="M1544" i="21"/>
  <c r="N1541" i="21"/>
  <c r="M1541" i="21"/>
  <c r="N1540" i="21"/>
  <c r="M1540" i="21"/>
  <c r="N1539" i="21"/>
  <c r="M1539" i="21"/>
  <c r="N1538" i="21"/>
  <c r="M1538" i="21"/>
  <c r="N1537" i="21"/>
  <c r="M1537" i="21"/>
  <c r="N1536" i="21"/>
  <c r="M1536" i="21"/>
  <c r="N1535" i="21"/>
  <c r="M1535" i="21"/>
  <c r="N1534" i="21"/>
  <c r="M1534" i="21"/>
  <c r="N1533" i="21"/>
  <c r="M1533" i="21"/>
  <c r="N1532" i="21"/>
  <c r="M1532" i="21"/>
  <c r="N1531" i="21"/>
  <c r="M1531" i="21"/>
  <c r="N1530" i="21"/>
  <c r="M1530" i="21"/>
  <c r="N1529" i="21"/>
  <c r="M1529" i="21"/>
  <c r="N1528" i="21"/>
  <c r="M1528" i="21"/>
  <c r="N1527" i="21"/>
  <c r="M1527" i="21"/>
  <c r="N1526" i="21"/>
  <c r="M1526" i="21"/>
  <c r="N1525" i="21"/>
  <c r="M1525" i="21"/>
  <c r="N1524" i="21"/>
  <c r="M1524" i="21"/>
  <c r="N1523" i="21"/>
  <c r="M1523" i="21"/>
  <c r="N1522" i="21"/>
  <c r="M1522" i="21"/>
  <c r="N1521" i="21"/>
  <c r="M1521" i="21"/>
  <c r="N1520" i="21"/>
  <c r="M1520" i="21"/>
  <c r="N1519" i="21"/>
  <c r="M1519" i="21"/>
  <c r="N1518" i="21"/>
  <c r="M1518" i="21"/>
  <c r="N1517" i="21"/>
  <c r="M1517" i="21"/>
  <c r="N1516" i="21"/>
  <c r="M1516" i="21"/>
  <c r="N1515" i="21"/>
  <c r="M1515" i="21"/>
  <c r="N1514" i="21"/>
  <c r="M1514" i="21"/>
  <c r="N1513" i="21"/>
  <c r="M1513" i="21"/>
  <c r="N1512" i="21"/>
  <c r="M1512" i="21"/>
  <c r="N1511" i="21"/>
  <c r="M1511" i="21"/>
  <c r="N1510" i="21"/>
  <c r="M1510" i="21"/>
  <c r="N1509" i="21"/>
  <c r="M1509" i="21"/>
  <c r="N1508" i="21"/>
  <c r="M1508" i="21"/>
  <c r="N1507" i="21"/>
  <c r="M1507" i="21"/>
  <c r="N1506" i="21"/>
  <c r="M1506" i="21"/>
  <c r="N1505" i="21"/>
  <c r="M1505" i="21"/>
  <c r="N1504" i="21"/>
  <c r="M1504" i="21"/>
  <c r="N1503" i="21"/>
  <c r="M1503" i="21"/>
  <c r="N1502" i="21"/>
  <c r="M1502" i="21"/>
  <c r="N1501" i="21"/>
  <c r="M1501" i="21"/>
  <c r="N1500" i="21"/>
  <c r="M1500" i="21"/>
  <c r="N1499" i="21"/>
  <c r="M1499" i="21"/>
  <c r="N1498" i="21"/>
  <c r="M1498" i="21"/>
  <c r="N1497" i="21"/>
  <c r="M1497" i="21"/>
  <c r="N1496" i="21"/>
  <c r="M1496" i="21"/>
  <c r="N1495" i="21"/>
  <c r="M1495" i="21"/>
  <c r="N1494" i="21"/>
  <c r="M1494" i="21"/>
  <c r="N1493" i="21"/>
  <c r="M1493" i="21"/>
  <c r="N1492" i="21"/>
  <c r="M1492" i="21"/>
  <c r="N1491" i="21"/>
  <c r="M1491" i="21"/>
  <c r="N1490" i="21"/>
  <c r="M1490" i="21"/>
  <c r="N1489" i="21"/>
  <c r="M1489" i="21"/>
  <c r="N1488" i="21"/>
  <c r="M1488" i="21"/>
  <c r="N1487" i="21"/>
  <c r="M1487" i="21"/>
  <c r="N1484" i="21"/>
  <c r="M1484" i="21"/>
  <c r="N1483" i="21"/>
  <c r="M1483" i="21"/>
  <c r="N1482" i="21"/>
  <c r="M1482" i="21"/>
  <c r="N1481" i="21"/>
  <c r="M1481" i="21"/>
  <c r="N1480" i="21"/>
  <c r="M1480" i="21"/>
  <c r="N1479" i="21"/>
  <c r="M1479" i="21"/>
  <c r="N1478" i="21"/>
  <c r="M1478" i="21"/>
  <c r="N1477" i="21"/>
  <c r="M1477" i="21"/>
  <c r="N1476" i="21"/>
  <c r="M1476" i="21"/>
  <c r="N1475" i="21"/>
  <c r="M1475" i="21"/>
  <c r="N1474" i="21"/>
  <c r="M1474" i="21"/>
  <c r="N1473" i="21"/>
  <c r="M1473" i="21"/>
  <c r="N1472" i="21"/>
  <c r="M1472" i="21"/>
  <c r="N1471" i="21"/>
  <c r="M1471" i="21"/>
  <c r="N1470" i="21"/>
  <c r="M1470" i="21"/>
  <c r="N1469" i="21"/>
  <c r="M1469" i="21"/>
  <c r="N1468" i="21"/>
  <c r="M1468" i="21"/>
  <c r="N1467" i="21"/>
  <c r="M1467" i="21"/>
  <c r="N1466" i="21"/>
  <c r="M1466" i="21"/>
  <c r="N1465" i="21"/>
  <c r="M1465" i="21"/>
  <c r="N1464" i="21"/>
  <c r="M1464" i="21"/>
  <c r="N1463" i="21"/>
  <c r="M1463" i="21"/>
  <c r="N1462" i="21"/>
  <c r="M1462" i="21"/>
  <c r="N1461" i="21"/>
  <c r="M1461" i="21"/>
  <c r="N1460" i="21"/>
  <c r="M1460" i="21"/>
  <c r="N1459" i="21"/>
  <c r="M1459" i="21"/>
  <c r="N1456" i="21"/>
  <c r="M1456" i="21"/>
  <c r="N1455" i="21"/>
  <c r="M1455" i="21"/>
  <c r="N1454" i="21"/>
  <c r="M1454" i="21"/>
  <c r="N1453" i="21"/>
  <c r="M1453" i="21"/>
  <c r="N1452" i="21"/>
  <c r="M1452" i="21"/>
  <c r="N1451" i="21"/>
  <c r="M1451" i="21"/>
  <c r="N1450" i="21"/>
  <c r="M1450" i="21"/>
  <c r="N1449" i="21"/>
  <c r="M1449" i="21"/>
  <c r="N1448" i="21"/>
  <c r="M1448" i="21"/>
  <c r="N1447" i="21"/>
  <c r="M1447" i="21"/>
  <c r="N1444" i="21"/>
  <c r="M1444" i="21"/>
  <c r="N1443" i="21"/>
  <c r="M1443" i="21"/>
  <c r="N1442" i="21"/>
  <c r="M1442" i="21"/>
  <c r="N1441" i="21"/>
  <c r="M1441" i="21"/>
  <c r="N1440" i="21"/>
  <c r="M1440" i="21"/>
  <c r="N1439" i="21"/>
  <c r="M1439" i="21"/>
  <c r="N1438" i="21"/>
  <c r="M1438" i="21"/>
  <c r="N1437" i="21"/>
  <c r="M1437" i="21"/>
  <c r="N1436" i="21"/>
  <c r="M1436" i="21"/>
  <c r="N1435" i="21"/>
  <c r="M1435" i="21"/>
  <c r="N1434" i="21"/>
  <c r="M1434" i="21"/>
  <c r="N1433" i="21"/>
  <c r="M1433" i="21"/>
  <c r="N1432" i="21"/>
  <c r="M1432" i="21"/>
  <c r="N1431" i="21"/>
  <c r="M1431" i="21"/>
  <c r="N1430" i="21"/>
  <c r="M1430" i="21"/>
  <c r="N1429" i="21"/>
  <c r="M1429" i="21"/>
  <c r="N1428" i="21"/>
  <c r="M1428" i="21"/>
  <c r="N1427" i="21"/>
  <c r="M1427" i="21"/>
  <c r="N1426" i="21"/>
  <c r="M1426" i="21"/>
  <c r="N1425" i="21"/>
  <c r="M1425" i="21"/>
  <c r="N1424" i="21"/>
  <c r="M1424" i="21"/>
  <c r="N1423" i="21"/>
  <c r="M1423" i="21"/>
  <c r="N1422" i="21"/>
  <c r="M1422" i="21"/>
  <c r="N1421" i="21"/>
  <c r="M1421" i="21"/>
  <c r="N1420" i="21"/>
  <c r="M1420" i="21"/>
  <c r="N1419" i="21"/>
  <c r="M1419" i="21"/>
  <c r="N1418" i="21"/>
  <c r="M1418" i="21"/>
  <c r="N1417" i="21"/>
  <c r="M1417" i="21"/>
  <c r="N1416" i="21"/>
  <c r="M1416" i="21"/>
  <c r="N1415" i="21"/>
  <c r="M1415" i="21"/>
  <c r="N1413" i="21"/>
  <c r="M1413" i="21"/>
  <c r="N1411" i="21"/>
  <c r="M1411" i="21"/>
  <c r="N1410" i="21"/>
  <c r="M1410" i="21"/>
  <c r="N1405" i="21"/>
  <c r="M1405" i="21"/>
  <c r="N1404" i="21"/>
  <c r="M1404" i="21"/>
  <c r="N1403" i="21"/>
  <c r="M1403" i="21"/>
  <c r="N1402" i="21"/>
  <c r="M1402" i="21"/>
  <c r="N1401" i="21"/>
  <c r="M1401" i="21"/>
  <c r="N1400" i="21"/>
  <c r="M1400" i="21"/>
  <c r="N1399" i="21"/>
  <c r="M1399" i="21"/>
  <c r="N1398" i="21"/>
  <c r="M1398" i="21"/>
  <c r="N1397" i="21"/>
  <c r="M1397" i="21"/>
  <c r="N1396" i="21"/>
  <c r="M1396" i="21"/>
  <c r="N1395" i="21"/>
  <c r="M1395" i="21"/>
  <c r="N1394" i="21"/>
  <c r="M1394" i="21"/>
  <c r="N1393" i="21"/>
  <c r="M1393" i="21"/>
  <c r="N1392" i="21"/>
  <c r="M1392" i="21"/>
  <c r="N1391" i="21"/>
  <c r="M1391" i="21"/>
  <c r="N1390" i="21"/>
  <c r="M1390" i="21"/>
  <c r="N1389" i="21"/>
  <c r="M1389" i="21"/>
  <c r="N1388" i="21"/>
  <c r="M1388" i="21"/>
  <c r="N1387" i="21"/>
  <c r="M1387" i="21"/>
  <c r="N1386" i="21"/>
  <c r="M1386" i="21"/>
  <c r="N1385" i="21"/>
  <c r="M1385" i="21"/>
  <c r="N1384" i="21"/>
  <c r="M1384" i="21"/>
  <c r="N1383" i="21"/>
  <c r="M1383" i="21"/>
  <c r="N1382" i="21"/>
  <c r="M1382" i="21"/>
  <c r="N1381" i="21"/>
  <c r="M1381" i="21"/>
  <c r="N1380" i="21"/>
  <c r="M1380" i="21"/>
  <c r="N1379" i="21"/>
  <c r="M1379" i="21"/>
  <c r="N1378" i="21"/>
  <c r="M1378" i="21"/>
  <c r="N1377" i="21"/>
  <c r="M1377" i="21"/>
  <c r="N1376" i="21"/>
  <c r="M1376" i="21"/>
  <c r="N1374" i="21"/>
  <c r="M1374" i="21"/>
  <c r="N1373" i="21"/>
  <c r="M1373" i="21"/>
  <c r="N1372" i="21"/>
  <c r="M1372" i="21"/>
  <c r="N1371" i="21"/>
  <c r="M1371" i="21"/>
  <c r="N1370" i="21"/>
  <c r="M1370" i="21"/>
  <c r="N1369" i="21"/>
  <c r="M1369" i="21"/>
  <c r="N1368" i="21"/>
  <c r="M1368" i="21"/>
  <c r="N1367" i="21"/>
  <c r="M1367" i="21"/>
  <c r="N1366" i="21"/>
  <c r="M1366" i="21"/>
  <c r="N1365" i="21"/>
  <c r="M1365" i="21"/>
  <c r="N1364" i="21"/>
  <c r="M1364" i="21"/>
  <c r="N1363" i="21"/>
  <c r="M1363" i="21"/>
  <c r="N1361" i="21"/>
  <c r="M1361" i="21"/>
  <c r="N1360" i="21"/>
  <c r="M1360" i="21"/>
  <c r="N1359" i="21"/>
  <c r="M1359" i="21"/>
  <c r="N1358" i="21"/>
  <c r="M1358" i="21"/>
  <c r="N1357" i="21"/>
  <c r="M1357" i="21"/>
  <c r="N1354" i="21"/>
  <c r="M1354" i="21"/>
  <c r="N1353" i="21"/>
  <c r="M1353" i="21"/>
  <c r="N1352" i="21"/>
  <c r="M1352" i="21"/>
  <c r="N1351" i="21"/>
  <c r="M1351" i="21"/>
  <c r="N1350" i="21"/>
  <c r="M1350" i="21"/>
  <c r="N1349" i="21"/>
  <c r="M1349" i="21"/>
  <c r="N1348" i="21"/>
  <c r="M1348" i="21"/>
  <c r="N1347" i="21"/>
  <c r="M1347" i="21"/>
  <c r="N1346" i="21"/>
  <c r="M1346" i="21"/>
  <c r="N1345" i="21"/>
  <c r="M1345" i="21"/>
  <c r="N1344" i="21"/>
  <c r="M1344" i="21"/>
  <c r="N1343" i="21"/>
  <c r="M1343" i="21"/>
  <c r="N1342" i="21"/>
  <c r="M1342" i="21"/>
  <c r="N1341" i="21"/>
  <c r="M1341" i="21"/>
  <c r="N1340" i="21"/>
  <c r="M1340" i="21"/>
  <c r="N1339" i="21"/>
  <c r="M1339" i="21"/>
  <c r="N1338" i="21"/>
  <c r="M1338" i="21"/>
  <c r="N1337" i="21"/>
  <c r="M1337" i="21"/>
  <c r="N1336" i="21"/>
  <c r="M1336" i="21"/>
  <c r="N1335" i="21"/>
  <c r="M1335" i="21"/>
  <c r="N1334" i="21"/>
  <c r="M1334" i="21"/>
  <c r="N1333" i="21"/>
  <c r="M1333" i="21"/>
  <c r="N1332" i="21"/>
  <c r="M1332" i="21"/>
  <c r="N1331" i="21"/>
  <c r="M1331" i="21"/>
  <c r="N1330" i="21"/>
  <c r="M1330" i="21"/>
  <c r="N1329" i="21"/>
  <c r="M1329" i="21"/>
  <c r="N1328" i="21"/>
  <c r="M1328" i="21"/>
  <c r="N1327" i="21"/>
  <c r="M1327" i="21"/>
  <c r="N1326" i="21"/>
  <c r="M1326" i="21"/>
  <c r="N1325" i="21"/>
  <c r="M1325" i="21"/>
  <c r="N1324" i="21"/>
  <c r="M1324" i="21"/>
  <c r="N1323" i="21"/>
  <c r="M1323" i="21"/>
  <c r="N1322" i="21"/>
  <c r="M1322" i="21"/>
  <c r="N1321" i="21"/>
  <c r="M1321" i="21"/>
  <c r="N1319" i="21"/>
  <c r="M1319" i="21"/>
  <c r="N1318" i="21"/>
  <c r="M1318" i="21"/>
  <c r="N1317" i="21"/>
  <c r="M1317" i="21"/>
  <c r="N1316" i="21"/>
  <c r="M1316" i="21"/>
  <c r="N1315" i="21"/>
  <c r="M1315" i="21"/>
  <c r="N1314" i="21"/>
  <c r="M1314" i="21"/>
  <c r="N1313" i="21"/>
  <c r="M1313" i="21"/>
  <c r="N1312" i="21"/>
  <c r="M1312" i="21"/>
  <c r="N1311" i="21"/>
  <c r="M1311" i="21"/>
  <c r="N1310" i="21"/>
  <c r="M1310" i="21"/>
  <c r="N1309" i="21"/>
  <c r="M1309" i="21"/>
  <c r="N1308" i="21"/>
  <c r="M1308" i="21"/>
  <c r="N1307" i="21"/>
  <c r="M1307" i="21"/>
  <c r="N1306" i="21"/>
  <c r="M1306" i="21"/>
  <c r="N1305" i="21"/>
  <c r="M1305" i="21"/>
  <c r="N1304" i="21"/>
  <c r="M1304" i="21"/>
  <c r="N1303" i="21"/>
  <c r="M1303" i="21"/>
  <c r="N1302" i="21"/>
  <c r="M1302" i="21"/>
  <c r="N1301" i="21"/>
  <c r="M1301" i="21"/>
  <c r="N1300" i="21"/>
  <c r="M1300" i="21"/>
  <c r="N1299" i="21"/>
  <c r="M1299" i="21"/>
  <c r="N1298" i="21"/>
  <c r="M1298" i="21"/>
  <c r="N1297" i="21"/>
  <c r="M1297" i="21"/>
  <c r="N1296" i="21"/>
  <c r="M1296" i="21"/>
  <c r="N1295" i="21"/>
  <c r="M1295" i="21"/>
  <c r="N1294" i="21"/>
  <c r="M1294" i="21"/>
  <c r="N1293" i="21"/>
  <c r="M1293" i="21"/>
  <c r="N1292" i="21"/>
  <c r="M1292" i="21"/>
  <c r="N1291" i="21"/>
  <c r="M1291" i="21"/>
  <c r="N1290" i="21"/>
  <c r="M1290" i="21"/>
  <c r="N1289" i="21"/>
  <c r="M1289" i="21"/>
  <c r="N1288" i="21"/>
  <c r="M1288" i="21"/>
  <c r="N1287" i="21"/>
  <c r="M1287" i="21"/>
  <c r="N1286" i="21"/>
  <c r="M1286" i="21"/>
  <c r="N1285" i="21"/>
  <c r="M1285" i="21"/>
  <c r="N1284" i="21"/>
  <c r="M1284" i="21"/>
  <c r="N1283" i="21"/>
  <c r="M1283" i="21"/>
  <c r="N1282" i="21"/>
  <c r="M1282" i="21"/>
  <c r="N1281" i="21"/>
  <c r="M1281" i="21"/>
  <c r="N1280" i="21"/>
  <c r="M1280" i="21"/>
  <c r="N1279" i="21"/>
  <c r="M1279" i="21"/>
  <c r="N1278" i="21"/>
  <c r="M1278" i="21"/>
  <c r="N1277" i="21"/>
  <c r="M1277" i="21"/>
  <c r="N1276" i="21"/>
  <c r="M1276" i="21"/>
  <c r="N1275" i="21"/>
  <c r="M1275" i="21"/>
  <c r="N1274" i="21"/>
  <c r="M1274" i="21"/>
  <c r="N1273" i="21"/>
  <c r="M1273" i="21"/>
  <c r="N1272" i="21"/>
  <c r="M1272" i="21"/>
  <c r="N1269" i="21"/>
  <c r="M1269" i="21"/>
  <c r="N1268" i="21"/>
  <c r="M1268" i="21"/>
  <c r="N1267" i="21"/>
  <c r="M1267" i="21"/>
  <c r="N1264" i="21"/>
  <c r="M1264" i="21"/>
  <c r="N1263" i="21"/>
  <c r="M1263" i="21"/>
  <c r="N1262" i="21"/>
  <c r="M1262" i="21"/>
  <c r="N1261" i="21"/>
  <c r="M1261" i="21"/>
  <c r="N1259" i="21"/>
  <c r="M1259" i="21"/>
  <c r="N1258" i="21"/>
  <c r="M1258" i="21"/>
  <c r="N1257" i="21"/>
  <c r="M1257" i="21"/>
  <c r="N1256" i="21"/>
  <c r="M1256" i="21"/>
  <c r="N1255" i="21"/>
  <c r="M1255" i="21"/>
  <c r="N1254" i="21"/>
  <c r="M1254" i="21"/>
  <c r="N1253" i="21"/>
  <c r="M1253" i="21"/>
  <c r="N1252" i="21"/>
  <c r="M1252" i="21"/>
  <c r="N1251" i="21"/>
  <c r="M1251" i="21"/>
  <c r="N1250" i="21"/>
  <c r="M1250" i="21"/>
  <c r="N1249" i="21"/>
  <c r="M1249" i="21"/>
  <c r="N1248" i="21"/>
  <c r="M1248" i="21"/>
  <c r="N1247" i="21"/>
  <c r="M1247" i="21"/>
  <c r="N1246" i="21"/>
  <c r="M1246" i="21"/>
  <c r="N1245" i="21"/>
  <c r="M1245" i="21"/>
  <c r="N1244" i="21"/>
  <c r="M1244" i="21"/>
  <c r="N1243" i="21"/>
  <c r="M1243" i="21"/>
  <c r="N1242" i="21"/>
  <c r="M1242" i="21"/>
  <c r="N1241" i="21"/>
  <c r="M1241" i="21"/>
  <c r="N1240" i="21"/>
  <c r="M1240" i="21"/>
  <c r="N1239" i="21"/>
  <c r="M1239" i="21"/>
  <c r="N1238" i="21"/>
  <c r="M1238" i="21"/>
  <c r="N1237" i="21"/>
  <c r="M1237" i="21"/>
  <c r="N1236" i="21"/>
  <c r="M1236" i="21"/>
  <c r="N1235" i="21"/>
  <c r="M1235" i="21"/>
  <c r="N1234" i="21"/>
  <c r="M1234" i="21"/>
  <c r="N1233" i="21"/>
  <c r="M1233" i="21"/>
  <c r="N1232" i="21"/>
  <c r="M1232" i="21"/>
  <c r="N1231" i="21"/>
  <c r="M1231" i="21"/>
  <c r="N1230" i="21"/>
  <c r="M1230" i="21"/>
  <c r="N1229" i="21"/>
  <c r="M1229" i="21"/>
  <c r="N1228" i="21"/>
  <c r="M1228" i="21"/>
  <c r="N1227" i="21"/>
  <c r="M1227" i="21"/>
  <c r="N1226" i="21"/>
  <c r="M1226" i="21"/>
  <c r="N1225" i="21"/>
  <c r="M1225" i="21"/>
  <c r="N1224" i="21"/>
  <c r="M1224" i="21"/>
  <c r="N1223" i="21"/>
  <c r="M1223" i="21"/>
  <c r="N1222" i="21"/>
  <c r="M1222" i="21"/>
  <c r="N1221" i="21"/>
  <c r="M1221" i="21"/>
  <c r="N1220" i="21"/>
  <c r="M1220" i="21"/>
  <c r="N1219" i="21"/>
  <c r="M1219" i="21"/>
  <c r="N1218" i="21"/>
  <c r="M1218" i="21"/>
  <c r="N1217" i="21"/>
  <c r="M1217" i="21"/>
  <c r="N1216" i="21"/>
  <c r="M1216" i="21"/>
  <c r="N1215" i="21"/>
  <c r="M1215" i="21"/>
  <c r="N1214" i="21"/>
  <c r="M1214" i="21"/>
  <c r="N1213" i="21"/>
  <c r="M1213" i="21"/>
  <c r="N1212" i="21"/>
  <c r="M1212" i="21"/>
  <c r="N1211" i="21"/>
  <c r="M1211" i="21"/>
  <c r="N1210" i="21"/>
  <c r="M1210" i="21"/>
  <c r="N1209" i="21"/>
  <c r="M1209" i="21"/>
  <c r="N1208" i="21"/>
  <c r="M1208" i="21"/>
  <c r="N1207" i="21"/>
  <c r="M1207" i="21"/>
  <c r="N1206" i="21"/>
  <c r="M1206" i="21"/>
  <c r="N1205" i="21"/>
  <c r="M1205" i="21"/>
  <c r="N1204" i="21"/>
  <c r="M1204" i="21"/>
  <c r="N1203" i="21"/>
  <c r="M1203" i="21"/>
  <c r="N1202" i="21"/>
  <c r="M1202" i="21"/>
  <c r="N1201" i="21"/>
  <c r="M1201" i="21"/>
  <c r="N1200" i="21"/>
  <c r="M1200" i="21"/>
  <c r="N1199" i="21"/>
  <c r="M1199" i="21"/>
  <c r="N1198" i="21"/>
  <c r="M1198" i="21"/>
  <c r="N1197" i="21"/>
  <c r="M1197" i="21"/>
  <c r="N1196" i="21"/>
  <c r="M1196" i="21"/>
  <c r="N1195" i="21"/>
  <c r="M1195" i="21"/>
  <c r="N1194" i="21"/>
  <c r="M1194" i="21"/>
  <c r="N1193" i="21"/>
  <c r="M1193" i="21"/>
  <c r="N1192" i="21"/>
  <c r="M1192" i="21"/>
  <c r="N1191" i="21"/>
  <c r="M1191" i="21"/>
  <c r="N1190" i="21"/>
  <c r="M1190" i="21"/>
  <c r="N1189" i="21"/>
  <c r="M1189" i="21"/>
  <c r="N1188" i="21"/>
  <c r="M1188" i="21"/>
  <c r="N1187" i="21"/>
  <c r="M1187" i="21"/>
  <c r="N1186" i="21"/>
  <c r="M1186" i="21"/>
  <c r="N1185" i="21"/>
  <c r="M1185" i="21"/>
  <c r="N1184" i="21"/>
  <c r="M1184" i="21"/>
  <c r="N1183" i="21"/>
  <c r="M1183" i="21"/>
  <c r="N1182" i="21"/>
  <c r="M1182" i="21"/>
  <c r="N1181" i="21"/>
  <c r="M1181" i="21"/>
  <c r="N1180" i="21"/>
  <c r="M1180" i="21"/>
  <c r="N1179" i="21"/>
  <c r="M1179" i="21"/>
  <c r="N1178" i="21"/>
  <c r="M1178" i="21"/>
  <c r="N1177" i="21"/>
  <c r="M1177" i="21"/>
  <c r="N1176" i="21"/>
  <c r="M1176" i="21"/>
  <c r="N1175" i="21"/>
  <c r="M1175" i="21"/>
  <c r="N1174" i="21"/>
  <c r="M1174" i="21"/>
  <c r="N1173" i="21"/>
  <c r="M1173" i="21"/>
  <c r="N1172" i="21"/>
  <c r="M1172" i="21"/>
  <c r="N1171" i="21"/>
  <c r="M1171" i="21"/>
  <c r="N1168" i="21"/>
  <c r="M1168" i="21"/>
  <c r="N1167" i="21"/>
  <c r="M1167" i="21"/>
  <c r="N1164" i="21"/>
  <c r="M1164" i="21"/>
  <c r="N1163" i="21"/>
  <c r="M1163" i="21"/>
  <c r="N1162" i="21"/>
  <c r="M1162" i="21"/>
  <c r="N1161" i="21"/>
  <c r="M1161" i="21"/>
  <c r="N1160" i="21"/>
  <c r="M1160" i="21"/>
  <c r="N1159" i="21"/>
  <c r="M1159" i="21"/>
  <c r="N1158" i="21"/>
  <c r="M1158" i="21"/>
  <c r="N1157" i="21"/>
  <c r="M1157" i="21"/>
  <c r="N1156" i="21"/>
  <c r="M1156" i="21"/>
  <c r="N1155" i="21"/>
  <c r="M1155" i="21"/>
  <c r="N1152" i="21"/>
  <c r="M1152" i="21"/>
  <c r="N1151" i="21"/>
  <c r="M1151" i="21"/>
  <c r="N1150" i="21"/>
  <c r="M1150" i="21"/>
  <c r="N1149" i="21"/>
  <c r="M1149" i="21"/>
  <c r="N1146" i="21"/>
  <c r="M1146" i="21"/>
  <c r="N1145" i="21"/>
  <c r="M1145" i="21"/>
  <c r="N1144" i="21"/>
  <c r="M1144" i="21"/>
  <c r="N1143" i="21"/>
  <c r="M1143" i="21"/>
  <c r="N1142" i="21"/>
  <c r="M1142" i="21"/>
  <c r="N1141" i="21"/>
  <c r="M1141" i="21"/>
  <c r="N1140" i="21"/>
  <c r="M1140" i="21"/>
  <c r="N1139" i="21"/>
  <c r="M1139" i="21"/>
  <c r="N1138" i="21"/>
  <c r="M1138" i="21"/>
  <c r="N1137" i="21"/>
  <c r="M1137" i="21"/>
  <c r="N1136" i="21"/>
  <c r="M1136" i="21"/>
  <c r="N1135" i="21"/>
  <c r="M1135" i="21"/>
  <c r="N1134" i="21"/>
  <c r="M1134" i="21"/>
  <c r="N1133" i="21"/>
  <c r="M1133" i="21"/>
  <c r="N1132" i="21"/>
  <c r="M1132" i="21"/>
  <c r="N1131" i="21"/>
  <c r="M1131" i="21"/>
  <c r="N1130" i="21"/>
  <c r="M1130" i="21"/>
  <c r="N1129" i="21"/>
  <c r="M1129" i="21"/>
  <c r="N1128" i="21"/>
  <c r="M1128" i="21"/>
  <c r="N1127" i="21"/>
  <c r="M1127" i="21"/>
  <c r="N1126" i="21"/>
  <c r="M1126" i="21"/>
  <c r="N1125" i="21"/>
  <c r="M1125" i="21"/>
  <c r="N1124" i="21"/>
  <c r="M1124" i="21"/>
  <c r="N1123" i="21"/>
  <c r="M1123" i="21"/>
  <c r="N1122" i="21"/>
  <c r="M1122" i="21"/>
  <c r="N1121" i="21"/>
  <c r="M1121" i="21"/>
  <c r="N1120" i="21"/>
  <c r="M1120" i="21"/>
  <c r="N1119" i="21"/>
  <c r="M1119" i="21"/>
  <c r="N1118" i="21"/>
  <c r="M1118" i="21"/>
  <c r="N1117" i="21"/>
  <c r="M1117" i="21"/>
  <c r="N1116" i="21"/>
  <c r="M1116" i="21"/>
  <c r="N1115" i="21"/>
  <c r="M1115" i="21"/>
  <c r="N1114" i="21"/>
  <c r="M1114" i="21"/>
  <c r="N1113" i="21"/>
  <c r="M1113" i="21"/>
  <c r="N1112" i="21"/>
  <c r="M1112" i="21"/>
  <c r="N1111" i="21"/>
  <c r="M1111" i="21"/>
  <c r="N1110" i="21"/>
  <c r="M1110" i="21"/>
  <c r="N1109" i="21"/>
  <c r="M1109" i="21"/>
  <c r="N1108" i="21"/>
  <c r="M1108" i="21"/>
  <c r="N1107" i="21"/>
  <c r="M1107" i="21"/>
  <c r="N1106" i="21"/>
  <c r="M1106" i="21"/>
  <c r="N1105" i="21"/>
  <c r="M1105" i="21"/>
  <c r="N1104" i="21"/>
  <c r="M1104" i="21"/>
  <c r="N1103" i="21"/>
  <c r="M1103" i="21"/>
  <c r="N1102" i="21"/>
  <c r="M1102" i="21"/>
  <c r="N1101" i="21"/>
  <c r="M1101" i="21"/>
  <c r="N1100" i="21"/>
  <c r="M1100" i="21"/>
  <c r="N1095" i="21"/>
  <c r="M1095" i="21"/>
  <c r="N1094" i="21"/>
  <c r="M1094" i="21"/>
  <c r="N1093" i="21"/>
  <c r="M1093" i="21"/>
  <c r="N1092" i="21"/>
  <c r="M1092" i="21"/>
  <c r="N1091" i="21"/>
  <c r="M1091" i="21"/>
  <c r="N1090" i="21"/>
  <c r="M1090" i="21"/>
  <c r="N1088" i="21"/>
  <c r="M1088" i="21"/>
  <c r="N1087" i="21"/>
  <c r="M1087" i="21"/>
  <c r="N1086" i="21"/>
  <c r="M1086" i="21"/>
  <c r="N1085" i="21"/>
  <c r="M1085" i="21"/>
  <c r="N1084" i="21"/>
  <c r="M1084" i="21"/>
  <c r="N1083" i="21"/>
  <c r="M1083" i="21"/>
  <c r="N1082" i="21"/>
  <c r="M1082" i="21"/>
  <c r="N1081" i="21"/>
  <c r="M1081" i="21"/>
  <c r="N1080" i="21"/>
  <c r="M1080" i="21"/>
  <c r="N1079" i="21"/>
  <c r="M1079" i="21"/>
  <c r="N1078" i="21"/>
  <c r="M1078" i="21"/>
  <c r="N1077" i="21"/>
  <c r="M1077" i="21"/>
  <c r="N1076" i="21"/>
  <c r="M1076" i="21"/>
  <c r="N1075" i="21"/>
  <c r="M1075" i="21"/>
  <c r="N1074" i="21"/>
  <c r="M1074" i="21"/>
  <c r="N1073" i="21"/>
  <c r="M1073" i="21"/>
  <c r="N1072" i="21"/>
  <c r="M1072" i="21"/>
  <c r="N1071" i="21"/>
  <c r="M1071" i="21"/>
  <c r="N1070" i="21"/>
  <c r="M1070" i="21"/>
  <c r="N1069" i="21"/>
  <c r="M1069" i="21"/>
  <c r="N1068" i="21"/>
  <c r="M1068" i="21"/>
  <c r="N1067" i="21"/>
  <c r="M1067" i="21"/>
  <c r="N1066" i="21"/>
  <c r="M1066" i="21"/>
  <c r="N1065" i="21"/>
  <c r="M1065" i="21"/>
  <c r="N1064" i="21"/>
  <c r="M1064" i="21"/>
  <c r="N1063" i="21"/>
  <c r="M1063" i="21"/>
  <c r="N1062" i="21"/>
  <c r="M1062" i="21"/>
  <c r="N1061" i="21"/>
  <c r="M1061" i="21"/>
  <c r="N1060" i="21"/>
  <c r="M1060" i="21"/>
  <c r="N1059" i="21"/>
  <c r="M1059" i="21"/>
  <c r="N1058" i="21"/>
  <c r="M1058" i="21"/>
  <c r="N1057" i="21"/>
  <c r="M1057" i="21"/>
  <c r="N1056" i="21"/>
  <c r="M1056" i="21"/>
  <c r="N1055" i="21"/>
  <c r="M1055" i="21"/>
  <c r="N1054" i="21"/>
  <c r="M1054" i="21"/>
  <c r="N1053" i="21"/>
  <c r="M1053" i="21"/>
  <c r="N1052" i="21"/>
  <c r="M1052" i="21"/>
  <c r="N1051" i="21"/>
  <c r="M1051" i="21"/>
  <c r="N1050" i="21"/>
  <c r="M1050" i="21"/>
  <c r="N1049" i="21"/>
  <c r="M1049" i="21"/>
  <c r="N1048" i="21"/>
  <c r="M1048" i="21"/>
  <c r="N1047" i="21"/>
  <c r="M1047" i="21"/>
  <c r="N1046" i="21"/>
  <c r="M1046" i="21"/>
  <c r="N1045" i="21"/>
  <c r="M1045" i="21"/>
  <c r="N1043" i="21"/>
  <c r="M1043" i="21"/>
  <c r="N1042" i="21"/>
  <c r="M1042" i="21"/>
  <c r="N1041" i="21"/>
  <c r="M1041" i="21"/>
  <c r="N1040" i="21"/>
  <c r="M1040" i="21"/>
  <c r="N1039" i="21"/>
  <c r="M1039" i="21"/>
  <c r="N1038" i="21"/>
  <c r="M1038" i="21"/>
  <c r="N1037" i="21"/>
  <c r="M1037" i="21"/>
  <c r="N1036" i="21"/>
  <c r="M1036" i="21"/>
  <c r="N1035" i="21"/>
  <c r="M1035" i="21"/>
  <c r="N1034" i="21"/>
  <c r="M1034" i="21"/>
  <c r="N1033" i="21"/>
  <c r="M1033" i="21"/>
  <c r="N1032" i="21"/>
  <c r="M1032" i="21"/>
  <c r="N1031" i="21"/>
  <c r="M1031" i="21"/>
  <c r="N1030" i="21"/>
  <c r="M1030" i="21"/>
  <c r="N1029" i="21"/>
  <c r="M1029" i="21"/>
  <c r="N1028" i="21"/>
  <c r="M1028" i="21"/>
  <c r="N1027" i="21"/>
  <c r="M1027" i="21"/>
  <c r="N1026" i="21"/>
  <c r="M1026" i="21"/>
  <c r="N1025" i="21"/>
  <c r="M1025" i="21"/>
  <c r="N1024" i="21"/>
  <c r="M1024" i="21"/>
  <c r="N1023" i="21"/>
  <c r="M1023" i="21"/>
  <c r="N1022" i="21"/>
  <c r="M1022" i="21"/>
  <c r="N1021" i="21"/>
  <c r="M1021" i="21"/>
  <c r="N1020" i="21"/>
  <c r="M1020" i="21"/>
  <c r="N1011" i="21"/>
  <c r="M1011" i="21"/>
  <c r="N1010" i="21"/>
  <c r="M1010" i="21"/>
  <c r="N1009" i="21"/>
  <c r="M1009" i="21"/>
  <c r="N1008" i="21"/>
  <c r="M1008" i="21"/>
  <c r="N1007" i="21"/>
  <c r="M1007" i="21"/>
  <c r="N1006" i="21"/>
  <c r="M1006" i="21"/>
  <c r="N1005" i="21"/>
  <c r="M1005" i="21"/>
  <c r="N1004" i="21"/>
  <c r="M1004" i="21"/>
  <c r="N1002" i="21"/>
  <c r="M1002" i="21"/>
  <c r="N1000" i="21"/>
  <c r="M1000" i="21"/>
  <c r="N998" i="21"/>
  <c r="M998" i="21"/>
  <c r="N997" i="21"/>
  <c r="M997" i="21"/>
  <c r="N995" i="21"/>
  <c r="M995" i="21"/>
  <c r="N994" i="21"/>
  <c r="M994" i="21"/>
  <c r="N993" i="21"/>
  <c r="M993" i="21"/>
  <c r="N992" i="21"/>
  <c r="M992" i="21"/>
  <c r="N991" i="21"/>
  <c r="M991" i="21"/>
  <c r="N990" i="21"/>
  <c r="M990" i="21"/>
  <c r="N989" i="21"/>
  <c r="M989" i="21"/>
  <c r="N988" i="21"/>
  <c r="M988" i="21"/>
  <c r="N987" i="21"/>
  <c r="M987" i="21"/>
  <c r="N986" i="21"/>
  <c r="M986" i="21"/>
  <c r="N983" i="21"/>
  <c r="M983" i="21"/>
  <c r="N982" i="21"/>
  <c r="M982" i="21"/>
  <c r="N981" i="21"/>
  <c r="M981" i="21"/>
  <c r="N980" i="21"/>
  <c r="M980" i="21"/>
  <c r="N979" i="21"/>
  <c r="M979" i="21"/>
  <c r="N978" i="21"/>
  <c r="M978" i="21"/>
  <c r="N977" i="21"/>
  <c r="M977" i="21"/>
  <c r="N976" i="21"/>
  <c r="M976" i="21"/>
  <c r="N975" i="21"/>
  <c r="M975" i="21"/>
  <c r="N974" i="21"/>
  <c r="M974" i="21"/>
  <c r="N973" i="21"/>
  <c r="M973" i="21"/>
  <c r="N970" i="21"/>
  <c r="M970" i="21"/>
  <c r="N969" i="21"/>
  <c r="M969" i="21"/>
  <c r="N968" i="21"/>
  <c r="M968" i="21"/>
  <c r="N967" i="21"/>
  <c r="M967" i="21"/>
  <c r="N966" i="21"/>
  <c r="M966" i="21"/>
  <c r="N965" i="21"/>
  <c r="M965" i="21"/>
  <c r="N964" i="21"/>
  <c r="M964" i="21"/>
  <c r="N963" i="21"/>
  <c r="M963" i="21"/>
  <c r="N962" i="21"/>
  <c r="M962" i="21"/>
  <c r="N961" i="21"/>
  <c r="M961" i="21"/>
  <c r="N960" i="21"/>
  <c r="M960" i="21"/>
  <c r="N959" i="21"/>
  <c r="M959" i="21"/>
  <c r="N958" i="21"/>
  <c r="M958" i="21"/>
  <c r="N957" i="21"/>
  <c r="M957" i="21"/>
  <c r="N956" i="21"/>
  <c r="M956" i="21"/>
  <c r="N955" i="21"/>
  <c r="M955" i="21"/>
  <c r="N954" i="21"/>
  <c r="M954" i="21"/>
  <c r="N953" i="21"/>
  <c r="M953" i="21"/>
  <c r="N952" i="21"/>
  <c r="M952" i="21"/>
  <c r="N951" i="21"/>
  <c r="M951" i="21"/>
  <c r="N950" i="21"/>
  <c r="M950" i="21"/>
  <c r="N949" i="21"/>
  <c r="M949" i="21"/>
  <c r="N948" i="21"/>
  <c r="M948" i="21"/>
  <c r="N947" i="21"/>
  <c r="M947" i="21"/>
  <c r="N946" i="21"/>
  <c r="M946" i="21"/>
  <c r="N945" i="21"/>
  <c r="M945" i="21"/>
  <c r="N944" i="21"/>
  <c r="M944" i="21"/>
  <c r="N943" i="21"/>
  <c r="M943" i="21"/>
  <c r="N942" i="21"/>
  <c r="M942" i="21"/>
  <c r="N941" i="21"/>
  <c r="M941" i="21"/>
  <c r="N940" i="21"/>
  <c r="M940" i="21"/>
  <c r="N939" i="21"/>
  <c r="M939" i="21"/>
  <c r="N938" i="21"/>
  <c r="M938" i="21"/>
  <c r="N937" i="21"/>
  <c r="M937" i="21"/>
  <c r="N936" i="21"/>
  <c r="M936" i="21"/>
  <c r="N935" i="21"/>
  <c r="M935" i="21"/>
  <c r="N934" i="21"/>
  <c r="M934" i="21"/>
  <c r="N933" i="21"/>
  <c r="M933" i="21"/>
  <c r="N932" i="21"/>
  <c r="M932" i="21"/>
  <c r="N931" i="21"/>
  <c r="M931" i="21"/>
  <c r="N930" i="21"/>
  <c r="M930" i="21"/>
  <c r="N929" i="21"/>
  <c r="M929" i="21"/>
  <c r="N928" i="21"/>
  <c r="M928" i="21"/>
  <c r="N927" i="21"/>
  <c r="M927" i="21"/>
  <c r="N926" i="21"/>
  <c r="M926" i="21"/>
  <c r="N925" i="21"/>
  <c r="M925" i="21"/>
  <c r="N924" i="21"/>
  <c r="M924" i="21"/>
  <c r="N923" i="21"/>
  <c r="M923" i="21"/>
  <c r="N922" i="21"/>
  <c r="M922" i="21"/>
  <c r="N921" i="21"/>
  <c r="M921" i="21"/>
  <c r="N920" i="21"/>
  <c r="M920" i="21"/>
  <c r="N919" i="21"/>
  <c r="M919" i="21"/>
  <c r="N918" i="21"/>
  <c r="M918" i="21"/>
  <c r="N917" i="21"/>
  <c r="M917" i="21"/>
  <c r="N916" i="21"/>
  <c r="M916" i="21"/>
  <c r="N915" i="21"/>
  <c r="M915" i="21"/>
  <c r="N914" i="21"/>
  <c r="M914" i="21"/>
  <c r="N913" i="21"/>
  <c r="M913" i="21"/>
  <c r="N912" i="21"/>
  <c r="M912" i="21"/>
  <c r="N911" i="21"/>
  <c r="M911" i="21"/>
  <c r="N910" i="21"/>
  <c r="M910" i="21"/>
  <c r="N909" i="21"/>
  <c r="M909" i="21"/>
  <c r="N908" i="21"/>
  <c r="M908" i="21"/>
  <c r="N907" i="21"/>
  <c r="M907" i="21"/>
  <c r="N906" i="21"/>
  <c r="M906" i="21"/>
  <c r="N905" i="21"/>
  <c r="M905" i="21"/>
  <c r="N904" i="21"/>
  <c r="M904" i="21"/>
  <c r="N901" i="21"/>
  <c r="M901" i="21"/>
  <c r="N900" i="21"/>
  <c r="M900" i="21"/>
  <c r="N899" i="21"/>
  <c r="M899" i="21"/>
  <c r="N898" i="21"/>
  <c r="M898" i="21"/>
  <c r="N897" i="21"/>
  <c r="M897" i="21"/>
  <c r="N896" i="21"/>
  <c r="M896" i="21"/>
  <c r="N895" i="21"/>
  <c r="M895" i="21"/>
  <c r="N894" i="21"/>
  <c r="M894" i="21"/>
  <c r="N893" i="21"/>
  <c r="M893" i="21"/>
  <c r="N892" i="21"/>
  <c r="M892" i="21"/>
  <c r="N891" i="21"/>
  <c r="M891" i="21"/>
  <c r="N890" i="21"/>
  <c r="M890" i="21"/>
  <c r="N889" i="21"/>
  <c r="M889" i="21"/>
  <c r="N888" i="21"/>
  <c r="M888" i="21"/>
  <c r="N887" i="21"/>
  <c r="M887" i="21"/>
  <c r="N886" i="21"/>
  <c r="M886" i="21"/>
  <c r="N885" i="21"/>
  <c r="M885" i="21"/>
  <c r="N884" i="21"/>
  <c r="M884" i="21"/>
  <c r="N883" i="21"/>
  <c r="M883" i="21"/>
  <c r="N882" i="21"/>
  <c r="M882" i="21"/>
  <c r="N881" i="21"/>
  <c r="M881" i="21"/>
  <c r="N880" i="21"/>
  <c r="M880" i="21"/>
  <c r="N879" i="21"/>
  <c r="M879" i="21"/>
  <c r="N878" i="21"/>
  <c r="M878" i="21"/>
  <c r="N877" i="21"/>
  <c r="M877" i="21"/>
  <c r="N876" i="21"/>
  <c r="M876" i="21"/>
  <c r="N875" i="21"/>
  <c r="M875" i="21"/>
  <c r="N874" i="21"/>
  <c r="M874" i="21"/>
  <c r="N873" i="21"/>
  <c r="M873" i="21"/>
  <c r="N872" i="21"/>
  <c r="M872" i="21"/>
  <c r="N871" i="21"/>
  <c r="M871" i="21"/>
  <c r="N870" i="21"/>
  <c r="M870" i="21"/>
  <c r="N869" i="21"/>
  <c r="M869" i="21"/>
  <c r="N868" i="21"/>
  <c r="M868" i="21"/>
  <c r="N867" i="21"/>
  <c r="M867" i="21"/>
  <c r="N866" i="21"/>
  <c r="M866" i="21"/>
  <c r="N865" i="21"/>
  <c r="M865" i="21"/>
  <c r="N864" i="21"/>
  <c r="M864" i="21"/>
  <c r="N863" i="21"/>
  <c r="M863" i="21"/>
  <c r="N862" i="21"/>
  <c r="M862" i="21"/>
  <c r="N861" i="21"/>
  <c r="M861" i="21"/>
  <c r="N860" i="21"/>
  <c r="M860" i="21"/>
  <c r="N859" i="21"/>
  <c r="M859" i="21"/>
  <c r="N858" i="21"/>
  <c r="M858" i="21"/>
  <c r="N857" i="21"/>
  <c r="M857" i="21"/>
  <c r="N856" i="21"/>
  <c r="M856" i="21"/>
  <c r="N855" i="21"/>
  <c r="M855" i="21"/>
  <c r="N854" i="21"/>
  <c r="M854" i="21"/>
  <c r="N853" i="21"/>
  <c r="M853" i="21"/>
  <c r="N852" i="21"/>
  <c r="M852" i="21"/>
  <c r="N851" i="21"/>
  <c r="M851" i="21"/>
  <c r="N850" i="21"/>
  <c r="M850" i="21"/>
  <c r="N849" i="21"/>
  <c r="M849" i="21"/>
  <c r="N848" i="21"/>
  <c r="M848" i="21"/>
  <c r="N847" i="21"/>
  <c r="M847" i="21"/>
  <c r="N846" i="21"/>
  <c r="M846" i="21"/>
  <c r="N845" i="21"/>
  <c r="M845" i="21"/>
  <c r="N844" i="21"/>
  <c r="M844" i="21"/>
  <c r="N843" i="21"/>
  <c r="M843" i="21"/>
  <c r="N842" i="21"/>
  <c r="M842" i="21"/>
  <c r="N841" i="21"/>
  <c r="M841" i="21"/>
  <c r="N840" i="21"/>
  <c r="M840" i="21"/>
  <c r="N839" i="21"/>
  <c r="M839" i="21"/>
  <c r="N838" i="21"/>
  <c r="M838" i="21"/>
  <c r="N837" i="21"/>
  <c r="M837" i="21"/>
  <c r="N836" i="21"/>
  <c r="M836" i="21"/>
  <c r="N835" i="21"/>
  <c r="M835" i="21"/>
  <c r="N834" i="21"/>
  <c r="M834" i="21"/>
  <c r="N833" i="21"/>
  <c r="M833" i="21"/>
  <c r="N832" i="21"/>
  <c r="M832" i="21"/>
  <c r="N831" i="21"/>
  <c r="M831" i="21"/>
  <c r="N830" i="21"/>
  <c r="M830" i="21"/>
  <c r="N829" i="21"/>
  <c r="M829" i="21"/>
  <c r="N826" i="21"/>
  <c r="M826" i="21"/>
  <c r="N825" i="21"/>
  <c r="M825" i="21"/>
  <c r="N824" i="21"/>
  <c r="M824" i="21"/>
  <c r="N823" i="21"/>
  <c r="M823" i="21"/>
  <c r="N822" i="21"/>
  <c r="M822" i="21"/>
  <c r="N819" i="21"/>
  <c r="M819" i="21"/>
  <c r="N818" i="21"/>
  <c r="M818" i="21"/>
  <c r="N817" i="21"/>
  <c r="M817" i="21"/>
  <c r="N814" i="21"/>
  <c r="M814" i="21"/>
  <c r="N813" i="21"/>
  <c r="M813" i="21"/>
  <c r="N812" i="21"/>
  <c r="M812" i="21"/>
  <c r="N811" i="21"/>
  <c r="M811" i="21"/>
  <c r="N810" i="21"/>
  <c r="M810" i="21"/>
  <c r="N809" i="21"/>
  <c r="M809" i="21"/>
  <c r="N808" i="21"/>
  <c r="M808" i="21"/>
  <c r="N807" i="21"/>
  <c r="M807" i="21"/>
  <c r="N806" i="21"/>
  <c r="M806" i="21"/>
  <c r="N805" i="21"/>
  <c r="M805" i="21"/>
  <c r="N804" i="21"/>
  <c r="M804" i="21"/>
  <c r="N803" i="21"/>
  <c r="M803" i="21"/>
  <c r="N802" i="21"/>
  <c r="M802" i="21"/>
  <c r="N801" i="21"/>
  <c r="M801" i="21"/>
  <c r="N800" i="21"/>
  <c r="M800" i="21"/>
  <c r="N799" i="21"/>
  <c r="M799" i="21"/>
  <c r="N798" i="21"/>
  <c r="M798" i="21"/>
  <c r="N797" i="21"/>
  <c r="M797" i="21"/>
  <c r="N796" i="21"/>
  <c r="M796" i="21"/>
  <c r="N795" i="21"/>
  <c r="M795" i="21"/>
  <c r="N794" i="21"/>
  <c r="M794" i="21"/>
  <c r="N793" i="21"/>
  <c r="M793" i="21"/>
  <c r="N792" i="21"/>
  <c r="M792" i="21"/>
  <c r="N791" i="21"/>
  <c r="M791" i="21"/>
  <c r="N790" i="21"/>
  <c r="M790" i="21"/>
  <c r="N789" i="21"/>
  <c r="M789" i="21"/>
  <c r="N788" i="21"/>
  <c r="M788" i="21"/>
  <c r="N787" i="21"/>
  <c r="M787" i="21"/>
  <c r="N786" i="21"/>
  <c r="M786" i="21"/>
  <c r="N785" i="21"/>
  <c r="M785" i="21"/>
  <c r="N784" i="21"/>
  <c r="M784" i="21"/>
  <c r="N783" i="21"/>
  <c r="M783" i="21"/>
  <c r="N782" i="21"/>
  <c r="M782" i="21"/>
  <c r="N781" i="21"/>
  <c r="M781" i="21"/>
  <c r="N780" i="21"/>
  <c r="M780" i="21"/>
  <c r="N779" i="21"/>
  <c r="M779" i="21"/>
  <c r="N778" i="21"/>
  <c r="M778" i="21"/>
  <c r="N777" i="21"/>
  <c r="M777" i="21"/>
  <c r="N776" i="21"/>
  <c r="M776" i="21"/>
  <c r="N773" i="21"/>
  <c r="M773" i="21"/>
  <c r="N772" i="21"/>
  <c r="M772" i="21"/>
  <c r="N771" i="21"/>
  <c r="M771" i="21"/>
  <c r="N770" i="21"/>
  <c r="M770" i="21"/>
  <c r="N769" i="21"/>
  <c r="M769" i="21"/>
  <c r="N768" i="21"/>
  <c r="M768" i="21"/>
  <c r="N767" i="21"/>
  <c r="M767" i="21"/>
  <c r="N766" i="21"/>
  <c r="M766" i="21"/>
  <c r="N765" i="21"/>
  <c r="M765" i="21"/>
  <c r="N764" i="21"/>
  <c r="M764" i="21"/>
  <c r="N763" i="21"/>
  <c r="M763" i="21"/>
  <c r="N762" i="21"/>
  <c r="M762" i="21"/>
  <c r="N761" i="21"/>
  <c r="M761" i="21"/>
  <c r="N760" i="21"/>
  <c r="M760" i="21"/>
  <c r="N759" i="21"/>
  <c r="M759" i="21"/>
  <c r="N758" i="21"/>
  <c r="M758" i="21"/>
  <c r="N757" i="21"/>
  <c r="M757" i="21"/>
  <c r="N756" i="21"/>
  <c r="M756" i="21"/>
  <c r="N755" i="21"/>
  <c r="M755" i="21"/>
  <c r="N754" i="21"/>
  <c r="M754" i="21"/>
  <c r="N753" i="21"/>
  <c r="M753" i="21"/>
  <c r="N752" i="21"/>
  <c r="M752" i="21"/>
  <c r="N751" i="21"/>
  <c r="M751" i="21"/>
  <c r="N750" i="21"/>
  <c r="M750" i="21"/>
  <c r="N749" i="21"/>
  <c r="M749" i="21"/>
  <c r="N748" i="21"/>
  <c r="M748" i="21"/>
  <c r="N747" i="21"/>
  <c r="M747" i="21"/>
  <c r="N746" i="21"/>
  <c r="M746" i="21"/>
  <c r="N745" i="21"/>
  <c r="M745" i="21"/>
  <c r="N744" i="21"/>
  <c r="M744" i="21"/>
  <c r="N743" i="21"/>
  <c r="M743" i="21"/>
  <c r="N742" i="21"/>
  <c r="M742" i="21"/>
  <c r="N741" i="21"/>
  <c r="M741" i="21"/>
  <c r="N740" i="21"/>
  <c r="M740" i="21"/>
  <c r="N739" i="21"/>
  <c r="M739" i="21"/>
  <c r="N738" i="21"/>
  <c r="M738" i="21"/>
  <c r="N737" i="21"/>
  <c r="M737" i="21"/>
  <c r="N736" i="21"/>
  <c r="M736" i="21"/>
  <c r="N735" i="21"/>
  <c r="M735" i="21"/>
  <c r="N734" i="21"/>
  <c r="M734" i="21"/>
  <c r="N733" i="21"/>
  <c r="M733" i="21"/>
  <c r="N732" i="21"/>
  <c r="M732" i="21"/>
  <c r="N731" i="21"/>
  <c r="M731" i="21"/>
  <c r="N730" i="21"/>
  <c r="M730" i="21"/>
  <c r="N729" i="21"/>
  <c r="M729" i="21"/>
  <c r="N728" i="21"/>
  <c r="M728" i="21"/>
  <c r="N727" i="21"/>
  <c r="M727" i="21"/>
  <c r="N726" i="21"/>
  <c r="M726" i="21"/>
  <c r="N725" i="21"/>
  <c r="M725" i="21"/>
  <c r="N724" i="21"/>
  <c r="M724" i="21"/>
  <c r="N723" i="21"/>
  <c r="M723" i="21"/>
  <c r="N722" i="21"/>
  <c r="M722" i="21"/>
  <c r="N721" i="21"/>
  <c r="M721" i="21"/>
  <c r="N720" i="21"/>
  <c r="M720" i="21"/>
  <c r="N719" i="21"/>
  <c r="M719" i="21"/>
  <c r="N718" i="21"/>
  <c r="M718" i="21"/>
  <c r="N717" i="21"/>
  <c r="M717" i="21"/>
  <c r="N716" i="21"/>
  <c r="M716" i="21"/>
  <c r="N715" i="21"/>
  <c r="M715" i="21"/>
  <c r="N714" i="21"/>
  <c r="M714" i="21"/>
  <c r="N713" i="21"/>
  <c r="M713" i="21"/>
  <c r="N712" i="21"/>
  <c r="M712" i="21"/>
  <c r="N711" i="21"/>
  <c r="M711" i="21"/>
  <c r="N710" i="21"/>
  <c r="M710" i="21"/>
  <c r="N709" i="21"/>
  <c r="M709" i="21"/>
  <c r="N708" i="21"/>
  <c r="M708" i="21"/>
  <c r="N707" i="21"/>
  <c r="M707" i="21"/>
  <c r="N706" i="21"/>
  <c r="M706" i="21"/>
  <c r="N705" i="21"/>
  <c r="M705" i="21"/>
  <c r="N704" i="21"/>
  <c r="M704" i="21"/>
  <c r="N703" i="21"/>
  <c r="M703" i="21"/>
  <c r="N702" i="21"/>
  <c r="M702" i="21"/>
  <c r="N701" i="21"/>
  <c r="M701" i="21"/>
  <c r="N700" i="21"/>
  <c r="M700" i="21"/>
  <c r="N699" i="21"/>
  <c r="M699" i="21"/>
  <c r="N698" i="21"/>
  <c r="M698" i="21"/>
  <c r="N697" i="21"/>
  <c r="M697" i="21"/>
  <c r="N696" i="21"/>
  <c r="M696" i="21"/>
  <c r="N695" i="21"/>
  <c r="M695" i="21"/>
  <c r="N694" i="21"/>
  <c r="M694" i="21"/>
  <c r="N693" i="21"/>
  <c r="M693" i="21"/>
  <c r="N692" i="21"/>
  <c r="M692" i="21"/>
  <c r="N691" i="21"/>
  <c r="M691" i="21"/>
  <c r="N690" i="21"/>
  <c r="M690" i="21"/>
  <c r="N687" i="21"/>
  <c r="M687" i="21"/>
  <c r="N686" i="21"/>
  <c r="M686" i="21"/>
  <c r="N685" i="21"/>
  <c r="M685" i="21"/>
  <c r="N684" i="21"/>
  <c r="M684" i="21"/>
  <c r="N683" i="21"/>
  <c r="M683" i="21"/>
  <c r="N682" i="21"/>
  <c r="M682" i="21"/>
  <c r="N681" i="21"/>
  <c r="M681" i="21"/>
  <c r="N680" i="21"/>
  <c r="M680" i="21"/>
  <c r="N679" i="21"/>
  <c r="M679" i="21"/>
  <c r="N678" i="21"/>
  <c r="M678" i="21"/>
  <c r="N677" i="21"/>
  <c r="M677" i="21"/>
  <c r="N676" i="21"/>
  <c r="M676" i="21"/>
  <c r="N675" i="21"/>
  <c r="M675" i="21"/>
  <c r="N674" i="21"/>
  <c r="M674" i="21"/>
  <c r="N673" i="21"/>
  <c r="M673" i="21"/>
  <c r="N672" i="21"/>
  <c r="M672" i="21"/>
  <c r="N671" i="21"/>
  <c r="M671" i="21"/>
  <c r="N670" i="21"/>
  <c r="M670" i="21"/>
  <c r="N669" i="21"/>
  <c r="M669" i="21"/>
  <c r="N668" i="21"/>
  <c r="M668" i="21"/>
  <c r="N665" i="21"/>
  <c r="M665" i="21"/>
  <c r="N664" i="21"/>
  <c r="M664" i="21"/>
  <c r="N663" i="21"/>
  <c r="M663" i="21"/>
  <c r="N662" i="21"/>
  <c r="M662" i="21"/>
  <c r="N661" i="21"/>
  <c r="M661" i="21"/>
  <c r="N660" i="21"/>
  <c r="M660" i="21"/>
  <c r="N659" i="21"/>
  <c r="M659" i="21"/>
  <c r="N658" i="21"/>
  <c r="M658" i="21"/>
  <c r="N657" i="21"/>
  <c r="M657" i="21"/>
  <c r="N656" i="21"/>
  <c r="M656" i="21"/>
  <c r="N655" i="21"/>
  <c r="M655" i="21"/>
  <c r="N654" i="21"/>
  <c r="M654" i="21"/>
  <c r="N653" i="21"/>
  <c r="M653" i="21"/>
  <c r="N652" i="21"/>
  <c r="M652" i="21"/>
  <c r="N651" i="21"/>
  <c r="M651" i="21"/>
  <c r="N650" i="21"/>
  <c r="M650" i="21"/>
  <c r="N649" i="21"/>
  <c r="M649" i="21"/>
  <c r="N648" i="21"/>
  <c r="M648" i="21"/>
  <c r="N647" i="21"/>
  <c r="M647" i="21"/>
  <c r="N646" i="21"/>
  <c r="M646" i="21"/>
  <c r="N645" i="21"/>
  <c r="M645" i="21"/>
  <c r="N644" i="21"/>
  <c r="M644" i="21"/>
  <c r="N643" i="21"/>
  <c r="M643" i="21"/>
  <c r="N642" i="21"/>
  <c r="M642" i="21"/>
  <c r="N641" i="21"/>
  <c r="M641" i="21"/>
  <c r="N640" i="21"/>
  <c r="M640" i="21"/>
  <c r="N639" i="21"/>
  <c r="M639" i="21"/>
  <c r="N638" i="21"/>
  <c r="M638" i="21"/>
  <c r="N637" i="21"/>
  <c r="M637" i="21"/>
  <c r="N636" i="21"/>
  <c r="M636" i="21"/>
  <c r="N635" i="21"/>
  <c r="M635" i="21"/>
  <c r="N634" i="21"/>
  <c r="M634" i="21"/>
  <c r="N633" i="21"/>
  <c r="M633" i="21"/>
  <c r="N632" i="21"/>
  <c r="M632" i="21"/>
  <c r="N631" i="21"/>
  <c r="M631" i="21"/>
  <c r="N630" i="21"/>
  <c r="M630" i="21"/>
  <c r="N629" i="21"/>
  <c r="M629" i="21"/>
  <c r="N628" i="21"/>
  <c r="M628" i="21"/>
  <c r="N627" i="21"/>
  <c r="M627" i="21"/>
  <c r="N626" i="21"/>
  <c r="M626" i="21"/>
  <c r="N625" i="21"/>
  <c r="M625" i="21"/>
  <c r="N624" i="21"/>
  <c r="M624" i="21"/>
  <c r="N623" i="21"/>
  <c r="M623" i="21"/>
  <c r="N622" i="21"/>
  <c r="M622" i="21"/>
  <c r="N621" i="21"/>
  <c r="M621" i="21"/>
  <c r="N620" i="21"/>
  <c r="M620" i="21"/>
  <c r="N619" i="21"/>
  <c r="M619" i="21"/>
  <c r="N618" i="21"/>
  <c r="M618" i="21"/>
  <c r="N617" i="21"/>
  <c r="M617" i="21"/>
  <c r="N616" i="21"/>
  <c r="M616" i="21"/>
  <c r="N615" i="21"/>
  <c r="M615" i="21"/>
  <c r="N614" i="21"/>
  <c r="M614" i="21"/>
  <c r="N613" i="21"/>
  <c r="M613" i="21"/>
  <c r="N612" i="21"/>
  <c r="M612" i="21"/>
  <c r="N611" i="21"/>
  <c r="M611" i="21"/>
  <c r="N610" i="21"/>
  <c r="M610" i="21"/>
  <c r="N603" i="21"/>
  <c r="M603" i="21"/>
  <c r="N602" i="21"/>
  <c r="M602" i="21"/>
  <c r="N601" i="21"/>
  <c r="M601" i="21"/>
  <c r="N598" i="21"/>
  <c r="M598" i="21"/>
  <c r="N597" i="21"/>
  <c r="M597" i="21"/>
  <c r="N596" i="21"/>
  <c r="M596" i="21"/>
  <c r="N595" i="21"/>
  <c r="M595" i="21"/>
  <c r="N594" i="21"/>
  <c r="M594" i="21"/>
  <c r="N593" i="21"/>
  <c r="M593" i="21"/>
  <c r="N592" i="21"/>
  <c r="M592" i="21"/>
  <c r="N591" i="21"/>
  <c r="M591" i="21"/>
  <c r="N588" i="21"/>
  <c r="M588" i="21"/>
  <c r="N587" i="21"/>
  <c r="M587" i="21"/>
  <c r="N586" i="21"/>
  <c r="M586" i="21"/>
  <c r="N585" i="21"/>
  <c r="M585" i="21"/>
  <c r="N584" i="21"/>
  <c r="M584" i="21"/>
  <c r="N583" i="21"/>
  <c r="M583" i="21"/>
  <c r="N582" i="21"/>
  <c r="M582" i="21"/>
  <c r="N581" i="21"/>
  <c r="M581" i="21"/>
  <c r="N580" i="21"/>
  <c r="M580" i="21"/>
  <c r="N579" i="21"/>
  <c r="M579" i="21"/>
  <c r="N578" i="21"/>
  <c r="M578" i="21"/>
  <c r="N577" i="21"/>
  <c r="M577" i="21"/>
  <c r="N576" i="21"/>
  <c r="M576" i="21"/>
  <c r="N575" i="21"/>
  <c r="M575" i="21"/>
  <c r="N574" i="21"/>
  <c r="M574" i="21"/>
  <c r="N573" i="21"/>
  <c r="M573" i="21"/>
  <c r="N572" i="21"/>
  <c r="M572" i="21"/>
  <c r="N571" i="21"/>
  <c r="M571" i="21"/>
  <c r="N570" i="21"/>
  <c r="M570" i="21"/>
  <c r="N569" i="21"/>
  <c r="M569" i="21"/>
  <c r="N568" i="21"/>
  <c r="M568" i="21"/>
  <c r="N567" i="21"/>
  <c r="M567" i="21"/>
  <c r="N566" i="21"/>
  <c r="M566" i="21"/>
  <c r="N565" i="21"/>
  <c r="M565" i="21"/>
  <c r="N561" i="21"/>
  <c r="M561" i="21"/>
  <c r="N560" i="21"/>
  <c r="M560" i="21"/>
  <c r="N559" i="21"/>
  <c r="M559" i="21"/>
  <c r="N558" i="21"/>
  <c r="M558" i="21"/>
  <c r="N557" i="21"/>
  <c r="M557" i="21"/>
  <c r="N556" i="21"/>
  <c r="M556" i="21"/>
  <c r="N555" i="21"/>
  <c r="M555" i="21"/>
  <c r="N554" i="21"/>
  <c r="M554" i="21"/>
  <c r="N553" i="21"/>
  <c r="M553" i="21"/>
  <c r="N552" i="21"/>
  <c r="M552" i="21"/>
  <c r="N551" i="21"/>
  <c r="M551" i="21"/>
  <c r="N550" i="21"/>
  <c r="M550" i="21"/>
  <c r="N549" i="21"/>
  <c r="M549" i="21"/>
  <c r="N546" i="21"/>
  <c r="M546" i="21"/>
  <c r="N545" i="21"/>
  <c r="M545" i="21"/>
  <c r="N544" i="21"/>
  <c r="M544" i="21"/>
  <c r="N543" i="21"/>
  <c r="M543" i="21"/>
  <c r="N542" i="21"/>
  <c r="M542" i="21"/>
  <c r="N541" i="21"/>
  <c r="M541" i="21"/>
  <c r="N540" i="21"/>
  <c r="M540" i="21"/>
  <c r="N539" i="21"/>
  <c r="M539" i="21"/>
  <c r="N538" i="21"/>
  <c r="M538" i="21"/>
  <c r="N537" i="21"/>
  <c r="M537" i="21"/>
  <c r="N536" i="21"/>
  <c r="M536" i="21"/>
  <c r="N535" i="21"/>
  <c r="M535" i="21"/>
  <c r="N534" i="21"/>
  <c r="M534" i="21"/>
  <c r="N533" i="21"/>
  <c r="M533" i="21"/>
  <c r="N532" i="21"/>
  <c r="M532" i="21"/>
  <c r="N531" i="21"/>
  <c r="M531" i="21"/>
  <c r="N528" i="21"/>
  <c r="M528" i="21"/>
  <c r="N527" i="21"/>
  <c r="M527" i="21"/>
  <c r="N526" i="21"/>
  <c r="M526" i="21"/>
  <c r="N525" i="21"/>
  <c r="M525" i="21"/>
  <c r="N524" i="21"/>
  <c r="M524" i="21"/>
  <c r="N523" i="21"/>
  <c r="M523" i="21"/>
  <c r="N522" i="21"/>
  <c r="M522" i="21"/>
  <c r="N521" i="21"/>
  <c r="M521" i="21"/>
  <c r="N520" i="21"/>
  <c r="M520" i="21"/>
  <c r="N519" i="21"/>
  <c r="M519" i="21"/>
  <c r="N518" i="21"/>
  <c r="M518" i="21"/>
  <c r="N517" i="21"/>
  <c r="M517" i="21"/>
  <c r="N516" i="21"/>
  <c r="M516" i="21"/>
  <c r="N515" i="21"/>
  <c r="M515" i="21"/>
  <c r="N514" i="21"/>
  <c r="M514" i="21"/>
  <c r="N513" i="21"/>
  <c r="M513" i="21"/>
  <c r="N512" i="21"/>
  <c r="M512" i="21"/>
  <c r="N511" i="21"/>
  <c r="M511" i="21"/>
  <c r="N510" i="21"/>
  <c r="M510" i="21"/>
  <c r="N509" i="21"/>
  <c r="M509" i="21"/>
  <c r="N508" i="21"/>
  <c r="M508" i="21"/>
  <c r="N507" i="21"/>
  <c r="M507" i="21"/>
  <c r="N506" i="21"/>
  <c r="M506" i="21"/>
  <c r="N505" i="21"/>
  <c r="M505" i="21"/>
  <c r="N504" i="21"/>
  <c r="M504" i="21"/>
  <c r="N503" i="21"/>
  <c r="M503" i="21"/>
  <c r="N502" i="21"/>
  <c r="M502" i="21"/>
  <c r="N501" i="21"/>
  <c r="M501" i="21"/>
  <c r="N500" i="21"/>
  <c r="M500" i="21"/>
  <c r="N499" i="21"/>
  <c r="M499" i="21"/>
  <c r="N498" i="21"/>
  <c r="M498" i="21"/>
  <c r="N497" i="21"/>
  <c r="M497" i="21"/>
  <c r="N496" i="21"/>
  <c r="M496" i="21"/>
  <c r="N495" i="21"/>
  <c r="M495" i="21"/>
  <c r="N494" i="21"/>
  <c r="M494" i="21"/>
  <c r="N493" i="21"/>
  <c r="M493" i="21"/>
  <c r="N492" i="21"/>
  <c r="M492" i="21"/>
  <c r="N491" i="21"/>
  <c r="M491" i="21"/>
  <c r="N490" i="21"/>
  <c r="M490" i="21"/>
  <c r="N489" i="21"/>
  <c r="M489" i="21"/>
  <c r="N488" i="21"/>
  <c r="M488" i="21"/>
  <c r="N487" i="21"/>
  <c r="M487" i="21"/>
  <c r="N486" i="21"/>
  <c r="M486" i="21"/>
  <c r="N485" i="21"/>
  <c r="M485" i="21"/>
  <c r="N484" i="21"/>
  <c r="M484" i="21"/>
  <c r="N483" i="21"/>
  <c r="M483" i="21"/>
  <c r="N482" i="21"/>
  <c r="M482" i="21"/>
  <c r="N481" i="21"/>
  <c r="M481" i="21"/>
  <c r="N480" i="21"/>
  <c r="M480" i="21"/>
  <c r="N479" i="21"/>
  <c r="M479" i="21"/>
  <c r="N478" i="21"/>
  <c r="M478" i="21"/>
  <c r="N477" i="21"/>
  <c r="M477" i="21"/>
  <c r="N476" i="21"/>
  <c r="M476" i="21"/>
  <c r="N475" i="21"/>
  <c r="M475" i="21"/>
  <c r="N474" i="21"/>
  <c r="M474" i="21"/>
  <c r="N473" i="21"/>
  <c r="M473" i="21"/>
  <c r="N472" i="21"/>
  <c r="M472" i="21"/>
  <c r="N471" i="21"/>
  <c r="M471" i="21"/>
  <c r="N470" i="21"/>
  <c r="M470" i="21"/>
  <c r="N469" i="21"/>
  <c r="M469" i="21"/>
  <c r="N468" i="21"/>
  <c r="M468" i="21"/>
  <c r="N467" i="21"/>
  <c r="M467" i="21"/>
  <c r="N466" i="21"/>
  <c r="M466" i="21"/>
  <c r="N465" i="21"/>
  <c r="M465" i="21"/>
  <c r="N464" i="21"/>
  <c r="M464" i="21"/>
  <c r="N463" i="21"/>
  <c r="M463" i="21"/>
  <c r="N462" i="21"/>
  <c r="M462" i="21"/>
  <c r="N461" i="21"/>
  <c r="M461" i="21"/>
  <c r="N460" i="21"/>
  <c r="M460" i="21"/>
  <c r="N459" i="21"/>
  <c r="M459" i="21"/>
  <c r="N458" i="21"/>
  <c r="M458" i="21"/>
  <c r="N457" i="21"/>
  <c r="M457" i="21"/>
  <c r="N456" i="21"/>
  <c r="M456" i="21"/>
  <c r="N455" i="21"/>
  <c r="M455" i="21"/>
  <c r="N454" i="21"/>
  <c r="M454" i="21"/>
  <c r="N453" i="21"/>
  <c r="M453" i="21"/>
  <c r="N452" i="21"/>
  <c r="M452" i="21"/>
  <c r="N451" i="21"/>
  <c r="M451" i="21"/>
  <c r="N450" i="21"/>
  <c r="M450" i="21"/>
  <c r="N449" i="21"/>
  <c r="M449" i="21"/>
  <c r="N448" i="21"/>
  <c r="M448" i="21"/>
  <c r="N447" i="21"/>
  <c r="M447" i="21"/>
  <c r="N446" i="21"/>
  <c r="M446" i="21"/>
  <c r="N445" i="21"/>
  <c r="M445" i="21"/>
  <c r="N444" i="21"/>
  <c r="M444" i="21"/>
  <c r="N443" i="21"/>
  <c r="M443" i="21"/>
  <c r="N442" i="21"/>
  <c r="M442" i="21"/>
  <c r="N441" i="21"/>
  <c r="M441" i="21"/>
  <c r="N440" i="21"/>
  <c r="M440" i="21"/>
  <c r="N439" i="21"/>
  <c r="M439" i="21"/>
  <c r="N438" i="21"/>
  <c r="M438" i="21"/>
  <c r="N437" i="21"/>
  <c r="M437" i="21"/>
  <c r="N436" i="21"/>
  <c r="M436" i="21"/>
  <c r="N435" i="21"/>
  <c r="M435" i="21"/>
  <c r="N434" i="21"/>
  <c r="M434" i="21"/>
  <c r="N433" i="21"/>
  <c r="M433" i="21"/>
  <c r="N432" i="21"/>
  <c r="M432" i="21"/>
  <c r="N431" i="21"/>
  <c r="M431" i="21"/>
  <c r="N430" i="21"/>
  <c r="M430" i="21"/>
  <c r="N429" i="21"/>
  <c r="M429" i="21"/>
  <c r="N428" i="21"/>
  <c r="M428" i="21"/>
  <c r="N427" i="21"/>
  <c r="M427" i="21"/>
  <c r="N426" i="21"/>
  <c r="M426" i="21"/>
  <c r="N425" i="21"/>
  <c r="M425" i="21"/>
  <c r="N424" i="21"/>
  <c r="M424" i="21"/>
  <c r="N423" i="21"/>
  <c r="M423" i="21"/>
  <c r="N422" i="21"/>
  <c r="M422" i="21"/>
  <c r="N419" i="21"/>
  <c r="M419" i="21"/>
  <c r="N414" i="21"/>
  <c r="M414" i="21"/>
  <c r="N413" i="21"/>
  <c r="M413" i="21"/>
  <c r="N412" i="21"/>
  <c r="M412" i="21"/>
  <c r="N411" i="21"/>
  <c r="M411" i="21"/>
  <c r="N410" i="21"/>
  <c r="M410" i="21"/>
  <c r="N409" i="21"/>
  <c r="M409" i="21"/>
  <c r="N408" i="21"/>
  <c r="M408" i="21"/>
  <c r="N407" i="21"/>
  <c r="M407" i="21"/>
  <c r="N406" i="21"/>
  <c r="M406" i="21"/>
  <c r="N405" i="21"/>
  <c r="M405" i="21"/>
  <c r="N404" i="21"/>
  <c r="M404" i="21"/>
  <c r="N403" i="21"/>
  <c r="M403" i="21"/>
  <c r="N402" i="21"/>
  <c r="M402" i="21"/>
  <c r="N401" i="21"/>
  <c r="M401" i="21"/>
  <c r="N400" i="21"/>
  <c r="M400" i="21"/>
  <c r="N399" i="21"/>
  <c r="M399" i="21"/>
  <c r="N398" i="21"/>
  <c r="M398" i="21"/>
  <c r="N397" i="21"/>
  <c r="M397" i="21"/>
  <c r="N396" i="21"/>
  <c r="M396" i="21"/>
  <c r="N395" i="21"/>
  <c r="M395" i="21"/>
  <c r="N392" i="21"/>
  <c r="M392" i="21"/>
  <c r="N391" i="21"/>
  <c r="M391" i="21"/>
  <c r="N390" i="21"/>
  <c r="M390" i="21"/>
  <c r="N389" i="21"/>
  <c r="M389" i="21"/>
  <c r="N388" i="21"/>
  <c r="M388" i="21"/>
  <c r="N387" i="21"/>
  <c r="M387" i="21"/>
  <c r="N386" i="21"/>
  <c r="M386" i="21"/>
  <c r="N385" i="21"/>
  <c r="M385" i="21"/>
  <c r="N384" i="21"/>
  <c r="M384" i="21"/>
  <c r="N383" i="21"/>
  <c r="M383" i="21"/>
  <c r="N382" i="21"/>
  <c r="M382" i="21"/>
  <c r="N381" i="21"/>
  <c r="M381" i="21"/>
  <c r="N380" i="21"/>
  <c r="M380" i="21"/>
  <c r="N379" i="21"/>
  <c r="M379" i="21"/>
  <c r="N378" i="21"/>
  <c r="M378" i="21"/>
  <c r="N377" i="21"/>
  <c r="M377" i="21"/>
  <c r="N376" i="21"/>
  <c r="M376" i="21"/>
  <c r="N375" i="21"/>
  <c r="M375" i="21"/>
  <c r="N372" i="21"/>
  <c r="M372" i="21"/>
  <c r="N371" i="21"/>
  <c r="M371" i="21"/>
  <c r="N370" i="21"/>
  <c r="M370" i="21"/>
  <c r="N369" i="21"/>
  <c r="M369" i="21"/>
  <c r="N368" i="21"/>
  <c r="M368" i="21"/>
  <c r="N367" i="21"/>
  <c r="M367" i="21"/>
  <c r="N366" i="21"/>
  <c r="M366" i="21"/>
  <c r="N365" i="21"/>
  <c r="M365" i="21"/>
  <c r="N364" i="21"/>
  <c r="M364" i="21"/>
  <c r="N363" i="21"/>
  <c r="M363" i="21"/>
  <c r="N362" i="21"/>
  <c r="M362" i="21"/>
  <c r="N361" i="21"/>
  <c r="M361" i="21"/>
  <c r="N356" i="21"/>
  <c r="M356" i="21"/>
  <c r="N355" i="21"/>
  <c r="M355" i="21"/>
  <c r="N354" i="21"/>
  <c r="M354" i="21"/>
  <c r="N351" i="21"/>
  <c r="M351" i="21"/>
  <c r="N350" i="21"/>
  <c r="M350" i="21"/>
  <c r="N349" i="21"/>
  <c r="M349" i="21"/>
  <c r="N348" i="21"/>
  <c r="M348" i="21"/>
  <c r="N347" i="21"/>
  <c r="M347" i="21"/>
  <c r="N346" i="21"/>
  <c r="M346" i="21"/>
  <c r="N345" i="21"/>
  <c r="M345" i="21"/>
  <c r="N344" i="21"/>
  <c r="M344" i="21"/>
  <c r="N343" i="21"/>
  <c r="M343" i="21"/>
  <c r="N342" i="21"/>
  <c r="M342" i="21"/>
  <c r="N341" i="21"/>
  <c r="M341" i="21"/>
  <c r="N340" i="21"/>
  <c r="M340" i="21"/>
  <c r="N339" i="21"/>
  <c r="M339" i="21"/>
  <c r="N338" i="21"/>
  <c r="M338" i="21"/>
  <c r="N337" i="21"/>
  <c r="M337" i="21"/>
  <c r="N336" i="21"/>
  <c r="M336" i="21"/>
  <c r="N335" i="21"/>
  <c r="M335" i="21"/>
  <c r="N334" i="21"/>
  <c r="M334" i="21"/>
  <c r="N333" i="21"/>
  <c r="M333" i="21"/>
  <c r="N332" i="21"/>
  <c r="M332" i="21"/>
  <c r="N331" i="21"/>
  <c r="M331" i="21"/>
  <c r="N326" i="21"/>
  <c r="M326" i="21"/>
  <c r="N325" i="21"/>
  <c r="M325" i="21"/>
  <c r="N324" i="21"/>
  <c r="M324" i="21"/>
  <c r="N323" i="21"/>
  <c r="M323" i="21"/>
  <c r="N322" i="21"/>
  <c r="M322" i="21"/>
  <c r="N321" i="21"/>
  <c r="M321" i="21"/>
  <c r="N320" i="21"/>
  <c r="M320" i="21"/>
  <c r="N319" i="21"/>
  <c r="M319" i="21"/>
  <c r="N318" i="21"/>
  <c r="M318" i="21"/>
  <c r="N317" i="21"/>
  <c r="M317" i="21"/>
  <c r="N312" i="21"/>
  <c r="M312" i="21"/>
  <c r="N311" i="21"/>
  <c r="M311" i="21"/>
  <c r="N310" i="21"/>
  <c r="M310" i="21"/>
  <c r="N309" i="21"/>
  <c r="M309" i="21"/>
  <c r="N308" i="21"/>
  <c r="M308" i="21"/>
  <c r="N307" i="21"/>
  <c r="M307" i="21"/>
  <c r="N306" i="21"/>
  <c r="M306" i="21"/>
  <c r="N305" i="21"/>
  <c r="M305" i="21"/>
  <c r="N304" i="21"/>
  <c r="M304" i="21"/>
  <c r="N301" i="21"/>
  <c r="M301" i="21"/>
  <c r="N300" i="21"/>
  <c r="M300" i="21"/>
  <c r="N299" i="21"/>
  <c r="M299" i="21"/>
  <c r="N298" i="21"/>
  <c r="M298" i="21"/>
  <c r="N297" i="21"/>
  <c r="M297" i="21"/>
  <c r="N296" i="21"/>
  <c r="M296" i="21"/>
  <c r="N295" i="21"/>
  <c r="M295"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4" i="21"/>
  <c r="M174" i="21"/>
  <c r="N173" i="21"/>
  <c r="M173" i="21"/>
  <c r="N172" i="21"/>
  <c r="M172" i="21"/>
  <c r="N171" i="21"/>
  <c r="M171" i="21"/>
  <c r="N170" i="21"/>
  <c r="M170" i="21"/>
  <c r="N169" i="21"/>
  <c r="M169" i="21"/>
  <c r="N168" i="21"/>
  <c r="M168" i="21"/>
  <c r="N167" i="21"/>
  <c r="M167" i="21"/>
  <c r="N166" i="21"/>
  <c r="M166" i="21"/>
  <c r="N165" i="21"/>
  <c r="M165" i="21"/>
  <c r="N164" i="21"/>
  <c r="M164" i="21"/>
  <c r="N161" i="21"/>
  <c r="M161" i="21"/>
  <c r="N160" i="21"/>
  <c r="M160"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2" i="21"/>
  <c r="M142" i="21"/>
  <c r="N139" i="21"/>
  <c r="M139" i="21"/>
  <c r="N138" i="21"/>
  <c r="M138" i="21"/>
  <c r="N137" i="21"/>
  <c r="M137" i="21"/>
  <c r="N136" i="21"/>
  <c r="M136" i="21"/>
  <c r="N135" i="21"/>
  <c r="M135" i="21"/>
  <c r="N132" i="21"/>
  <c r="M132" i="21"/>
  <c r="N131" i="21"/>
  <c r="M131" i="21"/>
  <c r="N126" i="21"/>
  <c r="M126" i="21"/>
  <c r="N125" i="21"/>
  <c r="M125" i="21"/>
  <c r="N124" i="21"/>
  <c r="M124" i="21"/>
  <c r="N123" i="21"/>
  <c r="M123" i="21"/>
  <c r="N122" i="21"/>
  <c r="M122" i="21"/>
  <c r="N115" i="21"/>
  <c r="M115" i="21"/>
  <c r="N114" i="21"/>
  <c r="M114" i="21"/>
  <c r="N113" i="21"/>
  <c r="M113" i="21"/>
  <c r="N112" i="21"/>
  <c r="M112" i="21"/>
  <c r="N111" i="21"/>
  <c r="M111" i="21"/>
  <c r="N110" i="21"/>
  <c r="M110" i="21"/>
  <c r="N109" i="21"/>
  <c r="M109" i="21"/>
  <c r="N108" i="21"/>
  <c r="M108"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86" i="21"/>
  <c r="M86" i="21"/>
  <c r="N85" i="21"/>
  <c r="M85" i="21"/>
  <c r="N84" i="21"/>
  <c r="M84" i="21"/>
  <c r="N83" i="21"/>
  <c r="M83" i="21"/>
  <c r="N82" i="21"/>
  <c r="M82" i="21"/>
  <c r="N81" i="21"/>
  <c r="M81" i="21"/>
  <c r="N80" i="21"/>
  <c r="M80" i="21"/>
  <c r="N79" i="21"/>
  <c r="M79" i="21"/>
  <c r="N74" i="21"/>
  <c r="M74" i="21"/>
  <c r="N73" i="21"/>
  <c r="M73" i="21"/>
  <c r="N72" i="21"/>
  <c r="M72" i="21"/>
  <c r="N71" i="21"/>
  <c r="M71" i="21"/>
  <c r="N70" i="21"/>
  <c r="M70" i="21"/>
  <c r="N69" i="21"/>
  <c r="M69" i="21"/>
  <c r="N68" i="21"/>
  <c r="M68" i="21"/>
  <c r="N67" i="21"/>
  <c r="M67" i="21"/>
  <c r="N64" i="21"/>
  <c r="M64" i="21"/>
  <c r="N63" i="21"/>
  <c r="M63" i="21"/>
  <c r="N62" i="21"/>
  <c r="M62" i="21"/>
  <c r="N61" i="21"/>
  <c r="M61" i="21"/>
  <c r="N60" i="21"/>
  <c r="M60" i="21"/>
  <c r="N59" i="21"/>
  <c r="M59" i="21"/>
  <c r="N58" i="21"/>
  <c r="M58" i="21"/>
  <c r="N57" i="21"/>
  <c r="M57" i="21"/>
  <c r="N56" i="21"/>
  <c r="M56" i="21"/>
  <c r="N53" i="21"/>
  <c r="M53" i="21"/>
  <c r="N52" i="21"/>
  <c r="M52" i="21"/>
  <c r="N51" i="21"/>
  <c r="M51" i="21"/>
  <c r="N50" i="21"/>
  <c r="M50" i="21"/>
  <c r="N49" i="21"/>
  <c r="M49" i="21"/>
  <c r="N48" i="21"/>
  <c r="M48" i="21"/>
  <c r="N47" i="21"/>
  <c r="M47" i="21"/>
  <c r="N46" i="21"/>
  <c r="M46" i="21"/>
  <c r="N45" i="21"/>
  <c r="M45" i="21"/>
  <c r="N44" i="21"/>
  <c r="M44" i="21"/>
  <c r="N43" i="21"/>
  <c r="M43" i="21"/>
  <c r="N42" i="21"/>
  <c r="M42" i="21"/>
  <c r="N41" i="21"/>
  <c r="M41" i="21"/>
  <c r="N40" i="21"/>
  <c r="M40" i="21"/>
  <c r="N39" i="21"/>
  <c r="M39" i="21"/>
  <c r="N38" i="21"/>
  <c r="M38" i="21"/>
  <c r="N37" i="21"/>
  <c r="M37" i="21"/>
  <c r="N36" i="21"/>
  <c r="M36" i="21"/>
  <c r="N35" i="21"/>
  <c r="M35" i="21"/>
  <c r="N34" i="21"/>
  <c r="M34" i="21"/>
  <c r="N33" i="21"/>
  <c r="M33" i="21"/>
  <c r="N32" i="21"/>
  <c r="M32" i="21"/>
  <c r="N31" i="21"/>
  <c r="M31" i="21"/>
  <c r="N30" i="21"/>
  <c r="M30" i="21"/>
  <c r="N29" i="21"/>
  <c r="M29" i="21"/>
  <c r="N28" i="21"/>
  <c r="M28" i="21"/>
  <c r="N27" i="21"/>
  <c r="M27" i="21"/>
  <c r="N26" i="21"/>
  <c r="M26" i="21"/>
  <c r="N25" i="21"/>
  <c r="M25" i="21"/>
  <c r="N22" i="21"/>
  <c r="M22" i="21"/>
  <c r="N21" i="21"/>
  <c r="M21" i="21"/>
  <c r="N20" i="21"/>
  <c r="M20" i="21"/>
  <c r="N19" i="21"/>
  <c r="M19" i="21"/>
  <c r="N18" i="21"/>
  <c r="M18" i="21"/>
  <c r="N17" i="21"/>
  <c r="M17" i="21"/>
  <c r="N16" i="21"/>
  <c r="M16" i="21"/>
  <c r="N15" i="21"/>
  <c r="M15" i="21"/>
  <c r="N14" i="21"/>
  <c r="M14" i="21"/>
  <c r="N13" i="21"/>
  <c r="M13" i="21"/>
  <c r="N12" i="21"/>
  <c r="M12" i="21"/>
  <c r="N11" i="21"/>
  <c r="M11" i="21"/>
  <c r="N10" i="21"/>
  <c r="M10" i="21"/>
  <c r="N9" i="21"/>
  <c r="M9" i="21"/>
  <c r="N8" i="21"/>
  <c r="M8" i="21"/>
  <c r="N7" i="21"/>
  <c r="M7" i="21"/>
  <c r="N6" i="21"/>
  <c r="M6" i="21"/>
  <c r="N5" i="21"/>
  <c r="M5" i="21"/>
  <c r="N4" i="21"/>
  <c r="M4" i="21"/>
  <c r="N3" i="21"/>
  <c r="M3" i="21"/>
  <c r="N2" i="21"/>
  <c r="M2" i="21"/>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9" i="20"/>
  <c r="M69" i="20"/>
  <c r="N68" i="20"/>
  <c r="M68" i="20"/>
  <c r="N67" i="20"/>
  <c r="M67" i="20"/>
  <c r="N66" i="20"/>
  <c r="M66" i="20"/>
  <c r="N65" i="20"/>
  <c r="M65" i="20"/>
  <c r="N64" i="20"/>
  <c r="M64" i="20"/>
  <c r="N63" i="20"/>
  <c r="M63" i="20"/>
  <c r="N62" i="20"/>
  <c r="M62" i="20"/>
  <c r="N61" i="20"/>
  <c r="M61" i="20"/>
  <c r="N60" i="20"/>
  <c r="M60" i="20"/>
  <c r="N59" i="20"/>
  <c r="M59" i="20"/>
  <c r="N58" i="20"/>
  <c r="M58" i="20"/>
  <c r="N57" i="20"/>
  <c r="M57" i="20"/>
  <c r="N56" i="20"/>
  <c r="M56" i="20"/>
  <c r="N55" i="20"/>
  <c r="M55" i="20"/>
  <c r="N54" i="20"/>
  <c r="M54" i="20"/>
  <c r="N53" i="20"/>
  <c r="M53" i="20"/>
  <c r="N52" i="20"/>
  <c r="M52" i="20"/>
  <c r="N51" i="20"/>
  <c r="M51" i="20"/>
  <c r="N50" i="20"/>
  <c r="M50" i="20"/>
  <c r="N49" i="20"/>
  <c r="M49" i="20"/>
  <c r="N48" i="20"/>
  <c r="M48" i="20"/>
  <c r="N47" i="20"/>
  <c r="M47" i="20"/>
  <c r="N46" i="20"/>
  <c r="M46" i="20"/>
  <c r="N45" i="20"/>
  <c r="M45" i="20"/>
  <c r="N44" i="20"/>
  <c r="M44" i="20"/>
  <c r="N43" i="20"/>
  <c r="M43" i="20"/>
  <c r="N42" i="20"/>
  <c r="M42" i="20"/>
  <c r="N41" i="20"/>
  <c r="M41" i="20"/>
  <c r="N40" i="20"/>
  <c r="M40" i="20"/>
  <c r="N39" i="20"/>
  <c r="M39" i="20"/>
  <c r="N38" i="20"/>
  <c r="M38" i="20"/>
  <c r="N37" i="20"/>
  <c r="M37" i="20"/>
  <c r="N36" i="20"/>
  <c r="M36" i="20"/>
  <c r="N35" i="20"/>
  <c r="M35" i="20"/>
  <c r="N34" i="20"/>
  <c r="M34"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N9" i="20"/>
  <c r="M9" i="20"/>
  <c r="N8" i="20"/>
  <c r="M8" i="20"/>
  <c r="N7" i="20"/>
  <c r="M7" i="20"/>
  <c r="N6" i="20"/>
  <c r="M6" i="20"/>
  <c r="N5" i="20"/>
  <c r="M5" i="20"/>
  <c r="N4" i="20"/>
  <c r="M4" i="20"/>
  <c r="N3" i="20"/>
  <c r="M3" i="20"/>
  <c r="N2" i="20"/>
  <c r="M2" i="20"/>
  <c r="H1497" i="16" l="1"/>
  <c r="H1498" i="16"/>
  <c r="H1499" i="16"/>
  <c r="H1500" i="16"/>
  <c r="H1501" i="16"/>
  <c r="H1502" i="16"/>
  <c r="H1503" i="16"/>
  <c r="H1504" i="16"/>
  <c r="H1505" i="16"/>
  <c r="H1506" i="16"/>
  <c r="H1507" i="16"/>
  <c r="H1508" i="16"/>
  <c r="H1509" i="16"/>
  <c r="H1510" i="16"/>
  <c r="H1511" i="16"/>
  <c r="H1512" i="16"/>
  <c r="H1513" i="16"/>
  <c r="H1514" i="16"/>
  <c r="H1515" i="16"/>
  <c r="H1516" i="16"/>
  <c r="H1517" i="16"/>
  <c r="H1518" i="16"/>
  <c r="H1519" i="16"/>
  <c r="H1520" i="16"/>
  <c r="H1521" i="16"/>
  <c r="H1522" i="16"/>
  <c r="H1523" i="16"/>
  <c r="H1524" i="16"/>
  <c r="H1525" i="16"/>
  <c r="H1526" i="16"/>
  <c r="H1527" i="16"/>
  <c r="H1528" i="16"/>
  <c r="H1529" i="16"/>
  <c r="H1530" i="16"/>
  <c r="H1531" i="16"/>
  <c r="H1532" i="16"/>
  <c r="H1533" i="16"/>
  <c r="H1534" i="16"/>
  <c r="H1535" i="16"/>
  <c r="H1536" i="16"/>
  <c r="H1537" i="16"/>
  <c r="H1538" i="16"/>
  <c r="H1539" i="16"/>
  <c r="H1540" i="16"/>
  <c r="H1541" i="16"/>
  <c r="H1542" i="16"/>
  <c r="H1543" i="16"/>
  <c r="H1544" i="16"/>
  <c r="H1545" i="16"/>
  <c r="H1546" i="16"/>
  <c r="H1547" i="16"/>
  <c r="H1548" i="16"/>
  <c r="H1549" i="16"/>
  <c r="H1550" i="16"/>
  <c r="H1551" i="16"/>
  <c r="H1552" i="16"/>
  <c r="H1553" i="16"/>
  <c r="H1554" i="16"/>
  <c r="H1555" i="16"/>
  <c r="H1556" i="16"/>
  <c r="H1557" i="16"/>
  <c r="H1558" i="16"/>
  <c r="H1559" i="16"/>
  <c r="H1560" i="16"/>
  <c r="H1561" i="16"/>
  <c r="H1562" i="16"/>
  <c r="H1563" i="16"/>
  <c r="H1564" i="16"/>
  <c r="H1565" i="16"/>
  <c r="H1566" i="16"/>
  <c r="H1567" i="16"/>
  <c r="H1568" i="16"/>
  <c r="H1569" i="16"/>
  <c r="H1570" i="16"/>
  <c r="H1571" i="16"/>
  <c r="H1572" i="16"/>
  <c r="H1573" i="16"/>
  <c r="H1574" i="16"/>
  <c r="H1575" i="16"/>
  <c r="H1576" i="16"/>
  <c r="H1577" i="16"/>
  <c r="H1578" i="16"/>
  <c r="H1579" i="16"/>
  <c r="H1580" i="16"/>
  <c r="H1581" i="16"/>
  <c r="H1582" i="16"/>
  <c r="H1583" i="16"/>
  <c r="H1584" i="16"/>
  <c r="H1585" i="16"/>
  <c r="H1586" i="16"/>
  <c r="H1587" i="16"/>
  <c r="H1588" i="16"/>
  <c r="H1589" i="16"/>
  <c r="H1590" i="16"/>
  <c r="H1591" i="16"/>
  <c r="H1592" i="16"/>
  <c r="H1593" i="16"/>
  <c r="H1594" i="16"/>
  <c r="H1595" i="16"/>
  <c r="H1596" i="16"/>
  <c r="H1597" i="16"/>
  <c r="H1598" i="16"/>
  <c r="H1599" i="16"/>
  <c r="H1600" i="16"/>
  <c r="H1601" i="16"/>
  <c r="H1602" i="16"/>
  <c r="H1603" i="16"/>
  <c r="H1604" i="16"/>
  <c r="H1605" i="16"/>
  <c r="H1606" i="16"/>
  <c r="H1607" i="16"/>
  <c r="H1608" i="16"/>
  <c r="H1609" i="16"/>
  <c r="H1610" i="16"/>
  <c r="H1611" i="16"/>
  <c r="H1612" i="16"/>
  <c r="H1613" i="16"/>
  <c r="H1614" i="16"/>
  <c r="H1615" i="16"/>
  <c r="H1616" i="16"/>
  <c r="H1617" i="16"/>
  <c r="H1618" i="16"/>
  <c r="H1619" i="16"/>
  <c r="H1620" i="16"/>
  <c r="H1621" i="16"/>
  <c r="H1622" i="16"/>
  <c r="H1623" i="16"/>
  <c r="H1624" i="16"/>
  <c r="H1625" i="16"/>
  <c r="H1626" i="16"/>
  <c r="H1627" i="16"/>
  <c r="H1628" i="16"/>
  <c r="H1629" i="16"/>
  <c r="H1630" i="16"/>
  <c r="H1631" i="16"/>
  <c r="H1632" i="16"/>
  <c r="H1633" i="16"/>
  <c r="H1634" i="16"/>
  <c r="H1635" i="16"/>
  <c r="H1636" i="16"/>
  <c r="H1637" i="16"/>
  <c r="H1638" i="16"/>
  <c r="H1639" i="16"/>
  <c r="H1640" i="16"/>
  <c r="H1641" i="16"/>
  <c r="H1642" i="16"/>
  <c r="H1643" i="16"/>
  <c r="H1644" i="16"/>
  <c r="H1645" i="16"/>
  <c r="H1646" i="16"/>
  <c r="H1647" i="16"/>
  <c r="H1648" i="16"/>
  <c r="H1649" i="16"/>
  <c r="H1650" i="16"/>
  <c r="H1651" i="16"/>
  <c r="H1652" i="16"/>
  <c r="H1653" i="16"/>
  <c r="H1654" i="16"/>
  <c r="H1655" i="16"/>
  <c r="H1656" i="16"/>
  <c r="H1657" i="16"/>
  <c r="H1658" i="16"/>
  <c r="H1659" i="16"/>
  <c r="H1660" i="16"/>
  <c r="H1661" i="16"/>
  <c r="H1662" i="16"/>
  <c r="H1663" i="16"/>
  <c r="H1664" i="16"/>
  <c r="H1665" i="16"/>
  <c r="H1666" i="16"/>
  <c r="H1667" i="16"/>
  <c r="H1668" i="16"/>
  <c r="H1669" i="16"/>
  <c r="H1670" i="16"/>
  <c r="H1671" i="16"/>
  <c r="H1672" i="16"/>
  <c r="H1673" i="16"/>
  <c r="H1674" i="16"/>
  <c r="H1675" i="16"/>
  <c r="H1676" i="16"/>
  <c r="H1677" i="16"/>
  <c r="H1678" i="16"/>
  <c r="H1679" i="16"/>
  <c r="H1680" i="16"/>
  <c r="H1681" i="16"/>
  <c r="H1682" i="16"/>
  <c r="H1683" i="16"/>
  <c r="H1684" i="16"/>
  <c r="H1685" i="16"/>
  <c r="H1686" i="16"/>
  <c r="H1687" i="16"/>
  <c r="H1688" i="16"/>
  <c r="H1689" i="16"/>
  <c r="H1690" i="16"/>
  <c r="H1691" i="16"/>
  <c r="H1692" i="16"/>
  <c r="H1693" i="16"/>
  <c r="H1694" i="16"/>
  <c r="H1695" i="16"/>
  <c r="H1696" i="16"/>
  <c r="H1697" i="16"/>
  <c r="H1698" i="16"/>
  <c r="H1699" i="16"/>
  <c r="H1700"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3" i="16"/>
  <c r="H2" i="16"/>
  <c r="N7" i="13" l="1"/>
  <c r="M7" i="13"/>
  <c r="N4" i="13"/>
  <c r="M4" i="13"/>
  <c r="N3" i="13"/>
  <c r="M3" i="13"/>
  <c r="N2" i="13"/>
  <c r="M2" i="13"/>
  <c r="N71" i="12"/>
  <c r="M71" i="12"/>
  <c r="N70" i="12"/>
  <c r="M70" i="12"/>
  <c r="N69" i="12"/>
  <c r="M69" i="12"/>
  <c r="N68" i="12"/>
  <c r="M68" i="12"/>
  <c r="N67" i="12"/>
  <c r="M67" i="12"/>
  <c r="N66" i="12"/>
  <c r="M66" i="12"/>
  <c r="N65" i="12"/>
  <c r="M65" i="12"/>
  <c r="N63" i="12"/>
  <c r="M63" i="12"/>
  <c r="N62" i="12"/>
  <c r="M62" i="12"/>
  <c r="N61" i="12"/>
  <c r="M61" i="12"/>
  <c r="N60" i="12"/>
  <c r="M60" i="12"/>
  <c r="N59" i="12"/>
  <c r="M59" i="12"/>
  <c r="N58" i="12"/>
  <c r="M58" i="12"/>
  <c r="N57" i="12"/>
  <c r="M57" i="12"/>
  <c r="N56" i="12"/>
  <c r="M56" i="12"/>
  <c r="N55" i="12"/>
  <c r="M55" i="12"/>
  <c r="N54" i="12"/>
  <c r="M54" i="12"/>
  <c r="N53" i="12"/>
  <c r="M53" i="12"/>
  <c r="N52" i="12"/>
  <c r="M52" i="12"/>
  <c r="N51" i="12"/>
  <c r="M51" i="12"/>
  <c r="N50" i="12"/>
  <c r="M50" i="12"/>
  <c r="N49" i="12"/>
  <c r="M49" i="12"/>
  <c r="N48" i="12"/>
  <c r="M48" i="12"/>
  <c r="N47" i="12"/>
  <c r="M47" i="12"/>
  <c r="N46" i="12"/>
  <c r="M46" i="12"/>
  <c r="N45" i="12"/>
  <c r="M45" i="12"/>
  <c r="N44" i="12"/>
  <c r="M44" i="12"/>
  <c r="N37" i="12"/>
  <c r="M37" i="12"/>
  <c r="N36" i="12"/>
  <c r="M36" i="12"/>
  <c r="N35" i="12"/>
  <c r="M35" i="12"/>
  <c r="N32" i="12"/>
  <c r="M32" i="12"/>
  <c r="N31" i="12"/>
  <c r="M31" i="12"/>
  <c r="N30" i="12"/>
  <c r="M30" i="12"/>
  <c r="N29" i="12"/>
  <c r="M29" i="12"/>
  <c r="N28" i="12"/>
  <c r="M28" i="12"/>
  <c r="N27" i="12"/>
  <c r="M27" i="12"/>
  <c r="N26" i="12"/>
  <c r="M26" i="12"/>
  <c r="N25" i="12"/>
  <c r="M25" i="12"/>
  <c r="N22" i="12"/>
  <c r="M22" i="12"/>
  <c r="N21" i="12"/>
  <c r="M21" i="12"/>
  <c r="N20" i="12"/>
  <c r="M20" i="12"/>
  <c r="N19" i="12"/>
  <c r="M19" i="12"/>
  <c r="N18" i="12"/>
  <c r="M18" i="12"/>
  <c r="N17" i="12"/>
  <c r="M17" i="12"/>
  <c r="N16" i="12"/>
  <c r="M16" i="12"/>
  <c r="N15" i="12"/>
  <c r="M15" i="12"/>
  <c r="N11" i="12"/>
  <c r="M11" i="12"/>
  <c r="N10" i="12"/>
  <c r="M10" i="12"/>
  <c r="N9" i="12"/>
  <c r="M9" i="12"/>
  <c r="N8" i="12"/>
  <c r="M8" i="12"/>
  <c r="N7" i="12"/>
  <c r="M7" i="12"/>
  <c r="N6" i="12"/>
  <c r="M6" i="12"/>
  <c r="N5" i="12"/>
  <c r="M5" i="12"/>
  <c r="N4" i="12"/>
  <c r="M4" i="12"/>
  <c r="N3" i="12"/>
  <c r="M3" i="12"/>
  <c r="N2" i="12"/>
  <c r="M2" i="12"/>
</calcChain>
</file>

<file path=xl/sharedStrings.xml><?xml version="1.0" encoding="utf-8"?>
<sst xmlns="http://schemas.openxmlformats.org/spreadsheetml/2006/main" count="60436" uniqueCount="12225">
  <si>
    <t>Ability Grouping Status</t>
  </si>
  <si>
    <t>An indication of whether the school has students who are ability grouped for classroom instruction in mathematics or English/reading/language arts.</t>
  </si>
  <si>
    <t>000328</t>
  </si>
  <si>
    <t>AbilityGroupingStatus</t>
  </si>
  <si>
    <t>K-12 -&gt; Civil Rights Data Collection</t>
  </si>
  <si>
    <t>Absent Attendance Category</t>
  </si>
  <si>
    <t>The category that describes how the student spends his or her time not physically present on school grounds and not participating in instruction or instruction-related activities at an approved off-grounds location.</t>
  </si>
  <si>
    <t>K12 -&gt; K12 Student -&gt; Attendance</t>
  </si>
  <si>
    <t>000599</t>
  </si>
  <si>
    <t>AbsentAttendanceCategory</t>
  </si>
  <si>
    <t>Academic Award Date</t>
  </si>
  <si>
    <t>The year, month and day or year and month on which the academic award was conferred.</t>
  </si>
  <si>
    <t>None</t>
  </si>
  <si>
    <t>YYYY-MM-DD or YYYY-MM</t>
  </si>
  <si>
    <t>000001</t>
  </si>
  <si>
    <t>AcademicAwardDate</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</si>
  <si>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</si>
  <si>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</si>
  <si>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</si>
  <si>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</si>
  <si>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</si>
  <si>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</si>
  <si>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</si>
  <si>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</si>
  <si>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</si>
  <si>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</si>
  <si>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</si>
  <si>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</si>
  <si>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t>K12 -&gt; K12 Student -&gt; Academic Record</t>
  </si>
  <si>
    <t>000004</t>
  </si>
  <si>
    <t>AcademicHonorsType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</si>
  <si>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</si>
  <si>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</si>
  <si>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</si>
  <si>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</si>
  <si>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</si>
  <si>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</si>
  <si>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Postsecondary Education -&gt; IPEDS -&gt; HR</t>
  </si>
  <si>
    <t>Academic Term Designator</t>
  </si>
  <si>
    <t>The academic term for which the data apply.</t>
  </si>
  <si>
    <t>Needs to be used in combination with Predominant Calendar System element in order to determine if the option set is referring to a semester, quarter, or some other term length.</t>
  </si>
  <si>
    <t>000727</t>
  </si>
  <si>
    <t>AcademicTermDesignator</t>
  </si>
  <si>
    <t>Academic Year Designator</t>
  </si>
  <si>
    <t>The academic year for which the data apply.</t>
  </si>
  <si>
    <t>YYYY-YYYY</t>
  </si>
  <si>
    <t>000726</t>
  </si>
  <si>
    <t>AcademicYearDesignator</t>
  </si>
  <si>
    <t>Accommodations Needed Type</t>
  </si>
  <si>
    <t>Codes identifying the set of health accommodations.</t>
  </si>
  <si>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</si>
  <si>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</si>
  <si>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</si>
  <si>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</si>
  <si>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</si>
  <si>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</si>
  <si>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</si>
  <si>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</si>
  <si>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</si>
  <si>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</si>
  <si>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Early Learning -&gt; EL Organization -&gt; Accreditation</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</si>
  <si>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</si>
  <si>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</si>
  <si>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</si>
  <si>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</si>
  <si>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</si>
  <si>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</si>
  <si>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</si>
  <si>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</si>
  <si>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</si>
  <si>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</si>
  <si>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</si>
  <si>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</si>
  <si>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</si>
  <si>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</si>
  <si>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</si>
  <si>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</si>
  <si>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</si>
  <si>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</si>
  <si>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</si>
  <si>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The name of the agent issuing the award.</t>
  </si>
  <si>
    <t>Alphanumeric - 128 characters maximum</t>
  </si>
  <si>
    <t>000898</t>
  </si>
  <si>
    <t>The Uniform Resource Locator (URL) from which the award was issued.</t>
  </si>
  <si>
    <t>Used only if an award is issued electronically for the achievement.</t>
  </si>
  <si>
    <t>000900</t>
  </si>
  <si>
    <t>The system that defines the categories by which an achievement is attributed to the learner.</t>
  </si>
  <si>
    <t>Alphanumeric - 30 characters maximum</t>
  </si>
  <si>
    <t>This element recognizes formal adoption of categories for the Achievement Category Type to aid in comparability of data when a formally adopted vocabulary is used.</t>
  </si>
  <si>
    <t>001245</t>
  </si>
  <si>
    <t>The category of achievement attributed to the learner.</t>
  </si>
  <si>
    <t>Updated</t>
  </si>
  <si>
    <t>Alphanumeric - 60 characters maximum</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</si>
  <si>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</si>
  <si>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000892</t>
  </si>
  <si>
    <t>The criteria for competency-based completion of the achievement/award.</t>
  </si>
  <si>
    <t>000896</t>
  </si>
  <si>
    <t>The Uniform Resource Locator (URL) for the unique address of a web page describing the competency-based completion criteria for the achievement/award.</t>
  </si>
  <si>
    <t>001153</t>
  </si>
  <si>
    <t>A description of the achievement.</t>
  </si>
  <si>
    <t>000895</t>
  </si>
  <si>
    <t>The date, if any, on which the award or achievement expires or requires renewal.</t>
  </si>
  <si>
    <t>001164</t>
  </si>
  <si>
    <t>A statement or reference describing the evidence that the learner met the criteria for attainment of the achievement.</t>
  </si>
  <si>
    <t>000901</t>
  </si>
  <si>
    <t>The Uniform Resource Locator (URL) for the unique address of an image representing an award or badge associated with the achievement.</t>
  </si>
  <si>
    <t>Typical use is for online display of a badge image.</t>
  </si>
  <si>
    <t>000894</t>
  </si>
  <si>
    <t>The date on which the achievement was conferred.</t>
  </si>
  <si>
    <t>001163</t>
  </si>
  <si>
    <t>The title assigned to the achievement.</t>
  </si>
  <si>
    <t>000893</t>
  </si>
  <si>
    <t>AchievementTitle</t>
  </si>
  <si>
    <t>Activity Description</t>
  </si>
  <si>
    <t>A description of the events and procedures that take place under the purview of an organized activity, such as a co-curricular or extra-curricular activity that is offered at an education institution.</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</si>
  <si>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</si>
  <si>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</si>
  <si>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</si>
  <si>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</si>
  <si>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</si>
  <si>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</si>
  <si>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An Identifier MAY be a Universally Unique Identifier (UUID) / Globally Unique Identifier (GUID), i.e.128-bit unique identifiers generated according to the algorithms and encoding standards of RFC 4122.</t>
  </si>
  <si>
    <t>000006</t>
  </si>
  <si>
    <t>ActivityIdentifier</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</si>
  <si>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</si>
  <si>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</si>
  <si>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</si>
  <si>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</si>
  <si>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</si>
  <si>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</si>
  <si>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</si>
  <si>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</si>
  <si>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</si>
  <si>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</si>
  <si>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</si>
  <si>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</si>
  <si>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</si>
  <si>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</si>
  <si>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</si>
  <si>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</si>
  <si>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</si>
  <si>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</si>
  <si>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</si>
  <si>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000009</t>
  </si>
  <si>
    <t>ActivityTitle</t>
  </si>
  <si>
    <t>Additional Credit Type</t>
  </si>
  <si>
    <t>The type of credits or units of value available for the completion of a course in addition to Carnegie Units.</t>
  </si>
  <si>
    <t>000596</t>
  </si>
  <si>
    <t>AdditionalCreditType</t>
  </si>
  <si>
    <t>Address Apartment Room or Suite Number</t>
  </si>
  <si>
    <t>The apartment, room, or suite number of an address.</t>
  </si>
  <si>
    <t>000019</t>
  </si>
  <si>
    <t>AddressApartmentRoomOrSuiteNumber</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</si>
  <si>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</si>
  <si>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</si>
  <si>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</si>
  <si>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</si>
  <si>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</si>
  <si>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</si>
  <si>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</si>
  <si>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</si>
  <si>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</si>
  <si>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</si>
  <si>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</si>
  <si>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</si>
  <si>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</si>
  <si>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</si>
  <si>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</si>
  <si>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000269</t>
  </si>
  <si>
    <t>AddressStreetNumberAndName</t>
  </si>
  <si>
    <t>Address Type for Learner or Family</t>
  </si>
  <si>
    <t>The type of address listed for a learner or a parent, guardian, family member or related person.</t>
  </si>
  <si>
    <t>000010</t>
  </si>
  <si>
    <t>AddressTypeForLearnerOrFamily</t>
  </si>
  <si>
    <t>Address Type for Organization</t>
  </si>
  <si>
    <t>The type of address listed for an organization.</t>
  </si>
  <si>
    <t>001066</t>
  </si>
  <si>
    <t>AddressTypeForOrganization</t>
  </si>
  <si>
    <t>Address Type for Staff</t>
  </si>
  <si>
    <t>The address type for a staff member.</t>
  </si>
  <si>
    <t>000722</t>
  </si>
  <si>
    <t>AddressTypeForStaff</t>
  </si>
  <si>
    <t>Early Learning -&gt; Staff Quality</t>
  </si>
  <si>
    <t>Adequate Yearly Progress Appeal Changed Designation</t>
  </si>
  <si>
    <t>An indication that the appeal resulted in a change in a school or district's AYP designation.</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</si>
  <si>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</si>
  <si>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</si>
  <si>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</si>
  <si>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</si>
  <si>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</si>
  <si>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</si>
  <si>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</si>
  <si>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</si>
  <si>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</si>
  <si>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</si>
  <si>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</si>
  <si>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000011</t>
  </si>
  <si>
    <t>AYP Status</t>
  </si>
  <si>
    <t>AYPStatus</t>
  </si>
  <si>
    <t>K-12 -&gt; EDFacts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</si>
  <si>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</si>
  <si>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</si>
  <si>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</si>
  <si>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</si>
  <si>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</si>
  <si>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</si>
  <si>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</si>
  <si>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</si>
  <si>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</si>
  <si>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</si>
  <si>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</si>
  <si>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</si>
  <si>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</si>
  <si>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</si>
  <si>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</si>
  <si>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</si>
  <si>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</si>
  <si>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</si>
  <si>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</si>
  <si>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</si>
  <si>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</si>
  <si>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</si>
  <si>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</si>
  <si>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</si>
  <si>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First sentence from IPEDS, not CDS; Second sentence from CDS instructions. All options except "No" should be able to be collapsed into "Yes" for IPEDS reporting.</t>
  </si>
  <si>
    <t>000756</t>
  </si>
  <si>
    <t>AdmittedStudent</t>
  </si>
  <si>
    <t>Postsecondary Education -&gt; Common Data Set</t>
  </si>
  <si>
    <t>Adult Education Certification Type</t>
  </si>
  <si>
    <t>An indication of the category of certification a person holds.</t>
  </si>
  <si>
    <t>Adult Education -&gt; AE Staff -&gt; Certification</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</si>
  <si>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</si>
  <si>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</si>
  <si>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</si>
  <si>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</si>
  <si>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</si>
  <si>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</si>
  <si>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</si>
  <si>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</si>
  <si>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</si>
  <si>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</si>
  <si>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</si>
  <si>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</si>
  <si>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</si>
  <si>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</si>
  <si>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</si>
  <si>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</si>
  <si>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</si>
  <si>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</si>
  <si>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</si>
  <si>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</si>
  <si>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</si>
  <si>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</si>
  <si>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</si>
  <si>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</si>
  <si>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</si>
  <si>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</si>
  <si>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</si>
  <si>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</si>
  <si>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</si>
  <si>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</si>
  <si>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</si>
  <si>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</si>
  <si>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</si>
  <si>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</si>
  <si>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</si>
  <si>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</si>
  <si>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</si>
  <si>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</si>
  <si>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</si>
  <si>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The condition under which a person has agreed to serve as an employee.</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</si>
  <si>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</si>
  <si>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</si>
  <si>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</si>
  <si>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</si>
  <si>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</si>
  <si>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</si>
  <si>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</si>
  <si>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</si>
  <si>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</si>
  <si>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</si>
  <si>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</si>
  <si>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</si>
  <si>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</si>
  <si>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</si>
  <si>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</si>
  <si>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</si>
  <si>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</si>
  <si>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</si>
  <si>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</si>
  <si>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</si>
  <si>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</si>
  <si>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</si>
  <si>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</si>
  <si>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000018</t>
  </si>
  <si>
    <t>AP Credits Awarded</t>
  </si>
  <si>
    <t>APCreditsAwarded</t>
  </si>
  <si>
    <t>Agency Course Identifier</t>
  </si>
  <si>
    <t>The course identifier as it may be recorded at the regional or state level to conform to a standardized course classification system.</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</si>
  <si>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</si>
  <si>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</si>
  <si>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</si>
  <si>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</si>
  <si>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</si>
  <si>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</si>
  <si>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</si>
  <si>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</si>
  <si>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</si>
  <si>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</si>
  <si>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</si>
  <si>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</si>
  <si>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</si>
  <si>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</si>
  <si>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</si>
  <si>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</si>
  <si>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</si>
  <si>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</si>
  <si>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</si>
  <si>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</si>
  <si>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</si>
  <si>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</si>
  <si>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</si>
  <si>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</si>
  <si>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</si>
  <si>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</si>
  <si>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</si>
  <si>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</si>
  <si>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</si>
  <si>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</si>
  <si>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</si>
  <si>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</si>
  <si>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</si>
  <si>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</si>
  <si>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</si>
  <si>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</si>
  <si>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</si>
  <si>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K12: Use cases support Yes and No as options.</t>
  </si>
  <si>
    <t>Postsecondary:</t>
  </si>
  <si>
    <t>- Use cases support Yes and Not Selected as options</t>
  </si>
  <si>
    <t>- As defined in IPEDS</t>
  </si>
  <si>
    <t>000016</t>
  </si>
  <si>
    <t>AmericanIndianOrAlaskaNative</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</si>
  <si>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</si>
  <si>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</si>
  <si>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</si>
  <si>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</si>
  <si>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</si>
  <si>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</si>
  <si>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</si>
  <si>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</si>
  <si>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</si>
  <si>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</si>
  <si>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</si>
  <si>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</si>
  <si>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</si>
  <si>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</si>
  <si>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</si>
  <si>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</si>
  <si>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</si>
  <si>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</si>
  <si>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</si>
  <si>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</si>
  <si>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</si>
  <si>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</si>
  <si>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</si>
  <si>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</si>
  <si>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</si>
  <si>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</si>
  <si>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</si>
  <si>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</si>
  <si>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</si>
  <si>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</si>
  <si>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</si>
  <si>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</si>
  <si>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000323</t>
  </si>
  <si>
    <t>ApplicationDate</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</si>
  <si>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</si>
  <si>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</si>
  <si>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</si>
  <si>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Assessment Academic Subject</t>
  </si>
  <si>
    <t>The description of the academic content or subject area (e.g., arts, mathematics, reading, or a foreign language) being evaluated.</t>
  </si>
  <si>
    <t>000021</t>
  </si>
  <si>
    <t>AssessmentAcademicSubject</t>
  </si>
  <si>
    <t>Assessment Accommodation Category</t>
  </si>
  <si>
    <t>A category of accommodations needed for a given assessment.</t>
  </si>
  <si>
    <t>000383</t>
  </si>
  <si>
    <t>AssessmentAccommodationCategory</t>
  </si>
  <si>
    <t>001157</t>
  </si>
  <si>
    <t>Assessments -&gt; Assessment Participant Session</t>
  </si>
  <si>
    <t>000385</t>
  </si>
  <si>
    <t>Assessment Administration Assessment Family</t>
  </si>
  <si>
    <t>The title of the assessment family to be administered.</t>
  </si>
  <si>
    <t>Assessments -&gt; Assessment Administration</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</si>
  <si>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</si>
  <si>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</si>
  <si>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</si>
  <si>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</si>
  <si>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</si>
  <si>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</si>
  <si>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</si>
  <si>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</si>
  <si>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</si>
  <si>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</si>
  <si>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</si>
  <si>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</si>
  <si>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</si>
  <si>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</si>
  <si>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</si>
  <si>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</si>
  <si>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</si>
  <si>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</si>
  <si>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</si>
  <si>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</si>
  <si>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</si>
  <si>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</si>
  <si>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</si>
  <si>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</si>
  <si>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</si>
  <si>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</si>
  <si>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</si>
  <si>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</si>
  <si>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</si>
  <si>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</si>
  <si>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</si>
  <si>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</si>
  <si>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</si>
  <si>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</si>
  <si>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</si>
  <si>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</si>
  <si>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</si>
  <si>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</si>
  <si>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</si>
  <si>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</si>
  <si>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</si>
  <si>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</si>
  <si>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</si>
  <si>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</si>
  <si>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</si>
  <si>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</si>
  <si>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</si>
  <si>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</si>
  <si>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</si>
  <si>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</si>
  <si>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</si>
  <si>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</si>
  <si>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</si>
  <si>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</si>
  <si>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</si>
  <si>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</si>
  <si>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</si>
  <si>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</si>
  <si>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</si>
  <si>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</si>
  <si>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</si>
  <si>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</si>
  <si>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</si>
  <si>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</si>
  <si>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</si>
  <si>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</si>
  <si>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</si>
  <si>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</si>
  <si>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</si>
  <si>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</si>
  <si>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</si>
  <si>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</si>
  <si>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</si>
  <si>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</si>
  <si>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</si>
  <si>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</si>
  <si>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</si>
  <si>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</si>
  <si>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</si>
  <si>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</si>
  <si>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</si>
  <si>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t>Assessments -&gt; Assessment Subtest</t>
  </si>
  <si>
    <t>000605</t>
  </si>
  <si>
    <t>AssessmentContentStandardType</t>
  </si>
  <si>
    <t>Assessment Early Learning Developmental Domain</t>
  </si>
  <si>
    <t>Developmental domains related to early learning and used for assessing a child's kindergarten readiness.</t>
  </si>
  <si>
    <t>Used by states in reporting Kindergarten Entry Assessment (KEA) results as defined for some federal grant programs.</t>
  </si>
  <si>
    <t>For each domain used by the state, the state would provide:</t>
  </si>
  <si>
    <t>- The total number of children who participated in the KEA for each domain</t>
  </si>
  <si>
    <t>- The number of children who participated in the KEA for each domain AND was at or above what the state defines as “ready” for kindergarten for that domain.</t>
  </si>
  <si>
    <t>The counts may be calculated using unit-level data defined for Assessment Subtest (scoring method and what is being measured, e.g. the Domain), related Assessment Performance Levels (e.g. "Ready"), related to each student Assessment Result.</t>
  </si>
  <si>
    <t>001000</t>
  </si>
  <si>
    <t>AssessmentEarlyLearningDevelopmentalDomain</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</si>
  <si>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</si>
  <si>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</si>
  <si>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</si>
  <si>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</si>
  <si>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</si>
  <si>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</si>
  <si>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</si>
  <si>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</si>
  <si>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</si>
  <si>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</si>
  <si>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</si>
  <si>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</si>
  <si>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</si>
  <si>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</si>
  <si>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</si>
  <si>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</si>
  <si>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</si>
  <si>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</si>
  <si>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</si>
  <si>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</si>
  <si>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</si>
  <si>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</si>
  <si>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</si>
  <si>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</si>
  <si>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</si>
  <si>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</si>
  <si>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</si>
  <si>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</si>
  <si>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</si>
  <si>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</si>
  <si>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CEDS "GUID" elements are defined as RFC 4122 compliant 32-character hexadecimal strings (36 characters with dashes). For example, 21EC2020-3AEA-1069-A2DD-08002B30309D.</t>
  </si>
  <si>
    <t>Values MAY be encoded using a hash function such as HMAC-MD5 or HMAC-SHA1, resulting in a string up to 40 characters.</t>
  </si>
  <si>
    <t>001535</t>
  </si>
  <si>
    <t>AssessmentFormGUID</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</si>
  <si>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</si>
  <si>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</si>
  <si>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</si>
  <si>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</si>
  <si>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</si>
  <si>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</si>
  <si>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</si>
  <si>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</si>
  <si>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Assessment Form Number</t>
  </si>
  <si>
    <t>The number of a given assessment form.</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</si>
  <si>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</si>
  <si>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</si>
  <si>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</si>
  <si>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</si>
  <si>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</si>
  <si>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</si>
  <si>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</si>
  <si>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</si>
  <si>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</si>
  <si>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</si>
  <si>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</si>
  <si>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</si>
  <si>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</si>
  <si>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</si>
  <si>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</si>
  <si>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</si>
  <si>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</si>
  <si>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</si>
  <si>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</si>
  <si>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</si>
  <si>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</si>
  <si>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</si>
  <si>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</si>
  <si>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</si>
  <si>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</si>
  <si>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</si>
  <si>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</si>
  <si>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</si>
  <si>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</si>
  <si>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</si>
  <si>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</si>
  <si>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</si>
  <si>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</si>
  <si>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</si>
  <si>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</si>
  <si>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</si>
  <si>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</si>
  <si>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</si>
  <si>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</si>
  <si>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</si>
  <si>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</si>
  <si>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</si>
  <si>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</si>
  <si>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</si>
  <si>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</si>
  <si>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</si>
  <si>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</si>
  <si>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</si>
  <si>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</si>
  <si>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</si>
  <si>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</si>
  <si>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</si>
  <si>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</si>
  <si>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</si>
  <si>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</si>
  <si>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</si>
  <si>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</si>
  <si>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</si>
  <si>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</si>
  <si>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Integer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</si>
  <si>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</si>
  <si>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</si>
  <si>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</si>
  <si>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</si>
  <si>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</si>
  <si>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</si>
  <si>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</si>
  <si>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</si>
  <si>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</si>
  <si>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</si>
  <si>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</si>
  <si>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</si>
  <si>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</si>
  <si>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</si>
  <si>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Assessment Identifier</t>
  </si>
  <si>
    <t>A unique number or alphanumeric code assigned to an assessment by a school, school system, a state, or other agency or entity. This may be the publisher identifier.</t>
  </si>
  <si>
    <t>001067</t>
  </si>
  <si>
    <t>AssessmentIdentifier</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</si>
  <si>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</si>
  <si>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</si>
  <si>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</si>
  <si>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</si>
  <si>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</si>
  <si>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</si>
  <si>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</si>
  <si>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</si>
  <si>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</si>
  <si>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</si>
  <si>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</si>
  <si>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</si>
  <si>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</si>
  <si>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</si>
  <si>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</si>
  <si>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</si>
  <si>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</si>
  <si>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</si>
  <si>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</si>
  <si>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</si>
  <si>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</si>
  <si>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</si>
  <si>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</si>
  <si>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</si>
  <si>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</si>
  <si>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</si>
  <si>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</si>
  <si>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</si>
  <si>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</si>
  <si>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</si>
  <si>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</si>
  <si>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</si>
  <si>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</si>
  <si>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</si>
  <si>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</si>
  <si>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</si>
  <si>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</si>
  <si>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</si>
  <si>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</si>
  <si>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</si>
  <si>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</si>
  <si>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</si>
  <si>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</si>
  <si>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</si>
  <si>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</si>
  <si>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</si>
  <si>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</si>
  <si>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</si>
  <si>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</si>
  <si>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</si>
  <si>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</si>
  <si>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</si>
  <si>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</si>
  <si>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</si>
  <si>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</si>
  <si>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</si>
  <si>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</si>
  <si>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</si>
  <si>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</si>
  <si>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</si>
  <si>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</si>
  <si>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</si>
  <si>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</si>
  <si>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</si>
  <si>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</si>
  <si>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</si>
  <si>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</si>
  <si>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</si>
  <si>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</si>
  <si>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</si>
  <si>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</si>
  <si>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</si>
  <si>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</si>
  <si>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</si>
  <si>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</si>
  <si>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</si>
  <si>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</si>
  <si>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</si>
  <si>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</si>
  <si>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</si>
  <si>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</si>
  <si>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</si>
  <si>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</si>
  <si>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</si>
  <si>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</si>
  <si>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</si>
  <si>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</si>
  <si>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</si>
  <si>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</si>
  <si>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</si>
  <si>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</si>
  <si>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</si>
  <si>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</si>
  <si>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</si>
  <si>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</si>
  <si>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</si>
  <si>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</si>
  <si>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</si>
  <si>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</si>
  <si>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</si>
  <si>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</si>
  <si>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</si>
  <si>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</si>
  <si>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</si>
  <si>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</si>
  <si>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</si>
  <si>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</si>
  <si>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</si>
  <si>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</si>
  <si>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</si>
  <si>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</si>
  <si>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</si>
  <si>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</si>
  <si>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</si>
  <si>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</si>
  <si>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</si>
  <si>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</si>
  <si>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</si>
  <si>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</si>
  <si>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</si>
  <si>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</si>
  <si>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</si>
  <si>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</si>
  <si>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</si>
  <si>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</si>
  <si>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</si>
  <si>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</si>
  <si>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</si>
  <si>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</si>
  <si>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</si>
  <si>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</si>
  <si>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</si>
  <si>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</si>
  <si>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</si>
  <si>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</si>
  <si>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</si>
  <si>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</si>
  <si>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</si>
  <si>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</si>
  <si>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</si>
  <si>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</si>
  <si>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</si>
  <si>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</si>
  <si>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</si>
  <si>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</si>
  <si>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</si>
  <si>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</si>
  <si>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</si>
  <si>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</si>
  <si>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</si>
  <si>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</si>
  <si>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</si>
  <si>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</si>
  <si>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</si>
  <si>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</si>
  <si>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</si>
  <si>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</si>
  <si>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</si>
  <si>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</si>
  <si>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</si>
  <si>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</si>
  <si>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</si>
  <si>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</si>
  <si>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</si>
  <si>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</si>
  <si>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</si>
  <si>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</si>
  <si>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</si>
  <si>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</si>
  <si>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</si>
  <si>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</si>
  <si>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</si>
  <si>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</si>
  <si>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</si>
  <si>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</si>
  <si>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</si>
  <si>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</si>
  <si>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</si>
  <si>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</si>
  <si>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</si>
  <si>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</si>
  <si>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</si>
  <si>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</si>
  <si>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</si>
  <si>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</si>
  <si>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</si>
  <si>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</si>
  <si>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</si>
  <si>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</si>
  <si>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</si>
  <si>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</si>
  <si>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</si>
  <si>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</si>
  <si>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</si>
  <si>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</si>
  <si>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</si>
  <si>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</si>
  <si>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</si>
  <si>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</si>
  <si>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</si>
  <si>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</si>
  <si>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</si>
  <si>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</si>
  <si>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</si>
  <si>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</si>
  <si>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</si>
  <si>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</si>
  <si>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</si>
  <si>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</si>
  <si>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</si>
  <si>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</si>
  <si>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</si>
  <si>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</si>
  <si>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</si>
  <si>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</si>
  <si>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</si>
  <si>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</si>
  <si>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</si>
  <si>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</si>
  <si>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</si>
  <si>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</si>
  <si>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</si>
  <si>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</si>
  <si>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</si>
  <si>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</si>
  <si>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</si>
  <si>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</si>
  <si>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</si>
  <si>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</si>
  <si>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</si>
  <si>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</si>
  <si>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</si>
  <si>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</si>
  <si>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</si>
  <si>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</si>
  <si>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</si>
  <si>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</si>
  <si>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</si>
  <si>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</si>
  <si>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</si>
  <si>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</si>
  <si>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</si>
  <si>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</si>
  <si>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</si>
  <si>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</si>
  <si>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</si>
  <si>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</si>
  <si>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</si>
  <si>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</si>
  <si>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</si>
  <si>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</si>
  <si>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</si>
  <si>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</si>
  <si>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</si>
  <si>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</si>
  <si>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</si>
  <si>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</si>
  <si>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</si>
  <si>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</si>
  <si>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</si>
  <si>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</si>
  <si>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</si>
  <si>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</si>
  <si>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</si>
  <si>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</si>
  <si>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</si>
  <si>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</si>
  <si>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</si>
  <si>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</si>
  <si>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</si>
  <si>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</si>
  <si>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</si>
  <si>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</si>
  <si>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Assessments -&gt; Assessment Item -&gt; Assessment Item Response Theory</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</si>
  <si>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</si>
  <si>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</si>
  <si>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</si>
  <si>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</si>
  <si>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</si>
  <si>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</si>
  <si>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</si>
  <si>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</si>
  <si>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</si>
  <si>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</si>
  <si>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</si>
  <si>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</si>
  <si>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</si>
  <si>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</si>
  <si>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</si>
  <si>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</si>
  <si>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</si>
  <si>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</si>
  <si>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</si>
  <si>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</si>
  <si>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</si>
  <si>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</si>
  <si>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</si>
  <si>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</si>
  <si>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</si>
  <si>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</si>
  <si>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</si>
  <si>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</si>
  <si>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</si>
  <si>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</si>
  <si>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</si>
  <si>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</si>
  <si>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</si>
  <si>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</si>
  <si>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</si>
  <si>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</si>
  <si>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</si>
  <si>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</si>
  <si>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</si>
  <si>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</si>
  <si>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</si>
  <si>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</si>
  <si>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</si>
  <si>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</si>
  <si>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</si>
  <si>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</si>
  <si>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</si>
  <si>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</si>
  <si>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</si>
  <si>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</si>
  <si>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</si>
  <si>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</si>
  <si>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</si>
  <si>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</si>
  <si>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</si>
  <si>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</si>
  <si>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</si>
  <si>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</si>
  <si>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</si>
  <si>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</si>
  <si>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</si>
  <si>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</si>
  <si>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</si>
  <si>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</si>
  <si>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</si>
  <si>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</si>
  <si>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</si>
  <si>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</si>
  <si>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</si>
  <si>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</si>
  <si>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</si>
  <si>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</si>
  <si>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</si>
  <si>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</si>
  <si>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</si>
  <si>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</si>
  <si>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</si>
  <si>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</si>
  <si>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</si>
  <si>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</si>
  <si>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</si>
  <si>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</si>
  <si>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</si>
  <si>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</si>
  <si>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See http://ceds.ed.gov/iso639-2LanguageCode.aspx</t>
  </si>
  <si>
    <t>The CEDS ISO 639-2 Language Code option set comes from the ISO 639-2 standard, the character encoding in ISO 8859-1 download. Discontinued codes from the ISO standard are not included in the CEDS list.</t>
  </si>
  <si>
    <t>001089</t>
  </si>
  <si>
    <t>AssessmentLanguage</t>
  </si>
  <si>
    <t>Assessment Level for Which Designed</t>
  </si>
  <si>
    <t>The typical grade or combination of grade-levels, developmental levels, or age-levels for which an assessment is designed.</t>
  </si>
  <si>
    <t>000177</t>
  </si>
  <si>
    <t>AssessmentLevelForWhichDesigned</t>
  </si>
  <si>
    <t>Assessment Need Alternative Representation Type</t>
  </si>
  <si>
    <t>Defines as part of an Assessment Personal Needs Profile the default presentation mode of the associated Alternative Representations accessibility.</t>
  </si>
  <si>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</si>
  <si>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</si>
  <si>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</si>
  <si>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</si>
  <si>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</si>
  <si>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</si>
  <si>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</si>
  <si>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</si>
  <si>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</si>
  <si>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</si>
  <si>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</si>
  <si>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</si>
  <si>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</si>
  <si>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</si>
  <si>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</si>
  <si>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</si>
  <si>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</si>
  <si>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</si>
  <si>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</si>
  <si>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</si>
  <si>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</si>
  <si>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</si>
  <si>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</si>
  <si>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</si>
  <si>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</si>
  <si>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</si>
  <si>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</si>
  <si>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</si>
  <si>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</si>
  <si>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</si>
  <si>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</si>
  <si>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</si>
  <si>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</si>
  <si>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</si>
  <si>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</si>
  <si>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</si>
  <si>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</si>
  <si>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</si>
  <si>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</si>
  <si>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</si>
  <si>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</si>
  <si>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</si>
  <si>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</si>
  <si>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</si>
  <si>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</si>
  <si>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</si>
  <si>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</si>
  <si>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</si>
  <si>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</si>
  <si>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</si>
  <si>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</si>
  <si>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</si>
  <si>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</si>
  <si>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</si>
  <si>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</si>
  <si>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</si>
  <si>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</si>
  <si>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</si>
  <si>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</si>
  <si>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</si>
  <si>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</si>
  <si>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</si>
  <si>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</si>
  <si>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</si>
  <si>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</si>
  <si>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</si>
  <si>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</si>
  <si>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</si>
  <si>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</si>
  <si>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</si>
  <si>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</si>
  <si>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</si>
  <si>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</si>
  <si>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</si>
  <si>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</si>
  <si>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</si>
  <si>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</si>
  <si>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</si>
  <si>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</si>
  <si>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</si>
  <si>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</si>
  <si>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</si>
  <si>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</si>
  <si>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</si>
  <si>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</si>
  <si>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</si>
  <si>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</si>
  <si>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</si>
  <si>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</si>
  <si>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</si>
  <si>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</si>
  <si>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</si>
  <si>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</si>
  <si>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</si>
  <si>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</si>
  <si>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</si>
  <si>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</si>
  <si>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</si>
  <si>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</si>
  <si>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</si>
  <si>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</si>
  <si>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</si>
  <si>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</si>
  <si>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</si>
  <si>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</si>
  <si>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</si>
  <si>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</si>
  <si>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</si>
  <si>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</si>
  <si>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</si>
  <si>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</si>
  <si>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</si>
  <si>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</si>
  <si>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</si>
  <si>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</si>
  <si>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</si>
  <si>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</si>
  <si>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</si>
  <si>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</si>
  <si>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</si>
  <si>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</si>
  <si>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</si>
  <si>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</si>
  <si>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</si>
  <si>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</si>
  <si>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</si>
  <si>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</si>
  <si>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</si>
  <si>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</si>
  <si>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</si>
  <si>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</si>
  <si>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</si>
  <si>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</si>
  <si>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</si>
  <si>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</si>
  <si>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</si>
  <si>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</si>
  <si>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</si>
  <si>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</si>
  <si>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</si>
  <si>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</si>
  <si>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</si>
  <si>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</si>
  <si>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</si>
  <si>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</si>
  <si>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</si>
  <si>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</si>
  <si>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</si>
  <si>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</si>
  <si>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</si>
  <si>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</si>
  <si>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</si>
  <si>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</si>
  <si>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</si>
  <si>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</si>
  <si>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</si>
  <si>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</si>
  <si>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</si>
  <si>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</si>
  <si>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</si>
  <si>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</si>
  <si>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</si>
  <si>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</si>
  <si>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</si>
  <si>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</si>
  <si>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</si>
  <si>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</si>
  <si>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Alphanumeric - 512 characters maximum</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</si>
  <si>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</si>
  <si>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</si>
  <si>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</si>
  <si>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</si>
  <si>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</si>
  <si>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</si>
  <si>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</si>
  <si>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</si>
  <si>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</si>
  <si>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</si>
  <si>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</si>
  <si>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</si>
  <si>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</si>
  <si>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</si>
  <si>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</si>
  <si>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</si>
  <si>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</si>
  <si>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</si>
  <si>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</si>
  <si>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</si>
  <si>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</si>
  <si>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</si>
  <si>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</si>
  <si>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</si>
  <si>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</si>
  <si>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</si>
  <si>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</si>
  <si>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</si>
  <si>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</si>
  <si>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</si>
  <si>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</si>
  <si>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</si>
  <si>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</si>
  <si>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</si>
  <si>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</si>
  <si>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</si>
  <si>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</si>
  <si>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</si>
  <si>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</si>
  <si>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</si>
  <si>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</si>
  <si>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</si>
  <si>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</si>
  <si>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</si>
  <si>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</si>
  <si>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</si>
  <si>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</si>
  <si>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</si>
  <si>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</si>
  <si>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</si>
  <si>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</si>
  <si>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</si>
  <si>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</si>
  <si>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</si>
  <si>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</si>
  <si>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</si>
  <si>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</si>
  <si>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For example, the unique identifier of a classroom teacher or school principal.</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</si>
  <si>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</si>
  <si>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</si>
  <si>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</si>
  <si>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</si>
  <si>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</si>
  <si>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</si>
  <si>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</si>
  <si>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</si>
  <si>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</si>
  <si>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</si>
  <si>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</si>
  <si>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</si>
  <si>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</si>
  <si>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</si>
  <si>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</si>
  <si>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</si>
  <si>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</si>
  <si>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</si>
  <si>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The grade or level at which the learner is to be assessed.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</si>
  <si>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</si>
  <si>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</si>
  <si>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</si>
  <si>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</si>
  <si>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</si>
  <si>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</si>
  <si>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</si>
  <si>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</si>
  <si>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</si>
  <si>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</si>
  <si>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</si>
  <si>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</si>
  <si>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</si>
  <si>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</si>
  <si>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</si>
  <si>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</si>
  <si>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</si>
  <si>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</si>
  <si>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</si>
  <si>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</si>
  <si>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</si>
  <si>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</si>
  <si>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</si>
  <si>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</si>
  <si>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</si>
  <si>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</si>
  <si>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</si>
  <si>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</si>
  <si>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</si>
  <si>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</si>
  <si>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</si>
  <si>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The data type of the assessment result score value.</t>
  </si>
  <si>
    <t>Assessments -&gt; Assessment Result</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</si>
  <si>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</si>
  <si>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</si>
  <si>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</si>
  <si>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</si>
  <si>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</si>
  <si>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</si>
  <si>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</si>
  <si>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</si>
  <si>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</si>
  <si>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</si>
  <si>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</si>
  <si>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</si>
  <si>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</si>
  <si>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</si>
  <si>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</si>
  <si>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</si>
  <si>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</si>
  <si>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</si>
  <si>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</si>
  <si>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</si>
  <si>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</si>
  <si>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</si>
  <si>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</si>
  <si>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</si>
  <si>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</si>
  <si>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</si>
  <si>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</si>
  <si>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AssessmentResultDiagnosticStatement</t>
  </si>
  <si>
    <t>Assessment Result Included in Adequate Yearly Progress Calculation</t>
  </si>
  <si>
    <t>An indication of whether a proficiency score on the state assessment was included in the state’s calculation of adequate yearly progress (AYP).</t>
  </si>
  <si>
    <t>000576</t>
  </si>
  <si>
    <t>Assessment Result Included in AYP Calculation</t>
  </si>
  <si>
    <t>AssessmentResultIncludeIinAYPCalculation</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</si>
  <si>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</si>
  <si>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</si>
  <si>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</si>
  <si>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</si>
  <si>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</si>
  <si>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</si>
  <si>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001007</t>
  </si>
  <si>
    <t>AssessmentResultPreliminaryIndicator</t>
  </si>
  <si>
    <t>Assessment Result Pretest Outcome</t>
  </si>
  <si>
    <t>The results of a pre-test in academic subjects.</t>
  </si>
  <si>
    <t>000572</t>
  </si>
  <si>
    <t>AssessmentResultPretestOutcome</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</si>
  <si>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</si>
  <si>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</si>
  <si>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</si>
  <si>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</si>
  <si>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</si>
  <si>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</si>
  <si>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</si>
  <si>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</si>
  <si>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</si>
  <si>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</si>
  <si>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</si>
  <si>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</si>
  <si>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</si>
  <si>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</si>
  <si>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</si>
  <si>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</si>
  <si>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</si>
  <si>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</si>
  <si>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</si>
  <si>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</si>
  <si>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</si>
  <si>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000369</t>
  </si>
  <si>
    <t>AssessmentScoreMetricType</t>
  </si>
  <si>
    <t>Assessment Secure Indicator</t>
  </si>
  <si>
    <t>Indicates whether or not the assessment is a secure assessment.</t>
  </si>
  <si>
    <t>000384</t>
  </si>
  <si>
    <t>AssessmentSecureIndicator</t>
  </si>
  <si>
    <t>Assessment Session Actual End Date Time</t>
  </si>
  <si>
    <t>Date and time the assessment actually ended.</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</si>
  <si>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</si>
  <si>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</si>
  <si>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</si>
  <si>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</si>
  <si>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</si>
  <si>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</si>
  <si>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</si>
  <si>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</si>
  <si>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</si>
  <si>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</si>
  <si>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</si>
  <si>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</si>
  <si>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</si>
  <si>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</si>
  <si>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</si>
  <si>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</si>
  <si>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</si>
  <si>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</si>
  <si>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</si>
  <si>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</si>
  <si>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</si>
  <si>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</si>
  <si>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</si>
  <si>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</si>
  <si>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</si>
  <si>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</si>
  <si>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</si>
  <si>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</si>
  <si>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</si>
  <si>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</si>
  <si>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</si>
  <si>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</si>
  <si>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</si>
  <si>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</si>
  <si>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</si>
  <si>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</si>
  <si>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</si>
  <si>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</si>
  <si>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</si>
  <si>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</si>
  <si>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</si>
  <si>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</si>
  <si>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</si>
  <si>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</si>
  <si>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</si>
  <si>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</si>
  <si>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</si>
  <si>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</si>
  <si>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</si>
  <si>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</si>
  <si>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</si>
  <si>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</si>
  <si>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</si>
  <si>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</si>
  <si>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</si>
  <si>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</si>
  <si>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</si>
  <si>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</si>
  <si>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</si>
  <si>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</si>
  <si>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</si>
  <si>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</si>
  <si>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</si>
  <si>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</si>
  <si>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</si>
  <si>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</si>
  <si>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</si>
  <si>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</si>
  <si>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</si>
  <si>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</si>
  <si>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</si>
  <si>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</si>
  <si>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</si>
  <si>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</si>
  <si>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</si>
  <si>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</si>
  <si>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</si>
  <si>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</si>
  <si>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</si>
  <si>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</si>
  <si>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</si>
  <si>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</si>
  <si>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</si>
  <si>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</si>
  <si>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</si>
  <si>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</si>
  <si>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</si>
  <si>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</si>
  <si>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</si>
  <si>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</si>
  <si>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</si>
  <si>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</si>
  <si>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</si>
  <si>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</si>
  <si>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</si>
  <si>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</si>
  <si>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</si>
  <si>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</si>
  <si>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</si>
  <si>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</si>
  <si>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</si>
  <si>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</si>
  <si>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</si>
  <si>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</si>
  <si>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Assessment Subtest Version</t>
  </si>
  <si>
    <t>The version of the subtest that is included for the assessment.</t>
  </si>
  <si>
    <t>000388</t>
  </si>
  <si>
    <t>AssessmentSubtestVersion</t>
  </si>
  <si>
    <t>Assessment Title</t>
  </si>
  <si>
    <t>The title or name of the assessment.</t>
  </si>
  <si>
    <t>000028</t>
  </si>
  <si>
    <t>AssessmentTitle</t>
  </si>
  <si>
    <t>Assessment Type</t>
  </si>
  <si>
    <t>The category of an assessment based on format and content.</t>
  </si>
  <si>
    <t>000029</t>
  </si>
  <si>
    <t>AssessmentType</t>
  </si>
  <si>
    <t>The types of assessments administered to children with disabilities.</t>
  </si>
  <si>
    <t>000415</t>
  </si>
  <si>
    <t>AssessmentTypeAdministeredToChildrenWithDisabilities</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</si>
  <si>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</si>
  <si>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</si>
  <si>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</si>
  <si>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</si>
  <si>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</si>
  <si>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</si>
  <si>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</si>
  <si>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</si>
  <si>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Date</t>
  </si>
  <si>
    <t>The date on which an attendance event takes place.</t>
  </si>
  <si>
    <t>New</t>
  </si>
  <si>
    <t>001649</t>
  </si>
  <si>
    <t>AttendanceEventDate</t>
  </si>
  <si>
    <t>Attendance Event Type</t>
  </si>
  <si>
    <t>The type of attendance event.</t>
  </si>
  <si>
    <t>000601</t>
  </si>
  <si>
    <t>AttendanceEventType</t>
  </si>
  <si>
    <t>Attendance Status</t>
  </si>
  <si>
    <t>The status of a person's attendance associated with an Attendance Event Type and Attendance Event Date in an organization-person-role context.</t>
  </si>
  <si>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</si>
  <si>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</si>
  <si>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</si>
  <si>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</si>
  <si>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</si>
  <si>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</si>
  <si>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</si>
  <si>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</si>
  <si>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</si>
  <si>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</si>
  <si>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</si>
  <si>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</si>
  <si>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</si>
  <si>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</si>
  <si>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</si>
  <si>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</si>
  <si>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</si>
  <si>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</si>
  <si>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</si>
  <si>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</si>
  <si>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</si>
  <si>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</si>
  <si>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</si>
  <si>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</si>
  <si>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</si>
  <si>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</si>
  <si>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</si>
  <si>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</si>
  <si>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</si>
  <si>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</si>
  <si>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</si>
  <si>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</si>
  <si>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</si>
  <si>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</si>
  <si>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</si>
  <si>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</si>
  <si>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</si>
  <si>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</si>
  <si>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</si>
  <si>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</si>
  <si>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</si>
  <si>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</si>
  <si>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</si>
  <si>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</si>
  <si>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</si>
  <si>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</si>
  <si>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</si>
  <si>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Numeric - up to 2 digits after decimal place</t>
  </si>
  <si>
    <t>000030</t>
  </si>
  <si>
    <t>AvailableCarnegieUnitCredit</t>
  </si>
  <si>
    <t>Awaiting Initial IDEA Evaluation Status</t>
  </si>
  <si>
    <t>Awaiting initial evaluation for special education programs and related services under the Individuals with Disabilities Education Act (IDEA).</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</si>
  <si>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</si>
  <si>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</si>
  <si>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</si>
  <si>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</si>
  <si>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</si>
  <si>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</si>
  <si>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</si>
  <si>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Billable Basis Type</t>
  </si>
  <si>
    <t>The event/action that results in a billable action.</t>
  </si>
  <si>
    <t>Early Learning -&gt; Early Learning Program</t>
  </si>
  <si>
    <t>001582</t>
  </si>
  <si>
    <t>BillableBasisType</t>
  </si>
  <si>
    <t>Birthdate</t>
  </si>
  <si>
    <t>The year, month and day on which a person was born.</t>
  </si>
  <si>
    <t>000033</t>
  </si>
  <si>
    <t>Birthdate Verification</t>
  </si>
  <si>
    <t>The evidence by which a child's date of birth is confirmed.</t>
  </si>
  <si>
    <t>000428</t>
  </si>
  <si>
    <t>BirthdateVerification</t>
  </si>
  <si>
    <t>K-12 -&gt; Migrant Student Data Exchange</t>
  </si>
  <si>
    <t>Black or African American</t>
  </si>
  <si>
    <t>A person having origins in any of the black racial groups of Africa.</t>
  </si>
  <si>
    <t>000034</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</si>
  <si>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</si>
  <si>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</si>
  <si>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</si>
  <si>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t>
  </si>
  <si>
    <t>Options and definition adapted from: http://www.christenseninstitute.org/blended-learning-model-definitions/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</si>
  <si>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</si>
  <si>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</si>
  <si>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</si>
  <si>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</si>
  <si>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</si>
  <si>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</si>
  <si>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</si>
  <si>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</si>
  <si>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</si>
  <si>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</si>
  <si>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</si>
  <si>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Site Number</t>
  </si>
  <si>
    <t>The number of the building on the site, if more than one building shares the same address.</t>
  </si>
  <si>
    <t>000602</t>
  </si>
  <si>
    <t>BuildingSiteNumber</t>
  </si>
  <si>
    <t>Building Use Type</t>
  </si>
  <si>
    <t>How a building is principally used, regardless of its original design.</t>
  </si>
  <si>
    <t>001206</t>
  </si>
  <si>
    <t>BuildingUseType</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</si>
  <si>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</si>
  <si>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</si>
  <si>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</si>
  <si>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</si>
  <si>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</si>
  <si>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</si>
  <si>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</si>
  <si>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</si>
  <si>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</si>
  <si>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</si>
  <si>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</si>
  <si>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</si>
  <si>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</si>
  <si>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</si>
  <si>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</si>
  <si>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</si>
  <si>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</si>
  <si>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</si>
  <si>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</si>
  <si>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</si>
  <si>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</si>
  <si>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</si>
  <si>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</si>
  <si>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</si>
  <si>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</si>
  <si>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</si>
  <si>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</si>
  <si>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</si>
  <si>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</si>
  <si>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</si>
  <si>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</si>
  <si>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</si>
  <si>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a career and technical education program/pathway.</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</si>
  <si>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</si>
  <si>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</si>
  <si>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</si>
  <si>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</si>
  <si>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</si>
  <si>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000037</t>
  </si>
  <si>
    <t>CTE Concentrator</t>
  </si>
  <si>
    <t>CTEConcentrator</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</si>
  <si>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</si>
  <si>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</si>
  <si>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</si>
  <si>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</si>
  <si>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</si>
  <si>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</si>
  <si>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</si>
  <si>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</si>
  <si>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</si>
  <si>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</si>
  <si>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</si>
  <si>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</si>
  <si>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</si>
  <si>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</si>
  <si>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</si>
  <si>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</si>
  <si>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</si>
  <si>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</si>
  <si>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</si>
  <si>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</si>
  <si>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</si>
  <si>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</si>
  <si>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</si>
  <si>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</si>
  <si>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</si>
  <si>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</si>
  <si>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</si>
  <si>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</si>
  <si>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001289</t>
  </si>
  <si>
    <t>CareerEducationPlanDate</t>
  </si>
  <si>
    <t>Career Education Plan Type</t>
  </si>
  <si>
    <t>An indicator of whether a student completed an individualized guidance and counseling plan.</t>
  </si>
  <si>
    <t>001290</t>
  </si>
  <si>
    <t>CareerEducationPlanType</t>
  </si>
  <si>
    <t>Career Pathways Program Participation Exit Date</t>
  </si>
  <si>
    <t>The year, month and day on which the person ceased to participate in a program.</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</si>
  <si>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</si>
  <si>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</si>
  <si>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</si>
  <si>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</si>
  <si>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</si>
  <si>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</si>
  <si>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</si>
  <si>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</si>
  <si>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</si>
  <si>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</si>
  <si>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</si>
  <si>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</si>
  <si>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</si>
  <si>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</si>
  <si>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</si>
  <si>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</si>
  <si>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</si>
  <si>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</si>
  <si>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</si>
  <si>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</si>
  <si>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</si>
  <si>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</si>
  <si>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</si>
  <si>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</si>
  <si>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</si>
  <si>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Charter School Approval Agency Type</t>
  </si>
  <si>
    <t>The type of agency that approved the establishment or continuation of a charter school.</t>
  </si>
  <si>
    <t>001292</t>
  </si>
  <si>
    <t>CharterSchoolApprovalAgencyType</t>
  </si>
  <si>
    <t>Charter School Approval Year</t>
  </si>
  <si>
    <t>The school year in which a charter school was initially approved.</t>
  </si>
  <si>
    <t>001293</t>
  </si>
  <si>
    <t>CharterSchoolApprovalYear</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</si>
  <si>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</si>
  <si>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</si>
  <si>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</si>
  <si>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</si>
  <si>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</si>
  <si>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</si>
  <si>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</si>
  <si>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</si>
  <si>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</si>
  <si>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</si>
  <si>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</si>
  <si>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</si>
  <si>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</si>
  <si>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</si>
  <si>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</si>
  <si>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</si>
  <si>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</si>
  <si>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</si>
  <si>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</si>
  <si>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</si>
  <si>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</si>
  <si>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</si>
  <si>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</si>
  <si>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</si>
  <si>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</si>
  <si>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</si>
  <si>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t>000710</t>
  </si>
  <si>
    <t>CharterSchoolType</t>
  </si>
  <si>
    <t>Child Development Associate Type</t>
  </si>
  <si>
    <t>Type of Child Development Associate credential as defined by options.</t>
  </si>
  <si>
    <t>Early Learning -&gt; EL Staff -&gt; Credential or License</t>
  </si>
  <si>
    <t>000806</t>
  </si>
  <si>
    <t>CDA Type</t>
  </si>
  <si>
    <t>ChildDevelopmentAssociateType</t>
  </si>
  <si>
    <t>Child Developmental Screening Status</t>
  </si>
  <si>
    <t>The result of a brief standardized screening tool aiding in the identification of children at risk of a developmental delay/disorder.</t>
  </si>
  <si>
    <t>Early Learning -&gt; EL Child -&gt; Developmental Assessments</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</si>
  <si>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</si>
  <si>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</si>
  <si>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</si>
  <si>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</si>
  <si>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</si>
  <si>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t>000785</t>
  </si>
  <si>
    <t>ChildIdentificationSystem</t>
  </si>
  <si>
    <t>Child Identifier</t>
  </si>
  <si>
    <t>A unique number or alphanumeric code assigned to a child by a school, school system, a state, or other agency or entity.</t>
  </si>
  <si>
    <t>001080</t>
  </si>
  <si>
    <t>ChildIdentifier</t>
  </si>
  <si>
    <t>Child Outcomes Summary Progress A Indicator</t>
  </si>
  <si>
    <t>Early Learning -&gt; EL Child -&gt; Child Outcome Summary</t>
  </si>
  <si>
    <t>001504</t>
  </si>
  <si>
    <t>COS Progress A Indicator</t>
  </si>
  <si>
    <t>COSProgressAIndicator</t>
  </si>
  <si>
    <t>Child Outcomes Summary Progress B Indicator</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</si>
  <si>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</si>
  <si>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</si>
  <si>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</si>
  <si>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</si>
  <si>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</si>
  <si>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</si>
  <si>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</si>
  <si>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</si>
  <si>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</si>
  <si>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</si>
  <si>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</si>
  <si>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</si>
  <si>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</si>
  <si>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</si>
  <si>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</si>
  <si>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</si>
  <si>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</si>
  <si>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</si>
  <si>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</si>
  <si>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</si>
  <si>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</si>
  <si>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</si>
  <si>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</si>
  <si>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</si>
  <si>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</si>
  <si>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</si>
  <si>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</si>
  <si>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</si>
  <si>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</si>
  <si>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</si>
  <si>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000519</t>
  </si>
  <si>
    <t>ClassBeginningTime</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</si>
  <si>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</si>
  <si>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</si>
  <si>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</si>
  <si>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</si>
  <si>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</si>
  <si>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</si>
  <si>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</si>
  <si>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</si>
  <si>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</si>
  <si>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</si>
  <si>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</si>
  <si>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</si>
  <si>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</si>
  <si>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</si>
  <si>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</si>
  <si>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</si>
  <si>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</si>
  <si>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</si>
  <si>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</si>
  <si>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CIP codes are available at: http://nces.ed.gov/ipeds/cipcode/browse.aspx?y=55</t>
  </si>
  <si>
    <t>000043</t>
  </si>
  <si>
    <t>CIP Code</t>
  </si>
  <si>
    <t>CIPCode</t>
  </si>
  <si>
    <t>Classification of Instructional Program Use</t>
  </si>
  <si>
    <t>An indicator of whether the CIP Code is referencing an enrollment program or an award program.</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</si>
  <si>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</si>
  <si>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</si>
  <si>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</si>
  <si>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</si>
  <si>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</si>
  <si>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</si>
  <si>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</si>
  <si>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</si>
  <si>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</si>
  <si>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</si>
  <si>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</si>
  <si>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</si>
  <si>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</si>
  <si>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</si>
  <si>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</si>
  <si>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</si>
  <si>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</si>
  <si>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</si>
  <si>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</si>
  <si>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</si>
  <si>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</si>
  <si>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</si>
  <si>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t>
  </si>
  <si>
    <t>000106</t>
  </si>
  <si>
    <t>CohortExclusion</t>
  </si>
  <si>
    <t>Cohort Graduation Year</t>
  </si>
  <si>
    <t>The year the cohort graduated with a regular high school diploma.</t>
  </si>
  <si>
    <t>YYYY</t>
  </si>
  <si>
    <t>000584</t>
  </si>
  <si>
    <t>CohortGraduationYear</t>
  </si>
  <si>
    <t>Cohort Year</t>
  </si>
  <si>
    <t>The school year in which the student entered the baseline group used for computing completion rates (e.g., high school, program).</t>
  </si>
  <si>
    <t>000046</t>
  </si>
  <si>
    <t>CohortYear</t>
  </si>
  <si>
    <t>Community-based Type</t>
  </si>
  <si>
    <t>Non domestic residence in which the early learning setting is located.</t>
  </si>
  <si>
    <t>001633</t>
  </si>
  <si>
    <t>CommunityBasedType</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</si>
  <si>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</si>
  <si>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</si>
  <si>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</si>
  <si>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</si>
  <si>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</si>
  <si>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</si>
  <si>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</si>
  <si>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</si>
  <si>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</si>
  <si>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</si>
  <si>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Comprehensive Fee</t>
  </si>
  <si>
    <t>A single fixed amount of money charged by an institution that covers tuition, required fees, room, and board. For some institutions, this amount may also cover books and supplies.</t>
  </si>
  <si>
    <t>000754</t>
  </si>
  <si>
    <t>ComprehensiveFee</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</si>
  <si>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</si>
  <si>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</si>
  <si>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</si>
  <si>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</si>
  <si>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</si>
  <si>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</si>
  <si>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</si>
  <si>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</si>
  <si>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</si>
  <si>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</si>
  <si>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</si>
  <si>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</si>
  <si>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</si>
  <si>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</si>
  <si>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</si>
  <si>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</si>
  <si>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</si>
  <si>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</si>
  <si>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</si>
  <si>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</si>
  <si>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</si>
  <si>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</si>
  <si>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</si>
  <si>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</si>
  <si>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</si>
  <si>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</si>
  <si>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</si>
  <si>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</si>
  <si>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t>000048</t>
  </si>
  <si>
    <t>ControlOfInstitution</t>
  </si>
  <si>
    <t>Core Academic Course</t>
  </si>
  <si>
    <t>The course meets the state definition of a core academic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</si>
  <si>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</si>
  <si>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</si>
  <si>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</si>
  <si>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</si>
  <si>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</si>
  <si>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</si>
  <si>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</si>
  <si>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</si>
  <si>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</si>
  <si>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</si>
  <si>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</si>
  <si>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</si>
  <si>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</si>
  <si>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</si>
  <si>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</si>
  <si>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Country Code</t>
  </si>
  <si>
    <t>The unique two character International Organization for Standardization (ISO) code for the country in which an address is located.</t>
  </si>
  <si>
    <t>The CEDS Country Code option set comes from the ISO 3166 standard, the short name for Officially assigned codes. Discontinued codes from the ISO standard are not included in the CEDS list.</t>
  </si>
  <si>
    <t>000050</t>
  </si>
  <si>
    <t>CountryCode</t>
  </si>
  <si>
    <t>Country of Birth Code</t>
  </si>
  <si>
    <t>The unique two digit International Organization for Standardization (ISO) code for the country in which a person is born.</t>
  </si>
  <si>
    <t>000051</t>
  </si>
  <si>
    <t>CountryOfBirthCode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</si>
  <si>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</si>
  <si>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http://www.census.gov/geo/reference/codes/cou.html .</t>
  </si>
  <si>
    <t>001209</t>
  </si>
  <si>
    <t>CountyANSICode</t>
  </si>
  <si>
    <t>Course Academic Grade</t>
  </si>
  <si>
    <t>The final grade awarded for participation in the course.</t>
  </si>
  <si>
    <t>Alphanumeric - 15 characters maximum</t>
  </si>
  <si>
    <t>000053</t>
  </si>
  <si>
    <t>CourseAcademicGrade</t>
  </si>
  <si>
    <t>Course Academic Grade Scale Code</t>
  </si>
  <si>
    <t>The grading scale used by an academic educational institution for an academic course.</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</si>
  <si>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</si>
  <si>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</si>
  <si>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</si>
  <si>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</si>
  <si>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</si>
  <si>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</si>
  <si>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</si>
  <si>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</si>
  <si>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</si>
  <si>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</si>
  <si>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</si>
  <si>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</si>
  <si>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</si>
  <si>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</si>
  <si>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</si>
  <si>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</si>
  <si>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</si>
  <si>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</si>
  <si>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</si>
  <si>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</si>
  <si>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</si>
  <si>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</si>
  <si>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</si>
  <si>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</si>
  <si>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</si>
  <si>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</si>
  <si>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</si>
  <si>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</si>
  <si>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</si>
  <si>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</si>
  <si>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</si>
  <si>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</si>
  <si>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</si>
  <si>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</si>
  <si>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</si>
  <si>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</si>
  <si>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</si>
  <si>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</si>
  <si>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</si>
  <si>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</si>
  <si>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</si>
  <si>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The type of credit (unit, semester, or quarter) associated with the credit hours earned for the course.</t>
  </si>
  <si>
    <t>000057</t>
  </si>
  <si>
    <t>CourseCreditUnits</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</si>
  <si>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</si>
  <si>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</si>
  <si>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Course Department Name</t>
  </si>
  <si>
    <t>Department with jurisdiction over this course.</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</si>
  <si>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</si>
  <si>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</si>
  <si>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</si>
  <si>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</si>
  <si>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</si>
  <si>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</si>
  <si>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</si>
  <si>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</si>
  <si>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</si>
  <si>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</si>
  <si>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</si>
  <si>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</si>
  <si>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</si>
  <si>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</si>
  <si>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</si>
  <si>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</si>
  <si>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</si>
  <si>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</si>
  <si>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</si>
  <si>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</si>
  <si>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</si>
  <si>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</si>
  <si>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</si>
  <si>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</si>
  <si>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</si>
  <si>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</si>
  <si>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</si>
  <si>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</si>
  <si>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</si>
  <si>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</si>
  <si>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</si>
  <si>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</si>
  <si>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</si>
  <si>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</si>
  <si>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</si>
  <si>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</si>
  <si>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</si>
  <si>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</si>
  <si>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</si>
  <si>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</si>
  <si>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</si>
  <si>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</si>
  <si>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</si>
  <si>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</si>
  <si>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</si>
  <si>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</si>
  <si>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</si>
  <si>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</si>
  <si>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</si>
  <si>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</si>
  <si>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</si>
  <si>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</si>
  <si>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</si>
  <si>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</si>
  <si>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</si>
  <si>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</si>
  <si>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</si>
  <si>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</si>
  <si>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</si>
  <si>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</si>
  <si>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</si>
  <si>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</si>
  <si>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</si>
  <si>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</si>
  <si>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</si>
  <si>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</si>
  <si>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</si>
  <si>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</si>
  <si>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</si>
  <si>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</si>
  <si>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</si>
  <si>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</si>
  <si>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</si>
  <si>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</si>
  <si>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</si>
  <si>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</si>
  <si>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</si>
  <si>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</si>
  <si>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</si>
  <si>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</si>
  <si>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000027</t>
  </si>
  <si>
    <t>CourseSectionAssessmentReportingMethod</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</si>
  <si>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</si>
  <si>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</si>
  <si>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</si>
  <si>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</si>
  <si>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000975</t>
  </si>
  <si>
    <t>CourseSectionEnrollmentStatusEndDate</t>
  </si>
  <si>
    <t>Course Section Enrollment Status Start Date</t>
  </si>
  <si>
    <t>The date on which the enrollment status began related to a student enrolled in an instance of a course.</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</si>
  <si>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</si>
  <si>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</si>
  <si>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</si>
  <si>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</si>
  <si>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</si>
  <si>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</si>
  <si>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</si>
  <si>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</si>
  <si>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</si>
  <si>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</si>
  <si>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K-12 -&gt; Teacher-Student Data Link -&gt; Enrollment</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</si>
  <si>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</si>
  <si>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</si>
  <si>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</si>
  <si>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</si>
  <si>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</si>
  <si>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</si>
  <si>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</si>
  <si>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</si>
  <si>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</si>
  <si>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</si>
  <si>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</si>
  <si>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</si>
  <si>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</si>
  <si>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</si>
  <si>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</si>
  <si>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</si>
  <si>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</si>
  <si>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</si>
  <si>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</si>
  <si>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</si>
  <si>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</si>
  <si>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</si>
  <si>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</si>
  <si>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</si>
  <si>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</si>
  <si>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</si>
  <si>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</si>
  <si>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</si>
  <si>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</si>
  <si>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</si>
  <si>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</si>
  <si>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</si>
  <si>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</si>
  <si>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</si>
  <si>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</si>
  <si>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</si>
  <si>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</si>
  <si>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</si>
  <si>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</si>
  <si>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</si>
  <si>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</si>
  <si>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</si>
  <si>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</si>
  <si>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</si>
  <si>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</si>
  <si>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Expiration Date</t>
  </si>
  <si>
    <t>The year, month and day on which an active credential held by a person will expire.</t>
  </si>
  <si>
    <t>000069</t>
  </si>
  <si>
    <t>CredentialExpirationDate</t>
  </si>
  <si>
    <t>Credential Issuance Date</t>
  </si>
  <si>
    <t>The year, month and day on which an active credential was issued to a person.</t>
  </si>
  <si>
    <t>000070</t>
  </si>
  <si>
    <t>CredentialIssuanceDate</t>
  </si>
  <si>
    <t>Credential or License Award Entity</t>
  </si>
  <si>
    <t>The name of the organization awarding the individual's credential or license.</t>
  </si>
  <si>
    <t>001587</t>
  </si>
  <si>
    <t>CredentialOrLicenseAwardEntity</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</si>
  <si>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</si>
  <si>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</si>
  <si>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</si>
  <si>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</si>
  <si>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</si>
  <si>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</si>
  <si>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001317</t>
  </si>
  <si>
    <t>CreditHoursAppliedOtherProgram</t>
  </si>
  <si>
    <t>The type of credits or units of value awarded for the completion of a course.</t>
  </si>
  <si>
    <t>000072</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</si>
  <si>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</si>
  <si>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</si>
  <si>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</si>
  <si>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</si>
  <si>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</si>
  <si>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</si>
  <si>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</si>
  <si>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</si>
  <si>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Credits Required</t>
  </si>
  <si>
    <t>The total number of credits required for a student to graduate from the school of enrollment or complete a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</si>
  <si>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</si>
  <si>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</si>
  <si>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</si>
  <si>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</si>
  <si>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</si>
  <si>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</si>
  <si>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</si>
  <si>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</si>
  <si>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</si>
  <si>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</si>
  <si>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</si>
  <si>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</si>
  <si>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</si>
  <si>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</si>
  <si>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</si>
  <si>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</si>
  <si>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</si>
  <si>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</si>
  <si>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</si>
  <si>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</si>
  <si>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</si>
  <si>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</si>
  <si>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</si>
  <si>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</si>
  <si>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</si>
  <si>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</si>
  <si>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</si>
  <si>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</si>
  <si>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</si>
  <si>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</si>
  <si>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</si>
  <si>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</si>
  <si>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</si>
  <si>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Curriculum Framework Type</t>
  </si>
  <si>
    <t>An indication of the standard curriculum used for this course.</t>
  </si>
  <si>
    <t>000712</t>
  </si>
  <si>
    <t>CurriculumFrameworkType</t>
  </si>
  <si>
    <t>Custodial Parent or Guardian Indicator</t>
  </si>
  <si>
    <t>An indication that a person has legal custody of a child.</t>
  </si>
  <si>
    <t>Early Learning -&gt; Parent/Guardian -&gt; Relationship</t>
  </si>
  <si>
    <t>000329</t>
  </si>
  <si>
    <t>CustodialParentOrGuardianIndicator</t>
  </si>
  <si>
    <t>Date of Transition Plan</t>
  </si>
  <si>
    <t>The date transition steps and services were added to the individualized service plan.</t>
  </si>
  <si>
    <t>Early Learning -&gt; EL Child -&gt; Individualized Program -&gt; Individualized Transition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</si>
  <si>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</si>
  <si>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</si>
  <si>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</si>
  <si>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</si>
  <si>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</si>
  <si>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</si>
  <si>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</si>
  <si>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</si>
  <si>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</si>
  <si>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</si>
  <si>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</si>
  <si>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</si>
  <si>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</si>
  <si>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</si>
  <si>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</si>
  <si>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</si>
  <si>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</si>
  <si>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</si>
  <si>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</si>
  <si>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Degree Applicability</t>
  </si>
  <si>
    <t>An indication that the course is a part of a degree program.</t>
  </si>
  <si>
    <t>000077</t>
  </si>
  <si>
    <t>DegreeApplicability</t>
  </si>
  <si>
    <t>Degree or Certificate Conferring Date</t>
  </si>
  <si>
    <t>The year, month and day on which a person received a degree or certificate.</t>
  </si>
  <si>
    <t>000344</t>
  </si>
  <si>
    <t>DegreeOrCertificateConferringDate</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</si>
  <si>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</si>
  <si>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</si>
  <si>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</si>
  <si>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</si>
  <si>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</si>
  <si>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</si>
  <si>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</si>
  <si>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</si>
  <si>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</si>
  <si>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</si>
  <si>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</si>
  <si>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</si>
  <si>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</si>
  <si>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</si>
  <si>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</si>
  <si>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</si>
  <si>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</si>
  <si>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</si>
  <si>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</si>
  <si>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Use cases may utilize subsets of the option set. For example, the option set for Parent/Guardian may not include the "Children's health insurance program" option.</t>
  </si>
  <si>
    <t>000336</t>
  </si>
  <si>
    <t>DentalInsuranceCoverageType</t>
  </si>
  <si>
    <t>Early Learning -&gt; Program Entry</t>
  </si>
  <si>
    <t>Dental Screening Date</t>
  </si>
  <si>
    <t>The year, month and day of a dental screening</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</si>
  <si>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</si>
  <si>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</si>
  <si>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</si>
  <si>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</si>
  <si>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</si>
  <si>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</si>
  <si>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</si>
  <si>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</si>
  <si>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</si>
  <si>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</si>
  <si>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</si>
  <si>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</si>
  <si>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</si>
  <si>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</si>
  <si>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</si>
  <si>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</si>
  <si>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</si>
  <si>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</si>
  <si>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</si>
  <si>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</si>
  <si>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t>001588</t>
  </si>
  <si>
    <t>DevelopmentalEducationReferralStatus</t>
  </si>
  <si>
    <t>Postsecondary Education -&gt; Voluntary Framework of Accountability</t>
  </si>
  <si>
    <t>Developmental Education Type</t>
  </si>
  <si>
    <t>An indicator of the category of developmental education.</t>
  </si>
  <si>
    <t>001589</t>
  </si>
  <si>
    <t>DevelopmentalEducationType</t>
  </si>
  <si>
    <t>Developmental Evaluation Finding</t>
  </si>
  <si>
    <t>Child developmental delay/disability determined by procedure used by appropriate qualified personnel.</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</si>
  <si>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</si>
  <si>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</si>
  <si>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</si>
  <si>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</si>
  <si>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</si>
  <si>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</si>
  <si>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</si>
  <si>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</si>
  <si>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</si>
  <si>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</si>
  <si>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</si>
  <si>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</si>
  <si>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</si>
  <si>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YYYY-MM</t>
  </si>
  <si>
    <t>000081</t>
  </si>
  <si>
    <t>DiplomaOrCredentialAwardDate</t>
  </si>
  <si>
    <t>Directory Information Block Status</t>
  </si>
  <si>
    <t>An indication of whether a individual requested a Family Education Rights and Privacy Act (FERPA) block to withhold the release of the person's directory information.</t>
  </si>
  <si>
    <t>001590</t>
  </si>
  <si>
    <t>DirectoryInformationBlockStatus</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</si>
  <si>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</si>
  <si>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</si>
  <si>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</si>
  <si>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</si>
  <si>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</si>
  <si>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</si>
  <si>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</si>
  <si>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</si>
  <si>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</si>
  <si>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</si>
  <si>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</si>
  <si>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</si>
  <si>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</si>
  <si>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</si>
  <si>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</si>
  <si>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</si>
  <si>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</si>
  <si>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</si>
  <si>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</si>
  <si>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</si>
  <si>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</si>
  <si>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</si>
  <si>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</si>
  <si>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</si>
  <si>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</si>
  <si>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</si>
  <si>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</si>
  <si>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</si>
  <si>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</si>
  <si>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</si>
  <si>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</si>
  <si>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</si>
  <si>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</si>
  <si>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</si>
  <si>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</si>
  <si>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</si>
  <si>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</si>
  <si>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</si>
  <si>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</si>
  <si>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</si>
  <si>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</si>
  <si>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</si>
  <si>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</si>
  <si>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</si>
  <si>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</si>
  <si>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</si>
  <si>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</si>
  <si>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</si>
  <si>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</si>
  <si>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</si>
  <si>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</si>
  <si>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</si>
  <si>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</si>
  <si>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</si>
  <si>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</si>
  <si>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</si>
  <si>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</si>
  <si>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</si>
  <si>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</si>
  <si>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</si>
  <si>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</si>
  <si>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</si>
  <si>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</si>
  <si>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</si>
  <si>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</si>
  <si>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</si>
  <si>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</si>
  <si>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</si>
  <si>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</si>
  <si>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</si>
  <si>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001323</t>
  </si>
  <si>
    <t>DistanceEducationProgramEnrollmentIndicator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</si>
  <si>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</si>
  <si>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</si>
  <si>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</si>
  <si>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</si>
  <si>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</si>
  <si>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</si>
  <si>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</si>
  <si>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</si>
  <si>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</si>
  <si>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</si>
  <si>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</si>
  <si>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</si>
  <si>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</si>
  <si>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</si>
  <si>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</si>
  <si>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</si>
  <si>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</si>
  <si>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DQP Categories of Learning</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</si>
  <si>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</si>
  <si>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t>Based on the Degree Qualifications Profile.</t>
  </si>
  <si>
    <t>001641</t>
  </si>
  <si>
    <t>DQPCategoriesOfLearning</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</si>
  <si>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</si>
  <si>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</si>
  <si>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</si>
  <si>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</si>
  <si>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</si>
  <si>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</si>
  <si>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</si>
  <si>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</si>
  <si>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</si>
  <si>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</si>
  <si>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</si>
  <si>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</si>
  <si>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</si>
  <si>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</si>
  <si>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</si>
  <si>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</si>
  <si>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</si>
  <si>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</si>
  <si>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</si>
  <si>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</si>
  <si>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</si>
  <si>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</si>
  <si>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Program Enrollment Type</t>
  </si>
  <si>
    <t>The system outlining activities and procedures based on a set of required services and standards in which the child is enrolled.</t>
  </si>
  <si>
    <t>000829</t>
  </si>
  <si>
    <t>EarlyChildhoodProgramEnrollmentType</t>
  </si>
  <si>
    <t>Early Childhood Services Offered</t>
  </si>
  <si>
    <t>A type of service offered by an organization that adapts the curriculum, materials, or instruction for students identified as needing additional resources.</t>
  </si>
  <si>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</si>
  <si>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</si>
  <si>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</si>
  <si>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</si>
  <si>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</si>
  <si>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</si>
  <si>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</si>
  <si>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The site or setting in which early childhood care, education, and/or services are provided.</t>
  </si>
  <si>
    <t>000356</t>
  </si>
  <si>
    <t>EarlyChildhoodSetting</t>
  </si>
  <si>
    <t>Early Learning Application Identifier</t>
  </si>
  <si>
    <t>Identifier for the application for enrollment or direct services filled out on behalf of a child</t>
  </si>
  <si>
    <t>Early Learning -&gt; EL Child -&gt; Services -&gt; Application</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</si>
  <si>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</si>
  <si>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</si>
  <si>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</si>
  <si>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</si>
  <si>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</si>
  <si>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</si>
  <si>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</si>
  <si>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</si>
  <si>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</si>
  <si>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</si>
  <si>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</si>
  <si>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</si>
  <si>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</si>
  <si>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</si>
  <si>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</si>
  <si>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</si>
  <si>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</si>
  <si>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</si>
  <si>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</si>
  <si>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</si>
  <si>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</si>
  <si>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</si>
  <si>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</si>
  <si>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The title/role of employment, official status, or rank of education staff</t>
  </si>
  <si>
    <t>Early Learning -&gt; EL Staff -&gt; Employment</t>
  </si>
  <si>
    <t>001602</t>
  </si>
  <si>
    <t>EarlyLearningEducationStaffClassification</t>
  </si>
  <si>
    <t>Early Learning Employment Separation Reason</t>
  </si>
  <si>
    <t>The primary reason for the termination of the employment relationship.</t>
  </si>
  <si>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</si>
  <si>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</si>
  <si>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</si>
  <si>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</si>
  <si>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</si>
  <si>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</si>
  <si>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</si>
  <si>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</si>
  <si>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</si>
  <si>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</si>
  <si>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</si>
  <si>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</si>
  <si>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</si>
  <si>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</si>
  <si>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</si>
  <si>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</si>
  <si>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</si>
  <si>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</si>
  <si>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</si>
  <si>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</si>
  <si>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</si>
  <si>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</si>
  <si>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</si>
  <si>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</si>
  <si>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</si>
  <si>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</si>
  <si>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</si>
  <si>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</si>
  <si>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</si>
  <si>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</si>
  <si>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</si>
  <si>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</si>
  <si>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</si>
  <si>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</si>
  <si>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</si>
  <si>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</si>
  <si>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</si>
  <si>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</si>
  <si>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</si>
  <si>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</si>
  <si>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</si>
  <si>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</si>
  <si>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</si>
  <si>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</si>
  <si>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</si>
  <si>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</si>
  <si>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</si>
  <si>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</si>
  <si>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</si>
  <si>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</si>
  <si>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</si>
  <si>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</si>
  <si>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</si>
  <si>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</si>
  <si>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</si>
  <si>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</si>
  <si>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</si>
  <si>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</si>
  <si>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</si>
  <si>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</si>
  <si>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</si>
  <si>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</si>
  <si>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</si>
  <si>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</si>
  <si>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</si>
  <si>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</si>
  <si>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</si>
  <si>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</si>
  <si>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</si>
  <si>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</si>
  <si>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</si>
  <si>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</si>
  <si>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</si>
  <si>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</si>
  <si>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</si>
  <si>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</si>
  <si>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</si>
  <si>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</si>
  <si>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</si>
  <si>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</si>
  <si>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</si>
  <si>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</si>
  <si>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</si>
  <si>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</si>
  <si>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</si>
  <si>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</si>
  <si>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</si>
  <si>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</si>
  <si>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</si>
  <si>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</si>
  <si>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</si>
  <si>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</si>
  <si>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</si>
  <si>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</si>
  <si>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</si>
  <si>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</si>
  <si>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</si>
  <si>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</si>
  <si>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</si>
  <si>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</si>
  <si>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</si>
  <si>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</si>
  <si>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t>001636</t>
  </si>
  <si>
    <t>EarlyLearningServiceProfessionalStaffClassification</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</si>
  <si>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</si>
  <si>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</si>
  <si>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</si>
  <si>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</si>
  <si>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</si>
  <si>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</si>
  <si>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</si>
  <si>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</si>
  <si>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</si>
  <si>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</si>
  <si>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t>001605</t>
  </si>
  <si>
    <t>EarlyLearningStateRevenueSource</t>
  </si>
  <si>
    <t>Early Learning Trainer Core Knowledge Area</t>
  </si>
  <si>
    <t>A description of the core knowledge expertise of a trainer of a professional development experience.</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</si>
  <si>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</si>
  <si>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</si>
  <si>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</si>
  <si>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</si>
  <si>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</si>
  <si>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</si>
  <si>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</si>
  <si>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</si>
  <si>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</si>
  <si>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</si>
  <si>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</si>
  <si>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</si>
  <si>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</si>
  <si>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Early Learning -&gt; EL Organization -&gt; Directory</t>
  </si>
  <si>
    <t>000862</t>
  </si>
  <si>
    <t>ERS Rural-Urban Continuum Code</t>
  </si>
  <si>
    <t>ERSRuralUrbanContinuumCode</t>
  </si>
  <si>
    <t>Education Verification Method</t>
  </si>
  <si>
    <t>The method by which the formal education is verified.</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</si>
  <si>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</si>
  <si>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</si>
  <si>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</si>
  <si>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</si>
  <si>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</si>
  <si>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</si>
  <si>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</si>
  <si>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</si>
  <si>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</si>
  <si>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</si>
  <si>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</si>
  <si>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</si>
  <si>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</si>
  <si>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</si>
  <si>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</si>
  <si>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</si>
  <si>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</si>
  <si>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</si>
  <si>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t>000091</t>
  </si>
  <si>
    <t>ElementaryMiddleAdditionalIndicatorStatus</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</si>
  <si>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</si>
  <si>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</si>
  <si>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</si>
  <si>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</si>
  <si>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</si>
  <si>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</si>
  <si>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</si>
  <si>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</si>
  <si>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</si>
  <si>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</si>
  <si>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</si>
  <si>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</si>
  <si>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</si>
  <si>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</si>
  <si>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</si>
  <si>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</si>
  <si>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</si>
  <si>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</si>
  <si>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</si>
  <si>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</si>
  <si>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</si>
  <si>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</si>
  <si>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</si>
  <si>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</si>
  <si>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</si>
  <si>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</si>
  <si>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</si>
  <si>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</si>
  <si>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</si>
  <si>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</si>
  <si>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</si>
  <si>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</si>
  <si>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</si>
  <si>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</si>
  <si>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</si>
  <si>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</si>
  <si>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</si>
  <si>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</si>
  <si>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</si>
  <si>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</si>
  <si>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See http://www.census.gov/eos/www/naics/</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</si>
  <si>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</si>
  <si>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</si>
  <si>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</si>
  <si>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</si>
  <si>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</si>
  <si>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</si>
  <si>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</si>
  <si>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</si>
  <si>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</si>
  <si>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</si>
  <si>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</si>
  <si>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</si>
  <si>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</si>
  <si>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</si>
  <si>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000992</t>
  </si>
  <si>
    <t>EmploymentRecordReferencePeriodStartDate</t>
  </si>
  <si>
    <t>Employment Separation Reason</t>
  </si>
  <si>
    <t>000620</t>
  </si>
  <si>
    <t>EmploymentSeparationReason</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</si>
  <si>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</si>
  <si>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</si>
  <si>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</si>
  <si>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</si>
  <si>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</si>
  <si>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</si>
  <si>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</si>
  <si>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</si>
  <si>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</si>
  <si>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</si>
  <si>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</si>
  <si>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</si>
  <si>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</si>
  <si>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</si>
  <si>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</si>
  <si>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</si>
  <si>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</si>
  <si>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</si>
  <si>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</si>
  <si>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</si>
  <si>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</si>
  <si>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</si>
  <si>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</si>
  <si>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</si>
  <si>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</si>
  <si>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</si>
  <si>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</si>
  <si>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</si>
  <si>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Enrollment Exit Date</t>
  </si>
  <si>
    <t>The year, month and day on which the student officially withdrew or graduated, i.e. the date on which the student's enrollment ended.</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</si>
  <si>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</si>
  <si>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</si>
  <si>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</si>
  <si>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</si>
  <si>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</si>
  <si>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</si>
  <si>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</si>
  <si>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</si>
  <si>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</si>
  <si>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</si>
  <si>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</si>
  <si>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</si>
  <si>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</si>
  <si>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</si>
  <si>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</si>
  <si>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Entry Grade Level</t>
  </si>
  <si>
    <t>The grade level or primary instructional level at which a student enters and receives services in a school or an educational institution during a given academic session.</t>
  </si>
  <si>
    <t>000100</t>
  </si>
  <si>
    <t>EntryGradeLevel</t>
  </si>
  <si>
    <t>Entry Type</t>
  </si>
  <si>
    <t>The process by which a student enters a school during a given academic session.</t>
  </si>
  <si>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</si>
  <si>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</si>
  <si>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</si>
  <si>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</si>
  <si>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</si>
  <si>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</si>
  <si>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</si>
  <si>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</si>
  <si>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000108</t>
  </si>
  <si>
    <t>ExitOrWithdrawalStatus</t>
  </si>
  <si>
    <t>Exit or Withdrawal Type</t>
  </si>
  <si>
    <t>The circumstances under which the student exited from membership in an educational institution.</t>
  </si>
  <si>
    <t>000110</t>
  </si>
  <si>
    <t>ExitOrWithdrawalType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</si>
  <si>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</si>
  <si>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</si>
  <si>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</si>
  <si>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</si>
  <si>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</si>
  <si>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</si>
  <si>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</si>
  <si>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</si>
  <si>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Facility Building Name</t>
  </si>
  <si>
    <t>The full, legally accepted or popularly accepted name of a building.</t>
  </si>
  <si>
    <t>001205</t>
  </si>
  <si>
    <t>FacilityBuildingName</t>
  </si>
  <si>
    <t>Facility Licensing Status</t>
  </si>
  <si>
    <t>The status of the facility license.</t>
  </si>
  <si>
    <t>000984</t>
  </si>
  <si>
    <t>FacilityLicensingStatus</t>
  </si>
  <si>
    <t>Facility Profit Status</t>
  </si>
  <si>
    <t>An indication of the for-profit status of a facility.</t>
  </si>
  <si>
    <t>Early Learning -&gt; EL Organization -&gt; Facility</t>
  </si>
  <si>
    <t>000834</t>
  </si>
  <si>
    <t>FacilityProfitStatus</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</si>
  <si>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</si>
  <si>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</si>
  <si>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</si>
  <si>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</si>
  <si>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</si>
  <si>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</si>
  <si>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</si>
  <si>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</si>
  <si>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</si>
  <si>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</si>
  <si>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</si>
  <si>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</si>
  <si>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</si>
  <si>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</si>
  <si>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</si>
  <si>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</si>
  <si>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</si>
  <si>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</si>
  <si>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</si>
  <si>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</si>
  <si>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</si>
  <si>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</si>
  <si>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</si>
  <si>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</si>
  <si>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</si>
  <si>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</si>
  <si>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</si>
  <si>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</si>
  <si>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</si>
  <si>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</si>
  <si>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</si>
  <si>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</si>
  <si>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Federal Program Code</t>
  </si>
  <si>
    <t>The unique five-digit number assigned to each federal program as listed in the Catalog of Federal Domestic Assistance (CFDA) Programs. See http://www.cfda.gov/.</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</si>
  <si>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</si>
  <si>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</si>
  <si>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</si>
  <si>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</si>
  <si>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000549</t>
  </si>
  <si>
    <t>FederalProgramsFundingAllocation</t>
  </si>
  <si>
    <t>Federal Programs Funding Allocation Type</t>
  </si>
  <si>
    <t>The type of federal program funding allocation or distribution made.</t>
  </si>
  <si>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</si>
  <si>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</si>
  <si>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</si>
  <si>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</si>
  <si>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</si>
  <si>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000111</t>
  </si>
  <si>
    <t>FederalSchoolCode</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</si>
  <si>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</si>
  <si>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Based on codes specified in the NCES Handbook "Financial Accounting for Local and State School Systems: 2014 Edition".</t>
  </si>
  <si>
    <t>001353</t>
  </si>
  <si>
    <t>Financial Account Category</t>
  </si>
  <si>
    <t>A label for a grouping of financial accounts, based on type and purpose.</t>
  </si>
  <si>
    <t>001345</t>
  </si>
  <si>
    <t>FinancialAccountCategory</t>
  </si>
  <si>
    <t>Financial Account Description</t>
  </si>
  <si>
    <t>The description for the financial account in an educational institution’s accounting system.</t>
  </si>
  <si>
    <t>001346</t>
  </si>
  <si>
    <t>FinancialAccountDescription</t>
  </si>
  <si>
    <t>A fund is a separate fiscal and accounting entity with a self-balancing set of accounts recording cash and other financial resources, together with all related liabilities and residual equities or balances or changes therein.</t>
  </si>
  <si>
    <t>001347</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</si>
  <si>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</si>
  <si>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</si>
  <si>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</si>
  <si>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</si>
  <si>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</si>
  <si>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</si>
  <si>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001554</t>
  </si>
  <si>
    <t>FinancialAccountNumber</t>
  </si>
  <si>
    <t>A program is a plan of activities and procedures designed to accomplish a predetermined objective or set of objectives. The program classification provides the school district with a framework to classify instructional and other expenditures by program to determine cost.</t>
  </si>
  <si>
    <t>001349</t>
  </si>
  <si>
    <t>Financial Account Program Name</t>
  </si>
  <si>
    <t>The name given to the program area in an educational institution's accounting system.</t>
  </si>
  <si>
    <t>001645</t>
  </si>
  <si>
    <t>FinancialAccountProgramName</t>
  </si>
  <si>
    <t>Financial Account Program Number</t>
  </si>
  <si>
    <t>A number given to a program area within an educational institution's accounting system.</t>
  </si>
  <si>
    <t>001646</t>
  </si>
  <si>
    <t>FinancialAccountProgramNumber</t>
  </si>
  <si>
    <t>These codes are for recording revenue and other receivables by source. Major revenue categories have codes ending in 00 and are further subdivided.</t>
  </si>
  <si>
    <t>Early Learning: If related to an "in kind" contribution use codes 1920 or 100.</t>
  </si>
  <si>
    <t>001468</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</si>
  <si>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</si>
  <si>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</si>
  <si>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</si>
  <si>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</si>
  <si>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</si>
  <si>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</si>
  <si>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</si>
  <si>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</si>
  <si>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</si>
  <si>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</si>
  <si>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</si>
  <si>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</si>
  <si>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</si>
  <si>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</si>
  <si>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</si>
  <si>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</si>
  <si>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</si>
  <si>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</si>
  <si>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</si>
  <si>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</si>
  <si>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</si>
  <si>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</si>
  <si>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</si>
  <si>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</si>
  <si>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</si>
  <si>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</si>
  <si>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Element should be used in combination with Financial Aid Applicant Type.</t>
  </si>
  <si>
    <t>000763</t>
  </si>
  <si>
    <t>FinancialAidApplicant</t>
  </si>
  <si>
    <t>Financial Aid Application Type</t>
  </si>
  <si>
    <t>The type of financial application completed by an individual.</t>
  </si>
  <si>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</si>
  <si>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</si>
  <si>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</si>
  <si>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</si>
  <si>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</si>
  <si>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t>
  </si>
  <si>
    <t>Note: For any given individual this cluster of fields may be repeated multiple times.</t>
  </si>
  <si>
    <t>000112</t>
  </si>
  <si>
    <t>FinancialAidAwardAmount</t>
  </si>
  <si>
    <t>Financial Aid Award Status</t>
  </si>
  <si>
    <t>An indication of whether the financial aid type being reported is aid that has been awarded, accepted or dispersed.</t>
  </si>
  <si>
    <t>Linked to financial aid type, financial aid amount.</t>
  </si>
  <si>
    <t>Note: For any given individual this field may be repeated multiple times.</t>
  </si>
  <si>
    <t>000363</t>
  </si>
  <si>
    <t>FinancialAidAwardStatus</t>
  </si>
  <si>
    <t>Financial Aid Award Type</t>
  </si>
  <si>
    <t>The classification of financial aid awarded to a person for the academic term/year.</t>
  </si>
  <si>
    <t>Linked to financial aid type.</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</si>
  <si>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</si>
  <si>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</si>
  <si>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</si>
  <si>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</si>
  <si>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</si>
  <si>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</si>
  <si>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</si>
  <si>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</si>
  <si>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t>001609</t>
  </si>
  <si>
    <t>FinancialAidVeteransBenefitStatus</t>
  </si>
  <si>
    <t>Financial Aid Veteran’s Benefit Type</t>
  </si>
  <si>
    <t>The type of Veteran's benefits a person is receiving.</t>
  </si>
  <si>
    <t>001610</t>
  </si>
  <si>
    <t>FinancialAidVeteransBenefitType</t>
  </si>
  <si>
    <t>Financial Aid Year Designator</t>
  </si>
  <si>
    <t>The school year for which the student's financial aid application and award data apply. Generally, this is the 12-month period from July 1 to June 30.</t>
  </si>
  <si>
    <t>001611</t>
  </si>
  <si>
    <t>FinancialAidYearDesignator</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</si>
  <si>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</si>
  <si>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t>001354</t>
  </si>
  <si>
    <t>This classification permits expenditures to be segregated by instructional level.</t>
  </si>
  <si>
    <t>001555</t>
  </si>
  <si>
    <t>This classification is used to describe the service or commodity obtained as the result of a specific expenditure. Nine major object categories have codes ending in 00 and are further subdivided.</t>
  </si>
  <si>
    <t>001355</t>
  </si>
  <si>
    <t>The project/reporting code permits school districts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</si>
  <si>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"Financial Accounting for Local and State School Systems: 2014 Edition":</t>
  </si>
  <si>
    <t>010 to 190 Local Projects. Expenditures that require specialized reporting and are funded from local sources.</t>
  </si>
  <si>
    <t>200 to 390 State Projects. Expenditures that require specialized reporting for categorically funded state programs.</t>
  </si>
  <si>
    <t>400 to 990 Federal Projects. Expenditures that require specialized reporting to the federal government directly or through the state.</t>
  </si>
  <si>
    <t>1000 Noncategorical. Expenditures that do not require specialized reporting.</t>
  </si>
  <si>
    <t>001556</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</si>
  <si>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</si>
  <si>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</si>
  <si>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</si>
  <si>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</si>
  <si>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</si>
  <si>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</si>
  <si>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</si>
  <si>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</si>
  <si>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</si>
  <si>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</si>
  <si>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</si>
  <si>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</si>
  <si>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</si>
  <si>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</si>
  <si>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</si>
  <si>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</si>
  <si>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</si>
  <si>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</si>
  <si>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</si>
  <si>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</si>
  <si>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</si>
  <si>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</si>
  <si>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</si>
  <si>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</si>
  <si>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</si>
  <si>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</si>
  <si>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</si>
  <si>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</si>
  <si>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</si>
  <si>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</si>
  <si>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Workforce Note: To collect data on workforce program participation, a data match will have to be negotiated between state agencies. The data match makes use of name, social security number, gender and ethnicity data.</t>
  </si>
  <si>
    <t>000115</t>
  </si>
  <si>
    <t>FirstName</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</si>
  <si>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</si>
  <si>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</si>
  <si>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</si>
  <si>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</si>
  <si>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</si>
  <si>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</si>
  <si>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</si>
  <si>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</si>
  <si>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</si>
  <si>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</si>
  <si>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</si>
  <si>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</si>
  <si>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</si>
  <si>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The year a school uses for budgeting, accounting, and reporting financials.</t>
  </si>
  <si>
    <t>001639</t>
  </si>
  <si>
    <t>FiscalYear</t>
  </si>
  <si>
    <t>Foster Care End Date</t>
  </si>
  <si>
    <t>The date a child or youth exited foster care.</t>
  </si>
  <si>
    <t>Early Learning -&gt; EL Child -&gt; Demographic</t>
  </si>
  <si>
    <t>001522</t>
  </si>
  <si>
    <t>FosterCareEndDate</t>
  </si>
  <si>
    <t>Foster Care Start Date</t>
  </si>
  <si>
    <t>The date a child or youth entered into foster care.</t>
  </si>
  <si>
    <t>001523</t>
  </si>
  <si>
    <t>FosterCareStartDate</t>
  </si>
  <si>
    <t>Fraternity Participation Status</t>
  </si>
  <si>
    <t>Student is in membership of a chiefly social organization of men students at a college or university, usually designated by Greek letters.</t>
  </si>
  <si>
    <t>000761</t>
  </si>
  <si>
    <t>FraternityParticipationStatus</t>
  </si>
  <si>
    <t>Frequency of Service</t>
  </si>
  <si>
    <t>The frequency at which a service is planned to occur.</t>
  </si>
  <si>
    <t>001356</t>
  </si>
  <si>
    <t>FrequencyOfService</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</si>
  <si>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</si>
  <si>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</si>
  <si>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</si>
  <si>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</si>
  <si>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</si>
  <si>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</si>
  <si>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</si>
  <si>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</si>
  <si>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</si>
  <si>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</si>
  <si>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</si>
  <si>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</si>
  <si>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</si>
  <si>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</si>
  <si>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</si>
  <si>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</si>
  <si>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</si>
  <si>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</si>
  <si>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</si>
  <si>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</si>
  <si>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</si>
  <si>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</si>
  <si>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</si>
  <si>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Workforce</t>
  </si>
  <si>
    <t>Note: To collect data on workforce program participation, a data match will have to be negotiated between state agencies. The data match makes use of name, social security number, gender and ethnicity data.</t>
  </si>
  <si>
    <t>000121</t>
  </si>
  <si>
    <t>GenerationCodeOrSuffix</t>
  </si>
  <si>
    <t>Gifted and Talented Indicator</t>
  </si>
  <si>
    <t>An indication that the student is participating in and served by a Gifted/Talented program.</t>
  </si>
  <si>
    <t>000122</t>
  </si>
  <si>
    <t>GiftedAndTalentedIndicator</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</si>
  <si>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</si>
  <si>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</si>
  <si>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</si>
  <si>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</si>
  <si>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</si>
  <si>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</si>
  <si>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</si>
  <si>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</si>
  <si>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Grade Level When Course Taken</t>
  </si>
  <si>
    <t>Student's grade level at time of course.</t>
  </si>
  <si>
    <t>000125</t>
  </si>
  <si>
    <t>GradeLevelWhenCourseTaken</t>
  </si>
  <si>
    <t>Grade Point Average</t>
  </si>
  <si>
    <t>The value of the total quality points divided by the Credit Hours for Grade Point Average.</t>
  </si>
  <si>
    <t>Numeric - up to 4 digits after decimal place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</si>
  <si>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</si>
  <si>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</si>
  <si>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</si>
  <si>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</si>
  <si>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Related Connection; linked to Grade Point Average Weighted Indicator, High School Percentile, High School Rank, and Size of High School Graduating Class</t>
  </si>
  <si>
    <t>000128</t>
  </si>
  <si>
    <t>GPA - Cumulative</t>
  </si>
  <si>
    <t>GPACumulative</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</si>
  <si>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</si>
  <si>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</si>
  <si>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</si>
  <si>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</si>
  <si>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</si>
  <si>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</si>
  <si>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</si>
  <si>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</si>
  <si>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</si>
  <si>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</si>
  <si>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</si>
  <si>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</si>
  <si>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GPA is weighted or unweighted.</t>
  </si>
  <si>
    <t>000123</t>
  </si>
  <si>
    <t>GPA Weighted Indicator</t>
  </si>
  <si>
    <t>GPAWeightedIndicator</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</si>
  <si>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</si>
  <si>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</si>
  <si>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</si>
  <si>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</si>
  <si>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</si>
  <si>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</si>
  <si>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</si>
  <si>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</si>
  <si>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</si>
  <si>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</si>
  <si>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</si>
  <si>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</si>
  <si>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</si>
  <si>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</si>
  <si>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</si>
  <si>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</si>
  <si>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</si>
  <si>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</si>
  <si>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</si>
  <si>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</si>
  <si>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</si>
  <si>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</si>
  <si>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</si>
  <si>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</si>
  <si>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</si>
  <si>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</si>
  <si>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</si>
  <si>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</si>
  <si>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</si>
  <si>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</si>
  <si>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</si>
  <si>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</si>
  <si>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</si>
  <si>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</si>
  <si>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</si>
  <si>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</si>
  <si>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</si>
  <si>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</si>
  <si>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</si>
  <si>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</si>
  <si>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</si>
  <si>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</si>
  <si>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Health Screening Equipment Used</t>
  </si>
  <si>
    <t>The screening equipment used for the hearing screening or the method used for the vision screening</t>
  </si>
  <si>
    <t>001358</t>
  </si>
  <si>
    <t>HealthScreeningEquipmentUsed</t>
  </si>
  <si>
    <t>Health Screening Follow-up Recommendation</t>
  </si>
  <si>
    <t>Recommended frequency for screener or for specific child- add something to assessment design or administration</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</si>
  <si>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</si>
  <si>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</si>
  <si>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</si>
  <si>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</si>
  <si>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</si>
  <si>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</si>
  <si>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</si>
  <si>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</si>
  <si>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</si>
  <si>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</si>
  <si>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</si>
  <si>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</si>
  <si>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000137</t>
  </si>
  <si>
    <t>HighSchoolCourseRequirement</t>
  </si>
  <si>
    <t>High School Diploma Distinction Type</t>
  </si>
  <si>
    <t>The distinction of the diploma or credential that is awarded to a student in recognition of their completion of the curricular requirements.</t>
  </si>
  <si>
    <t>000713</t>
  </si>
  <si>
    <t>HighSchoolDiplomaDistinctionType</t>
  </si>
  <si>
    <t>High School Diploma Type</t>
  </si>
  <si>
    <t>The type of diploma/credential that is awarded to a person in recognition of his/her completion of the curricular requirements.</t>
  </si>
  <si>
    <t>000138</t>
  </si>
  <si>
    <t>HighSchoolDiplomaType</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</si>
  <si>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</si>
  <si>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</si>
  <si>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</si>
  <si>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</si>
  <si>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</si>
  <si>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</si>
  <si>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t>
  </si>
  <si>
    <t>0% to 99% (where 99% corresponds to the valedictorian, 0% to the bottom rank in the class)</t>
  </si>
  <si>
    <t>000759</t>
  </si>
  <si>
    <t>HighSchoolPercentile</t>
  </si>
  <si>
    <t>High School Student Class Rank</t>
  </si>
  <si>
    <t>The academic rank of a student in relation to his or her high school graduating class (e.g., 1, 2, 3) based on high school GPA.</t>
  </si>
  <si>
    <t>000041</t>
  </si>
  <si>
    <t>HighSchoolStudentClassRank</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</si>
  <si>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</si>
  <si>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</si>
  <si>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</si>
  <si>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</si>
  <si>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</si>
  <si>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</si>
  <si>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</si>
  <si>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</si>
  <si>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Highly Qualified Teacher Indicator</t>
  </si>
  <si>
    <t>An indication that the teacher has been classified as highly qualified based on assignment.</t>
  </si>
  <si>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</si>
  <si>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</si>
  <si>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</si>
  <si>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</si>
  <si>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</si>
  <si>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</si>
  <si>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</si>
  <si>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</si>
  <si>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</si>
  <si>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</si>
  <si>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</si>
  <si>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</si>
  <si>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</si>
  <si>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students at the time the students are identified as homeless.</t>
  </si>
  <si>
    <t>K12 -&gt; K12 Student -&gt; Homeless</t>
  </si>
  <si>
    <t>000146</t>
  </si>
  <si>
    <t>HomelessPrimaryNighttimeResidence</t>
  </si>
  <si>
    <t>Homeless Serviced Indicator</t>
  </si>
  <si>
    <t>An indication of whether homeless children and youth were served by a McKinney-Vento program in the state.</t>
  </si>
  <si>
    <t>000147</t>
  </si>
  <si>
    <t>HomelessServicedIndicator</t>
  </si>
  <si>
    <t>Homeless Unaccompanied Youth Status</t>
  </si>
  <si>
    <t>An indication that homeless youths were unaccompanied by parents or legal guardians.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</si>
  <si>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</si>
  <si>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</si>
  <si>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</si>
  <si>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</si>
  <si>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</si>
  <si>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</si>
  <si>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</si>
  <si>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</si>
  <si>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</si>
  <si>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</si>
  <si>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</si>
  <si>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</si>
  <si>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</si>
  <si>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</si>
  <si>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</si>
  <si>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</si>
  <si>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</si>
  <si>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</si>
  <si>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</si>
  <si>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</si>
  <si>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</si>
  <si>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</si>
  <si>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</si>
  <si>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</si>
  <si>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</si>
  <si>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</si>
  <si>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</si>
  <si>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</si>
  <si>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</si>
  <si>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</si>
  <si>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</si>
  <si>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</si>
  <si>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000535</t>
  </si>
  <si>
    <t>IDEAEducationalEnvironmentForSchoolAge</t>
  </si>
  <si>
    <t>IDEA IEP Status</t>
  </si>
  <si>
    <t>The status of an individualized services plan for a specified reporting period or on a specified date.</t>
  </si>
  <si>
    <t>Early Learning -&gt; EL Child -&gt; Individualized Program</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</si>
  <si>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</si>
  <si>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</si>
  <si>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</si>
  <si>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</si>
  <si>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</si>
  <si>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</si>
  <si>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</si>
  <si>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</si>
  <si>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</si>
  <si>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</si>
  <si>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</si>
  <si>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</si>
  <si>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</si>
  <si>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</si>
  <si>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</si>
  <si>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</si>
  <si>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</si>
  <si>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</si>
  <si>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</si>
  <si>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</si>
  <si>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t>http://idea.ed.gov/part-c/statutes</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</si>
  <si>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</si>
  <si>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</si>
  <si>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</si>
  <si>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</si>
  <si>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</si>
  <si>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</si>
  <si>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</si>
  <si>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</si>
  <si>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</si>
  <si>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</si>
  <si>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</si>
  <si>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001363</t>
  </si>
  <si>
    <t>IDEAPartCToPartBNotificationOptOutIndicator</t>
  </si>
  <si>
    <t>Identification System for Assessment Form Section</t>
  </si>
  <si>
    <t>A coding scheme that is used for identification of an Assessment Form Section.</t>
  </si>
  <si>
    <t>001190</t>
  </si>
  <si>
    <t>IdentificationSystemForAssessmentFormSection</t>
  </si>
  <si>
    <t>Immunization Date</t>
  </si>
  <si>
    <t>The year, month and day of an immunization.</t>
  </si>
  <si>
    <t>000306</t>
  </si>
  <si>
    <t>ImmunizationDate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</si>
  <si>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</si>
  <si>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</si>
  <si>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</si>
  <si>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</si>
  <si>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</si>
  <si>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</si>
  <si>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</si>
  <si>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</si>
  <si>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</si>
  <si>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</si>
  <si>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</si>
  <si>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</si>
  <si>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</si>
  <si>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</si>
  <si>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</si>
  <si>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</si>
  <si>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</si>
  <si>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</si>
  <si>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</si>
  <si>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</si>
  <si>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</si>
  <si>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</si>
  <si>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</si>
  <si>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</si>
  <si>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</si>
  <si>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</si>
  <si>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</si>
  <si>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</si>
  <si>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</si>
  <si>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</si>
  <si>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</si>
  <si>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</si>
  <si>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</si>
  <si>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</si>
  <si>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</si>
  <si>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</si>
  <si>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</si>
  <si>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</si>
  <si>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</si>
  <si>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</si>
  <si>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</si>
  <si>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</si>
  <si>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</si>
  <si>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</si>
  <si>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</si>
  <si>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</si>
  <si>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</si>
  <si>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</si>
  <si>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</si>
  <si>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</si>
  <si>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</si>
  <si>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</si>
  <si>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</si>
  <si>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</si>
  <si>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</si>
  <si>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</si>
  <si>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</si>
  <si>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</si>
  <si>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</si>
  <si>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</si>
  <si>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</si>
  <si>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</si>
  <si>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</si>
  <si>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</si>
  <si>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</si>
  <si>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</si>
  <si>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</si>
  <si>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</si>
  <si>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</si>
  <si>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</si>
  <si>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</si>
  <si>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</si>
  <si>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</si>
  <si>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</si>
  <si>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</si>
  <si>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</si>
  <si>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</si>
  <si>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</si>
  <si>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</si>
  <si>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</si>
  <si>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</si>
  <si>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</si>
  <si>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</si>
  <si>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</si>
  <si>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</si>
  <si>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</si>
  <si>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</si>
  <si>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</si>
  <si>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</si>
  <si>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</si>
  <si>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</si>
  <si>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</si>
  <si>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</si>
  <si>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</si>
  <si>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</si>
  <si>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</si>
  <si>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</si>
  <si>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</si>
  <si>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</si>
  <si>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</si>
  <si>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</si>
  <si>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</si>
  <si>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</si>
  <si>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</si>
  <si>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001612</t>
  </si>
  <si>
    <t>IncludedInCountedFamilySize</t>
  </si>
  <si>
    <t>Inclusive Setting Indicator</t>
  </si>
  <si>
    <t>001634</t>
  </si>
  <si>
    <t>InclusiveSettingIndicator</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</si>
  <si>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</si>
  <si>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</si>
  <si>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</si>
  <si>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</si>
  <si>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</si>
  <si>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</si>
  <si>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</si>
  <si>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</si>
  <si>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Individualized Program Date</t>
  </si>
  <si>
    <t>The year, month and day on which the status of an individualized program for a student is significantly altered.</t>
  </si>
  <si>
    <t>001232</t>
  </si>
  <si>
    <t>IndividualizedProgramDate</t>
  </si>
  <si>
    <t>An indication of the significance of a date to an individualized program.</t>
  </si>
  <si>
    <t>001231</t>
  </si>
  <si>
    <t>IndividualizedProgramDateType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</si>
  <si>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</si>
  <si>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</si>
  <si>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</si>
  <si>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</si>
  <si>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</si>
  <si>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</si>
  <si>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</si>
  <si>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</si>
  <si>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</si>
  <si>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</si>
  <si>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</si>
  <si>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</si>
  <si>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</si>
  <si>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</si>
  <si>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</si>
  <si>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</si>
  <si>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</si>
  <si>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</si>
  <si>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</si>
  <si>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</si>
  <si>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</si>
  <si>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</si>
  <si>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</si>
  <si>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t>001383</t>
  </si>
  <si>
    <t>IndividualizedProgramPlannedServiceType</t>
  </si>
  <si>
    <t>Individualized Program Service Plan Date</t>
  </si>
  <si>
    <t>The year, month and day on which the status of the service plan for a child is established or significantly altered.</t>
  </si>
  <si>
    <t>001236</t>
  </si>
  <si>
    <t>IndividualizedProgramServicePlanDate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</si>
  <si>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</si>
  <si>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</si>
  <si>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</si>
  <si>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</si>
  <si>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</si>
  <si>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</si>
  <si>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</si>
  <si>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</si>
  <si>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</si>
  <si>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</si>
  <si>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</si>
  <si>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</si>
  <si>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</si>
  <si>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</si>
  <si>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</si>
  <si>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</si>
  <si>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</si>
  <si>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</si>
  <si>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</si>
  <si>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</si>
  <si>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</si>
  <si>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</si>
  <si>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</si>
  <si>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</si>
  <si>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</si>
  <si>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</si>
  <si>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</si>
  <si>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</si>
  <si>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</si>
  <si>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</si>
  <si>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</si>
  <si>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</si>
  <si>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</si>
  <si>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</si>
  <si>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</si>
  <si>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</si>
  <si>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</si>
  <si>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</si>
  <si>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</si>
  <si>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</si>
  <si>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</si>
  <si>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</si>
  <si>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</si>
  <si>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</si>
  <si>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</si>
  <si>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</si>
  <si>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</si>
  <si>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</si>
  <si>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</si>
  <si>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</si>
  <si>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</si>
  <si>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</si>
  <si>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</si>
  <si>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</si>
  <si>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</si>
  <si>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</si>
  <si>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</si>
  <si>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</si>
  <si>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</si>
  <si>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</si>
  <si>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</si>
  <si>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</si>
  <si>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</si>
  <si>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</si>
  <si>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</si>
  <si>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</si>
  <si>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</si>
  <si>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</si>
  <si>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</si>
  <si>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</si>
  <si>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</si>
  <si>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</si>
  <si>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</si>
  <si>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</si>
  <si>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</si>
  <si>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</si>
  <si>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000362</t>
  </si>
  <si>
    <t>InstructionalActivityHoursCompleted</t>
  </si>
  <si>
    <t>Postsecondary Education -&gt; Complete College America</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</si>
  <si>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</si>
  <si>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</si>
  <si>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</si>
  <si>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</si>
  <si>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</si>
  <si>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</si>
  <si>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</si>
  <si>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</si>
  <si>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</si>
  <si>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</si>
  <si>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</si>
  <si>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</si>
  <si>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</si>
  <si>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</si>
  <si>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</si>
  <si>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</si>
  <si>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</si>
  <si>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</si>
  <si>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</si>
  <si>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</si>
  <si>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</si>
  <si>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</si>
  <si>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</si>
  <si>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</si>
  <si>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</si>
  <si>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</si>
  <si>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</si>
  <si>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</si>
  <si>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</si>
  <si>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</si>
  <si>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</si>
  <si>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</si>
  <si>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</si>
  <si>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</si>
  <si>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</si>
  <si>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</si>
  <si>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</si>
  <si>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</si>
  <si>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</si>
  <si>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</si>
  <si>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</si>
  <si>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</si>
  <si>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</si>
  <si>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</si>
  <si>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</si>
  <si>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</si>
  <si>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</si>
  <si>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</si>
  <si>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</si>
  <si>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</si>
  <si>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</si>
  <si>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</si>
  <si>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</si>
  <si>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</si>
  <si>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</si>
  <si>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</si>
  <si>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</si>
  <si>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</si>
  <si>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</si>
  <si>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</si>
  <si>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</si>
  <si>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</si>
  <si>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</si>
  <si>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</si>
  <si>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</si>
  <si>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</si>
  <si>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</si>
  <si>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</si>
  <si>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</si>
  <si>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</si>
  <si>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</si>
  <si>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</si>
  <si>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</si>
  <si>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</si>
  <si>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ISO 639-2 Language Code</t>
  </si>
  <si>
    <t>The code for the specific language or dialect that a person uses to communicate.</t>
  </si>
  <si>
    <t>000317</t>
  </si>
  <si>
    <t>ISO6392LanguageCode</t>
  </si>
  <si>
    <t>ISO 639-3 Language Code</t>
  </si>
  <si>
    <t>The CEDS ISO 639-3 Language Code option set comes from the ISO 639-3 standard, the Latin-1 download. Only living language code types from the ISO standard are included in the CEDS list. Special scope and discontinued codes are excluded.</t>
  </si>
  <si>
    <t>001637</t>
  </si>
  <si>
    <t>ISO6393LanguageCode</t>
  </si>
  <si>
    <t>ISO 639-5 Language Family</t>
  </si>
  <si>
    <t>A code for a specific language family, which supplements the language groups and families in the ISO 639-2 Language Code.</t>
  </si>
  <si>
    <t>The CEDS ISO 639-5 Language Family option set comes from the ISO 639-5 standard.</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</si>
  <si>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</si>
  <si>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</si>
  <si>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</si>
  <si>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</si>
  <si>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</si>
  <si>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</si>
  <si>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</si>
  <si>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</si>
  <si>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</si>
  <si>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</si>
  <si>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</si>
  <si>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</si>
  <si>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</si>
  <si>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</si>
  <si>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</si>
  <si>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</si>
  <si>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</si>
  <si>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</si>
  <si>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000087</t>
  </si>
  <si>
    <t>K12StaffClassification</t>
  </si>
  <si>
    <t>Kindergarten Daily Length</t>
  </si>
  <si>
    <t>The portion of a day that a kindergarten program is provided to the students it serves.</t>
  </si>
  <si>
    <t>K12 -&gt; LEA -&gt; Programs and Services</t>
  </si>
  <si>
    <t>000491</t>
  </si>
  <si>
    <t>KindergartenDailyLength</t>
  </si>
  <si>
    <t>Kindergarten Program Participation Type</t>
  </si>
  <si>
    <t>The type of Kindergarten program the student is enrolled in.</t>
  </si>
  <si>
    <t>000714</t>
  </si>
  <si>
    <t>KindergartenProgramParticipationType</t>
  </si>
  <si>
    <t>Language Translation Policy</t>
  </si>
  <si>
    <t>Indicates that the organization or class/group has translation services available .</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</si>
  <si>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</si>
  <si>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</si>
  <si>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</si>
  <si>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</si>
  <si>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</si>
  <si>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</si>
  <si>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</si>
  <si>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</si>
  <si>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</si>
  <si>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</si>
  <si>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</si>
  <si>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</si>
  <si>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</si>
  <si>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</si>
  <si>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</si>
  <si>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</si>
  <si>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</si>
  <si>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</si>
  <si>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</si>
  <si>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</si>
  <si>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</si>
  <si>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000606</t>
  </si>
  <si>
    <t>Learner Action Actor Identifier</t>
  </si>
  <si>
    <t>A unique identifier for the person performing the learner action. The identifier should be encrypted when integrating learning experience data across systems to secure the privacy of the learner.</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</si>
  <si>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</si>
  <si>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</si>
  <si>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</si>
  <si>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</si>
  <si>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</si>
  <si>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</si>
  <si>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</si>
  <si>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</si>
  <si>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</si>
  <si>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</si>
  <si>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</si>
  <si>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</si>
  <si>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</si>
  <si>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</si>
  <si>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</si>
  <si>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</si>
  <si>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</si>
  <si>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</si>
  <si>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</si>
  <si>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</si>
  <si>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t>The CEDS Learner Action Type option set comes from the ADL Controlled Vocabulary, xAPI specification.</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</si>
  <si>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</si>
  <si>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</si>
  <si>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</si>
  <si>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</si>
  <si>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</si>
  <si>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</si>
  <si>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</si>
  <si>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</si>
  <si>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</si>
  <si>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</si>
  <si>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</si>
  <si>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</si>
  <si>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</si>
  <si>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</si>
  <si>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</si>
  <si>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</si>
  <si>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</si>
  <si>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</si>
  <si>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</si>
  <si>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</si>
  <si>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</si>
  <si>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</si>
  <si>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</si>
  <si>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</si>
  <si>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</si>
  <si>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</si>
  <si>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</si>
  <si>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</si>
  <si>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</si>
  <si>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</si>
  <si>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</si>
  <si>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</si>
  <si>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</si>
  <si>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</si>
  <si>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</si>
  <si>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</si>
  <si>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</si>
  <si>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</si>
  <si>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</si>
  <si>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</si>
  <si>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</si>
  <si>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</si>
  <si>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</si>
  <si>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</si>
  <si>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</si>
  <si>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</si>
  <si>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</si>
  <si>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</si>
  <si>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</si>
  <si>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</si>
  <si>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</si>
  <si>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</si>
  <si>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</si>
  <si>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</si>
  <si>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</si>
  <si>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</si>
  <si>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</si>
  <si>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</si>
  <si>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</si>
  <si>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</si>
  <si>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</si>
  <si>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</si>
  <si>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</si>
  <si>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</si>
  <si>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</si>
  <si>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</si>
  <si>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</si>
  <si>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</si>
  <si>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</si>
  <si>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</si>
  <si>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</si>
  <si>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</si>
  <si>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000903</t>
  </si>
  <si>
    <t>For federal reporting use case some codes are required to be reported and others are not.</t>
  </si>
  <si>
    <t>001166</t>
  </si>
  <si>
    <t>001165</t>
  </si>
  <si>
    <t>000902</t>
  </si>
  <si>
    <t>Learning Resource Access API Type</t>
  </si>
  <si>
    <t>Indicates that the learning resource is compatible with the referenced accessibility application programming interface (API).</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</si>
  <si>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</si>
  <si>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</si>
  <si>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</si>
  <si>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</si>
  <si>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</si>
  <si>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</si>
  <si>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</si>
  <si>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</si>
  <si>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</si>
  <si>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</si>
  <si>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</si>
  <si>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</si>
  <si>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A Uniform Resource Locator (URL) that identifies the conditions that govern the user’s ability to access a learning resource.</t>
  </si>
  <si>
    <t>Learning Resources -&gt; Learning Resource</t>
  </si>
  <si>
    <t>001561</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</si>
  <si>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</si>
  <si>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</si>
  <si>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</si>
  <si>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</si>
  <si>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</si>
  <si>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</si>
  <si>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</si>
  <si>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</si>
  <si>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</si>
  <si>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</si>
  <si>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</si>
  <si>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</si>
  <si>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</si>
  <si>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</si>
  <si>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</si>
  <si>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</si>
  <si>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</si>
  <si>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</si>
  <si>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</si>
  <si>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</si>
  <si>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</si>
  <si>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</si>
  <si>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</si>
  <si>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</si>
  <si>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</si>
  <si>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</si>
  <si>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</si>
  <si>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</si>
  <si>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</si>
  <si>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</si>
  <si>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</si>
  <si>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t>001394</t>
  </si>
  <si>
    <t>LearningResourceBookFormatType</t>
  </si>
  <si>
    <t>Learning Resource Competency Alignment Type</t>
  </si>
  <si>
    <t>The alignment relationship between the resource and the competency.</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</si>
  <si>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</si>
  <si>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</si>
  <si>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</si>
  <si>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</si>
  <si>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</si>
  <si>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</si>
  <si>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</si>
  <si>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</si>
  <si>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</si>
  <si>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</si>
  <si>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</si>
  <si>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</si>
  <si>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</si>
  <si>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</si>
  <si>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</si>
  <si>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</si>
  <si>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</si>
  <si>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</si>
  <si>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</si>
  <si>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</si>
  <si>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</si>
  <si>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</si>
  <si>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</si>
  <si>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</si>
  <si>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</si>
  <si>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</si>
  <si>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</si>
  <si>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</si>
  <si>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</si>
  <si>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</si>
  <si>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</si>
  <si>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</si>
  <si>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</si>
  <si>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</si>
  <si>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</si>
  <si>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</si>
  <si>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</si>
  <si>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</si>
  <si>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</si>
  <si>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</si>
  <si>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</si>
  <si>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</si>
  <si>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</si>
  <si>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</si>
  <si>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</si>
  <si>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</si>
  <si>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</si>
  <si>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</si>
  <si>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</si>
  <si>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</si>
  <si>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</si>
  <si>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</si>
  <si>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</si>
  <si>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</si>
  <si>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</si>
  <si>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</si>
  <si>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</si>
  <si>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</si>
  <si>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</si>
  <si>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</si>
  <si>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</si>
  <si>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</si>
  <si>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</si>
  <si>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</si>
  <si>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</si>
  <si>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</si>
  <si>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Note: For accessible resources LRMI uses language codes from the IETF BCP 47 standard which also refers to ISO 639. (Equivalent of the AfA languageOfAdaptation property.)</t>
  </si>
  <si>
    <t>000919</t>
  </si>
  <si>
    <t>LearningResourceLanguage</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</si>
  <si>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</si>
  <si>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</si>
  <si>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</si>
  <si>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</si>
  <si>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</si>
  <si>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</si>
  <si>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</si>
  <si>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</si>
  <si>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</si>
  <si>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</si>
  <si>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</si>
  <si>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</si>
  <si>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</si>
  <si>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</si>
  <si>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</si>
  <si>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</si>
  <si>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</si>
  <si>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</si>
  <si>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</si>
  <si>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</si>
  <si>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</si>
  <si>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</si>
  <si>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</si>
  <si>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</si>
  <si>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</si>
  <si>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</si>
  <si>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</si>
  <si>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</si>
  <si>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</si>
  <si>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</si>
  <si>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</si>
  <si>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</si>
  <si>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</si>
  <si>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</si>
  <si>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</si>
  <si>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</si>
  <si>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</si>
  <si>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</si>
  <si>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</si>
  <si>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</si>
  <si>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</si>
  <si>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</si>
  <si>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</si>
  <si>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</si>
  <si>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</si>
  <si>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</si>
  <si>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</si>
  <si>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</si>
  <si>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</si>
  <si>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</si>
  <si>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</si>
  <si>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</si>
  <si>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</si>
  <si>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</si>
  <si>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</si>
  <si>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</si>
  <si>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</si>
  <si>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</si>
  <si>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</si>
  <si>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</si>
  <si>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</si>
  <si>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</si>
  <si>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</si>
  <si>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</si>
  <si>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</si>
  <si>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</si>
  <si>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</si>
  <si>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</si>
  <si>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</si>
  <si>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</si>
  <si>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</si>
  <si>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</si>
  <si>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</si>
  <si>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</si>
  <si>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</si>
  <si>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</si>
  <si>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</si>
  <si>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</si>
  <si>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</si>
  <si>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</si>
  <si>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</si>
  <si>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</si>
  <si>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</si>
  <si>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</si>
  <si>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</si>
  <si>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</si>
  <si>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</si>
  <si>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</si>
  <si>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</si>
  <si>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Learning Standard Document Creator</t>
  </si>
  <si>
    <t>Implementations may choose to model this element as a repeatable field to support the case of multiple authors. Others may just use a comma delimited string for multiple authors.</t>
  </si>
  <si>
    <t>000696</t>
  </si>
  <si>
    <t>Learning Standard Document Description</t>
  </si>
  <si>
    <t>000697</t>
  </si>
  <si>
    <t>Learning Standard Document Identifier URI</t>
  </si>
  <si>
    <t>000693</t>
  </si>
  <si>
    <t>Learning Standard Document Jurisdiction</t>
  </si>
  <si>
    <t>A legal, quasi-legal, organizational or institutional domain of the entity mandating the use of the statement--e.g., California.</t>
  </si>
  <si>
    <t>000699</t>
  </si>
  <si>
    <t>Learning Standard Document Language</t>
  </si>
  <si>
    <t>000880</t>
  </si>
  <si>
    <t>Learning Standard Document License</t>
  </si>
  <si>
    <t>000882</t>
  </si>
  <si>
    <t>Learning Standard Document Publication Date</t>
  </si>
  <si>
    <t>The date on which this content was first published.</t>
  </si>
  <si>
    <t>This may or may not be different from the Learning Standard Document Valid Start Date.</t>
  </si>
  <si>
    <t>001569</t>
  </si>
  <si>
    <t>Learning Standard Document Publication Status</t>
  </si>
  <si>
    <t>000698</t>
  </si>
  <si>
    <t>Learning Standard Document Publisher</t>
  </si>
  <si>
    <t>000884</t>
  </si>
  <si>
    <t>Learning Standard Document Rights</t>
  </si>
  <si>
    <t>The information about rights held in and over the resource.</t>
  </si>
  <si>
    <t>000885</t>
  </si>
  <si>
    <t>Learning Standard Document Rights Holder</t>
  </si>
  <si>
    <t>000886</t>
  </si>
  <si>
    <t>Learning Standard Document Subject</t>
  </si>
  <si>
    <t>000702</t>
  </si>
  <si>
    <t>Learning Standard Document Title</t>
  </si>
  <si>
    <t>000694</t>
  </si>
  <si>
    <t>Learning Standard Document Valid End Date</t>
  </si>
  <si>
    <t>000701</t>
  </si>
  <si>
    <t>Learning Standard Document Valid Start Date</t>
  </si>
  <si>
    <t>000700</t>
  </si>
  <si>
    <t>Learning Standard Document Version</t>
  </si>
  <si>
    <t>000695</t>
  </si>
  <si>
    <t>Learning Standard Item Association Connection Citation</t>
  </si>
  <si>
    <t>Any citation appropriate to evidence the connection between nodes</t>
  </si>
  <si>
    <t>001402</t>
  </si>
  <si>
    <t>Learning Standard Item Association Destination Node Name</t>
  </si>
  <si>
    <t>001403</t>
  </si>
  <si>
    <t>Learning Standard Item Association Destination Node URI</t>
  </si>
  <si>
    <t>001404</t>
  </si>
  <si>
    <t>Learning Standard Item Association Identifier URI</t>
  </si>
  <si>
    <t>000871</t>
  </si>
  <si>
    <t>Learning Standard Item Association Origin Node Name</t>
  </si>
  <si>
    <t>001405</t>
  </si>
  <si>
    <t>Learning Standard Item Association Origin Node URI</t>
  </si>
  <si>
    <t>001406</t>
  </si>
  <si>
    <t>Learning Standard Item Association Type</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</si>
  <si>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</si>
  <si>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</si>
  <si>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000869</t>
  </si>
  <si>
    <t>Learning Standard Item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</si>
  <si>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</si>
  <si>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</si>
  <si>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</si>
  <si>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</si>
  <si>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Blooms Taxonomy Domain</t>
  </si>
  <si>
    <t>000875</t>
  </si>
  <si>
    <t>Learning Standard Item Code</t>
  </si>
  <si>
    <t>For example: "M.1.N.3" The code is usually not globally unique and usually has embedded meaning such as a number that represents a grade/level and letters that represent content strands.</t>
  </si>
  <si>
    <t>000692</t>
  </si>
  <si>
    <t>Competency Item Code</t>
  </si>
  <si>
    <t>Learning Standard Item Concept Keyword</t>
  </si>
  <si>
    <t>000887</t>
  </si>
  <si>
    <t>Learning Standard Item Concept Term</t>
  </si>
  <si>
    <t>000888</t>
  </si>
  <si>
    <t>Learning Standard Item Current Version Indicator</t>
  </si>
  <si>
    <t>This element supports version histories at the statement level. If corrections have been made to individual items/statements that are not part of a new Learning Standard Document, the elements 'Learning Standard Item Previous Version Identifier' and 'Learning Standard Item Current Version Indicator' provide a reference to historical versions of the current statement. In such uses the 'Learning Standard Item Code' could be the same for multiple versions of a statement and Learning Standard Item URL could resolve to the most current version of the statement.</t>
  </si>
  <si>
    <t>001525</t>
  </si>
  <si>
    <t>Learning Standard Item Education Level</t>
  </si>
  <si>
    <t>More than one Learning Standard Grade Level may be associated with one Learning Standard Item.</t>
  </si>
  <si>
    <t>000725</t>
  </si>
  <si>
    <t>Learning Standard Item Identifier</t>
  </si>
  <si>
    <t>000689</t>
  </si>
  <si>
    <t>Competency Item Identifier</t>
  </si>
  <si>
    <t>Learning Standard Item Language</t>
  </si>
  <si>
    <t>000881</t>
  </si>
  <si>
    <t>Learning Standard Item License</t>
  </si>
  <si>
    <t>000883</t>
  </si>
  <si>
    <t>Learning Standard Item Multiple Intelligence</t>
  </si>
  <si>
    <t>000876</t>
  </si>
  <si>
    <t>Learning Standard Item Node Accessibility Profile</t>
  </si>
  <si>
    <t>001408</t>
  </si>
  <si>
    <t>Learning Standard Item Node Name</t>
  </si>
  <si>
    <t>001409</t>
  </si>
  <si>
    <t>Learning Standard Item Notes</t>
  </si>
  <si>
    <t>001249</t>
  </si>
  <si>
    <t>Learning Standard Item Parent Code</t>
  </si>
  <si>
    <t>000873</t>
  </si>
  <si>
    <t>Learning Standard Item Parent Identifier</t>
  </si>
  <si>
    <t>000872</t>
  </si>
  <si>
    <t>Learning Standard Item Parent URL</t>
  </si>
  <si>
    <t>001094</t>
  </si>
  <si>
    <t>Learning Standard Item Prerequisite Identifier</t>
  </si>
  <si>
    <t>000715</t>
  </si>
  <si>
    <t>Learning Standard Item Previous Version Identifier</t>
  </si>
  <si>
    <t>001524</t>
  </si>
  <si>
    <t>Learning Standard Item Sequence</t>
  </si>
  <si>
    <t>A set of one or more alphanumeric characters and/or symbols denoting the positioning of the statement being described in a sequential listing of statements.</t>
  </si>
  <si>
    <t>Based on ASN's ListID. (add reference URL)</t>
  </si>
  <si>
    <t>001570</t>
  </si>
  <si>
    <t>Learning Standard Item Statement</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</si>
  <si>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</si>
  <si>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</si>
  <si>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Competency Item Statement</t>
  </si>
  <si>
    <t>Learning Standard Item Testability Type</t>
  </si>
  <si>
    <t>001411</t>
  </si>
  <si>
    <t>Learning Standard Item Text Complexity Maximum Value</t>
  </si>
  <si>
    <t>001155</t>
  </si>
  <si>
    <t>Learning Standard Item Text Complexity Minimum Value</t>
  </si>
  <si>
    <t>001154</t>
  </si>
  <si>
    <t>Learning Standard Item Text Complexity System</t>
  </si>
  <si>
    <t>000910</t>
  </si>
  <si>
    <t>Learning Standard Item Type</t>
  </si>
  <si>
    <t>The textual label identifying the class of the statement as designated by the promulgating body—e.g., "Standard," "Benchmark," "Strand," or "Topic." or "Level 1, Level 2,..."</t>
  </si>
  <si>
    <t>000691</t>
  </si>
  <si>
    <t>Competency Item Type</t>
  </si>
  <si>
    <t>Learning Standard Item Typical Age Range</t>
  </si>
  <si>
    <t>The typical range of ages for the content’s intended end user.</t>
  </si>
  <si>
    <t>E.g. "7-9"</t>
  </si>
  <si>
    <t>000870</t>
  </si>
  <si>
    <t>Learning Standard Item URL</t>
  </si>
  <si>
    <t>000874</t>
  </si>
  <si>
    <t>Learning Standard Item Valid End Date</t>
  </si>
  <si>
    <t>001511</t>
  </si>
  <si>
    <t>Learning Standard Item Valid Start Date</t>
  </si>
  <si>
    <t>001512</t>
  </si>
  <si>
    <t>Learning Standard Item Version</t>
  </si>
  <si>
    <t>001250</t>
  </si>
  <si>
    <t>Leave Event Type</t>
  </si>
  <si>
    <t>The type of the leave event.</t>
  </si>
  <si>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</si>
  <si>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</si>
  <si>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</si>
  <si>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</si>
  <si>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</si>
  <si>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</si>
  <si>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</si>
  <si>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</si>
  <si>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</si>
  <si>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</si>
  <si>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</si>
  <si>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</si>
  <si>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</si>
  <si>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</si>
  <si>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</si>
  <si>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</si>
  <si>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</si>
  <si>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t>000179</t>
  </si>
  <si>
    <t>LEP - Postsecondary</t>
  </si>
  <si>
    <t>LEPPostsecondary</t>
  </si>
  <si>
    <t>001247</t>
  </si>
  <si>
    <t>LEP Entry Date</t>
  </si>
  <si>
    <t>000570</t>
  </si>
  <si>
    <t>LEP Exit Date</t>
  </si>
  <si>
    <t>000180</t>
  </si>
  <si>
    <t>LEP Status</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</si>
  <si>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</si>
  <si>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</si>
  <si>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</si>
  <si>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</si>
  <si>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</si>
  <si>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</si>
  <si>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</si>
  <si>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</si>
  <si>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</si>
  <si>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</si>
  <si>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</si>
  <si>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</si>
  <si>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</si>
  <si>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</si>
  <si>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</si>
  <si>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</si>
  <si>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</si>
  <si>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</si>
  <si>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</si>
  <si>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</si>
  <si>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</si>
  <si>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</si>
  <si>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</si>
  <si>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</si>
  <si>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</si>
  <si>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</si>
  <si>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</si>
  <si>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</si>
  <si>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</si>
  <si>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</si>
  <si>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</si>
  <si>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</si>
  <si>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</si>
  <si>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</si>
  <si>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</si>
  <si>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</si>
  <si>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</si>
  <si>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</si>
  <si>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</si>
  <si>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</si>
  <si>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</si>
  <si>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</si>
  <si>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</si>
  <si>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</si>
  <si>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</si>
  <si>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</si>
  <si>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</si>
  <si>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</si>
  <si>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</si>
  <si>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</si>
  <si>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</si>
  <si>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</si>
  <si>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</si>
  <si>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</si>
  <si>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</si>
  <si>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</si>
  <si>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t>Option definitions from EDFacts documents</t>
  </si>
  <si>
    <t>EDFacts Data Set for School Years 2016-17, 2017-18, and 2018-19 -- Attachment B-2 (February 2016).</t>
  </si>
  <si>
    <t>000537</t>
  </si>
  <si>
    <t>LocalEducationAgencyType</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</si>
  <si>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</si>
  <si>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</si>
  <si>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</si>
  <si>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</si>
  <si>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</si>
  <si>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</si>
  <si>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</si>
  <si>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</si>
  <si>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</si>
  <si>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</si>
  <si>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</si>
  <si>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</si>
  <si>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</si>
  <si>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000182</t>
  </si>
  <si>
    <t>MarkingPeriodName</t>
  </si>
  <si>
    <t>Maternal Guardian Education</t>
  </si>
  <si>
    <t>The highest level of education attained by a person's mother or maternal guardian</t>
  </si>
  <si>
    <t>001229</t>
  </si>
  <si>
    <t>MaternalGuardianEducation</t>
  </si>
  <si>
    <t>Medical Alert Indicator</t>
  </si>
  <si>
    <t>Alert indicator for a medical/health condition.</t>
  </si>
  <si>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</si>
  <si>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</si>
  <si>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</si>
  <si>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</si>
  <si>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</si>
  <si>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</si>
  <si>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</si>
  <si>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</si>
  <si>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</si>
  <si>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</si>
  <si>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</si>
  <si>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</si>
  <si>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</si>
  <si>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</si>
  <si>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</si>
  <si>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</si>
  <si>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</si>
  <si>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</si>
  <si>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</si>
  <si>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</si>
  <si>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</si>
  <si>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</si>
  <si>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</si>
  <si>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</si>
  <si>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</si>
  <si>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</si>
  <si>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</si>
  <si>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</si>
  <si>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</si>
  <si>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</si>
  <si>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</si>
  <si>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</si>
  <si>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</si>
  <si>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</si>
  <si>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</si>
  <si>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</si>
  <si>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</si>
  <si>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</si>
  <si>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</si>
  <si>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</si>
  <si>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</si>
  <si>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</si>
  <si>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</si>
  <si>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</si>
  <si>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</si>
  <si>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</si>
  <si>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</si>
  <si>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</si>
  <si>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</si>
  <si>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</si>
  <si>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</si>
  <si>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</si>
  <si>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</si>
  <si>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</si>
  <si>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</si>
  <si>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</si>
  <si>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</si>
  <si>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</si>
  <si>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</si>
  <si>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</si>
  <si>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</si>
  <si>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</si>
  <si>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</si>
  <si>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</si>
  <si>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</si>
  <si>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</si>
  <si>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</si>
  <si>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</si>
  <si>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</si>
  <si>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</si>
  <si>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</si>
  <si>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</si>
  <si>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</si>
  <si>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</si>
  <si>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</si>
  <si>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</si>
  <si>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</si>
  <si>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</si>
  <si>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</si>
  <si>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</si>
  <si>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</si>
  <si>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</si>
  <si>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</si>
  <si>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</si>
  <si>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</si>
  <si>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</si>
  <si>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</si>
  <si>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</si>
  <si>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</si>
  <si>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</si>
  <si>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</si>
  <si>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</si>
  <si>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t>001577</t>
  </si>
  <si>
    <t>MilitaryActiveStudentIndicator</t>
  </si>
  <si>
    <t>Military Branch</t>
  </si>
  <si>
    <t>A branch of the U.S. Military applicable for specifying more details when using Military Connected Student Indicator, Military Active Student Indicator, Military Veteran Student Indicator, and Military Enlistment After Exit elements.</t>
  </si>
  <si>
    <t>001640</t>
  </si>
  <si>
    <t>MilitaryBranch</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</si>
  <si>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</si>
  <si>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</si>
  <si>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</si>
  <si>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</si>
  <si>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</si>
  <si>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</si>
  <si>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</si>
  <si>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</si>
  <si>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</si>
  <si>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</si>
  <si>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</si>
  <si>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</si>
  <si>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</si>
  <si>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</si>
  <si>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</si>
  <si>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</si>
  <si>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</si>
  <si>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</si>
  <si>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</si>
  <si>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</si>
  <si>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</si>
  <si>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</si>
  <si>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</si>
  <si>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</si>
  <si>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</si>
  <si>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</si>
  <si>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</si>
  <si>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</si>
  <si>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</si>
  <si>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</si>
  <si>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</si>
  <si>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</si>
  <si>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</si>
  <si>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</si>
  <si>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</si>
  <si>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</si>
  <si>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</si>
  <si>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</si>
  <si>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</si>
  <si>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</si>
  <si>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</si>
  <si>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</si>
  <si>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</si>
  <si>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</si>
  <si>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</si>
  <si>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</si>
  <si>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</si>
  <si>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</si>
  <si>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</si>
  <si>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</si>
  <si>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</si>
  <si>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</si>
  <si>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</si>
  <si>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</si>
  <si>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</si>
  <si>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</si>
  <si>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Native Hawaiian or Other Pacific Islander</t>
  </si>
  <si>
    <t>A person having origins in any of the original peoples of Hawaii, Guam, Samoa, or other Pacific Islands.</t>
  </si>
  <si>
    <t>000192</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</si>
  <si>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</si>
  <si>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</si>
  <si>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</si>
  <si>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</si>
  <si>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</si>
  <si>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</si>
  <si>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</si>
  <si>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</si>
  <si>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</si>
  <si>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 and "Neglected or Delinquent Academic Outcome Indicator" are different, although similarly worded.</t>
  </si>
  <si>
    <t>EDFacts guidance: The Neglected or Delinquent Academic Achievement indicator should only be used for Subpart 1; the Neglected or Delinquent Academic Outcome Indicator Academic Outcome Indicator should be used for subpart 2.</t>
  </si>
  <si>
    <t>000635</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</si>
  <si>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</si>
  <si>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</si>
  <si>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</si>
  <si>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</si>
  <si>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</si>
  <si>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</si>
  <si>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</si>
  <si>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</si>
  <si>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</si>
  <si>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</si>
  <si>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</si>
  <si>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</si>
  <si>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</si>
  <si>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</si>
  <si>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</si>
  <si>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</si>
  <si>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</si>
  <si>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</si>
  <si>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</si>
  <si>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</si>
  <si>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</si>
  <si>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</si>
  <si>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</si>
  <si>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</si>
  <si>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</si>
  <si>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</si>
  <si>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</si>
  <si>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</si>
  <si>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</si>
  <si>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</si>
  <si>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</si>
  <si>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</si>
  <si>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</si>
  <si>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</si>
  <si>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</si>
  <si>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</si>
  <si>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</si>
  <si>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</si>
  <si>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</si>
  <si>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</si>
  <si>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</si>
  <si>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</si>
  <si>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</si>
  <si>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</si>
  <si>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</si>
  <si>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</si>
  <si>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</si>
  <si>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</si>
  <si>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</si>
  <si>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</si>
  <si>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</si>
  <si>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</si>
  <si>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</si>
  <si>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</si>
  <si>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</si>
  <si>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</si>
  <si>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</si>
  <si>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</si>
  <si>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</si>
  <si>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</si>
  <si>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</si>
  <si>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</si>
  <si>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</si>
  <si>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</si>
  <si>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</si>
  <si>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Early Learning Program Monitoring Visits</t>
  </si>
  <si>
    <t>Total number of monitoring visits the program received in the past year.</t>
  </si>
  <si>
    <t>000839</t>
  </si>
  <si>
    <t>NumberOfEarlyLearningProgramMonitoringVisits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</si>
  <si>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</si>
  <si>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</si>
  <si>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</si>
  <si>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</si>
  <si>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</si>
  <si>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</si>
  <si>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</si>
  <si>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</si>
  <si>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</si>
  <si>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</si>
  <si>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</si>
  <si>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</si>
  <si>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</si>
  <si>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</si>
  <si>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</si>
  <si>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</si>
  <si>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</si>
  <si>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</si>
  <si>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</si>
  <si>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</si>
  <si>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</si>
  <si>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</si>
  <si>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</si>
  <si>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</si>
  <si>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</si>
  <si>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</si>
  <si>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</si>
  <si>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</si>
  <si>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</si>
  <si>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</si>
  <si>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</si>
  <si>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</si>
  <si>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</si>
  <si>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</si>
  <si>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</si>
  <si>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</si>
  <si>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</si>
  <si>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</si>
  <si>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</si>
  <si>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</si>
  <si>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</si>
  <si>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</si>
  <si>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</si>
  <si>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</si>
  <si>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</si>
  <si>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</si>
  <si>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</si>
  <si>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</si>
  <si>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</si>
  <si>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</si>
  <si>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</si>
  <si>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</si>
  <si>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</si>
  <si>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</si>
  <si>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</si>
  <si>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</si>
  <si>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</si>
  <si>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</si>
  <si>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</si>
  <si>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</si>
  <si>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</si>
  <si>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</si>
  <si>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</si>
  <si>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</si>
  <si>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</si>
  <si>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</si>
  <si>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</si>
  <si>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</si>
  <si>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</si>
  <si>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</si>
  <si>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</si>
  <si>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</si>
  <si>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</si>
  <si>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</si>
  <si>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</si>
  <si>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</si>
  <si>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</si>
  <si>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</si>
  <si>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</si>
  <si>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</si>
  <si>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</si>
  <si>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</si>
  <si>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</si>
  <si>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</si>
  <si>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</si>
  <si>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</si>
  <si>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</si>
  <si>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</si>
  <si>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</si>
  <si>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</si>
  <si>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</si>
  <si>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</si>
  <si>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</si>
  <si>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</si>
  <si>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</si>
  <si>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</si>
  <si>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</si>
  <si>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</si>
  <si>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</si>
  <si>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</si>
  <si>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</si>
  <si>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</si>
  <si>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</si>
  <si>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</si>
  <si>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</si>
  <si>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</si>
  <si>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</si>
  <si>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</si>
  <si>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</si>
  <si>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</si>
  <si>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</si>
  <si>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</si>
  <si>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</si>
  <si>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</si>
  <si>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</si>
  <si>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</si>
  <si>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</si>
  <si>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</si>
  <si>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</si>
  <si>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</si>
  <si>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</si>
  <si>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</si>
  <si>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</si>
  <si>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</si>
  <si>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</si>
  <si>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</si>
  <si>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</si>
  <si>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</si>
  <si>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</si>
  <si>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</si>
  <si>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</si>
  <si>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</si>
  <si>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</si>
  <si>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</si>
  <si>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</si>
  <si>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</si>
  <si>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</si>
  <si>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</si>
  <si>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</si>
  <si>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</si>
  <si>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</si>
  <si>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</si>
  <si>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</si>
  <si>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</si>
  <si>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</si>
  <si>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</si>
  <si>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</si>
  <si>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</si>
  <si>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</si>
  <si>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</si>
  <si>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</si>
  <si>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</si>
  <si>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The maximum value allowed by the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</si>
  <si>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</si>
  <si>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</si>
  <si>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</si>
  <si>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</si>
  <si>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</si>
  <si>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</si>
  <si>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</si>
  <si>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</si>
  <si>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</si>
  <si>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</si>
  <si>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</si>
  <si>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</si>
  <si>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</si>
  <si>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</si>
  <si>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</si>
  <si>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</si>
  <si>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</si>
  <si>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</si>
  <si>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</si>
  <si>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</si>
  <si>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</si>
  <si>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</si>
  <si>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</si>
  <si>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</si>
  <si>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</si>
  <si>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</si>
  <si>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</si>
  <si>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</si>
  <si>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</si>
  <si>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</si>
  <si>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</si>
  <si>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</si>
  <si>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</si>
  <si>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</si>
  <si>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</si>
  <si>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</si>
  <si>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</si>
  <si>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</si>
  <si>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</si>
  <si>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</si>
  <si>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</si>
  <si>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</si>
  <si>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</si>
  <si>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</si>
  <si>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</si>
  <si>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</si>
  <si>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</si>
  <si>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</si>
  <si>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Indicates whether or not the learner lives with the related person.</t>
  </si>
  <si>
    <t>001425</t>
  </si>
  <si>
    <t>PersonRelationshipToLearnerLivesWithIndicator</t>
  </si>
  <si>
    <t>Person Relationship to Learner Type</t>
  </si>
  <si>
    <t>The nature of the person's relationship to a learner. The learner may be an Early Learning Child, K12 Student, Postsecondary Student, or an adult learner in a workforce education program.</t>
  </si>
  <si>
    <t>000425</t>
  </si>
  <si>
    <t>PersonRelationshipToLearnerType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</si>
  <si>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</si>
  <si>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</si>
  <si>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</si>
  <si>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</si>
  <si>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</si>
  <si>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</si>
  <si>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</si>
  <si>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</si>
  <si>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</si>
  <si>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Personnel Policy Type</t>
  </si>
  <si>
    <t>Policies related to personnel in the organization.</t>
  </si>
  <si>
    <t>000842</t>
  </si>
  <si>
    <t>PersonnelPolicyType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</si>
  <si>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</si>
  <si>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</si>
  <si>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</si>
  <si>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</si>
  <si>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</si>
  <si>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</si>
  <si>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</si>
  <si>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</si>
  <si>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</si>
  <si>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</si>
  <si>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</si>
  <si>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</si>
  <si>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</si>
  <si>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</si>
  <si>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</si>
  <si>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</si>
  <si>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</si>
  <si>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</si>
  <si>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</si>
  <si>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Either use option 02 or one of the options, 04 or 05, for less than full-time but at least half-time.</t>
  </si>
  <si>
    <t>000096</t>
  </si>
  <si>
    <t>PostsecondaryEnrollmentStatus</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</si>
  <si>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</si>
  <si>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</si>
  <si>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</si>
  <si>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</si>
  <si>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</si>
  <si>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</si>
  <si>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</si>
  <si>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</si>
  <si>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</si>
  <si>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</si>
  <si>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</si>
  <si>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</si>
  <si>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t>001617</t>
  </si>
  <si>
    <t>PostsecondaryExitOrWithdrawalType</t>
  </si>
  <si>
    <t>Postsecondary Program Level</t>
  </si>
  <si>
    <t>The level describing the concentration of study for a postsecondary program.</t>
  </si>
  <si>
    <t>001616</t>
  </si>
  <si>
    <t>PostsecondaryProgram Level</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</si>
  <si>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</si>
  <si>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</si>
  <si>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</si>
  <si>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</si>
  <si>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</si>
  <si>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</si>
  <si>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</si>
  <si>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</si>
  <si>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</si>
  <si>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</si>
  <si>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</si>
  <si>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</si>
  <si>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</si>
  <si>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</si>
  <si>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</si>
  <si>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</si>
  <si>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</si>
  <si>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</si>
  <si>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</si>
  <si>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</si>
  <si>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</si>
  <si>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</si>
  <si>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</si>
  <si>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</si>
  <si>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</si>
  <si>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</si>
  <si>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</si>
  <si>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The ages of children not served under IDEA to whom the LEA's pre-kindergarten services are available.</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</si>
  <si>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</si>
  <si>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</si>
  <si>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</si>
  <si>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</si>
  <si>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</si>
  <si>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</si>
  <si>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</si>
  <si>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</si>
  <si>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</si>
  <si>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</si>
  <si>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</si>
  <si>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An indication of whether the assignment is this the staff member's primary assignment.</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</si>
  <si>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</si>
  <si>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</si>
  <si>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</si>
  <si>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</si>
  <si>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</si>
  <si>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</si>
  <si>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</si>
  <si>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</si>
  <si>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000218</t>
  </si>
  <si>
    <t>PrimaryDisabilityType</t>
  </si>
  <si>
    <t>Primary Telephone Number Indicator</t>
  </si>
  <si>
    <t>An indication that the telephone number should be used as the principal number for a person or organization.</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</si>
  <si>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</si>
  <si>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</si>
  <si>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</si>
  <si>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</si>
  <si>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</si>
  <si>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</si>
  <si>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</si>
  <si>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</si>
  <si>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</si>
  <si>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</si>
  <si>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</si>
  <si>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</si>
  <si>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</si>
  <si>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</si>
  <si>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</si>
  <si>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</si>
  <si>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001432</t>
  </si>
  <si>
    <t>ProfessionalDevelopmentActivityApprovalCode</t>
  </si>
  <si>
    <t>Professional Development Activity Approved Purpose</t>
  </si>
  <si>
    <t>The purposes for which an activity is approved.</t>
  </si>
  <si>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</si>
  <si>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</si>
  <si>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</si>
  <si>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</si>
  <si>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</si>
  <si>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</si>
  <si>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</si>
  <si>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</si>
  <si>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</si>
  <si>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</si>
  <si>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</si>
  <si>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</si>
  <si>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</si>
  <si>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</si>
  <si>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</si>
  <si>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</si>
  <si>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</si>
  <si>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</si>
  <si>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</si>
  <si>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</si>
  <si>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</si>
  <si>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</si>
  <si>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</si>
  <si>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</si>
  <si>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</si>
  <si>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</si>
  <si>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</si>
  <si>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</si>
  <si>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</si>
  <si>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</si>
  <si>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</si>
  <si>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</si>
  <si>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</si>
  <si>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</si>
  <si>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</si>
  <si>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</si>
  <si>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</si>
  <si>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</si>
  <si>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</si>
  <si>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</si>
  <si>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</si>
  <si>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</si>
  <si>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</si>
  <si>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</si>
  <si>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</si>
  <si>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Early Learning -&gt; EL Staff -&gt; Professional Development Activity</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</si>
  <si>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</si>
  <si>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</si>
  <si>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</si>
  <si>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</si>
  <si>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</si>
  <si>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</si>
  <si>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</si>
  <si>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</si>
  <si>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</si>
  <si>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</si>
  <si>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</si>
  <si>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</si>
  <si>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</si>
  <si>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</si>
  <si>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</si>
  <si>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</si>
  <si>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</si>
  <si>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</si>
  <si>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</si>
  <si>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</si>
  <si>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</si>
  <si>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</si>
  <si>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</si>
  <si>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</si>
  <si>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</si>
  <si>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</si>
  <si>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</si>
  <si>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</si>
  <si>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</si>
  <si>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</si>
  <si>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</si>
  <si>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</si>
  <si>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</si>
  <si>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</si>
  <si>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</si>
  <si>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</si>
  <si>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</si>
  <si>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</si>
  <si>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</si>
  <si>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</si>
  <si>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</si>
  <si>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</si>
  <si>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</si>
  <si>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</si>
  <si>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</si>
  <si>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</si>
  <si>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</si>
  <si>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</si>
  <si>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</si>
  <si>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</si>
  <si>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</si>
  <si>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</si>
  <si>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</si>
  <si>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</si>
  <si>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</si>
  <si>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</si>
  <si>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</si>
  <si>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</si>
  <si>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</si>
  <si>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</si>
  <si>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</si>
  <si>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</si>
  <si>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</si>
  <si>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</si>
  <si>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HH:MM</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</si>
  <si>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</si>
  <si>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</si>
  <si>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</si>
  <si>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</si>
  <si>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</si>
  <si>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</si>
  <si>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</si>
  <si>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</si>
  <si>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</si>
  <si>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</si>
  <si>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</si>
  <si>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</si>
  <si>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</si>
  <si>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</si>
  <si>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</si>
  <si>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</si>
  <si>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</si>
  <si>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</si>
  <si>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</si>
  <si>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</si>
  <si>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</si>
  <si>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</si>
  <si>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</si>
  <si>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</si>
  <si>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</si>
  <si>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</si>
  <si>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</si>
  <si>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</si>
  <si>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</si>
  <si>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</si>
  <si>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</si>
  <si>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</si>
  <si>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</si>
  <si>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</si>
  <si>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</si>
  <si>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</si>
  <si>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</si>
  <si>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</si>
  <si>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</si>
  <si>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</si>
  <si>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000783</t>
  </si>
  <si>
    <t>ProfessionalOrTechnicalCredentialConferred</t>
  </si>
  <si>
    <t>Proficiency Status</t>
  </si>
  <si>
    <t>An indication of whether a student's scores were proficient.</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</si>
  <si>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</si>
  <si>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</si>
  <si>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</si>
  <si>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</si>
  <si>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</si>
  <si>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</si>
  <si>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</si>
  <si>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</si>
  <si>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</si>
  <si>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</si>
  <si>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</si>
  <si>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</si>
  <si>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</si>
  <si>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</si>
  <si>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</si>
  <si>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</si>
  <si>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</si>
  <si>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</si>
  <si>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</si>
  <si>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</si>
  <si>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</si>
  <si>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t>001244</t>
  </si>
  <si>
    <t>ProgramGiftedEligibilityCriteria</t>
  </si>
  <si>
    <t>An indication of whether a program uses a health or safety checklist or documentation.</t>
  </si>
  <si>
    <t>K12 -&gt; K12 Student -&gt; CTE</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</si>
  <si>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</si>
  <si>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</si>
  <si>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</si>
  <si>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</si>
  <si>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</si>
  <si>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</si>
  <si>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</si>
  <si>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</si>
  <si>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</si>
  <si>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</si>
  <si>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</si>
  <si>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</si>
  <si>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</si>
  <si>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</si>
  <si>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</si>
  <si>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</si>
  <si>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</si>
  <si>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</si>
  <si>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</si>
  <si>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</si>
  <si>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</si>
  <si>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</si>
  <si>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</si>
  <si>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000591</t>
  </si>
  <si>
    <t>ProgramParticipationExitDate</t>
  </si>
  <si>
    <t>Program Participation Start Date</t>
  </si>
  <si>
    <t>The year, month and day on which the person began to participate in a program.</t>
  </si>
  <si>
    <t>000590</t>
  </si>
  <si>
    <t>ProgramParticipationStartDate</t>
  </si>
  <si>
    <t>Program Participation Status</t>
  </si>
  <si>
    <t>The current status of the student's program participation.</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</si>
  <si>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</si>
  <si>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</si>
  <si>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</si>
  <si>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</si>
  <si>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</si>
  <si>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</si>
  <si>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</si>
  <si>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</si>
  <si>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</si>
  <si>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</si>
  <si>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</si>
  <si>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</si>
  <si>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</si>
  <si>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</si>
  <si>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</si>
  <si>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</si>
  <si>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</si>
  <si>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</si>
  <si>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</si>
  <si>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</si>
  <si>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</si>
  <si>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</si>
  <si>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</si>
  <si>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</si>
  <si>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</si>
  <si>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</si>
  <si>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</si>
  <si>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</si>
  <si>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</si>
  <si>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000225</t>
  </si>
  <si>
    <t>ProgramType</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</si>
  <si>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</si>
  <si>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</si>
  <si>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</si>
  <si>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</si>
  <si>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</si>
  <si>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</si>
  <si>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</si>
  <si>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</si>
  <si>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</si>
  <si>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</si>
  <si>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</si>
  <si>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</si>
  <si>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</si>
  <si>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</si>
  <si>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</si>
  <si>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</si>
  <si>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</si>
  <si>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</si>
  <si>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Numeric - up to 1 digit after decimal place</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</si>
  <si>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</si>
  <si>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</si>
  <si>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</si>
  <si>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</si>
  <si>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</si>
  <si>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</si>
  <si>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</si>
  <si>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</si>
  <si>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</si>
  <si>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</si>
  <si>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</si>
  <si>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</si>
  <si>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</si>
  <si>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</si>
  <si>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</si>
  <si>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</si>
  <si>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</si>
  <si>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</si>
  <si>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</si>
  <si>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</si>
  <si>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</si>
  <si>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</si>
  <si>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</si>
  <si>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</si>
  <si>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</si>
  <si>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</si>
  <si>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</si>
  <si>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</si>
  <si>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</si>
  <si>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</si>
  <si>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</si>
  <si>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</si>
  <si>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</si>
  <si>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</si>
  <si>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</si>
  <si>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</si>
  <si>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Early Learning -&gt; EL Organization -&gt; Quality</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</si>
  <si>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</si>
  <si>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</si>
  <si>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</si>
  <si>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</si>
  <si>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</si>
  <si>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</si>
  <si>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</si>
  <si>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</si>
  <si>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</si>
  <si>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</si>
  <si>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</si>
  <si>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</si>
  <si>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</si>
  <si>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</si>
  <si>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</si>
  <si>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</si>
  <si>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</si>
  <si>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</si>
  <si>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</si>
  <si>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</si>
  <si>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</si>
  <si>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</si>
  <si>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</si>
  <si>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</si>
  <si>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</si>
  <si>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</si>
  <si>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</si>
  <si>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</si>
  <si>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</si>
  <si>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</si>
  <si>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</si>
  <si>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</si>
  <si>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</si>
  <si>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</si>
  <si>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</si>
  <si>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</si>
  <si>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</si>
  <si>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</si>
  <si>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</si>
  <si>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</si>
  <si>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</si>
  <si>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</si>
  <si>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</si>
  <si>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</si>
  <si>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</si>
  <si>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</si>
  <si>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</si>
  <si>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</si>
  <si>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</si>
  <si>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</si>
  <si>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</si>
  <si>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</si>
  <si>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</si>
  <si>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</si>
  <si>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</si>
  <si>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</si>
  <si>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</si>
  <si>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</si>
  <si>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</si>
  <si>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</si>
  <si>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</si>
  <si>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</si>
  <si>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</si>
  <si>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</si>
  <si>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</si>
  <si>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</si>
  <si>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</si>
  <si>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</si>
  <si>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</si>
  <si>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</si>
  <si>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</si>
  <si>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</si>
  <si>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Referral Date</t>
  </si>
  <si>
    <t>The date of referral.</t>
  </si>
  <si>
    <t>Early Learning -&gt; EL Child -&gt;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</si>
  <si>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</si>
  <si>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</si>
  <si>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</si>
  <si>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</si>
  <si>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</si>
  <si>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</si>
  <si>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</si>
  <si>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</si>
  <si>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</si>
  <si>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</si>
  <si>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</si>
  <si>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</si>
  <si>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</si>
  <si>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</si>
  <si>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</si>
  <si>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</si>
  <si>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</si>
  <si>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</si>
  <si>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</si>
  <si>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</si>
  <si>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</si>
  <si>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</si>
  <si>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</si>
  <si>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</si>
  <si>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</si>
  <si>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</si>
  <si>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</si>
  <si>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</si>
  <si>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</si>
  <si>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000231</t>
  </si>
  <si>
    <t>Related to Zero Tolerance Policy</t>
  </si>
  <si>
    <t>An indication of whether or not any of the disciplinary actions taken against a student were imposed as a consequence of state or local zero tolerance policies.</t>
  </si>
  <si>
    <t>000512</t>
  </si>
  <si>
    <t>RelatedToZeroTolerancePolicy</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</si>
  <si>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</si>
  <si>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</si>
  <si>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</si>
  <si>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</si>
  <si>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</si>
  <si>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</si>
  <si>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</si>
  <si>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</si>
  <si>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</si>
  <si>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</si>
  <si>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</si>
  <si>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</si>
  <si>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</si>
  <si>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</si>
  <si>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</si>
  <si>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</si>
  <si>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</si>
  <si>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</si>
  <si>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</si>
  <si>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</si>
  <si>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</si>
  <si>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</si>
  <si>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</si>
  <si>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</si>
  <si>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</si>
  <si>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Identifies an organization responsible for specific educational services and/or instruction based on a type of responsibility specified in the Responsible Organization Type.</t>
  </si>
  <si>
    <t>This may be used to specify responsibility when the organization is not a school (Responsible School) or school district (Responsible District).</t>
  </si>
  <si>
    <t>001466</t>
  </si>
  <si>
    <t>ResponsibleOrganizationIdentifier</t>
  </si>
  <si>
    <t>Removed</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</si>
  <si>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</si>
  <si>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</si>
  <si>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</si>
  <si>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</si>
  <si>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</si>
  <si>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</si>
  <si>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</si>
  <si>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</si>
  <si>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</si>
  <si>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</si>
  <si>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</si>
  <si>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</si>
  <si>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</si>
  <si>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</si>
  <si>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</si>
  <si>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</si>
  <si>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</si>
  <si>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</si>
  <si>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</si>
  <si>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</si>
  <si>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</si>
  <si>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</si>
  <si>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</si>
  <si>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</si>
  <si>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</si>
  <si>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</si>
  <si>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</si>
  <si>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</si>
  <si>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</si>
  <si>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</si>
  <si>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</si>
  <si>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</si>
  <si>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</si>
  <si>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</si>
  <si>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</si>
  <si>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</si>
  <si>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</si>
  <si>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</si>
  <si>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</si>
  <si>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</si>
  <si>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</si>
  <si>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</si>
  <si>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</si>
  <si>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</si>
  <si>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</si>
  <si>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</si>
  <si>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</si>
  <si>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</si>
  <si>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</si>
  <si>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</si>
  <si>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</si>
  <si>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</si>
  <si>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</si>
  <si>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</si>
  <si>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</si>
  <si>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</si>
  <si>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</si>
  <si>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</si>
  <si>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</si>
  <si>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</si>
  <si>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</si>
  <si>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</si>
  <si>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</si>
  <si>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</si>
  <si>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</si>
  <si>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</si>
  <si>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</si>
  <si>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</si>
  <si>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</si>
  <si>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</si>
  <si>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</si>
  <si>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</si>
  <si>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</si>
  <si>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</si>
  <si>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</si>
  <si>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</si>
  <si>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</si>
  <si>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</si>
  <si>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</si>
  <si>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</si>
  <si>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</si>
  <si>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</si>
  <si>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</si>
  <si>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</si>
  <si>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</si>
  <si>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</si>
  <si>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</si>
  <si>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</si>
  <si>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</si>
  <si>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</si>
  <si>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</si>
  <si>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</si>
  <si>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</si>
  <si>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</si>
  <si>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</si>
  <si>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</si>
  <si>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</si>
  <si>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</si>
  <si>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</si>
  <si>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</si>
  <si>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</si>
  <si>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</si>
  <si>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</si>
  <si>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</si>
  <si>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</si>
  <si>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</si>
  <si>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</si>
  <si>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</si>
  <si>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</si>
  <si>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</si>
  <si>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</si>
  <si>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</si>
  <si>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</si>
  <si>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</si>
  <si>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</si>
  <si>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</si>
  <si>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</si>
  <si>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</si>
  <si>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</si>
  <si>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</si>
  <si>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</si>
  <si>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</si>
  <si>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</si>
  <si>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Early Learning -&gt; EL Child -&gt; Health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</si>
  <si>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</si>
  <si>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</si>
  <si>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</si>
  <si>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</si>
  <si>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</si>
  <si>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</si>
  <si>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</si>
  <si>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</si>
  <si>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</si>
  <si>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</si>
  <si>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</si>
  <si>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</si>
  <si>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</si>
  <si>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</si>
  <si>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</si>
  <si>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</si>
  <si>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</si>
  <si>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</si>
  <si>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See http://www.nces.ed.gov/programs/handbook/elementinfo.asp?elementid=14106.</t>
  </si>
  <si>
    <t>001517</t>
  </si>
  <si>
    <t>SCED Course Code</t>
  </si>
  <si>
    <t>SCEDCourseCode</t>
  </si>
  <si>
    <t>School Courses for the Exchange of Data Course Level</t>
  </si>
  <si>
    <t>The course's level of rigor.</t>
  </si>
  <si>
    <t>001516</t>
  </si>
  <si>
    <t>SCED Course Level</t>
  </si>
  <si>
    <t>SCEDCourseLevel</t>
  </si>
  <si>
    <t>School Courses for the Exchange of Data Course Subject Area</t>
  </si>
  <si>
    <t>The intended major subject area of the education course.</t>
  </si>
  <si>
    <t>This is a compilation of Secondary Course Subject Area and Prior to Secondary Course Subject Area. This version merges SCED and pSCED.</t>
  </si>
  <si>
    <t>001518</t>
  </si>
  <si>
    <t>SCED Course Subject Area</t>
  </si>
  <si>
    <t>SCEDCourseSubjectArea</t>
  </si>
  <si>
    <t>School Courses for the Exchange of Data Grade Span</t>
  </si>
  <si>
    <t>The grade span for which the course is appropriate.</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</si>
  <si>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</si>
  <si>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</si>
  <si>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</si>
  <si>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</si>
  <si>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</si>
  <si>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</si>
  <si>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</si>
  <si>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</si>
  <si>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</si>
  <si>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</si>
  <si>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Identification System</t>
  </si>
  <si>
    <t>001073</t>
  </si>
  <si>
    <t>SchoolIdentificationSystem</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</si>
  <si>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</si>
  <si>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</si>
  <si>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</si>
  <si>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</si>
  <si>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</si>
  <si>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</si>
  <si>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</si>
  <si>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</si>
  <si>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</si>
  <si>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</si>
  <si>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</si>
  <si>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</si>
  <si>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</si>
  <si>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</si>
  <si>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</si>
  <si>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</si>
  <si>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</si>
  <si>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</si>
  <si>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</si>
  <si>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</si>
  <si>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</si>
  <si>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</si>
  <si>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</si>
  <si>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</si>
  <si>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</si>
  <si>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</si>
  <si>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</si>
  <si>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</si>
  <si>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</si>
  <si>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</si>
  <si>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</si>
  <si>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</si>
  <si>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</si>
  <si>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</si>
  <si>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</si>
  <si>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</si>
  <si>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The type of education institution as classified by its primary focus.</t>
  </si>
  <si>
    <t>000242</t>
  </si>
  <si>
    <t>SchoolType</t>
  </si>
  <si>
    <t>School Year</t>
  </si>
  <si>
    <t>The year for a reported school session.</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</si>
  <si>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</si>
  <si>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</si>
  <si>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</si>
  <si>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</si>
  <si>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</si>
  <si>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</si>
  <si>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</si>
  <si>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</si>
  <si>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</si>
  <si>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</si>
  <si>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</si>
  <si>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</si>
  <si>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</si>
  <si>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</si>
  <si>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</si>
  <si>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</si>
  <si>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</si>
  <si>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</si>
  <si>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</si>
  <si>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</si>
  <si>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</si>
  <si>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</si>
  <si>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</si>
  <si>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</si>
  <si>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</si>
  <si>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</si>
  <si>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</si>
  <si>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</si>
  <si>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</si>
  <si>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</si>
  <si>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</si>
  <si>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</si>
  <si>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</si>
  <si>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</si>
  <si>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</si>
  <si>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</si>
  <si>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</si>
  <si>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</si>
  <si>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</si>
  <si>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</si>
  <si>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</si>
  <si>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</si>
  <si>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</si>
  <si>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Session Attendance Term Indicator</t>
  </si>
  <si>
    <t>Indicates that the session is an attendance term.</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</si>
  <si>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</si>
  <si>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</si>
  <si>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</si>
  <si>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</si>
  <si>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</si>
  <si>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</si>
  <si>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</si>
  <si>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</si>
  <si>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</si>
  <si>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</si>
  <si>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</si>
  <si>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</si>
  <si>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</si>
  <si>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</si>
  <si>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</si>
  <si>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</si>
  <si>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000252</t>
  </si>
  <si>
    <t>SessionDesignator</t>
  </si>
  <si>
    <t>Session End Date</t>
  </si>
  <si>
    <t>The year, month and day on which a session ends.</t>
  </si>
  <si>
    <t>000253</t>
  </si>
  <si>
    <t>SessionEndDate</t>
  </si>
  <si>
    <t>Session End Time</t>
  </si>
  <si>
    <t>The hour, minute and second on which a session ends.</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</si>
  <si>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</si>
  <si>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</si>
  <si>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</si>
  <si>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</si>
  <si>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</si>
  <si>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</si>
  <si>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</si>
  <si>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</si>
  <si>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</si>
  <si>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</si>
  <si>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</si>
  <si>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</si>
  <si>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</si>
  <si>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</si>
  <si>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</si>
  <si>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</si>
  <si>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000254</t>
  </si>
  <si>
    <t>SessionType</t>
  </si>
  <si>
    <t>Sex</t>
  </si>
  <si>
    <t>The concept describing the biological traits that distinguish the males and females of a species.</t>
  </si>
  <si>
    <t>Postsecondary: As defined in IPEDS</t>
  </si>
  <si>
    <t>000255</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</si>
  <si>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</si>
  <si>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</si>
  <si>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</si>
  <si>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</si>
  <si>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</si>
  <si>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</si>
  <si>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</si>
  <si>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</si>
  <si>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</si>
  <si>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</si>
  <si>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</si>
  <si>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</si>
  <si>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</si>
  <si>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A student who, at some time during the school year, is either a pregnant female student who is unmarried; or a male or female student who is unmarried or legally separated from a spouse and has a minor child or children.</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</si>
  <si>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</si>
  <si>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</si>
  <si>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</si>
  <si>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</si>
  <si>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</si>
  <si>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</si>
  <si>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</si>
  <si>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</si>
  <si>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</si>
  <si>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</si>
  <si>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</si>
  <si>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</si>
  <si>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</si>
  <si>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</si>
  <si>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</si>
  <si>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Social Security Number</t>
  </si>
  <si>
    <t>The nine-digit number of identification assigned to the person by the Social Security Administration.</t>
  </si>
  <si>
    <t>Workforce Notes: The most complete data source and most often used is the Unemployment Insurance Wage Record system in states. Data contained in the wage record are built around quarterly employer payroll information from each person in their employ. The common element that identifies each employee is the person's social security number. Another identifier typically included is the first three digits of the person's last name. States that have attempted to use the latter have found it to be unreliable for matching purposes.</t>
  </si>
  <si>
    <t>Also, to collect data on workforce program participation, a data match will have to be negotiated between state agencies. The workforce data elements collected for workforce programs include many of the same elements defined for K12 students and postsecondary students, including gender and ethnicity. At a minimum, reliable matches can be obtained through the use of names and social security numbers.</t>
  </si>
  <si>
    <t>000259</t>
  </si>
  <si>
    <t>SSN</t>
  </si>
  <si>
    <t>SocialSecurityNumber</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</si>
  <si>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</si>
  <si>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</si>
  <si>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</si>
  <si>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</si>
  <si>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</si>
  <si>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</si>
  <si>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</si>
  <si>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</si>
  <si>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</si>
  <si>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</si>
  <si>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</si>
  <si>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</si>
  <si>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</si>
  <si>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</si>
  <si>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</si>
  <si>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</si>
  <si>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</si>
  <si>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</si>
  <si>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</si>
  <si>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</si>
  <si>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</si>
  <si>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</si>
  <si>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</si>
  <si>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</si>
  <si>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</si>
  <si>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</si>
  <si>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</si>
  <si>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</si>
  <si>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</si>
  <si>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</si>
  <si>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</si>
  <si>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</si>
  <si>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</si>
  <si>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</si>
  <si>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</si>
  <si>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</si>
  <si>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</si>
  <si>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</si>
  <si>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000558</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</si>
  <si>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</si>
  <si>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</si>
  <si>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</si>
  <si>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</si>
  <si>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</si>
  <si>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</si>
  <si>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</si>
  <si>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</si>
  <si>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</si>
  <si>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</si>
  <si>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</si>
  <si>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</si>
  <si>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</si>
  <si>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</si>
  <si>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</si>
  <si>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</si>
  <si>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</si>
  <si>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</si>
  <si>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</si>
  <si>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</si>
  <si>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</si>
  <si>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</si>
  <si>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</si>
  <si>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</si>
  <si>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</si>
  <si>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</si>
  <si>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</si>
  <si>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</si>
  <si>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</si>
  <si>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</si>
  <si>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</si>
  <si>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</si>
  <si>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</si>
  <si>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</si>
  <si>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</si>
  <si>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</si>
  <si>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</si>
  <si>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</si>
  <si>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</si>
  <si>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</si>
  <si>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</si>
  <si>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</si>
  <si>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</si>
  <si>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</si>
  <si>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</si>
  <si>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</si>
  <si>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</si>
  <si>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</si>
  <si>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</si>
  <si>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</si>
  <si>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</si>
  <si>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</si>
  <si>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</si>
  <si>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</si>
  <si>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</si>
  <si>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</si>
  <si>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</si>
  <si>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</si>
  <si>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</si>
  <si>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</si>
  <si>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</si>
  <si>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</si>
  <si>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</si>
  <si>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</si>
  <si>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</si>
  <si>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</si>
  <si>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</si>
  <si>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000118</t>
  </si>
  <si>
    <t>Staff FTE</t>
  </si>
  <si>
    <t>StaffFullTimeEquivalency</t>
  </si>
  <si>
    <t>Staff Member Identification System</t>
  </si>
  <si>
    <t>A coding scheme that is used for identification and record-keeping purposes by schools, social services, registry, or other agencies to refer to a staff member.</t>
  </si>
  <si>
    <t>001074</t>
  </si>
  <si>
    <t>StaffMemberIdentificationSystem</t>
  </si>
  <si>
    <t>Staff Member Identifier</t>
  </si>
  <si>
    <t>A unique number or alphanumeric code assigned to a staff member by a school, school system, a state, registry, or other agency or entity.</t>
  </si>
  <si>
    <t>001070</t>
  </si>
  <si>
    <t>StaffMemberIdentifier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</si>
  <si>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</si>
  <si>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</si>
  <si>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</si>
  <si>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</si>
  <si>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</si>
  <si>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</si>
  <si>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</si>
  <si>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</si>
  <si>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</si>
  <si>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A Bureau of Labor Statistics coding system for classifying occupations by work performed and, in some cases, on the skills, education and training needed to perform the work at a competent level. See http://www.bls.gov/soc/soc_structure_2010.pdf.</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</si>
  <si>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</si>
  <si>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</si>
  <si>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</si>
  <si>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</si>
  <si>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</si>
  <si>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</si>
  <si>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</si>
  <si>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</si>
  <si>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</si>
  <si>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</si>
  <si>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</si>
  <si>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</si>
  <si>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State Abbreviation</t>
  </si>
  <si>
    <t>The abbreviation for the state (within the United States) or outlying area in which an address is located.</t>
  </si>
  <si>
    <t>000267</t>
  </si>
  <si>
    <t>StateAbbreviation</t>
  </si>
  <si>
    <t>State Agency Identification System</t>
  </si>
  <si>
    <t>A coding scheme that is used for identification and record-keeping purposes by to refer to a state agency.</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</si>
  <si>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</si>
  <si>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</si>
  <si>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</si>
  <si>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</si>
  <si>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</si>
  <si>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</si>
  <si>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</si>
  <si>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</si>
  <si>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000424</t>
  </si>
  <si>
    <t>StateANSICode</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</si>
  <si>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</si>
  <si>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</si>
  <si>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</si>
  <si>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</si>
  <si>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</si>
  <si>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</si>
  <si>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</si>
  <si>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</si>
  <si>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</si>
  <si>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</si>
  <si>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</si>
  <si>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</si>
  <si>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</si>
  <si>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</si>
  <si>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</si>
  <si>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</si>
  <si>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</si>
  <si>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</si>
  <si>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</si>
  <si>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</si>
  <si>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</si>
  <si>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</si>
  <si>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</si>
  <si>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</si>
  <si>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</si>
  <si>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</si>
  <si>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</si>
  <si>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</si>
  <si>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</si>
  <si>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</si>
  <si>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</si>
  <si>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</si>
  <si>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</si>
  <si>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</si>
  <si>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</si>
  <si>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</si>
  <si>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</si>
  <si>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</si>
  <si>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</si>
  <si>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</si>
  <si>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</si>
  <si>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</si>
  <si>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</si>
  <si>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</si>
  <si>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</si>
  <si>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</si>
  <si>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</si>
  <si>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</si>
  <si>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</si>
  <si>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</si>
  <si>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</si>
  <si>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000271</t>
  </si>
  <si>
    <t>StudentAttendanceRate</t>
  </si>
  <si>
    <t>Student Course Section Grade Earned</t>
  </si>
  <si>
    <t>A final indicator of student performance in a course section as submitted by the instructor.</t>
  </si>
  <si>
    <t>000124</t>
  </si>
  <si>
    <t>StudentCourseSectionGradeEarned</t>
  </si>
  <si>
    <t>Student Course Section Grade Narrative</t>
  </si>
  <si>
    <t>The narrative of the student performance in a course section as submitted by the instructor.</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</si>
  <si>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</si>
  <si>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</si>
  <si>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</si>
  <si>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</si>
  <si>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</si>
  <si>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</si>
  <si>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Identification System</t>
  </si>
  <si>
    <t>A coding scheme that is used for identification and record-keeping purposes by schools, social services, or other agencies to refer to a student.</t>
  </si>
  <si>
    <t>001075</t>
  </si>
  <si>
    <t>StudentIdentificationSystem</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</si>
  <si>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</si>
  <si>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</si>
  <si>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</si>
  <si>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</si>
  <si>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</si>
  <si>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</si>
  <si>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</si>
  <si>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</si>
  <si>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</si>
  <si>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provided to a person or a group of persons within the formal educational system or offered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</si>
  <si>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000273</t>
  </si>
  <si>
    <t>StudentSupportServiceType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</si>
  <si>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</si>
  <si>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</si>
  <si>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</si>
  <si>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</si>
  <si>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</si>
  <si>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</si>
  <si>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</si>
  <si>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</si>
  <si>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</si>
  <si>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</si>
  <si>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</si>
  <si>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</si>
  <si>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</si>
  <si>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</si>
  <si>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</si>
  <si>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</si>
  <si>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</si>
  <si>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</si>
  <si>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</si>
  <si>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</si>
  <si>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</si>
  <si>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</si>
  <si>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</si>
  <si>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Teacher Education Credential Exam Score Type</t>
  </si>
  <si>
    <t>An indication of the type of credential exam associated with a given exam score.</t>
  </si>
  <si>
    <t>Praxis I:</t>
  </si>
  <si>
    <t>Reading</t>
  </si>
  <si>
    <t>Mathematics</t>
  </si>
  <si>
    <t>Writing</t>
  </si>
  <si>
    <t>Praxis II:</t>
  </si>
  <si>
    <t>Codes at http://www.ets.org/praxis/about/praxisii/content</t>
  </si>
  <si>
    <t>ACTFL codes at http://www.languagetesting.com/</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</si>
  <si>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</si>
  <si>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</si>
  <si>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</si>
  <si>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</si>
  <si>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</si>
  <si>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</si>
  <si>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</si>
  <si>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</si>
  <si>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</si>
  <si>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</si>
  <si>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</si>
  <si>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</si>
  <si>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</si>
  <si>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</si>
  <si>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</si>
  <si>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</si>
  <si>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</si>
  <si>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</si>
  <si>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</si>
  <si>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</si>
  <si>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</si>
  <si>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</si>
  <si>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</si>
  <si>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</si>
  <si>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</si>
  <si>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</si>
  <si>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</si>
  <si>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</si>
  <si>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</si>
  <si>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</si>
  <si>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</si>
  <si>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</si>
  <si>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</si>
  <si>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</si>
  <si>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</si>
  <si>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</si>
  <si>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</si>
  <si>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</si>
  <si>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</si>
  <si>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</si>
  <si>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</si>
  <si>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</si>
  <si>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</si>
  <si>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</si>
  <si>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</si>
  <si>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</si>
  <si>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</si>
  <si>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</si>
  <si>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</si>
  <si>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</si>
  <si>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</si>
  <si>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</si>
  <si>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</si>
  <si>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</si>
  <si>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</si>
  <si>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</si>
  <si>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</si>
  <si>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</si>
  <si>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</si>
  <si>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</si>
  <si>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</si>
  <si>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</si>
  <si>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</si>
  <si>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</si>
  <si>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</si>
  <si>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</si>
  <si>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</si>
  <si>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</si>
  <si>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</si>
  <si>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</si>
  <si>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</si>
  <si>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</si>
  <si>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</si>
  <si>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</si>
  <si>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</si>
  <si>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</si>
  <si>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</si>
  <si>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</si>
  <si>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</si>
  <si>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</si>
  <si>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</si>
  <si>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</si>
  <si>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</si>
  <si>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</si>
  <si>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</si>
  <si>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</si>
  <si>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</si>
  <si>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</si>
  <si>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</si>
  <si>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</si>
  <si>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</si>
  <si>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</si>
  <si>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</si>
  <si>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</si>
  <si>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</si>
  <si>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</si>
  <si>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</si>
  <si>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</si>
  <si>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</si>
  <si>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</si>
  <si>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</si>
  <si>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</si>
  <si>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</si>
  <si>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</si>
  <si>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</si>
  <si>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</si>
  <si>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</si>
  <si>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</si>
  <si>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</si>
  <si>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</si>
  <si>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</si>
  <si>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</si>
  <si>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</si>
  <si>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</si>
  <si>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</si>
  <si>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</si>
  <si>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</si>
  <si>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</si>
  <si>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</si>
  <si>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</si>
  <si>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</si>
  <si>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</si>
  <si>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</si>
  <si>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</si>
  <si>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</si>
  <si>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</si>
  <si>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</si>
  <si>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</si>
  <si>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</si>
  <si>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</si>
  <si>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</si>
  <si>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</si>
  <si>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</si>
  <si>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</si>
  <si>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</si>
  <si>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</si>
  <si>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</si>
  <si>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</si>
  <si>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</si>
  <si>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</si>
  <si>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</si>
  <si>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</si>
  <si>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</si>
  <si>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</si>
  <si>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</si>
  <si>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</si>
  <si>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</si>
  <si>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</si>
  <si>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</si>
  <si>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</si>
  <si>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</si>
  <si>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</si>
  <si>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</si>
  <si>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</si>
  <si>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</si>
  <si>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</si>
  <si>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</si>
  <si>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</si>
  <si>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</si>
  <si>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programs.</t>
  </si>
  <si>
    <t>000447</t>
  </si>
  <si>
    <t>TitleIIILanguageInstructionProgramType</t>
  </si>
  <si>
    <t>000565</t>
  </si>
  <si>
    <t>Title III LEP Participation Status</t>
  </si>
  <si>
    <t>Title III Professional Development Type</t>
  </si>
  <si>
    <t>The type of Title III professional development utilized.</t>
  </si>
  <si>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</si>
  <si>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</si>
  <si>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</si>
  <si>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</si>
  <si>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</si>
  <si>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</si>
  <si>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</si>
  <si>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</si>
  <si>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</si>
  <si>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</si>
  <si>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</si>
  <si>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</si>
  <si>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</si>
  <si>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</si>
  <si>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</si>
  <si>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</si>
  <si>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</si>
  <si>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</si>
  <si>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</si>
  <si>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</si>
  <si>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</si>
  <si>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</si>
  <si>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</si>
  <si>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</si>
  <si>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</si>
  <si>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</si>
  <si>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</si>
  <si>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</si>
  <si>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</si>
  <si>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</si>
  <si>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</si>
  <si>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</si>
  <si>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001657</t>
  </si>
  <si>
    <t>TribalAffiliation</t>
  </si>
  <si>
    <t>Trimester When Prenatal Care Began</t>
  </si>
  <si>
    <t>The trimester of pregnancy in which a child's mother began receiving prenatal health care.</t>
  </si>
  <si>
    <t>Early Learning -&gt; EL Child -&gt; Health -&gt; Birth/Prenatal</t>
  </si>
  <si>
    <t>001630</t>
  </si>
  <si>
    <t>TrimesterWhenPrenatalCareBegan</t>
  </si>
  <si>
    <t>Truant Status</t>
  </si>
  <si>
    <t>An indication that a student is identified as a truant as defined by state rules.</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</si>
  <si>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</si>
  <si>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</si>
  <si>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</si>
  <si>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</si>
  <si>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</si>
  <si>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</si>
  <si>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</si>
  <si>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</si>
  <si>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</si>
  <si>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</si>
  <si>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</si>
  <si>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</si>
  <si>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</si>
  <si>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</si>
  <si>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</si>
  <si>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</si>
  <si>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</si>
  <si>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The component for which tuition is being charged. It might be a time period (term, quarter, year, etc.) or it might be an entity of education (course, credit hour, etc.).</t>
  </si>
  <si>
    <t>000746</t>
  </si>
  <si>
    <t>TuitionUnit</t>
  </si>
  <si>
    <t>Type of Use of the Rural Low-Income Schools Program</t>
  </si>
  <si>
    <t>The type of use of the Rural Low-Income Schools Program (RLIS) (Title VI, Part B, Subpart 2) Grant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</si>
  <si>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</si>
  <si>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</si>
  <si>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</si>
  <si>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</si>
  <si>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</si>
  <si>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</si>
  <si>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</si>
  <si>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</si>
  <si>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</si>
  <si>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</si>
  <si>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</si>
  <si>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</si>
  <si>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</si>
  <si>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</si>
  <si>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</si>
  <si>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Uses of Funds for Purposes other than Standards and Assessment Development</t>
  </si>
  <si>
    <t>Purposes that funds available under ESEA section 6111 (Grants for State Assessments and Related Activities) were used during the 2009-10 school year for purposes other than the costs of the development of the State assessments and standards required by section 1111(b).</t>
  </si>
  <si>
    <t>000459</t>
  </si>
  <si>
    <t>UsesOfFundsForPurposesOtherThanStandardsAndAssessmentDevelopment</t>
  </si>
  <si>
    <t>Virtual Indicator</t>
  </si>
  <si>
    <t>Indicates a school, institution, program, or course section focuses primarily on instruction in which students and teachers are separated by time and/or location and interact through the use of computers and/or telecommunications technologies.</t>
  </si>
  <si>
    <t>001160</t>
  </si>
  <si>
    <t>VirtualIndicator</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</si>
  <si>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</si>
  <si>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</si>
  <si>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</si>
  <si>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</si>
  <si>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</si>
  <si>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</si>
  <si>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</si>
  <si>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</si>
  <si>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</si>
  <si>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</si>
  <si>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</si>
  <si>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</si>
  <si>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</si>
  <si>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</si>
  <si>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</si>
  <si>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</si>
  <si>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</si>
  <si>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</si>
  <si>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</si>
  <si>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</si>
  <si>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</si>
  <si>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</si>
  <si>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</si>
  <si>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</si>
  <si>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</si>
  <si>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</si>
  <si>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</si>
  <si>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</si>
  <si>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</si>
  <si>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</si>
  <si>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</si>
  <si>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</si>
  <si>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</si>
  <si>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</si>
  <si>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</si>
  <si>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</si>
  <si>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</si>
  <si>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</si>
  <si>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</si>
  <si>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</si>
  <si>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</si>
  <si>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</si>
  <si>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</si>
  <si>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</si>
  <si>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</si>
  <si>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</si>
  <si>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</si>
  <si>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</si>
  <si>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</si>
  <si>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</si>
  <si>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</si>
  <si>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</si>
  <si>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Work-based Learning Opportunity Type</t>
  </si>
  <si>
    <t>The type of work-based learning opportunity a student participated in.</t>
  </si>
  <si>
    <t>001499</t>
  </si>
  <si>
    <t>WorkBasedLearningOpportunityType</t>
  </si>
  <si>
    <t>The type of workforce and employment development program that an individual is participating in.</t>
  </si>
  <si>
    <t>Workforce -&gt; Workforce Program Participant -&gt; Program Participation</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</si>
  <si>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</si>
  <si>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</si>
  <si>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 Program Participation End Date</t>
  </si>
  <si>
    <t>The year, month, and day of the last day of the reference period during which data are matched between education and workforce data sources.</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</si>
  <si>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</si>
  <si>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</si>
  <si>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</si>
  <si>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</si>
  <si>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</si>
  <si>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</si>
  <si>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</si>
  <si>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</si>
  <si>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</si>
  <si>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</si>
  <si>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</si>
  <si>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</si>
  <si>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</si>
  <si>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that a person has previously held a teaching position in one or more education institutions.</t>
  </si>
  <si>
    <t>000302</t>
  </si>
  <si>
    <t>YearsOfPriorTeachingExperience</t>
  </si>
  <si>
    <t xml:space="preserve">Yes
No
</t>
  </si>
  <si>
    <t>Postsecondary Education -&gt; Complete College America
Postsecondary Education -&gt; IPEDS
Postsecondary Education -&gt; Transition</t>
  </si>
  <si>
    <t>K-12 -&gt; High School Feedback Report
Postsecondary Education -&gt; Complete College America
Postsecondary Education -&gt; IPEDS
Postsecondary Education -&gt; Transition</t>
  </si>
  <si>
    <t>K-12 -&gt; High School Generated Transcript
K-12 -&gt; LEA-to-LEA Student Record Exchange
K-12 -&gt; LEA-to-SEA Student Record Exchange</t>
  </si>
  <si>
    <t>Postsecondary -&gt; PS Student -&gt; Academic Record
Postsecondary -&gt; PS Student -&gt; Term Enrollment</t>
  </si>
  <si>
    <t>Postsecondary Education -&gt; Complete College America
Postsecondary Education -&gt; Student Achievement Measure</t>
  </si>
  <si>
    <t>Early Learning -&gt; EL Organization -&gt; Accreditation
K12 -&gt; K12 School -&gt; Institution Characteristics</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</si>
  <si>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</si>
  <si>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</si>
  <si>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Postsecondary Education -&gt; Complete College America
Postsecondary Education -&gt; IPEDS</t>
  </si>
  <si>
    <t>K12 -&gt; K12 School -&gt; Accountability
K12 -&gt; LEA -&gt; Accountability</t>
  </si>
  <si>
    <t>K12 -&gt; K12 School -&gt; Accountability
K12 -&gt; LEA -&gt; Accountability
K12 -&gt; SEA -&gt; Accountability</t>
  </si>
  <si>
    <t>Adult Education -&gt; AE Provider
Adult Education -&gt; AE Staff -&gt; Assignment</t>
  </si>
  <si>
    <t>Early Learning -&gt; EL Child -&gt; Health
K12 -&gt; K12 Student -&gt; Health</t>
  </si>
  <si>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</si>
  <si>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</si>
  <si>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K12 -&gt; LEA -&gt; Accountability
K12 -&gt; SEA -&gt; Accountability</t>
  </si>
  <si>
    <t>Early Learning -&gt; EL Child -&gt; Enrollment
Early Learning -&gt; EL Child -&gt; Services -&gt; Application</t>
  </si>
  <si>
    <t>Early Learning -&gt; Program Compliance
Early Learning -&gt; Program Entry</t>
  </si>
  <si>
    <t>Assessments -&gt; Assessment
Assessments -&gt; Assessment Asset
Assessments -&gt; Assessment Form
Assessments -&gt; Assessment Form -&gt; Assessment Form Section
Assessments -&gt; Assessment Item
Assessments -&gt; Assessment Subtest</t>
  </si>
  <si>
    <t>College Readiness
K-12 -&gt; EDFacts
K-12 -&gt; LEA Assessments
K-12 -&gt; SEA Assessments</t>
  </si>
  <si>
    <t>K-12 -&gt; LEA Assessments
K-12 -&gt; SEA Assessments
School Readiness</t>
  </si>
  <si>
    <t>Assessments -&gt; Assessment Participant Session
Assessments -&gt; Assessment Registration</t>
  </si>
  <si>
    <t>College Readiness
K-12 -&gt; LEA Assessments
K-12 -&gt; SEA Assessments
School Readiness</t>
  </si>
  <si>
    <t>Assessments -&gt; Assessment Form
Assessments -&gt; Assessment Form -&gt; Assessment Form Section</t>
  </si>
  <si>
    <t>College Readiness
K-12 -&gt; High School Generated Transcript
K-12 -&gt; LEA Assessments
K-12 -&gt; LEA-to-LEA Student Record Exchange
K-12 -&gt; LEA-to-SEA Student Record Exchange
K-12 -&gt; SEA Assessments
School Readiness</t>
  </si>
  <si>
    <t>Assessments -&gt; Assessment Form
Assessments -&gt; Assessment Registration</t>
  </si>
  <si>
    <t>K-12 -&gt; High School Feedback Report
K-12 -&gt; High School Generated Transcript
K-12 -&gt; LEA Assessments
K-12 -&gt; LEA-to-LEA Student Record Exchange
K-12 -&gt; LEA-to-SEA Student Record Exchange
K-12 -&gt; SEA Assessments</t>
  </si>
  <si>
    <t>College Readiness
K-12 -&gt; High School Feedback Report
K-12 -&gt; High School Generated Transcript
K-12 -&gt; LEA Assessments
K-12 -&gt; LEA-to-LEA Student Record Exchange
K-12 -&gt; LEA-to-SEA Student Record Exchange
K-12 -&gt; SEA Assessments
School Readiness</t>
  </si>
  <si>
    <t>K-12 -&gt; LEA Assessments
K-12 -&gt; SEA Assessments</t>
  </si>
  <si>
    <t>Assessments -&gt; Assessment
Assessments -&gt; Assessment Asset
Assessments -&gt; Assessment Form
Assessments -&gt; Assessment Item
Assessments -&gt; Assessment Subtest
Early Learning -&gt; EL Child -&gt; Developmental Assessments</t>
  </si>
  <si>
    <t>K-12 -&gt; High School Generated Transcript
K-12 -&gt; LEA Assessments
K-12 -&gt; LEA-to-LEA Student Record Exchange
K-12 -&gt; LEA-to-SEA Student Record Exchange
K-12 -&gt; SEA Assessments
School Readiness</t>
  </si>
  <si>
    <t>Assessments -&gt; Assessment
Assessments -&gt; Assessment Subtest</t>
  </si>
  <si>
    <t>K-12 -&gt; EDFacts
School Readiness</t>
  </si>
  <si>
    <t>K-12 -&gt; EDFacts
K-12 -&gt; LEA Assessments
K-12 -&gt; SEA Assessments
School Readiness</t>
  </si>
  <si>
    <t>Assessments -&gt; Assessment Item -&gt; Assessment Item Response
Assessments -&gt; Assessment Result</t>
  </si>
  <si>
    <t>K-12 -&gt; EDFacts
K-12 -&gt; LEA Assessments
K-12 -&gt; SEA Assessments</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</si>
  <si>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</si>
  <si>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Assessments -&gt; Assessment
Assessments -&gt; Assessment Result
Assessments -&gt; Assessment Subtest</t>
  </si>
  <si>
    <t>College Readiness
K-12 -&gt; SEA Assessments
School Readiness</t>
  </si>
  <si>
    <t>Assessments -&gt; Assessment Administration
Assessments -&gt; Assessment Form</t>
  </si>
  <si>
    <t>Assessments -&gt; Assessment Participant Session
Assessments -&gt; Assessment Session</t>
  </si>
  <si>
    <t>College Readiness
K-12 -&gt; SEA Assessments</t>
  </si>
  <si>
    <t>College Readiness
K-12 -&gt; High School Generated Transcript
K-12 -&gt; LEA Assessments
K-12 -&gt; LEA-to-LEA Student Record Exchange
K-12 -&gt; LEA-to-SEA Student Record Exchange
K-12 -&gt; SEA Assessments
Postsecondary Education -&gt; Transition
School Readiness</t>
  </si>
  <si>
    <t>K-12 -&gt; High School Generated Transcript
K-12 -&gt; LEA-to-LEA Student Record Exchange
K-12 -&gt; LEA-to-SEA Student Record Exchange
K-12 -&gt; Teacher-Student Data Link -&gt; Class Section</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</si>
  <si>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</si>
  <si>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K12 -&gt; K12 Student -&gt; Demographic
K12 -&gt; K12 Student -&gt; Migrant</t>
  </si>
  <si>
    <t>Career and Technical -&gt; CTE Student -&gt; Academic Record
K12 -&gt; K12 Student -&gt; Academic Record
K12 -&gt; K12 Student -&gt; CTE</t>
  </si>
  <si>
    <t>Career and Technical -&gt; CTE Student -&gt; Program Participation
K12 -&gt; K12 Student -&gt; CTE
Postsecondary -&gt; PS Student -&gt; CTE</t>
  </si>
  <si>
    <t>K-12 -&gt; EDFacts
K-12 -&gt; High School Generated Transcript
K-12 -&gt; LEA-to-LEA Student Record Exchange
K-12 -&gt; LEA-to-SEA Student Record Exchange</t>
  </si>
  <si>
    <t>Career and Technical -&gt; CTE Staff -&gt; Credential or License
K12 -&gt; K12 Staff -&gt; Credential or License
Postsecondary -&gt; PS Staff -&gt; Credential or License</t>
  </si>
  <si>
    <t>Career and Technical -&gt; CTE Student -&gt; Academic Record
K12 -&gt; K12 Student -&gt; CTE
Postsecondary -&gt; PS Student -&gt; CTE</t>
  </si>
  <si>
    <t>Career and Technical -&gt; CTE Student -&gt; Career Education Plan
Early Learning -&gt; EL Child -&gt; Individualized Program
Early Learning -&gt; EL Staff -&gt; Professional Development
K12 -&gt; K12 Staff -&gt; Professional Development
K12 -&gt; K12 Student -&gt; Academic Record
K12 -&gt; K12 Student -&gt; CTE
K12 -&gt; K12 Student -&gt; Individualized Program</t>
  </si>
  <si>
    <t>Adult Education -&gt; AE Student -&gt; Program Participation
Career and Technical -&gt; CTE Student -&gt; Program Participation
K12 -&gt; K12 Student -&gt; CTE
Postsecondary -&gt; PS Student -&gt; CTE
Workforce -&gt; Workforce Program Participant -&gt; Program Participation</t>
  </si>
  <si>
    <t>Adult Education -&gt; AE Student -&gt; Status
Career and Technical -&gt; CTE Student -&gt; Program Participation
K12 -&gt; K12 Student -&gt; CTE
Postsecondary -&gt; PS Student -&gt; CTE</t>
  </si>
  <si>
    <t>K-12 -&gt; High School Feedback Report
Postsecondary Education -&gt; Transition</t>
  </si>
  <si>
    <t>K12 -&gt; K12 School -&gt; Directory
K12 -&gt; LEA -&gt; Directory</t>
  </si>
  <si>
    <t>K12 -&gt; K12 School -&gt; Directory -&gt; Charter School Management Organization
K12 -&gt; Organization -&gt; Identification</t>
  </si>
  <si>
    <t>Early Learning -&gt; EL Child -&gt; Identity -&gt; Identification
Early Learning -&gt; Parent/Guardian -&gt; Relationship</t>
  </si>
  <si>
    <t>Early Learning -&gt; Access to Services
Early Learning -&gt; Program Quality
Early Learning -&gt; Staff Quality
School Readiness</t>
  </si>
  <si>
    <t>Early Learning -&gt; EL Child -&gt; Identity -&gt; Identification
K12 -&gt; Parent/Guardian -&gt; Relationship</t>
  </si>
  <si>
    <t>Early Learning -&gt; Access to Services
Early Learning -&gt; Program Quality</t>
  </si>
  <si>
    <t>K12 -&gt; K12 Student -&gt; Enrollment
Postsecondary -&gt; PS Student -&gt; Demographic</t>
  </si>
  <si>
    <t>K-12 -&gt; EDFacts
Persistence and Attainment of Nontraditional Students</t>
  </si>
  <si>
    <t>K12 -&gt; K12 Student -&gt; Enrollment
Postsecondary -&gt; PS Student -&gt; K12 Transcript</t>
  </si>
  <si>
    <t>Early Learning -&gt; EL Child -&gt; Program
Early Learning -&gt; EL Organization -&gt; Organization Information</t>
  </si>
  <si>
    <t>Early Learning -&gt; Licensing
Early Learning -&gt; Program Compliance</t>
  </si>
  <si>
    <t>Career and Technical -&gt; Course
K12 -&gt; K12 Course</t>
  </si>
  <si>
    <t>Early Learning -&gt; Program Entry
Early Learning -&gt; Staff Quality
Early Learning -&gt; Workforce Development
Postsecondary Education -&gt; Complete College America
Postsecondary Education -&gt; IPEDS</t>
  </si>
  <si>
    <t>K-12 -&gt; High School Generated Transcript
K-12 -&gt; LEA-to-LEA Student Record Exchange
K-12 -&gt; LEA-to-SEA Student Record Exchange
K-12 -&gt; Migrant Student Data Exchange</t>
  </si>
  <si>
    <t>K-12 -&gt; High School Generated Transcript
K-12 -&gt; LEA-to-LEA Student Record Exchange
K-12 -&gt; LEA-to-SEA Student Record Exchange
K-12 -&gt; Teacher-Student Data Link -&gt; Class Section
Postsecondary Education -&gt; Transition</t>
  </si>
  <si>
    <t>K-12 -&gt; High School Generated Transcript
School Readiness</t>
  </si>
  <si>
    <t>Adult Education -&gt; Course Section
Career and Technical -&gt; Course Section
K12 -&gt; Course Section
Postsecondary -&gt; Course Section</t>
  </si>
  <si>
    <t>K-12 -&gt; Civil Rights Data Collection
K-12 -&gt; Teacher-Student Data Link -&gt; Class Section</t>
  </si>
  <si>
    <t>Early Learning -&gt; EL Staff -&gt; Credential or License
K12 -&gt; K12 Staff -&gt; Credential or License</t>
  </si>
  <si>
    <t>K12 -&gt; K12 Student -&gt; Graduation Plan
K12 -&gt; K12 Student -&gt; Graduation Plan -&gt; Subject Area
K12 -&gt; K12 Student -&gt; Program
K12 -&gt; Program</t>
  </si>
  <si>
    <t>Early Learning -&gt; Access to Services
Early Learning -&gt; Licensing
Early Learning -&gt; Program Compliance
Early Learning -&gt; Program Quality</t>
  </si>
  <si>
    <t>Early Learning -&gt; Program Compliance
Early Learning -&gt; Staff Quality
Early Learning -&gt; Workforce Development</t>
  </si>
  <si>
    <t>Early Learning -&gt; EL Child -&gt; Demographic
K12 -&gt; K12 Student -&gt; Demographic</t>
  </si>
  <si>
    <t>Persistence and Attainment of Nontraditional Students
Postsecondary Education -&gt; IPEDS</t>
  </si>
  <si>
    <t>Early Learning -&gt; Staff Quality
K-12 -&gt; High School Feedback Report
K-12 -&gt; High School Generated Transcript
K-12 -&gt; LEA-to-LEA Student Record Exchange
K-12 -&gt; LEA-to-SEA Student Record Exchange
Postsecondary Education -&gt; Transition</t>
  </si>
  <si>
    <t>K12 -&gt; K12 Student -&gt; Enrollment
Postsecondary -&gt; PS Student -&gt; Term Enrollment</t>
  </si>
  <si>
    <t>Postsecondary Education -&gt; Student Achievement Measure
Postsecondary Education -&gt; Voluntary Framework of Accountability</t>
  </si>
  <si>
    <t>K12 -&gt; Incident
K12 -&gt; K12 Student -&gt; Discipline</t>
  </si>
  <si>
    <t>Postsecondary -&gt; PS Institution -&gt; Program
Postsecondary -&gt; PS Student -&gt; Institution Enrollment -&gt; Program</t>
  </si>
  <si>
    <t>Early Learning -&gt; EL Child -&gt; Finance
Early Learning -&gt; EL Organization -&gt; Finance</t>
  </si>
  <si>
    <t>Early Learning -&gt; Licensing
Early Learning -&gt; Program Compliance
Early Learning -&gt; Program Quality
School Readiness</t>
  </si>
  <si>
    <t>Early Learning -&gt; Program Quality
Early Learning -&gt; Staff Quality</t>
  </si>
  <si>
    <t>Early Learning -&gt; Parent/Guardian -&gt; Relationship
K12 -&gt; Parent/Guardian -&gt; Relationship</t>
  </si>
  <si>
    <t xml:space="preserve">Yes
Unknown
</t>
  </si>
  <si>
    <t>Adult Education -&gt; AE Student -&gt; Employment
K12 -&gt; K12 Student -&gt; Employment
Postsecondary -&gt; PS Student -&gt; Employment
Workforce -&gt; Quarterly Employment Record
Workforce -&gt; Workforce Program Participant -&gt; Employment</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</si>
  <si>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t>
  </si>
  <si>
    <t>Early Learning -&gt; EL Staff -&gt; Employment
K12 -&gt; K12 Staff -&gt; Employment</t>
  </si>
  <si>
    <t>Early Learning -&gt; Staff Quality
Early Learning -&gt; Workforce Development</t>
  </si>
  <si>
    <t>Adult Education -&gt; AE Student -&gt; Program Participation
Early Learning -&gt; EL Child -&gt; Enrollment</t>
  </si>
  <si>
    <t>Early Learning -&gt; EL Child -&gt; Enrollment
K12 -&gt; Course Section -&gt; Enrollment
K12 -&gt; K12 Student -&gt; Enrollment
Postsecondary -&gt; PS Student -&gt; Institution Enrollment</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</si>
  <si>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</si>
  <si>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Adult Education -&gt; AE Student -&gt; Program Participation
Early Learning -&gt; EL Child -&gt; Enrollment
K12 -&gt; K12 Student -&gt; Enrollment
Postsecondary -&gt; PS Student -&gt; Institution Enrollment</t>
  </si>
  <si>
    <t>Persistence and Attainment of Nontraditional Students
Postsecondary Education -&gt; IPEDS
Postsecondary Education -&gt; Transition</t>
  </si>
  <si>
    <t>Adult Education -&gt; AE Student -&gt; Program Participation
K12 -&gt; K12 Student -&gt; Enrollment</t>
  </si>
  <si>
    <t>K12 -&gt; Course Section -&gt; Enrollment
K12 -&gt; K12 Student -&gt; Enrollment</t>
  </si>
  <si>
    <t>K-12 -&gt; EDFacts
K-12 -&gt; LEA-to-LEA Student Record Exchange
K-12 -&gt; LEA-to-SEA Student Record Exchange</t>
  </si>
  <si>
    <t>K12 -&gt; K12 School -&gt; Finance
K12 -&gt; LEA -&gt; Finance
K12 -&gt; Program -&gt; Finance
K12 -&gt; SEA -&gt; Finance</t>
  </si>
  <si>
    <t>Early Learning -&gt; Early Learning Program
K12 -&gt; K12 School -&gt; Finance
K12 -&gt; LEA -&gt; Finance
K12 -&gt; Program -&gt; Finance
K12 -&gt; SEA -&gt; Finance</t>
  </si>
  <si>
    <t>Postsecondary Education -&gt; Common Data Set
Postsecondary Education -&gt; Complete College America
Postsecondary Education -&gt; IPEDS</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</si>
  <si>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</si>
  <si>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Early Learning -&gt; Staff Quality
K-12 -&gt; High School Generated Transcript
K-12 -&gt; LEA-to-LEA Student Record Exchange
K-12 -&gt; LEA-to-SEA Student Record Exchange
Postsecondary Education -&gt; Complete College America
Postsecondary Education -&gt; IPEDS</t>
  </si>
  <si>
    <t xml:space="preserve">Yes
No
Unknown
</t>
  </si>
  <si>
    <t>K-12 -&gt; High School Generated Transcript
K-12 -&gt; LEA Assessments
K-12 -&gt; LEA-to-LEA Student Record Exchange
K-12 -&gt; LEA-to-SEA Student Record Exchange
K-12 -&gt; SEA Assessments</t>
  </si>
  <si>
    <t>K12 -&gt; Course Section -&gt; Enrollment
K12 -&gt; K12 Student -&gt; Academic Record
K12 -&gt; K12 Student -&gt; Graduation Plan -&gt; Course</t>
  </si>
  <si>
    <t>K12 -&gt; K12 Student -&gt; Academic Record
Postsecondary -&gt; PS Applicant
Postsecondary -&gt; PS Student -&gt; Academic Record
Postsecondary -&gt; PS Student -&gt; K12 Transcript</t>
  </si>
  <si>
    <t>College Readiness
K-12 -&gt; High School Feedback Report
K-12 -&gt; High School Generated Transcript
K-12 -&gt; LEA-to-LEA Student Record Exchange
K-12 -&gt; LEA-to-SEA Student Record Exchange
Postsecondary Education -&gt; Common Data Set
Postsecondary Education -&gt; Transition</t>
  </si>
  <si>
    <t>Postsecondary -&gt; PS Applicant
Postsecondary -&gt; PS Student -&gt; K12 Transcript</t>
  </si>
  <si>
    <t>Postsecondary Education -&gt; Common Data Set
Postsecondary Education -&gt; Transition</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</si>
  <si>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</si>
  <si>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K12 -&gt; K12 Student -&gt; Academic Record
Postsecondary -&gt; PS Applicant</t>
  </si>
  <si>
    <t>K-12 -&gt; High School Generated Transcript
K-12 -&gt; LEA-to-LEA Student Record Exchange
K-12 -&gt; LEA-to-SEA Student Record Exchange
Postsecondary Education -&gt; Common Data Set</t>
  </si>
  <si>
    <t>Early Learning -&gt; Program Compliance
Early Learning -&gt; Program Entry
Early Learning -&gt; Staff Quality
K-12 -&gt; Teacher Compensation Survey</t>
  </si>
  <si>
    <t>Adult Education -&gt; AE Staff -&gt; Employment
Early Learning -&gt; EL Staff -&gt; Employment
K12 -&gt; K12 Staff -&gt; Employment
Postsecondary -&gt; PS Staff -&gt; Employment</t>
  </si>
  <si>
    <t>Early Learning -&gt; Program Compliance
Early Learning -&gt; Staff Quality
Early Learning -&gt; Workforce Development
K-12 -&gt; Teacher Compensation Survey
Postsecondary Education -&gt; IPEDS -&gt; HR</t>
  </si>
  <si>
    <t>Early Learning -&gt; EL Child -&gt; Demographic
K12 -&gt; K12 Student -&gt; Homeless</t>
  </si>
  <si>
    <t>Early Learning -&gt; Program Compliance
Early Learning -&gt; Program Entry
K-12 -&gt; EDFacts
K-12 -&gt; High School Generated Transcript
K-12 -&gt; LEA-to-LEA Student Record Exchange
K-12 -&gt; LEA-to-SEA Student Record Exchange</t>
  </si>
  <si>
    <t>K-12 -&gt; Civil Rights Data Collection
K-12 -&gt; EDFacts
K-12 -&gt; LEA-to-LEA Student Record Exchange
K-12 -&gt; LEA-to-SEA Student Record Exchange</t>
  </si>
  <si>
    <t>Early Learning -&gt; Program Compliance
K-12 -&gt; LEA-to-LEA Student Record Exchange
K-12 -&gt; LEA-to-SEA Student Record Exchange</t>
  </si>
  <si>
    <t>Early Learning -&gt; EL Family -&gt; Family/Household Information
Early Learning -&gt; Parent/Guardian
Early Learning -&gt; Parent/Guardian -&gt; Relationship</t>
  </si>
  <si>
    <t>Early Learning -&gt; EL Child -&gt; Individualized Program
K12 -&gt; K12 Student -&gt; Individualized Program</t>
  </si>
  <si>
    <t>Early Learning -&gt; EL Child -&gt; Individualized Program
Early Learning -&gt; EL Child -&gt; Services
K12 -&gt; K12 Student -&gt; Individualized Program</t>
  </si>
  <si>
    <t>Adult Education -&gt; AE Student -&gt; Program Participation
Postsecondary -&gt; PS Student -&gt; Term Enrollment</t>
  </si>
  <si>
    <t>Assessments -&gt; Assessment
Assessments -&gt; Assessment Asset
Early Learning -&gt; EL Child -&gt; Language
Early Learning -&gt; EL Staff -&gt; Language
K12 -&gt; K12 Student -&gt; Language</t>
  </si>
  <si>
    <t>Early Learning -&gt; Program Compliance
Early Learning -&gt; Program Entry
Early Learning -&gt; Staff Quality
Early Learning -&gt; Workforce Development
K-12 -&gt; EDFacts</t>
  </si>
  <si>
    <t>Early Learning -&gt; Staff Quality
K-12 -&gt; LEA-to-LEA Student Record Exchange
K-12 -&gt; LEA-to-SEA Student Record Exchange</t>
  </si>
  <si>
    <t>Early Learning -&gt; EL Child -&gt; Language
Early Learning -&gt; EL Staff -&gt; Language
K12 -&gt; K12 Student -&gt; Language</t>
  </si>
  <si>
    <t>Assessments -&gt; Learner Action
K12 -&gt; K12 Student -&gt; Learner Action</t>
  </si>
  <si>
    <t>Adult Education -&gt; AE Provider
Postsecondary -&gt; PS Institution -&gt; Directory</t>
  </si>
  <si>
    <t>Assessments -&gt; Assessment Administration
Assessments -&gt; Assessment Registration
Assessments -&gt; Assessment Session
K12 -&gt; K12 Staff -&gt; Assignment
K12 -&gt; K12 Student -&gt; Enrollment
K12 -&gt; LEA -&gt; Identification
Postsecondary -&gt; PS Student -&gt; K12 Transcript</t>
  </si>
  <si>
    <t>K-12 -&gt; High School Feedback Report
K-12 -&gt; High School Generated Transcript
K-12 -&gt; LEA-to-LEA Student Record Exchange
K-12 -&gt; LEA-to-SEA Student Record Exchange
Postsecondary Education -&gt; Transition</t>
  </si>
  <si>
    <t>Early Learning -&gt; EL Child -&gt; Demographic
K12 -&gt; K12 Student -&gt; Migrant</t>
  </si>
  <si>
    <t>Adult Education -&gt; AE Student -&gt; Demographic
Postsecondary -&gt; PS Student -&gt; Demographic
Workforce -&gt; Workforce Program Participant -&gt; Demographic</t>
  </si>
  <si>
    <t>Adult Education -&gt; AE Student -&gt; Demographic
K12 -&gt; K12 Student -&gt; Demographic
Postsecondary -&gt; PS Student -&gt; Demographic
Workforce -&gt; Workforce Program Participant -&gt; Demographic</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</si>
  <si>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</si>
  <si>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K12 -&gt; Course Section -&gt; Enrollment
K12 -&gt; K12 Student -&gt; Attendance</t>
  </si>
  <si>
    <t>K-12 -&gt; High School Generated Transcript
K-12 -&gt; LEA-to-LEA Student Record Exchange
K-12 -&gt; LEA-to-SEA Student Record Exchange
K-12 -&gt; Teacher-Student Data Link -&gt; Enrollment</t>
  </si>
  <si>
    <t>Early Learning -&gt; EL Child -&gt; Enrollment
K12 -&gt; Course Section -&gt; Enrollment
K12 -&gt; K12 Student -&gt; Attendance</t>
  </si>
  <si>
    <t>Early Learning -&gt; Program Compliance
K-12 -&gt; High School Generated Transcript
K-12 -&gt; LEA-to-LEA Student Record Exchange
K-12 -&gt; LEA-to-SEA Student Record Exchange
K-12 -&gt; Teacher-Student Data Link -&gt; Enrollment</t>
  </si>
  <si>
    <t>Postsecondary -&gt; PS Institution -&gt; Directory
Postsecondary -&gt; PS Student -&gt; Institution Enrollment -&gt; Prior Academic Award</t>
  </si>
  <si>
    <t>Early Learning -&gt; Staff Quality
Postsecondary Education -&gt; Complete College America
Postsecondary Education -&gt; IPEDS</t>
  </si>
  <si>
    <t>Early Learning -&gt; EL Child -&gt; Enrollment
K12 -&gt; K12 Student -&gt; Economically Disadvantaged</t>
  </si>
  <si>
    <t>Early Learning -&gt; Parent/Guardian -&gt; Relationship
K12 -&gt; Parent/Guardian -&gt; Relationship
Postsecondary -&gt; Parent/Guardian -&gt; Relationship</t>
  </si>
  <si>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</si>
  <si>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Early Learning -&gt; Staff Quality
K-12 -&gt; High School Generated Transcript
K-12 -&gt; LEA-to-LEA Student Record Exchange
K-12 -&gt; LEA-to-SEA Student Record Exchange</t>
  </si>
  <si>
    <t>Persistence and Attainment of Nontraditional Students
Postsecondary Education -&gt; Student Achievement Measure</t>
  </si>
  <si>
    <t>Postsecondary Education -&gt; IPEDS
Postsecondary Education -&gt; Student Achievement Measure</t>
  </si>
  <si>
    <t>Postsecondary Education -&gt; IPEDS -&gt; Graduation Rate
Postsecondary Education -&gt; IPEDS -&gt; Student Financial Aid</t>
  </si>
  <si>
    <t>Early Learning -&gt; Program Compliance
Early Learning -&gt; Program Entry
K-12 -&gt; EDFacts
K-12 -&gt; LEA-to-LEA Student Record Exchange
K-12 -&gt; LEA-to-SEA Student Record Exchange</t>
  </si>
  <si>
    <t>Early Learning -&gt; EL Staff -&gt; Professional Development Activity
K12 -&gt; K12 Staff -&gt; Professional Development Activity</t>
  </si>
  <si>
    <t>Early Learning -&gt; EL Staff -&gt; Professional Development Activity -&gt; Session
K12 -&gt; K12 Staff -&gt; Professional Development Activity -&gt; Session</t>
  </si>
  <si>
    <t>Early Learning -&gt; EL Staff -&gt; Professional Development Activity -&gt; Session - Location
K12 -&gt; K12 Staff -&gt; Professional Development Activity -&gt; Session - Location</t>
  </si>
  <si>
    <t>Assessments -&gt; Assessment Item -&gt; Assessment Item Response
K12 -&gt; K12 Student -&gt; Academic Record</t>
  </si>
  <si>
    <t>Early Learning -&gt; Program Quality
School Readiness</t>
  </si>
  <si>
    <t>K12 -&gt; K12 School -&gt; Institution Characteristics
K12 -&gt; K12 Student -&gt; Enrollment
K12 -&gt; LEA -&gt; Programs and Services</t>
  </si>
  <si>
    <t>K-12 -&gt; EDFacts
Postsecondary Education -&gt; Student Achievement Measure</t>
  </si>
  <si>
    <t>K-12 -&gt; EDFacts
Postsecondary Education -&gt; Student Achievement Measure
School Readiness</t>
  </si>
  <si>
    <t>Career and Technical -&gt; Program
K12 -&gt; K12 Staff -&gt; Credential or License
K12 -&gt; Program</t>
  </si>
  <si>
    <t>Assessments -&gt; Assessment Item -&gt; Rubric
Assessments -&gt; Rubric</t>
  </si>
  <si>
    <t>Career and Technical -&gt; Course
K12 -&gt; K12 Course
K12 -&gt; K12 Student -&gt; Graduation Plan -&gt; Course</t>
  </si>
  <si>
    <t>K12 -&gt; K12 Course
K12 -&gt; K12 Student -&gt; Graduation Plan -&gt; Course</t>
  </si>
  <si>
    <t>Assessments -&gt; Assessment Administration
Assessments -&gt; Assessment Registration
Assessments -&gt; Assessment Session
K12 -&gt; K12 School -&gt; Identification
K12 -&gt; K12 Staff -&gt; Assignment
K12 -&gt; K12 Student -&gt; Enrollment
Postsecondary -&gt; PS Student -&gt; K12 Transcript</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</si>
  <si>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</si>
  <si>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K12 -&gt; Calendar -&gt; Session
K12 -&gt; K12 School -&gt; Accountability
K12 -&gt; K12 School -&gt; Session
K12 -&gt; LEA -&gt; Accountability
K12 -&gt; SEA -&gt; Accountability</t>
  </si>
  <si>
    <t>Early Learning -&gt; EL Child -&gt; Services -&gt; Service Partners
Early Learning -&gt; EL Organization -&gt; Service Partners</t>
  </si>
  <si>
    <t>Early Learning -&gt; EL Organization -&gt; Organization Information
K12 -&gt; Calendar -&gt; Session</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</si>
  <si>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</si>
  <si>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Adult Education -&gt; AE Student -&gt; Status
Career and Technical -&gt; CTE Student -&gt; Program Participation
K12 -&gt; K12 Student -&gt; CTE
Postsecondary -&gt; PS Student -&gt; Demographic</t>
  </si>
  <si>
    <t>Postsecondary Education -&gt; Complete College America
Postsecondary Education -&gt; IPEDS
Postsecondary Education -&gt; IPEDS -&gt; HR</t>
  </si>
  <si>
    <t>Early Learning -&gt; EL Child -&gt; Services
K12 -&gt; K12 Student -&gt; IDEA</t>
  </si>
  <si>
    <t>Early Learning -&gt; EL Staff -&gt; Employment
K12 -&gt; K12 Staff -&gt; Assignment</t>
  </si>
  <si>
    <t>K-12 -&gt; Civil Rights Data Collection
K-12 -&gt; Teacher Compensation Survey</t>
  </si>
  <si>
    <t>Early Learning -&gt; Staff Quality
K-12 -&gt; LEA-to-LEA Student Record Exchange
K-12 -&gt; LEA-to-SEA Student Record Exchange
K-12 -&gt; Teacher Compensation Survey
K-12 -&gt; Teacher-Student Data Link -&gt; Staff Assignment</t>
  </si>
  <si>
    <t>Early Learning -&gt; Staff Quality
K-12 -&gt; LEA-to-LEA Student Record Exchange
K-12 -&gt; LEA-to-SEA Student Record Exchange
K-12 -&gt; Teacher Compensation Survey
K-12 -&gt; Teacher-Student Data Link -&gt; Staff Assignment
Postsecondary Education -&gt; IPEDS -&gt; HR</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</si>
  <si>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</si>
  <si>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Assessments -&gt; Assessment Registration
K12 -&gt; SEA -&gt; Identification</t>
  </si>
  <si>
    <t>Early Learning -&gt; Staff Quality
K-12 -&gt; EDFacts
K-12 -&gt; Teacher Compensation Survey</t>
  </si>
  <si>
    <t>K-12 -&gt; Consolidated State Performance Report
K-12 -&gt; EDFacts</t>
  </si>
  <si>
    <t>K12 -&gt; K12 Student -&gt; Economically Disadvantaged
K12 -&gt; K12 Student -&gt; Homeless
K12 -&gt; K12 Student -&gt; Immigrant</t>
  </si>
  <si>
    <t>K-12 -&gt; High School Generated Transcript
K-12 -&gt; LEA-to-LEA Student Record Exchange
K-12 -&gt; LEA-to-SEA Student Record Exchange
K-12 -&gt; Teacher-Student Data Link -&gt; Enrollment
Postsecondary Education -&gt; Transition</t>
  </si>
  <si>
    <t>Career and Technical -&gt; CTE Staff -&gt; Credential or License
K12 -&gt; K12 Staff -&gt; Credential or License
Postsecondary -&gt; PS Student -&gt; Teacher Education/Preparation</t>
  </si>
  <si>
    <t>K12 -&gt; K12 Staff -&gt; Credential or License
Postsecondary -&gt; PS Student -&gt; Teacher Education/Preparation</t>
  </si>
  <si>
    <t>Early Learning -&gt; EL Organization -&gt; Professional Development
K12 -&gt; K12 School -&gt; Technical Assistance
K12 -&gt; K12 Staff -&gt; Technical Assistance
K12 -&gt; LEA -&gt; Technical Assistance</t>
  </si>
  <si>
    <t>K12 -&gt; K12 School -&gt; Institution Characteristics
K12 -&gt; LEA -&gt; Programs and Services</t>
  </si>
  <si>
    <t>Postsecondary -&gt; PS Staff -&gt; Demographic
Postsecondary -&gt; PS Student -&gt; Demographic</t>
  </si>
  <si>
    <t>Postsecondary Education -&gt; IPEDS
Postsecondary Education -&gt; IPEDS -&gt; HR</t>
  </si>
  <si>
    <t>Element Name</t>
  </si>
  <si>
    <t>Definition</t>
  </si>
  <si>
    <t>Option Set</t>
  </si>
  <si>
    <t>Domain -&gt; Entity -&gt; Category</t>
  </si>
  <si>
    <t>Status</t>
  </si>
  <si>
    <t>Format</t>
  </si>
  <si>
    <t>Change Notes</t>
  </si>
  <si>
    <t>Usage Notes</t>
  </si>
  <si>
    <t>Global ID</t>
  </si>
  <si>
    <t>Alternate Name</t>
  </si>
  <si>
    <t>Technical Name</t>
  </si>
  <si>
    <t>Use Case/Connection</t>
  </si>
  <si>
    <t>URL</t>
  </si>
  <si>
    <t>Submit a Comment</t>
  </si>
  <si>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</si>
  <si>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</si>
  <si>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</si>
  <si>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</si>
  <si>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</si>
  <si>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</si>
  <si>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</si>
  <si>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</si>
  <si>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</si>
  <si>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</si>
  <si>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</si>
  <si>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</si>
  <si>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</si>
  <si>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</si>
  <si>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</si>
  <si>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</si>
  <si>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</si>
  <si>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</si>
  <si>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</si>
  <si>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</si>
  <si>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</si>
  <si>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</si>
  <si>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</si>
  <si>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</si>
  <si>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</si>
  <si>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</si>
  <si>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</si>
  <si>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r>
      <t>Mild</t>
    </r>
    <r>
      <rPr>
        <sz val="11"/>
        <color theme="1"/>
        <rFont val="Calibri"/>
        <family val="2"/>
        <scheme val="minor"/>
      </rPr>
      <t xml:space="preserve"> - Mild allergic reaction
</t>
    </r>
    <r>
      <rPr>
        <b/>
        <sz val="11"/>
        <color theme="1"/>
        <rFont val="Calibri"/>
        <family val="2"/>
        <scheme val="minor"/>
      </rPr>
      <t>Severe</t>
    </r>
    <r>
      <rPr>
        <sz val="11"/>
        <color theme="1"/>
        <rFont val="Calibri"/>
        <family val="2"/>
        <scheme val="minor"/>
      </rPr>
      <t xml:space="preserve"> - Severe allergic reaction
</t>
    </r>
  </si>
  <si>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</si>
  <si>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</si>
  <si>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</si>
  <si>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</si>
  <si>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</si>
  <si>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</si>
  <si>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</si>
  <si>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</si>
  <si>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</si>
  <si>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r>
      <t>01</t>
    </r>
    <r>
      <rPr>
        <sz val="11"/>
        <color theme="1"/>
        <rFont val="Calibri"/>
        <family val="2"/>
        <scheme val="minor"/>
      </rPr>
      <t xml:space="preserve"> - Language and Literacy
</t>
    </r>
    <r>
      <rPr>
        <b/>
        <sz val="11"/>
        <color theme="1"/>
        <rFont val="Calibri"/>
        <family val="2"/>
        <scheme val="minor"/>
      </rPr>
      <t>02</t>
    </r>
    <r>
      <rPr>
        <sz val="11"/>
        <color theme="1"/>
        <rFont val="Calibri"/>
        <family val="2"/>
        <scheme val="minor"/>
      </rPr>
      <t xml:space="preserve"> - Cognition and General Knowledge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t>
    </r>
    <r>
      <rPr>
        <b/>
        <sz val="11"/>
        <color theme="1"/>
        <rFont val="Calibri"/>
        <family val="2"/>
        <scheme val="minor"/>
      </rPr>
      <t>05</t>
    </r>
    <r>
      <rPr>
        <sz val="11"/>
        <color theme="1"/>
        <rFont val="Calibri"/>
        <family val="2"/>
        <scheme val="minor"/>
      </rPr>
      <t xml:space="preserve"> - Social and Emotional Development
</t>
    </r>
  </si>
  <si>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</si>
  <si>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</si>
  <si>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</si>
  <si>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</si>
  <si>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</si>
  <si>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</si>
  <si>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</si>
  <si>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</si>
  <si>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</si>
  <si>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</si>
  <si>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Graphic</t>
    </r>
    <r>
      <rPr>
        <sz val="11"/>
        <color theme="1"/>
        <rFont val="Calibri"/>
        <family val="2"/>
        <scheme val="minor"/>
      </rPr>
      <t xml:space="preserve"> - Graphic
</t>
    </r>
    <r>
      <rPr>
        <b/>
        <sz val="11"/>
        <color theme="1"/>
        <rFont val="Calibri"/>
        <family val="2"/>
        <scheme val="minor"/>
      </rPr>
      <t>Text</t>
    </r>
    <r>
      <rPr>
        <sz val="11"/>
        <color theme="1"/>
        <rFont val="Calibri"/>
        <family val="2"/>
        <scheme val="minor"/>
      </rPr>
      <t xml:space="preserve"> - Text
</t>
    </r>
    <r>
      <rPr>
        <b/>
        <sz val="11"/>
        <color theme="1"/>
        <rFont val="Calibri"/>
        <family val="2"/>
        <scheme val="minor"/>
      </rPr>
      <t>Interactive</t>
    </r>
    <r>
      <rPr>
        <sz val="11"/>
        <color theme="1"/>
        <rFont val="Calibri"/>
        <family val="2"/>
        <scheme val="minor"/>
      </rPr>
      <t xml:space="preserve"> - Interactive
</t>
    </r>
  </si>
  <si>
    <r>
      <t>Contracted</t>
    </r>
    <r>
      <rPr>
        <sz val="11"/>
        <color theme="1"/>
        <rFont val="Calibri"/>
        <family val="2"/>
        <scheme val="minor"/>
      </rPr>
      <t xml:space="preserve"> - Contracted
</t>
    </r>
    <r>
      <rPr>
        <b/>
        <sz val="11"/>
        <color theme="1"/>
        <rFont val="Calibri"/>
        <family val="2"/>
        <scheme val="minor"/>
      </rPr>
      <t>Uncontracted</t>
    </r>
    <r>
      <rPr>
        <sz val="11"/>
        <color theme="1"/>
        <rFont val="Calibri"/>
        <family val="2"/>
        <scheme val="minor"/>
      </rPr>
      <t xml:space="preserve"> - Uncontracted
</t>
    </r>
  </si>
  <si>
    <r>
      <t>Highlight</t>
    </r>
    <r>
      <rPr>
        <sz val="11"/>
        <color theme="1"/>
        <rFont val="Calibri"/>
        <family val="2"/>
        <scheme val="minor"/>
      </rPr>
      <t xml:space="preserve"> - Highlight
</t>
    </r>
    <r>
      <rPr>
        <b/>
        <sz val="11"/>
        <color theme="1"/>
        <rFont val="Calibri"/>
        <family val="2"/>
        <scheme val="minor"/>
      </rPr>
      <t>Bold</t>
    </r>
    <r>
      <rPr>
        <sz val="11"/>
        <color theme="1"/>
        <rFont val="Calibri"/>
        <family val="2"/>
        <scheme val="minor"/>
      </rPr>
      <t xml:space="preserve"> - Bold
</t>
    </r>
    <r>
      <rPr>
        <b/>
        <sz val="11"/>
        <color theme="1"/>
        <rFont val="Calibri"/>
        <family val="2"/>
        <scheme val="minor"/>
      </rPr>
      <t>Underline</t>
    </r>
    <r>
      <rPr>
        <sz val="11"/>
        <color theme="1"/>
        <rFont val="Calibri"/>
        <family val="2"/>
        <scheme val="minor"/>
      </rPr>
      <t xml:space="preserve"> - Underline
</t>
    </r>
    <r>
      <rPr>
        <b/>
        <sz val="11"/>
        <color theme="1"/>
        <rFont val="Calibri"/>
        <family val="2"/>
        <scheme val="minor"/>
      </rPr>
      <t>Italic</t>
    </r>
    <r>
      <rPr>
        <sz val="11"/>
        <color theme="1"/>
        <rFont val="Calibri"/>
        <family val="2"/>
        <scheme val="minor"/>
      </rPr>
      <t xml:space="preserve"> - Italic
</t>
    </r>
    <r>
      <rPr>
        <b/>
        <sz val="11"/>
        <color theme="1"/>
        <rFont val="Calibri"/>
        <family val="2"/>
        <scheme val="minor"/>
      </rPr>
      <t>Strikeout</t>
    </r>
    <r>
      <rPr>
        <sz val="11"/>
        <color theme="1"/>
        <rFont val="Calibri"/>
        <family val="2"/>
        <scheme val="minor"/>
      </rPr>
      <t xml:space="preserve"> - Strikeout
</t>
    </r>
    <r>
      <rPr>
        <b/>
        <sz val="11"/>
        <color theme="1"/>
        <rFont val="Calibri"/>
        <family val="2"/>
        <scheme val="minor"/>
      </rPr>
      <t>Color</t>
    </r>
    <r>
      <rPr>
        <sz val="11"/>
        <color theme="1"/>
        <rFont val="Calibri"/>
        <family val="2"/>
        <scheme val="minor"/>
      </rPr>
      <t xml:space="preserve"> - Color
</t>
    </r>
  </si>
  <si>
    <r>
      <t>Off</t>
    </r>
    <r>
      <rPr>
        <sz val="11"/>
        <color theme="1"/>
        <rFont val="Calibri"/>
        <family val="2"/>
        <scheme val="minor"/>
      </rPr>
      <t xml:space="preserve"> - Off
</t>
    </r>
    <r>
      <rPr>
        <b/>
        <sz val="11"/>
        <color theme="1"/>
        <rFont val="Calibri"/>
        <family val="2"/>
        <scheme val="minor"/>
      </rPr>
      <t>Left</t>
    </r>
    <r>
      <rPr>
        <sz val="11"/>
        <color theme="1"/>
        <rFont val="Calibri"/>
        <family val="2"/>
        <scheme val="minor"/>
      </rPr>
      <t xml:space="preserve"> - Left
</t>
    </r>
    <r>
      <rPr>
        <b/>
        <sz val="11"/>
        <color theme="1"/>
        <rFont val="Calibri"/>
        <family val="2"/>
        <scheme val="minor"/>
      </rPr>
      <t>Right</t>
    </r>
    <r>
      <rPr>
        <sz val="11"/>
        <color theme="1"/>
        <rFont val="Calibri"/>
        <family val="2"/>
        <scheme val="minor"/>
      </rPr>
      <t xml:space="preserve"> - Right
</t>
    </r>
  </si>
  <si>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</si>
  <si>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r>
      <t>Line</t>
    </r>
    <r>
      <rPr>
        <sz val="11"/>
        <color theme="1"/>
        <rFont val="Calibri"/>
        <family val="2"/>
        <scheme val="minor"/>
      </rPr>
      <t xml:space="preserve"> - Line
</t>
    </r>
    <r>
      <rPr>
        <b/>
        <sz val="11"/>
        <color theme="1"/>
        <rFont val="Calibri"/>
        <family val="2"/>
        <scheme val="minor"/>
      </rPr>
      <t>Word</t>
    </r>
    <r>
      <rPr>
        <sz val="11"/>
        <color theme="1"/>
        <rFont val="Calibri"/>
        <family val="2"/>
        <scheme val="minor"/>
      </rPr>
      <t xml:space="preserve"> - Word
</t>
    </r>
    <r>
      <rPr>
        <b/>
        <sz val="11"/>
        <color theme="1"/>
        <rFont val="Calibri"/>
        <family val="2"/>
        <scheme val="minor"/>
      </rPr>
      <t>Character</t>
    </r>
    <r>
      <rPr>
        <sz val="11"/>
        <color theme="1"/>
        <rFont val="Calibri"/>
        <family val="2"/>
        <scheme val="minor"/>
      </rPr>
      <t xml:space="preserve"> - Character
</t>
    </r>
  </si>
  <si>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</si>
  <si>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</si>
  <si>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r>
      <t>6</t>
    </r>
    <r>
      <rPr>
        <sz val="11"/>
        <color theme="1"/>
        <rFont val="Calibri"/>
        <family val="2"/>
        <scheme val="minor"/>
      </rPr>
      <t xml:space="preserve"> - Six Braille Dots
</t>
    </r>
    <r>
      <rPr>
        <b/>
        <sz val="11"/>
        <color theme="1"/>
        <rFont val="Calibri"/>
        <family val="2"/>
        <scheme val="minor"/>
      </rPr>
      <t>8</t>
    </r>
    <r>
      <rPr>
        <sz val="11"/>
        <color theme="1"/>
        <rFont val="Calibri"/>
        <family val="2"/>
        <scheme val="minor"/>
      </rPr>
      <t xml:space="preserve"> - Eight Braille Dots
</t>
    </r>
  </si>
  <si>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</si>
  <si>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r>
      <t>Human</t>
    </r>
    <r>
      <rPr>
        <sz val="11"/>
        <color theme="1"/>
        <rFont val="Calibri"/>
        <family val="2"/>
        <scheme val="minor"/>
      </rPr>
      <t xml:space="preserve"> - Human
</t>
    </r>
    <r>
      <rPr>
        <b/>
        <sz val="11"/>
        <color theme="1"/>
        <rFont val="Calibri"/>
        <family val="2"/>
        <scheme val="minor"/>
      </rPr>
      <t>Synthetic</t>
    </r>
    <r>
      <rPr>
        <sz val="11"/>
        <color theme="1"/>
        <rFont val="Calibri"/>
        <family val="2"/>
        <scheme val="minor"/>
      </rPr>
      <t xml:space="preserve"> - Synthetic
</t>
    </r>
  </si>
  <si>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</si>
  <si>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</si>
  <si>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</si>
  <si>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r>
      <t>Paper</t>
    </r>
    <r>
      <rPr>
        <sz val="11"/>
        <color theme="1"/>
        <rFont val="Calibri"/>
        <family val="2"/>
        <scheme val="minor"/>
      </rPr>
      <t xml:space="preserve"> - Paper
</t>
    </r>
    <r>
      <rPr>
        <b/>
        <sz val="11"/>
        <color theme="1"/>
        <rFont val="Calibri"/>
        <family val="2"/>
        <scheme val="minor"/>
      </rPr>
      <t>Computer</t>
    </r>
    <r>
      <rPr>
        <sz val="11"/>
        <color theme="1"/>
        <rFont val="Calibri"/>
        <family val="2"/>
        <scheme val="minor"/>
      </rPr>
      <t xml:space="preserve"> - Computer
</t>
    </r>
    <r>
      <rPr>
        <b/>
        <sz val="11"/>
        <color theme="1"/>
        <rFont val="Calibri"/>
        <family val="2"/>
        <scheme val="minor"/>
      </rPr>
      <t>Mobile</t>
    </r>
    <r>
      <rPr>
        <sz val="11"/>
        <color theme="1"/>
        <rFont val="Calibri"/>
        <family val="2"/>
        <scheme val="minor"/>
      </rPr>
      <t xml:space="preserve"> - Mobile
</t>
    </r>
    <r>
      <rPr>
        <b/>
        <sz val="11"/>
        <color theme="1"/>
        <rFont val="Calibri"/>
        <family val="2"/>
        <scheme val="minor"/>
      </rPr>
      <t>Clicker</t>
    </r>
    <r>
      <rPr>
        <sz val="11"/>
        <color theme="1"/>
        <rFont val="Calibri"/>
        <family val="2"/>
        <scheme val="minor"/>
      </rPr>
      <t xml:space="preserve"> - Clicker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Handheld</t>
    </r>
    <r>
      <rPr>
        <sz val="11"/>
        <color theme="1"/>
        <rFont val="Calibri"/>
        <family val="2"/>
        <scheme val="minor"/>
      </rPr>
      <t xml:space="preserve"> - Handheld
</t>
    </r>
    <r>
      <rPr>
        <b/>
        <sz val="11"/>
        <color theme="1"/>
        <rFont val="Calibri"/>
        <family val="2"/>
        <scheme val="minor"/>
      </rPr>
      <t>Tablet</t>
    </r>
    <r>
      <rPr>
        <sz val="11"/>
        <color theme="1"/>
        <rFont val="Calibri"/>
        <family val="2"/>
        <scheme val="minor"/>
      </rPr>
      <t xml:space="preserve"> - Tablet
</t>
    </r>
  </si>
  <si>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</si>
  <si>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</si>
  <si>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r>
      <t>Appeal</t>
    </r>
    <r>
      <rPr>
        <sz val="11"/>
        <color theme="1"/>
        <rFont val="Calibri"/>
        <family val="2"/>
        <scheme val="minor"/>
      </rPr>
      <t xml:space="preserve"> - Appeal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Expired</t>
    </r>
    <r>
      <rPr>
        <sz val="11"/>
        <color theme="1"/>
        <rFont val="Calibri"/>
        <family val="2"/>
        <scheme val="minor"/>
      </rPr>
      <t xml:space="preserve"> - Expired
</t>
    </r>
    <r>
      <rPr>
        <b/>
        <sz val="11"/>
        <color theme="1"/>
        <rFont val="Calibri"/>
        <family val="2"/>
        <scheme val="minor"/>
      </rPr>
      <t>Handscoring</t>
    </r>
    <r>
      <rPr>
        <sz val="11"/>
        <color theme="1"/>
        <rFont val="Calibri"/>
        <family val="2"/>
        <scheme val="minor"/>
      </rPr>
      <t xml:space="preserve"> - Handscoring
</t>
    </r>
    <r>
      <rPr>
        <b/>
        <sz val="11"/>
        <color theme="1"/>
        <rFont val="Calibri"/>
        <family val="2"/>
        <scheme val="minor"/>
      </rPr>
      <t>Invalidated</t>
    </r>
    <r>
      <rPr>
        <sz val="11"/>
        <color theme="1"/>
        <rFont val="Calibri"/>
        <family val="2"/>
        <scheme val="minor"/>
      </rPr>
      <t xml:space="preserve"> - Invalidated
</t>
    </r>
    <r>
      <rPr>
        <b/>
        <sz val="11"/>
        <color theme="1"/>
        <rFont val="Calibri"/>
        <family val="2"/>
        <scheme val="minor"/>
      </rPr>
      <t>Paused</t>
    </r>
    <r>
      <rPr>
        <sz val="11"/>
        <color theme="1"/>
        <rFont val="Calibri"/>
        <family val="2"/>
        <scheme val="minor"/>
      </rPr>
      <t xml:space="preserve"> - Paused
</t>
    </r>
    <r>
      <rPr>
        <b/>
        <sz val="11"/>
        <color theme="1"/>
        <rFont val="Calibri"/>
        <family val="2"/>
        <scheme val="minor"/>
      </rPr>
      <t>Reported</t>
    </r>
    <r>
      <rPr>
        <sz val="11"/>
        <color theme="1"/>
        <rFont val="Calibri"/>
        <family val="2"/>
        <scheme val="minor"/>
      </rPr>
      <t xml:space="preserve"> - Reported
</t>
    </r>
    <r>
      <rPr>
        <b/>
        <sz val="11"/>
        <color theme="1"/>
        <rFont val="Calibri"/>
        <family val="2"/>
        <scheme val="minor"/>
      </rPr>
      <t>Reset</t>
    </r>
    <r>
      <rPr>
        <sz val="11"/>
        <color theme="1"/>
        <rFont val="Calibri"/>
        <family val="2"/>
        <scheme val="minor"/>
      </rPr>
      <t xml:space="preserve"> - Reset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Submitted</t>
    </r>
    <r>
      <rPr>
        <sz val="11"/>
        <color theme="1"/>
        <rFont val="Calibri"/>
        <family val="2"/>
        <scheme val="minor"/>
      </rPr>
      <t xml:space="preserve"> - Submitted
</t>
    </r>
  </si>
  <si>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</si>
  <si>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</si>
  <si>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Participated in an out of level test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</si>
  <si>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r>
      <t>Integer</t>
    </r>
    <r>
      <rPr>
        <sz val="11"/>
        <color theme="1"/>
        <rFont val="Calibri"/>
        <family val="2"/>
        <scheme val="minor"/>
      </rPr>
      <t xml:space="preserve"> - Integer
</t>
    </r>
    <r>
      <rPr>
        <b/>
        <sz val="11"/>
        <color theme="1"/>
        <rFont val="Calibri"/>
        <family val="2"/>
        <scheme val="minor"/>
      </rPr>
      <t>Decimal</t>
    </r>
    <r>
      <rPr>
        <sz val="11"/>
        <color theme="1"/>
        <rFont val="Calibri"/>
        <family val="2"/>
        <scheme val="minor"/>
      </rPr>
      <t xml:space="preserve"> - Decimal
</t>
    </r>
    <r>
      <rPr>
        <b/>
        <sz val="11"/>
        <color theme="1"/>
        <rFont val="Calibri"/>
        <family val="2"/>
        <scheme val="minor"/>
      </rPr>
      <t>Percentile</t>
    </r>
    <r>
      <rPr>
        <sz val="11"/>
        <color theme="1"/>
        <rFont val="Calibri"/>
        <family val="2"/>
        <scheme val="minor"/>
      </rPr>
      <t xml:space="preserve"> - Percentile
</t>
    </r>
    <r>
      <rPr>
        <b/>
        <sz val="11"/>
        <color theme="1"/>
        <rFont val="Calibri"/>
        <family val="2"/>
        <scheme val="minor"/>
      </rPr>
      <t>String</t>
    </r>
    <r>
      <rPr>
        <sz val="11"/>
        <color theme="1"/>
        <rFont val="Calibri"/>
        <family val="2"/>
        <scheme val="minor"/>
      </rPr>
      <t xml:space="preserve"> - String
</t>
    </r>
  </si>
  <si>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</si>
  <si>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</si>
  <si>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</si>
  <si>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r>
      <t>Teacher</t>
    </r>
    <r>
      <rPr>
        <sz val="11"/>
        <color theme="1"/>
        <rFont val="Calibri"/>
        <family val="2"/>
        <scheme val="minor"/>
      </rPr>
      <t xml:space="preserve"> - Teacher
</t>
    </r>
    <r>
      <rPr>
        <b/>
        <sz val="11"/>
        <color theme="1"/>
        <rFont val="Calibri"/>
        <family val="2"/>
        <scheme val="minor"/>
      </rPr>
      <t>Principal</t>
    </r>
    <r>
      <rPr>
        <sz val="11"/>
        <color theme="1"/>
        <rFont val="Calibri"/>
        <family val="2"/>
        <scheme val="minor"/>
      </rPr>
      <t xml:space="preserve"> - Principal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Proctor</t>
    </r>
    <r>
      <rPr>
        <sz val="11"/>
        <color theme="1"/>
        <rFont val="Calibri"/>
        <family val="2"/>
        <scheme val="minor"/>
      </rPr>
      <t xml:space="preserve"> - Proctor
</t>
    </r>
    <r>
      <rPr>
        <b/>
        <sz val="11"/>
        <color theme="1"/>
        <rFont val="Calibri"/>
        <family val="2"/>
        <scheme val="minor"/>
      </rPr>
      <t>Observer</t>
    </r>
    <r>
      <rPr>
        <sz val="11"/>
        <color theme="1"/>
        <rFont val="Calibri"/>
        <family val="2"/>
        <scheme val="minor"/>
      </rPr>
      <t xml:space="preserve"> - Observer
</t>
    </r>
    <r>
      <rPr>
        <b/>
        <sz val="11"/>
        <color theme="1"/>
        <rFont val="Calibri"/>
        <family val="2"/>
        <scheme val="minor"/>
      </rPr>
      <t>Scorer</t>
    </r>
    <r>
      <rPr>
        <sz val="11"/>
        <color theme="1"/>
        <rFont val="Calibri"/>
        <family val="2"/>
        <scheme val="minor"/>
      </rPr>
      <t xml:space="preserve"> - Scorer
</t>
    </r>
    <r>
      <rPr>
        <b/>
        <sz val="11"/>
        <color theme="1"/>
        <rFont val="Calibri"/>
        <family val="2"/>
        <scheme val="minor"/>
      </rPr>
      <t>Registrar</t>
    </r>
    <r>
      <rPr>
        <sz val="11"/>
        <color theme="1"/>
        <rFont val="Calibri"/>
        <family val="2"/>
        <scheme val="minor"/>
      </rPr>
      <t xml:space="preserve"> - Registrar
</t>
    </r>
  </si>
  <si>
    <r>
      <t>Standard</t>
    </r>
    <r>
      <rPr>
        <sz val="11"/>
        <color theme="1"/>
        <rFont val="Calibri"/>
        <family val="2"/>
        <scheme val="minor"/>
      </rPr>
      <t xml:space="preserve"> - Standard
</t>
    </r>
    <r>
      <rPr>
        <b/>
        <sz val="11"/>
        <color theme="1"/>
        <rFont val="Calibri"/>
        <family val="2"/>
        <scheme val="minor"/>
      </rPr>
      <t>Accommodation</t>
    </r>
    <r>
      <rPr>
        <sz val="11"/>
        <color theme="1"/>
        <rFont val="Calibri"/>
        <family val="2"/>
        <scheme val="minor"/>
      </rPr>
      <t xml:space="preserve"> - Accommodation
</t>
    </r>
  </si>
  <si>
    <r>
      <t>Client</t>
    </r>
    <r>
      <rPr>
        <sz val="11"/>
        <color theme="1"/>
        <rFont val="Calibri"/>
        <family val="2"/>
        <scheme val="minor"/>
      </rPr>
      <t xml:space="preserve"> - Client
</t>
    </r>
    <r>
      <rPr>
        <b/>
        <sz val="11"/>
        <color theme="1"/>
        <rFont val="Calibri"/>
        <family val="2"/>
        <scheme val="minor"/>
      </rPr>
      <t>Publisher</t>
    </r>
    <r>
      <rPr>
        <sz val="11"/>
        <color theme="1"/>
        <rFont val="Calibri"/>
        <family val="2"/>
        <scheme val="minor"/>
      </rPr>
      <t xml:space="preserve"> - Publisher
</t>
    </r>
    <r>
      <rPr>
        <b/>
        <sz val="11"/>
        <color theme="1"/>
        <rFont val="Calibri"/>
        <family val="2"/>
        <scheme val="minor"/>
      </rPr>
      <t>Internal</t>
    </r>
    <r>
      <rPr>
        <sz val="11"/>
        <color theme="1"/>
        <rFont val="Calibri"/>
        <family val="2"/>
        <scheme val="minor"/>
      </rPr>
      <t xml:space="preserve"> - Internal
</t>
    </r>
    <r>
      <rPr>
        <b/>
        <sz val="11"/>
        <color theme="1"/>
        <rFont val="Calibri"/>
        <family val="2"/>
        <scheme val="minor"/>
      </rPr>
      <t>Other</t>
    </r>
    <r>
      <rPr>
        <sz val="11"/>
        <color theme="1"/>
        <rFont val="Calibri"/>
        <family val="2"/>
        <scheme val="minor"/>
      </rPr>
      <t xml:space="preserve"> - Other
</t>
    </r>
  </si>
  <si>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</si>
  <si>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</si>
  <si>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</si>
  <si>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</si>
  <si>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</si>
  <si>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</si>
  <si>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</si>
  <si>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</si>
  <si>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</si>
  <si>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</si>
  <si>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</si>
  <si>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</si>
  <si>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</si>
  <si>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r>
      <t>State</t>
    </r>
    <r>
      <rPr>
        <sz val="11"/>
        <color theme="1"/>
        <rFont val="Calibri"/>
        <family val="2"/>
        <scheme val="minor"/>
      </rPr>
      <t xml:space="preserve"> - State board of education
</t>
    </r>
    <r>
      <rPr>
        <b/>
        <sz val="11"/>
        <color theme="1"/>
        <rFont val="Calibri"/>
        <family val="2"/>
        <scheme val="minor"/>
      </rPr>
      <t>PublicCharterBoard</t>
    </r>
    <r>
      <rPr>
        <sz val="11"/>
        <color theme="1"/>
        <rFont val="Calibri"/>
        <family val="2"/>
        <scheme val="minor"/>
      </rPr>
      <t xml:space="preserve"> - Public charter school board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</si>
  <si>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r>
      <t>CMO</t>
    </r>
    <r>
      <rPr>
        <sz val="11"/>
        <color theme="1"/>
        <rFont val="Calibri"/>
        <family val="2"/>
        <scheme val="minor"/>
      </rPr>
      <t xml:space="preserve"> - Charter Management Organization
</t>
    </r>
    <r>
      <rPr>
        <b/>
        <sz val="11"/>
        <color theme="1"/>
        <rFont val="Calibri"/>
        <family val="2"/>
        <scheme val="minor"/>
      </rPr>
      <t>EMO</t>
    </r>
    <r>
      <rPr>
        <sz val="11"/>
        <color theme="1"/>
        <rFont val="Calibri"/>
        <family val="2"/>
        <scheme val="minor"/>
      </rPr>
      <t xml:space="preserve"> - Education Management Organization
</t>
    </r>
    <r>
      <rPr>
        <b/>
        <sz val="11"/>
        <color theme="1"/>
        <rFont val="Calibri"/>
        <family val="2"/>
        <scheme val="minor"/>
      </rPr>
      <t>Other</t>
    </r>
    <r>
      <rPr>
        <sz val="11"/>
        <color theme="1"/>
        <rFont val="Calibri"/>
        <family val="2"/>
        <scheme val="minor"/>
      </rPr>
      <t xml:space="preserve"> - Other Management Organization
</t>
    </r>
  </si>
  <si>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</si>
  <si>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06</t>
    </r>
    <r>
      <rPr>
        <sz val="11"/>
        <color theme="1"/>
        <rFont val="Calibri"/>
        <family val="2"/>
        <scheme val="minor"/>
      </rPr>
      <t xml:space="preserve"> - Other
</t>
    </r>
    <r>
      <rPr>
        <b/>
        <sz val="11"/>
        <color theme="1"/>
        <rFont val="Calibri"/>
        <family val="2"/>
        <scheme val="minor"/>
      </rPr>
      <t>07</t>
    </r>
    <r>
      <rPr>
        <sz val="11"/>
        <color theme="1"/>
        <rFont val="Calibri"/>
        <family val="2"/>
        <scheme val="minor"/>
      </rPr>
      <t xml:space="preserve"> - Bilingual
</t>
    </r>
    <r>
      <rPr>
        <b/>
        <sz val="11"/>
        <color theme="1"/>
        <rFont val="Calibri"/>
        <family val="2"/>
        <scheme val="minor"/>
      </rPr>
      <t>99</t>
    </r>
    <r>
      <rPr>
        <sz val="11"/>
        <color theme="1"/>
        <rFont val="Calibri"/>
        <family val="2"/>
        <scheme val="minor"/>
      </rPr>
      <t xml:space="preserve"> - No current CDA indicated
</t>
    </r>
  </si>
  <si>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r>
      <rPr>
        <b/>
        <sz val="11"/>
        <color theme="1"/>
        <rFont val="Calibri"/>
        <family val="2"/>
        <scheme val="minor"/>
      </rPr>
      <t>AssessmentToolUnavailable</t>
    </r>
    <r>
      <rPr>
        <sz val="11"/>
        <color theme="1"/>
        <rFont val="Calibri"/>
        <family val="2"/>
        <scheme val="minor"/>
      </rPr>
      <t xml:space="preserve"> - Appropriate Assessment Tool Unavailable
</t>
    </r>
    <r>
      <rPr>
        <b/>
        <sz val="11"/>
        <color theme="1"/>
        <rFont val="Calibri"/>
        <family val="2"/>
        <scheme val="minor"/>
      </rPr>
      <t>PersonnelUnavailable</t>
    </r>
    <r>
      <rPr>
        <sz val="11"/>
        <color theme="1"/>
        <rFont val="Calibri"/>
        <family val="2"/>
        <scheme val="minor"/>
      </rPr>
      <t xml:space="preserve"> - Personnel Unavailable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</si>
  <si>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</si>
  <si>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</si>
  <si>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</si>
  <si>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</si>
  <si>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</si>
  <si>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</si>
  <si>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r>
      <t>Library</t>
    </r>
    <r>
      <rPr>
        <sz val="11"/>
        <color theme="1"/>
        <rFont val="Calibri"/>
        <family val="2"/>
        <scheme val="minor"/>
      </rPr>
      <t xml:space="preserve"> - Library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ChildDevelopmentCenter</t>
    </r>
    <r>
      <rPr>
        <sz val="11"/>
        <color theme="1"/>
        <rFont val="Calibri"/>
        <family val="2"/>
        <scheme val="minor"/>
      </rPr>
      <t xml:space="preserve"> - Child development center
</t>
    </r>
    <r>
      <rPr>
        <b/>
        <sz val="11"/>
        <color theme="1"/>
        <rFont val="Calibri"/>
        <family val="2"/>
        <scheme val="minor"/>
      </rPr>
      <t>Hospital</t>
    </r>
    <r>
      <rPr>
        <sz val="11"/>
        <color theme="1"/>
        <rFont val="Calibri"/>
        <family val="2"/>
        <scheme val="minor"/>
      </rPr>
      <t xml:space="preserve"> - Hospital
</t>
    </r>
    <r>
      <rPr>
        <b/>
        <sz val="11"/>
        <color theme="1"/>
        <rFont val="Calibri"/>
        <family val="2"/>
        <scheme val="minor"/>
      </rPr>
      <t>PublicK12School</t>
    </r>
    <r>
      <rPr>
        <sz val="11"/>
        <color theme="1"/>
        <rFont val="Calibri"/>
        <family val="2"/>
        <scheme val="minor"/>
      </rPr>
      <t xml:space="preserve"> - Public K12 School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</si>
  <si>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r>
      <t>All</t>
    </r>
    <r>
      <rPr>
        <sz val="11"/>
        <color theme="1"/>
        <rFont val="Calibri"/>
        <family val="2"/>
        <scheme val="minor"/>
      </rPr>
      <t xml:space="preserve"> - All
</t>
    </r>
    <r>
      <rPr>
        <b/>
        <sz val="11"/>
        <color theme="1"/>
        <rFont val="Calibri"/>
        <family val="2"/>
        <scheme val="minor"/>
      </rPr>
      <t>AtLeast</t>
    </r>
    <r>
      <rPr>
        <sz val="11"/>
        <color theme="1"/>
        <rFont val="Calibri"/>
        <family val="2"/>
        <scheme val="minor"/>
      </rPr>
      <t xml:space="preserve"> - At Least
</t>
    </r>
  </si>
  <si>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</si>
  <si>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</si>
  <si>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</si>
  <si>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</si>
  <si>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</si>
  <si>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 REPUBLIC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</si>
  <si>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</si>
  <si>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</si>
  <si>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</si>
  <si>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</si>
  <si>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</si>
  <si>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</si>
  <si>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</si>
  <si>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</si>
  <si>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r>
      <t>Lecture</t>
    </r>
    <r>
      <rPr>
        <sz val="11"/>
        <color theme="1"/>
        <rFont val="Calibri"/>
        <family val="2"/>
        <scheme val="minor"/>
      </rPr>
      <t xml:space="preserve"> - Lecture
</t>
    </r>
    <r>
      <rPr>
        <b/>
        <sz val="11"/>
        <color theme="1"/>
        <rFont val="Calibri"/>
        <family val="2"/>
        <scheme val="minor"/>
      </rPr>
      <t>Laboratory</t>
    </r>
    <r>
      <rPr>
        <sz val="11"/>
        <color theme="1"/>
        <rFont val="Calibri"/>
        <family val="2"/>
        <scheme val="minor"/>
      </rPr>
      <t xml:space="preserve"> - Laboratory
</t>
    </r>
    <r>
      <rPr>
        <b/>
        <sz val="11"/>
        <color theme="1"/>
        <rFont val="Calibri"/>
        <family val="2"/>
        <scheme val="minor"/>
      </rPr>
      <t>Seminar</t>
    </r>
    <r>
      <rPr>
        <sz val="11"/>
        <color theme="1"/>
        <rFont val="Calibri"/>
        <family val="2"/>
        <scheme val="minor"/>
      </rPr>
      <t xml:space="preserve"> - Seminar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PrivateStudy</t>
    </r>
    <r>
      <rPr>
        <sz val="11"/>
        <color theme="1"/>
        <rFont val="Calibri"/>
        <family val="2"/>
        <scheme val="minor"/>
      </rPr>
      <t xml:space="preserve"> - Private Study
</t>
    </r>
    <r>
      <rPr>
        <b/>
        <sz val="11"/>
        <color theme="1"/>
        <rFont val="Calibri"/>
        <family val="2"/>
        <scheme val="minor"/>
      </rPr>
      <t>PracticeTeaching</t>
    </r>
    <r>
      <rPr>
        <sz val="11"/>
        <color theme="1"/>
        <rFont val="Calibri"/>
        <family val="2"/>
        <scheme val="minor"/>
      </rPr>
      <t xml:space="preserve"> - Practice Teaching
</t>
    </r>
    <r>
      <rPr>
        <b/>
        <sz val="11"/>
        <color theme="1"/>
        <rFont val="Calibri"/>
        <family val="2"/>
        <scheme val="minor"/>
      </rPr>
      <t>Internship</t>
    </r>
    <r>
      <rPr>
        <sz val="11"/>
        <color theme="1"/>
        <rFont val="Calibri"/>
        <family val="2"/>
        <scheme val="minor"/>
      </rPr>
      <t xml:space="preserve"> - Internship
</t>
    </r>
    <r>
      <rPr>
        <b/>
        <sz val="11"/>
        <color theme="1"/>
        <rFont val="Calibri"/>
        <family val="2"/>
        <scheme val="minor"/>
      </rPr>
      <t>Practicum</t>
    </r>
    <r>
      <rPr>
        <sz val="11"/>
        <color theme="1"/>
        <rFont val="Calibri"/>
        <family val="2"/>
        <scheme val="minor"/>
      </rPr>
      <t xml:space="preserve"> - Practicum
</t>
    </r>
    <r>
      <rPr>
        <b/>
        <sz val="11"/>
        <color theme="1"/>
        <rFont val="Calibri"/>
        <family val="2"/>
        <scheme val="minor"/>
      </rPr>
      <t>ApprenticeshipExternship</t>
    </r>
    <r>
      <rPr>
        <sz val="11"/>
        <color theme="1"/>
        <rFont val="Calibri"/>
        <family val="2"/>
        <scheme val="minor"/>
      </rPr>
      <t xml:space="preserve"> - Apprenticeship Externship
</t>
    </r>
    <r>
      <rPr>
        <b/>
        <sz val="11"/>
        <color theme="1"/>
        <rFont val="Calibri"/>
        <family val="2"/>
        <scheme val="minor"/>
      </rPr>
      <t>AppliedInstruction</t>
    </r>
    <r>
      <rPr>
        <sz val="11"/>
        <color theme="1"/>
        <rFont val="Calibri"/>
        <family val="2"/>
        <scheme val="minor"/>
      </rPr>
      <t xml:space="preserve"> - Applied Instruction
</t>
    </r>
    <r>
      <rPr>
        <b/>
        <sz val="11"/>
        <color theme="1"/>
        <rFont val="Calibri"/>
        <family val="2"/>
        <scheme val="minor"/>
      </rPr>
      <t>Residency</t>
    </r>
    <r>
      <rPr>
        <sz val="11"/>
        <color theme="1"/>
        <rFont val="Calibri"/>
        <family val="2"/>
        <scheme val="minor"/>
      </rPr>
      <t xml:space="preserve"> - Residency
</t>
    </r>
    <r>
      <rPr>
        <b/>
        <sz val="11"/>
        <color theme="1"/>
        <rFont val="Calibri"/>
        <family val="2"/>
        <scheme val="minor"/>
      </rPr>
      <t>ClinicalRotationInstruction</t>
    </r>
    <r>
      <rPr>
        <sz val="11"/>
        <color theme="1"/>
        <rFont val="Calibri"/>
        <family val="2"/>
        <scheme val="minor"/>
      </rPr>
      <t xml:space="preserve"> - Clinical Rotation Instruction
</t>
    </r>
    <r>
      <rPr>
        <b/>
        <sz val="11"/>
        <color theme="1"/>
        <rFont val="Calibri"/>
        <family val="2"/>
        <scheme val="minor"/>
      </rPr>
      <t>SelfPaced</t>
    </r>
    <r>
      <rPr>
        <sz val="11"/>
        <color theme="1"/>
        <rFont val="Calibri"/>
        <family val="2"/>
        <scheme val="minor"/>
      </rPr>
      <t xml:space="preserve"> - Self Paced
</t>
    </r>
    <r>
      <rPr>
        <b/>
        <sz val="11"/>
        <color theme="1"/>
        <rFont val="Calibri"/>
        <family val="2"/>
        <scheme val="minor"/>
      </rPr>
      <t>FieldStudy</t>
    </r>
    <r>
      <rPr>
        <sz val="11"/>
        <color theme="1"/>
        <rFont val="Calibri"/>
        <family val="2"/>
        <scheme val="minor"/>
      </rPr>
      <t xml:space="preserve"> - Field Study
</t>
    </r>
    <r>
      <rPr>
        <b/>
        <sz val="11"/>
        <color theme="1"/>
        <rFont val="Calibri"/>
        <family val="2"/>
        <scheme val="minor"/>
      </rPr>
      <t>InternetInstruction</t>
    </r>
    <r>
      <rPr>
        <sz val="11"/>
        <color theme="1"/>
        <rFont val="Calibri"/>
        <family val="2"/>
        <scheme val="minor"/>
      </rPr>
      <t xml:space="preserve"> - Internet Instruction
</t>
    </r>
    <r>
      <rPr>
        <b/>
        <sz val="11"/>
        <color theme="1"/>
        <rFont val="Calibri"/>
        <family val="2"/>
        <scheme val="minor"/>
      </rPr>
      <t>InteractiveVideo</t>
    </r>
    <r>
      <rPr>
        <sz val="11"/>
        <color theme="1"/>
        <rFont val="Calibri"/>
        <family val="2"/>
        <scheme val="minor"/>
      </rPr>
      <t xml:space="preserve"> - Interactive Video
</t>
    </r>
    <r>
      <rPr>
        <b/>
        <sz val="11"/>
        <color theme="1"/>
        <rFont val="Calibri"/>
        <family val="2"/>
        <scheme val="minor"/>
      </rPr>
      <t>Videotape</t>
    </r>
    <r>
      <rPr>
        <sz val="11"/>
        <color theme="1"/>
        <rFont val="Calibri"/>
        <family val="2"/>
        <scheme val="minor"/>
      </rPr>
      <t xml:space="preserve"> - Videotape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OtherDistanceLearning</t>
    </r>
    <r>
      <rPr>
        <sz val="11"/>
        <color theme="1"/>
        <rFont val="Calibri"/>
        <family val="2"/>
        <scheme val="minor"/>
      </rPr>
      <t xml:space="preserve"> - Other Distance Learning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ComputerBasedInstruction</t>
    </r>
    <r>
      <rPr>
        <sz val="11"/>
        <color theme="1"/>
        <rFont val="Calibri"/>
        <family val="2"/>
        <scheme val="minor"/>
      </rPr>
      <t xml:space="preserve"> - Computer Based Instruction
</t>
    </r>
    <r>
      <rPr>
        <b/>
        <sz val="11"/>
        <color theme="1"/>
        <rFont val="Calibri"/>
        <family val="2"/>
        <scheme val="minor"/>
      </rPr>
      <t>CompressedVideo</t>
    </r>
    <r>
      <rPr>
        <sz val="11"/>
        <color theme="1"/>
        <rFont val="Calibri"/>
        <family val="2"/>
        <scheme val="minor"/>
      </rPr>
      <t xml:space="preserve"> - Compressed Video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WorkStudy</t>
    </r>
    <r>
      <rPr>
        <sz val="11"/>
        <color theme="1"/>
        <rFont val="Calibri"/>
        <family val="2"/>
        <scheme val="minor"/>
      </rPr>
      <t xml:space="preserve"> - Work Study
</t>
    </r>
  </si>
  <si>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</si>
  <si>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</si>
  <si>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</si>
  <si>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r>
      <t>Pre-registered</t>
    </r>
    <r>
      <rPr>
        <sz val="11"/>
        <color theme="1"/>
        <rFont val="Calibri"/>
        <family val="2"/>
        <scheme val="minor"/>
      </rPr>
      <t xml:space="preserve"> - Pre-registered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WaitListed</t>
    </r>
    <r>
      <rPr>
        <sz val="11"/>
        <color theme="1"/>
        <rFont val="Calibri"/>
        <family val="2"/>
        <scheme val="minor"/>
      </rPr>
      <t xml:space="preserve"> - Wait Listed
</t>
    </r>
    <r>
      <rPr>
        <b/>
        <sz val="11"/>
        <color theme="1"/>
        <rFont val="Calibri"/>
        <family val="2"/>
        <scheme val="minor"/>
      </rPr>
      <t>Dropped</t>
    </r>
    <r>
      <rPr>
        <sz val="11"/>
        <color theme="1"/>
        <rFont val="Calibri"/>
        <family val="2"/>
        <scheme val="minor"/>
      </rPr>
      <t xml:space="preserve"> - Dropped
</t>
    </r>
    <r>
      <rPr>
        <b/>
        <sz val="11"/>
        <color theme="1"/>
        <rFont val="Calibri"/>
        <family val="2"/>
        <scheme val="minor"/>
      </rPr>
      <t>Completed</t>
    </r>
    <r>
      <rPr>
        <sz val="11"/>
        <color theme="1"/>
        <rFont val="Calibri"/>
        <family val="2"/>
        <scheme val="minor"/>
      </rPr>
      <t xml:space="preserve"> - Completed
</t>
    </r>
  </si>
  <si>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</si>
  <si>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</si>
  <si>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</si>
  <si>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</si>
  <si>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r>
      <t>Certification</t>
    </r>
    <r>
      <rPr>
        <sz val="11"/>
        <color theme="1"/>
        <rFont val="Calibri"/>
        <family val="2"/>
        <scheme val="minor"/>
      </rPr>
      <t xml:space="preserve"> - Certification
</t>
    </r>
    <r>
      <rPr>
        <b/>
        <sz val="11"/>
        <color theme="1"/>
        <rFont val="Calibri"/>
        <family val="2"/>
        <scheme val="minor"/>
      </rPr>
      <t>Endorsement</t>
    </r>
    <r>
      <rPr>
        <sz val="11"/>
        <color theme="1"/>
        <rFont val="Calibri"/>
        <family val="2"/>
        <scheme val="minor"/>
      </rPr>
      <t xml:space="preserve"> - Endorsement
</t>
    </r>
    <r>
      <rPr>
        <b/>
        <sz val="11"/>
        <color theme="1"/>
        <rFont val="Calibri"/>
        <family val="2"/>
        <scheme val="minor"/>
      </rPr>
      <t>Licensure</t>
    </r>
    <r>
      <rPr>
        <sz val="11"/>
        <color theme="1"/>
        <rFont val="Calibri"/>
        <family val="2"/>
        <scheme val="minor"/>
      </rPr>
      <t xml:space="preserve"> - Licensure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Registration</t>
    </r>
    <r>
      <rPr>
        <sz val="11"/>
        <color theme="1"/>
        <rFont val="Calibri"/>
        <family val="2"/>
        <scheme val="minor"/>
      </rPr>
      <t xml:space="preserve"> - Registration
</t>
    </r>
  </si>
  <si>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</si>
  <si>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</si>
  <si>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r>
      <t>Mother</t>
    </r>
    <r>
      <rPr>
        <sz val="11"/>
        <color theme="1"/>
        <rFont val="Calibri"/>
        <family val="2"/>
        <scheme val="minor"/>
      </rPr>
      <t xml:space="preserve"> - Mother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Aunt</t>
    </r>
    <r>
      <rPr>
        <sz val="11"/>
        <color theme="1"/>
        <rFont val="Calibri"/>
        <family val="2"/>
        <scheme val="minor"/>
      </rPr>
      <t xml:space="preserve"> - Aunt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CourtSystem</t>
    </r>
    <r>
      <rPr>
        <sz val="11"/>
        <color theme="1"/>
        <rFont val="Calibri"/>
        <family val="2"/>
        <scheme val="minor"/>
      </rPr>
      <t xml:space="preserve"> - In court system - not yet in foster care
</t>
    </r>
    <r>
      <rPr>
        <b/>
        <sz val="11"/>
        <color theme="1"/>
        <rFont val="Calibri"/>
        <family val="2"/>
        <scheme val="minor"/>
      </rPr>
      <t>Other</t>
    </r>
    <r>
      <rPr>
        <sz val="11"/>
        <color theme="1"/>
        <rFont val="Calibri"/>
        <family val="2"/>
        <scheme val="minor"/>
      </rPr>
      <t xml:space="preserve"> - Other
</t>
    </r>
  </si>
  <si>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</si>
  <si>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</si>
  <si>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</si>
  <si>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r>
      <t>Dependent</t>
    </r>
    <r>
      <rPr>
        <sz val="11"/>
        <color theme="1"/>
        <rFont val="Calibri"/>
        <family val="2"/>
        <scheme val="minor"/>
      </rPr>
      <t xml:space="preserve"> - Dependent
</t>
    </r>
    <r>
      <rPr>
        <b/>
        <sz val="11"/>
        <color theme="1"/>
        <rFont val="Calibri"/>
        <family val="2"/>
        <scheme val="minor"/>
      </rPr>
      <t>Independent</t>
    </r>
    <r>
      <rPr>
        <sz val="11"/>
        <color theme="1"/>
        <rFont val="Calibri"/>
        <family val="2"/>
        <scheme val="minor"/>
      </rPr>
      <t xml:space="preserve"> - Independent
</t>
    </r>
    <r>
      <rPr>
        <b/>
        <sz val="11"/>
        <color theme="1"/>
        <rFont val="Calibri"/>
        <family val="2"/>
        <scheme val="minor"/>
      </rPr>
      <t>Unknown</t>
    </r>
    <r>
      <rPr>
        <sz val="11"/>
        <color theme="1"/>
        <rFont val="Calibri"/>
        <family val="2"/>
        <scheme val="minor"/>
      </rPr>
      <t xml:space="preserve"> - Unknown
</t>
    </r>
  </si>
  <si>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</si>
  <si>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</si>
  <si>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</si>
  <si>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</si>
  <si>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</si>
  <si>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</si>
  <si>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</si>
  <si>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</si>
  <si>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</si>
  <si>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</si>
  <si>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</si>
  <si>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</si>
  <si>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</si>
  <si>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</si>
  <si>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</si>
  <si>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r>
      <t>SpecializedKnowledge</t>
    </r>
    <r>
      <rPr>
        <sz val="11"/>
        <color theme="1"/>
        <rFont val="Calibri"/>
        <family val="2"/>
        <scheme val="minor"/>
      </rPr>
      <t xml:space="preserve"> - Specialized Knowledge
</t>
    </r>
    <r>
      <rPr>
        <b/>
        <sz val="11"/>
        <color theme="1"/>
        <rFont val="Calibri"/>
        <family val="2"/>
        <scheme val="minor"/>
      </rPr>
      <t>BroadAndIntegrativeKnowledge</t>
    </r>
    <r>
      <rPr>
        <sz val="11"/>
        <color theme="1"/>
        <rFont val="Calibri"/>
        <family val="2"/>
        <scheme val="minor"/>
      </rPr>
      <t xml:space="preserve"> - Broad and Integrative Knowledge
</t>
    </r>
    <r>
      <rPr>
        <b/>
        <sz val="11"/>
        <color theme="1"/>
        <rFont val="Calibri"/>
        <family val="2"/>
        <scheme val="minor"/>
      </rPr>
      <t>IntellectualSkills</t>
    </r>
    <r>
      <rPr>
        <sz val="11"/>
        <color theme="1"/>
        <rFont val="Calibri"/>
        <family val="2"/>
        <scheme val="minor"/>
      </rPr>
      <t xml:space="preserve"> - Intellectual Skills
</t>
    </r>
    <r>
      <rPr>
        <b/>
        <sz val="11"/>
        <color theme="1"/>
        <rFont val="Calibri"/>
        <family val="2"/>
        <scheme val="minor"/>
      </rPr>
      <t>AppliedAndCollaborativeLearning</t>
    </r>
    <r>
      <rPr>
        <sz val="11"/>
        <color theme="1"/>
        <rFont val="Calibri"/>
        <family val="2"/>
        <scheme val="minor"/>
      </rPr>
      <t xml:space="preserve"> - Applied and Collaborative Learning
</t>
    </r>
    <r>
      <rPr>
        <b/>
        <sz val="11"/>
        <color theme="1"/>
        <rFont val="Calibri"/>
        <family val="2"/>
        <scheme val="minor"/>
      </rPr>
      <t>CivicAndGlobalLearning</t>
    </r>
    <r>
      <rPr>
        <sz val="11"/>
        <color theme="1"/>
        <rFont val="Calibri"/>
        <family val="2"/>
        <scheme val="minor"/>
      </rPr>
      <t xml:space="preserve"> - Civic and Global Learning
</t>
    </r>
  </si>
  <si>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</si>
  <si>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StatePreschool</t>
    </r>
    <r>
      <rPr>
        <sz val="11"/>
        <color theme="1"/>
        <rFont val="Calibri"/>
        <family val="2"/>
        <scheme val="minor"/>
      </rPr>
      <t xml:space="preserve"> - State Preschool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EarlyChildhoodSpecialEducation</t>
    </r>
    <r>
      <rPr>
        <sz val="11"/>
        <color theme="1"/>
        <rFont val="Calibri"/>
        <family val="2"/>
        <scheme val="minor"/>
      </rPr>
      <t xml:space="preserve"> - Early Childhood Special Education (619)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ChildCare</t>
    </r>
    <r>
      <rPr>
        <sz val="11"/>
        <color theme="1"/>
        <rFont val="Calibri"/>
        <family val="2"/>
        <scheme val="minor"/>
      </rPr>
      <t xml:space="preserve"> - Child Care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</si>
  <si>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17</t>
    </r>
    <r>
      <rPr>
        <sz val="11"/>
        <color theme="1"/>
        <rFont val="Calibri"/>
        <family val="2"/>
        <scheme val="minor"/>
      </rPr>
      <t xml:space="preserve"> - Behavioral health
</t>
    </r>
    <r>
      <rPr>
        <b/>
        <sz val="11"/>
        <color theme="1"/>
        <rFont val="Calibri"/>
        <family val="2"/>
        <scheme val="minor"/>
      </rPr>
      <t>18</t>
    </r>
    <r>
      <rPr>
        <sz val="11"/>
        <color theme="1"/>
        <rFont val="Calibri"/>
        <family val="2"/>
        <scheme val="minor"/>
      </rPr>
      <t xml:space="preserve"> - Transportation
</t>
    </r>
    <r>
      <rPr>
        <b/>
        <sz val="11"/>
        <color theme="1"/>
        <rFont val="Calibri"/>
        <family val="2"/>
        <scheme val="minor"/>
      </rPr>
      <t>98</t>
    </r>
    <r>
      <rPr>
        <sz val="11"/>
        <color theme="1"/>
        <rFont val="Calibri"/>
        <family val="2"/>
        <scheme val="minor"/>
      </rPr>
      <t xml:space="preserve"> - None
</t>
    </r>
    <r>
      <rPr>
        <b/>
        <sz val="11"/>
        <color theme="1"/>
        <rFont val="Calibri"/>
        <family val="2"/>
        <scheme val="minor"/>
      </rPr>
      <t>99</t>
    </r>
    <r>
      <rPr>
        <sz val="11"/>
        <color theme="1"/>
        <rFont val="Calibri"/>
        <family val="2"/>
        <scheme val="minor"/>
      </rPr>
      <t xml:space="preserve"> - Other
</t>
    </r>
  </si>
  <si>
    <r>
      <t>HomeBased</t>
    </r>
    <r>
      <rPr>
        <sz val="11"/>
        <color theme="1"/>
        <rFont val="Calibri"/>
        <family val="2"/>
        <scheme val="minor"/>
      </rPr>
      <t xml:space="preserve"> - Home-based (Child's Home)
</t>
    </r>
    <r>
      <rPr>
        <b/>
        <sz val="11"/>
        <color theme="1"/>
        <rFont val="Calibri"/>
        <family val="2"/>
        <scheme val="minor"/>
      </rPr>
      <t>CommunityBased</t>
    </r>
    <r>
      <rPr>
        <sz val="11"/>
        <color theme="1"/>
        <rFont val="Calibri"/>
        <family val="2"/>
        <scheme val="minor"/>
      </rPr>
      <t xml:space="preserve"> - Community-based (outside the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</si>
  <si>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</si>
  <si>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</si>
  <si>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r>
      <t>Teacher</t>
    </r>
    <r>
      <rPr>
        <sz val="11"/>
        <color theme="1"/>
        <rFont val="Calibri"/>
        <family val="2"/>
        <scheme val="minor"/>
      </rPr>
      <t xml:space="preserve"> - Teacher
</t>
    </r>
    <r>
      <rPr>
        <b/>
        <sz val="11"/>
        <color theme="1"/>
        <rFont val="Calibri"/>
        <family val="2"/>
        <scheme val="minor"/>
      </rPr>
      <t>AssistanceTeacher</t>
    </r>
    <r>
      <rPr>
        <sz val="11"/>
        <color theme="1"/>
        <rFont val="Calibri"/>
        <family val="2"/>
        <scheme val="minor"/>
      </rPr>
      <t xml:space="preserve"> - Assistance Teacher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NonTeachingLeadership</t>
    </r>
    <r>
      <rPr>
        <sz val="11"/>
        <color theme="1"/>
        <rFont val="Calibri"/>
        <family val="2"/>
        <scheme val="minor"/>
      </rPr>
      <t xml:space="preserve"> - Non-teaching Leadership
</t>
    </r>
    <r>
      <rPr>
        <b/>
        <sz val="11"/>
        <color theme="1"/>
        <rFont val="Calibri"/>
        <family val="2"/>
        <scheme val="minor"/>
      </rPr>
      <t>NonTeacherOther</t>
    </r>
    <r>
      <rPr>
        <sz val="11"/>
        <color theme="1"/>
        <rFont val="Calibri"/>
        <family val="2"/>
        <scheme val="minor"/>
      </rPr>
      <t xml:space="preserve"> - Non-teacher Other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</si>
  <si>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</si>
  <si>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</si>
  <si>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</si>
  <si>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</si>
  <si>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</si>
  <si>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</si>
  <si>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</si>
  <si>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08</t>
    </r>
    <r>
      <rPr>
        <sz val="11"/>
        <color theme="1"/>
        <rFont val="Calibri"/>
        <family val="2"/>
        <scheme val="minor"/>
      </rPr>
      <t xml:space="preserve"> - Working with Diverse Populations
</t>
    </r>
    <r>
      <rPr>
        <b/>
        <sz val="11"/>
        <color theme="1"/>
        <rFont val="Calibri"/>
        <family val="2"/>
        <scheme val="minor"/>
      </rPr>
      <t>99</t>
    </r>
    <r>
      <rPr>
        <sz val="11"/>
        <color theme="1"/>
        <rFont val="Calibri"/>
        <family val="2"/>
        <scheme val="minor"/>
      </rPr>
      <t xml:space="preserve"> - Other
</t>
    </r>
  </si>
  <si>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</si>
  <si>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</si>
  <si>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</si>
  <si>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r>
      <t>ABAAide</t>
    </r>
    <r>
      <rPr>
        <sz val="11"/>
        <color theme="1"/>
        <rFont val="Calibri"/>
        <family val="2"/>
        <scheme val="minor"/>
      </rPr>
      <t xml:space="preserve"> - Applied Behavior Analysis (ABA) Aide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ContractStaff</t>
    </r>
    <r>
      <rPr>
        <sz val="11"/>
        <color theme="1"/>
        <rFont val="Calibri"/>
        <family val="2"/>
        <scheme val="minor"/>
      </rPr>
      <t xml:space="preserve"> - Contract Staff
</t>
    </r>
    <r>
      <rPr>
        <b/>
        <sz val="11"/>
        <color theme="1"/>
        <rFont val="Calibri"/>
        <family val="2"/>
        <scheme val="minor"/>
      </rPr>
      <t>HomeVisitor</t>
    </r>
    <r>
      <rPr>
        <sz val="11"/>
        <color theme="1"/>
        <rFont val="Calibri"/>
        <family val="2"/>
        <scheme val="minor"/>
      </rPr>
      <t xml:space="preserve"> - Home Visitor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VisionRehabTherapist</t>
    </r>
    <r>
      <rPr>
        <sz val="11"/>
        <color theme="1"/>
        <rFont val="Calibri"/>
        <family val="2"/>
        <scheme val="minor"/>
      </rPr>
      <t xml:space="preserve"> - Vision Rehabilitation Therapist
</t>
    </r>
  </si>
  <si>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r>
      <rPr>
        <b/>
        <sz val="11"/>
        <color theme="1"/>
        <rFont val="Calibri"/>
        <family val="2"/>
        <scheme val="minor"/>
      </rPr>
      <t>DentalHealth</t>
    </r>
    <r>
      <rPr>
        <sz val="11"/>
        <color theme="1"/>
        <rFont val="Calibri"/>
        <family val="2"/>
        <scheme val="minor"/>
      </rPr>
      <t xml:space="preserve"> - Dental Health
</t>
    </r>
    <r>
      <rPr>
        <b/>
        <sz val="11"/>
        <color theme="1"/>
        <rFont val="Calibri"/>
        <family val="2"/>
        <scheme val="minor"/>
      </rPr>
      <t>Other</t>
    </r>
    <r>
      <rPr>
        <sz val="11"/>
        <color theme="1"/>
        <rFont val="Calibri"/>
        <family val="2"/>
        <scheme val="minor"/>
      </rPr>
      <t xml:space="preserve"> - Other
</t>
    </r>
  </si>
  <si>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</si>
  <si>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</si>
  <si>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</si>
  <si>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</si>
  <si>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</si>
  <si>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</si>
  <si>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</si>
  <si>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</si>
  <si>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</si>
  <si>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</si>
  <si>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</si>
  <si>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</si>
  <si>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r>
      <t>Promotion</t>
    </r>
    <r>
      <rPr>
        <sz val="11"/>
        <color theme="1"/>
        <rFont val="Calibri"/>
        <family val="2"/>
        <scheme val="minor"/>
      </rPr>
      <t xml:space="preserve"> - Promotion
</t>
    </r>
    <r>
      <rPr>
        <b/>
        <sz val="11"/>
        <color theme="1"/>
        <rFont val="Calibri"/>
        <family val="2"/>
        <scheme val="minor"/>
      </rPr>
      <t>Retention</t>
    </r>
    <r>
      <rPr>
        <sz val="11"/>
        <color theme="1"/>
        <rFont val="Calibri"/>
        <family val="2"/>
        <scheme val="minor"/>
      </rPr>
      <t xml:space="preserve"> - Retention
</t>
    </r>
  </si>
  <si>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</si>
  <si>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</si>
  <si>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</si>
  <si>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r>
      <t>Permanent</t>
    </r>
    <r>
      <rPr>
        <sz val="11"/>
        <color theme="1"/>
        <rFont val="Calibri"/>
        <family val="2"/>
        <scheme val="minor"/>
      </rPr>
      <t xml:space="preserve"> - Permanent
</t>
    </r>
    <r>
      <rPr>
        <b/>
        <sz val="11"/>
        <color theme="1"/>
        <rFont val="Calibri"/>
        <family val="2"/>
        <scheme val="minor"/>
      </rPr>
      <t>Temporary</t>
    </r>
    <r>
      <rPr>
        <sz val="11"/>
        <color theme="1"/>
        <rFont val="Calibri"/>
        <family val="2"/>
        <scheme val="minor"/>
      </rPr>
      <t xml:space="preserve"> - Temporary
</t>
    </r>
  </si>
  <si>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in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in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in the same local education agency
</t>
    </r>
    <r>
      <rPr>
        <b/>
        <sz val="11"/>
        <color theme="1"/>
        <rFont val="Calibri"/>
        <family val="2"/>
        <scheme val="minor"/>
      </rPr>
      <t>01914</t>
    </r>
    <r>
      <rPr>
        <sz val="11"/>
        <color theme="1"/>
        <rFont val="Calibri"/>
        <family val="2"/>
        <scheme val="minor"/>
      </rPr>
      <t xml:space="preserve"> - Transferred to a private, religiously-affiliated school in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eligible to return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eligible to return
</t>
    </r>
    <r>
      <rPr>
        <b/>
        <sz val="11"/>
        <color theme="1"/>
        <rFont val="Calibri"/>
        <family val="2"/>
        <scheme val="minor"/>
      </rPr>
      <t>03504</t>
    </r>
    <r>
      <rPr>
        <sz val="11"/>
        <color theme="1"/>
        <rFont val="Calibri"/>
        <family val="2"/>
        <scheme val="minor"/>
      </rPr>
      <t xml:space="preserve"> - Withdrawn from school, under the age for compulsory attendance; eligible to return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</si>
  <si>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</si>
  <si>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r>
      <t>Regulated</t>
    </r>
    <r>
      <rPr>
        <sz val="11"/>
        <color theme="1"/>
        <rFont val="Calibri"/>
        <family val="2"/>
        <scheme val="minor"/>
      </rPr>
      <t xml:space="preserve"> - Regulated
</t>
    </r>
    <r>
      <rPr>
        <b/>
        <sz val="11"/>
        <color theme="1"/>
        <rFont val="Calibri"/>
        <family val="2"/>
        <scheme val="minor"/>
      </rPr>
      <t>Unregulated</t>
    </r>
    <r>
      <rPr>
        <sz val="11"/>
        <color theme="1"/>
        <rFont val="Calibri"/>
        <family val="2"/>
        <scheme val="minor"/>
      </rPr>
      <t xml:space="preserve"> - Unregulated
</t>
    </r>
    <r>
      <rPr>
        <b/>
        <sz val="11"/>
        <color theme="1"/>
        <rFont val="Calibri"/>
        <family val="2"/>
        <scheme val="minor"/>
      </rPr>
      <t>Exempt</t>
    </r>
    <r>
      <rPr>
        <sz val="11"/>
        <color theme="1"/>
        <rFont val="Calibri"/>
        <family val="2"/>
        <scheme val="minor"/>
      </rPr>
      <t xml:space="preserve"> - Exempt
</t>
    </r>
  </si>
  <si>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</si>
  <si>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</si>
  <si>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</si>
  <si>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</si>
  <si>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193</t>
    </r>
    <r>
      <rPr>
        <sz val="11"/>
        <color theme="1"/>
        <rFont val="Calibri"/>
        <family val="2"/>
        <scheme val="minor"/>
      </rPr>
      <t xml:space="preserve"> - Bond Insurance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281</t>
    </r>
    <r>
      <rPr>
        <sz val="11"/>
        <color theme="1"/>
        <rFont val="Calibri"/>
        <family val="2"/>
        <scheme val="minor"/>
      </rPr>
      <t xml:space="preserve"> - Intangible Assets
</t>
    </r>
    <r>
      <rPr>
        <b/>
        <sz val="11"/>
        <color theme="1"/>
        <rFont val="Calibri"/>
        <family val="2"/>
        <scheme val="minor"/>
      </rPr>
      <t>282</t>
    </r>
    <r>
      <rPr>
        <sz val="11"/>
        <color theme="1"/>
        <rFont val="Calibri"/>
        <family val="2"/>
        <scheme val="minor"/>
      </rPr>
      <t xml:space="preserve"> - Accumulated Amortization of Intangible Assets
</t>
    </r>
    <r>
      <rPr>
        <b/>
        <sz val="11"/>
        <color theme="1"/>
        <rFont val="Calibri"/>
        <family val="2"/>
        <scheme val="minor"/>
      </rPr>
      <t>300</t>
    </r>
    <r>
      <rPr>
        <sz val="11"/>
        <color theme="1"/>
        <rFont val="Calibri"/>
        <family val="2"/>
        <scheme val="minor"/>
      </rPr>
      <t xml:space="preserve"> - Deferred Outflows of Resources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455</t>
    </r>
    <r>
      <rPr>
        <sz val="11"/>
        <color theme="1"/>
        <rFont val="Calibri"/>
        <family val="2"/>
        <scheme val="minor"/>
      </rPr>
      <t xml:space="preserve"> - Interest Payable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Advances from Grantors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553</t>
    </r>
    <r>
      <rPr>
        <sz val="11"/>
        <color theme="1"/>
        <rFont val="Calibri"/>
        <family val="2"/>
        <scheme val="minor"/>
      </rPr>
      <t xml:space="preserve"> - Special Termination Benefits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600</t>
    </r>
    <r>
      <rPr>
        <sz val="11"/>
        <color theme="1"/>
        <rFont val="Calibri"/>
        <family val="2"/>
        <scheme val="minor"/>
      </rPr>
      <t xml:space="preserve"> - Deferred Inflows of Resources
</t>
    </r>
    <r>
      <rPr>
        <b/>
        <sz val="11"/>
        <color theme="1"/>
        <rFont val="Calibri"/>
        <family val="2"/>
        <scheme val="minor"/>
      </rPr>
      <t>710</t>
    </r>
    <r>
      <rPr>
        <sz val="11"/>
        <color theme="1"/>
        <rFont val="Calibri"/>
        <family val="2"/>
        <scheme val="minor"/>
      </rPr>
      <t xml:space="preserve"> - Nonspendable Fund Balance
</t>
    </r>
    <r>
      <rPr>
        <b/>
        <sz val="11"/>
        <color theme="1"/>
        <rFont val="Calibri"/>
        <family val="2"/>
        <scheme val="minor"/>
      </rPr>
      <t>720</t>
    </r>
    <r>
      <rPr>
        <sz val="11"/>
        <color theme="1"/>
        <rFont val="Calibri"/>
        <family val="2"/>
        <scheme val="minor"/>
      </rPr>
      <t xml:space="preserve"> - Restricted Fund Balance
</t>
    </r>
    <r>
      <rPr>
        <b/>
        <sz val="11"/>
        <color theme="1"/>
        <rFont val="Calibri"/>
        <family val="2"/>
        <scheme val="minor"/>
      </rPr>
      <t>730</t>
    </r>
    <r>
      <rPr>
        <sz val="11"/>
        <color theme="1"/>
        <rFont val="Calibri"/>
        <family val="2"/>
        <scheme val="minor"/>
      </rPr>
      <t xml:space="preserve"> - Committed Fund Balance
</t>
    </r>
    <r>
      <rPr>
        <b/>
        <sz val="11"/>
        <color theme="1"/>
        <rFont val="Calibri"/>
        <family val="2"/>
        <scheme val="minor"/>
      </rPr>
      <t>740</t>
    </r>
    <r>
      <rPr>
        <sz val="11"/>
        <color theme="1"/>
        <rFont val="Calibri"/>
        <family val="2"/>
        <scheme val="minor"/>
      </rPr>
      <t xml:space="preserve"> - Assigned Fund Balance
</t>
    </r>
    <r>
      <rPr>
        <b/>
        <sz val="11"/>
        <color theme="1"/>
        <rFont val="Calibri"/>
        <family val="2"/>
        <scheme val="minor"/>
      </rPr>
      <t>750</t>
    </r>
    <r>
      <rPr>
        <sz val="11"/>
        <color theme="1"/>
        <rFont val="Calibri"/>
        <family val="2"/>
        <scheme val="minor"/>
      </rPr>
      <t xml:space="preserve"> - Unassigned Fund Balance
</t>
    </r>
    <r>
      <rPr>
        <b/>
        <sz val="11"/>
        <color theme="1"/>
        <rFont val="Calibri"/>
        <family val="2"/>
        <scheme val="minor"/>
      </rPr>
      <t>760</t>
    </r>
    <r>
      <rPr>
        <sz val="11"/>
        <color theme="1"/>
        <rFont val="Calibri"/>
        <family val="2"/>
        <scheme val="minor"/>
      </rPr>
      <t xml:space="preserve"> - Net Investment in Capital Assets
</t>
    </r>
    <r>
      <rPr>
        <b/>
        <sz val="11"/>
        <color theme="1"/>
        <rFont val="Calibri"/>
        <family val="2"/>
        <scheme val="minor"/>
      </rPr>
      <t>770</t>
    </r>
    <r>
      <rPr>
        <sz val="11"/>
        <color theme="1"/>
        <rFont val="Calibri"/>
        <family val="2"/>
        <scheme val="minor"/>
      </rPr>
      <t xml:space="preserve"> - Restricted Net Position
</t>
    </r>
    <r>
      <rPr>
        <b/>
        <sz val="11"/>
        <color theme="1"/>
        <rFont val="Calibri"/>
        <family val="2"/>
        <scheme val="minor"/>
      </rPr>
      <t>780</t>
    </r>
    <r>
      <rPr>
        <sz val="11"/>
        <color theme="1"/>
        <rFont val="Calibri"/>
        <family val="2"/>
        <scheme val="minor"/>
      </rPr>
      <t xml:space="preserve"> - Unrestricted Net Position
</t>
    </r>
  </si>
  <si>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</si>
  <si>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</si>
  <si>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</si>
  <si>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(Levied/Assessed by School Districts)
</t>
    </r>
    <r>
      <rPr>
        <b/>
        <sz val="11"/>
        <color theme="1"/>
        <rFont val="Calibri"/>
        <family val="2"/>
        <scheme val="minor"/>
      </rPr>
      <t>1120</t>
    </r>
    <r>
      <rPr>
        <sz val="11"/>
        <color theme="1"/>
        <rFont val="Calibri"/>
        <family val="2"/>
        <scheme val="minor"/>
      </rPr>
      <t xml:space="preserve"> - Sales and Use Taxes (Levied/Assessed by School Districts)
</t>
    </r>
    <r>
      <rPr>
        <b/>
        <sz val="11"/>
        <color theme="1"/>
        <rFont val="Calibri"/>
        <family val="2"/>
        <scheme val="minor"/>
      </rPr>
      <t>1130</t>
    </r>
    <r>
      <rPr>
        <sz val="11"/>
        <color theme="1"/>
        <rFont val="Calibri"/>
        <family val="2"/>
        <scheme val="minor"/>
      </rPr>
      <t xml:space="preserve"> - Income Taxes (Levied/Assessed by School Districts)
</t>
    </r>
    <r>
      <rPr>
        <b/>
        <sz val="11"/>
        <color theme="1"/>
        <rFont val="Calibri"/>
        <family val="2"/>
        <scheme val="minor"/>
      </rPr>
      <t>1140</t>
    </r>
    <r>
      <rPr>
        <sz val="11"/>
        <color theme="1"/>
        <rFont val="Calibri"/>
        <family val="2"/>
        <scheme val="minor"/>
      </rPr>
      <t xml:space="preserve"> - Penalties and Interest on Taxes (Levied/Assessed by School Districts)
</t>
    </r>
    <r>
      <rPr>
        <b/>
        <sz val="11"/>
        <color theme="1"/>
        <rFont val="Calibri"/>
        <family val="2"/>
        <scheme val="minor"/>
      </rPr>
      <t>1190</t>
    </r>
    <r>
      <rPr>
        <sz val="11"/>
        <color theme="1"/>
        <rFont val="Calibri"/>
        <family val="2"/>
        <scheme val="minor"/>
      </rPr>
      <t xml:space="preserve"> - Other Taxes (Levied/Assessed by School Districts)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(Received from Other Government Units)
</t>
    </r>
    <r>
      <rPr>
        <b/>
        <sz val="11"/>
        <color theme="1"/>
        <rFont val="Calibri"/>
        <family val="2"/>
        <scheme val="minor"/>
      </rPr>
      <t>1220</t>
    </r>
    <r>
      <rPr>
        <sz val="11"/>
        <color theme="1"/>
        <rFont val="Calibri"/>
        <family val="2"/>
        <scheme val="minor"/>
      </rPr>
      <t xml:space="preserve"> - Sales and Use Tax (Received from Other Government Units)
</t>
    </r>
    <r>
      <rPr>
        <b/>
        <sz val="11"/>
        <color theme="1"/>
        <rFont val="Calibri"/>
        <family val="2"/>
        <scheme val="minor"/>
      </rPr>
      <t>1230</t>
    </r>
    <r>
      <rPr>
        <sz val="11"/>
        <color theme="1"/>
        <rFont val="Calibri"/>
        <family val="2"/>
        <scheme val="minor"/>
      </rPr>
      <t xml:space="preserve"> - Income Taxes (Received from Other Government Units)
</t>
    </r>
    <r>
      <rPr>
        <b/>
        <sz val="11"/>
        <color theme="1"/>
        <rFont val="Calibri"/>
        <family val="2"/>
        <scheme val="minor"/>
      </rPr>
      <t>1240</t>
    </r>
    <r>
      <rPr>
        <sz val="11"/>
        <color theme="1"/>
        <rFont val="Calibri"/>
        <family val="2"/>
        <scheme val="minor"/>
      </rPr>
      <t xml:space="preserve"> - Penalties and Interest on Taxes (Received from Other Government Units)
</t>
    </r>
    <r>
      <rPr>
        <b/>
        <sz val="11"/>
        <color theme="1"/>
        <rFont val="Calibri"/>
        <family val="2"/>
        <scheme val="minor"/>
      </rPr>
      <t>1280</t>
    </r>
    <r>
      <rPr>
        <sz val="11"/>
        <color theme="1"/>
        <rFont val="Calibri"/>
        <family val="2"/>
        <scheme val="minor"/>
      </rPr>
      <t xml:space="preserve"> - Revenue in Lieu of Taxes (Received from Other Government Units)
</t>
    </r>
    <r>
      <rPr>
        <b/>
        <sz val="11"/>
        <color theme="1"/>
        <rFont val="Calibri"/>
        <family val="2"/>
        <scheme val="minor"/>
      </rPr>
      <t>1290</t>
    </r>
    <r>
      <rPr>
        <sz val="11"/>
        <color theme="1"/>
        <rFont val="Calibri"/>
        <family val="2"/>
        <scheme val="minor"/>
      </rPr>
      <t xml:space="preserve"> - Other Taxes (Received from Other Government Units)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Local Revenue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3700</t>
    </r>
    <r>
      <rPr>
        <sz val="11"/>
        <color theme="1"/>
        <rFont val="Calibri"/>
        <family val="2"/>
        <scheme val="minor"/>
      </rPr>
      <t xml:space="preserve"> - State Grants Through Intermediate Sources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6000</t>
    </r>
    <r>
      <rPr>
        <sz val="11"/>
        <color theme="1"/>
        <rFont val="Calibri"/>
        <family val="2"/>
        <scheme val="minor"/>
      </rPr>
      <t xml:space="preserve"> - Other Revenue Items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</si>
  <si>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</si>
  <si>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Awarded</t>
    </r>
    <r>
      <rPr>
        <sz val="11"/>
        <color theme="1"/>
        <rFont val="Calibri"/>
        <family val="2"/>
        <scheme val="minor"/>
      </rPr>
      <t xml:space="preserve"> - Awarded
</t>
    </r>
    <r>
      <rPr>
        <b/>
        <sz val="11"/>
        <color theme="1"/>
        <rFont val="Calibri"/>
        <family val="2"/>
        <scheme val="minor"/>
      </rPr>
      <t>Accepted</t>
    </r>
    <r>
      <rPr>
        <sz val="11"/>
        <color theme="1"/>
        <rFont val="Calibri"/>
        <family val="2"/>
        <scheme val="minor"/>
      </rPr>
      <t xml:space="preserve"> - Accepted
</t>
    </r>
    <r>
      <rPr>
        <b/>
        <sz val="11"/>
        <color theme="1"/>
        <rFont val="Calibri"/>
        <family val="2"/>
        <scheme val="minor"/>
      </rPr>
      <t>Disbursed</t>
    </r>
    <r>
      <rPr>
        <sz val="11"/>
        <color theme="1"/>
        <rFont val="Calibri"/>
        <family val="2"/>
        <scheme val="minor"/>
      </rPr>
      <t xml:space="preserve"> - Disbursed
</t>
    </r>
    <r>
      <rPr>
        <b/>
        <sz val="11"/>
        <color theme="1"/>
        <rFont val="Calibri"/>
        <family val="2"/>
        <scheme val="minor"/>
      </rPr>
      <t>Declined</t>
    </r>
    <r>
      <rPr>
        <sz val="11"/>
        <color theme="1"/>
        <rFont val="Calibri"/>
        <family val="2"/>
        <scheme val="minor"/>
      </rPr>
      <t xml:space="preserve"> - Declined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</si>
  <si>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</si>
  <si>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</si>
  <si>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r>
      <t>Post911GIBill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</si>
  <si>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2170</t>
    </r>
    <r>
      <rPr>
        <sz val="11"/>
        <color theme="1"/>
        <rFont val="Calibri"/>
        <family val="2"/>
        <scheme val="minor"/>
      </rPr>
      <t xml:space="preserve"> - Physical Therapy-Related Services
</t>
    </r>
    <r>
      <rPr>
        <b/>
        <sz val="11"/>
        <color theme="1"/>
        <rFont val="Calibri"/>
        <family val="2"/>
        <scheme val="minor"/>
      </rPr>
      <t>2180</t>
    </r>
    <r>
      <rPr>
        <sz val="11"/>
        <color theme="1"/>
        <rFont val="Calibri"/>
        <family val="2"/>
        <scheme val="minor"/>
      </rPr>
      <t xml:space="preserve"> - Visually Impaired/Vision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2900</t>
    </r>
    <r>
      <rPr>
        <sz val="11"/>
        <color theme="1"/>
        <rFont val="Calibri"/>
        <family val="2"/>
        <scheme val="minor"/>
      </rPr>
      <t xml:space="preserve"> - Other Support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4000</t>
    </r>
    <r>
      <rPr>
        <sz val="11"/>
        <color theme="1"/>
        <rFont val="Calibri"/>
        <family val="2"/>
        <scheme val="minor"/>
      </rPr>
      <t xml:space="preserve"> - Facilities Acquisition and Construction
</t>
    </r>
    <r>
      <rPr>
        <b/>
        <sz val="11"/>
        <color theme="1"/>
        <rFont val="Calibri"/>
        <family val="2"/>
        <scheme val="minor"/>
      </rPr>
      <t>4100</t>
    </r>
    <r>
      <rPr>
        <sz val="11"/>
        <color theme="1"/>
        <rFont val="Calibri"/>
        <family val="2"/>
        <scheme val="minor"/>
      </rPr>
      <t xml:space="preserve"> - Land Acquisition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Improvements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</si>
  <si>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 Wide
</t>
    </r>
  </si>
  <si>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(Excluding Charter Schools) Within the State
</t>
    </r>
    <r>
      <rPr>
        <b/>
        <sz val="11"/>
        <color theme="1"/>
        <rFont val="Calibri"/>
        <family val="2"/>
        <scheme val="minor"/>
      </rPr>
      <t>562</t>
    </r>
    <r>
      <rPr>
        <sz val="11"/>
        <color theme="1"/>
        <rFont val="Calibri"/>
        <family val="2"/>
        <scheme val="minor"/>
      </rPr>
      <t xml:space="preserve"> - Tuition to Other School Districts (Including Charter Schools) Outside the State
</t>
    </r>
    <r>
      <rPr>
        <b/>
        <sz val="11"/>
        <color theme="1"/>
        <rFont val="Calibri"/>
        <family val="2"/>
        <scheme val="minor"/>
      </rPr>
      <t>563</t>
    </r>
    <r>
      <rPr>
        <sz val="11"/>
        <color theme="1"/>
        <rFont val="Calibri"/>
        <family val="2"/>
        <scheme val="minor"/>
      </rPr>
      <t xml:space="preserve"> - Tuition to Private Schools
</t>
    </r>
    <r>
      <rPr>
        <b/>
        <sz val="11"/>
        <color theme="1"/>
        <rFont val="Calibri"/>
        <family val="2"/>
        <scheme val="minor"/>
      </rPr>
      <t>564</t>
    </r>
    <r>
      <rPr>
        <sz val="11"/>
        <color theme="1"/>
        <rFont val="Calibri"/>
        <family val="2"/>
        <scheme val="minor"/>
      </rPr>
      <t xml:space="preserve"> - Tuition to Charter Schools Within the State
</t>
    </r>
    <r>
      <rPr>
        <b/>
        <sz val="11"/>
        <color theme="1"/>
        <rFont val="Calibri"/>
        <family val="2"/>
        <scheme val="minor"/>
      </rPr>
      <t>565</t>
    </r>
    <r>
      <rPr>
        <sz val="11"/>
        <color theme="1"/>
        <rFont val="Calibri"/>
        <family val="2"/>
        <scheme val="minor"/>
      </rPr>
      <t xml:space="preserve"> - Tuition to Postsecondary Schools
</t>
    </r>
    <r>
      <rPr>
        <b/>
        <sz val="11"/>
        <color theme="1"/>
        <rFont val="Calibri"/>
        <family val="2"/>
        <scheme val="minor"/>
      </rPr>
      <t>566</t>
    </r>
    <r>
      <rPr>
        <sz val="11"/>
        <color theme="1"/>
        <rFont val="Calibri"/>
        <family val="2"/>
        <scheme val="minor"/>
      </rPr>
      <t xml:space="preserve"> - Voucher Payments to Private Schools and to Other School Districts Outside the State
</t>
    </r>
    <r>
      <rPr>
        <b/>
        <sz val="11"/>
        <color theme="1"/>
        <rFont val="Calibri"/>
        <family val="2"/>
        <scheme val="minor"/>
      </rPr>
      <t>567</t>
    </r>
    <r>
      <rPr>
        <sz val="11"/>
        <color theme="1"/>
        <rFont val="Calibri"/>
        <family val="2"/>
        <scheme val="minor"/>
      </rPr>
      <t xml:space="preserve"> - Voucher Payments to School Districts, including Charter Schools, Within the State
</t>
    </r>
    <r>
      <rPr>
        <b/>
        <sz val="11"/>
        <color theme="1"/>
        <rFont val="Calibri"/>
        <family val="2"/>
        <scheme val="minor"/>
      </rPr>
      <t>568</t>
    </r>
    <r>
      <rPr>
        <sz val="11"/>
        <color theme="1"/>
        <rFont val="Calibri"/>
        <family val="2"/>
        <scheme val="minor"/>
      </rPr>
      <t xml:space="preserve"> - Voucher Payments Directly to Individuals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Services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750</t>
    </r>
    <r>
      <rPr>
        <sz val="11"/>
        <color theme="1"/>
        <rFont val="Calibri"/>
        <family val="2"/>
        <scheme val="minor"/>
      </rPr>
      <t xml:space="preserve"> - Intangible Assets
</t>
    </r>
    <r>
      <rPr>
        <b/>
        <sz val="11"/>
        <color theme="1"/>
        <rFont val="Calibri"/>
        <family val="2"/>
        <scheme val="minor"/>
      </rPr>
      <t>790</t>
    </r>
    <r>
      <rPr>
        <sz val="11"/>
        <color theme="1"/>
        <rFont val="Calibri"/>
        <family val="2"/>
        <scheme val="minor"/>
      </rPr>
      <t xml:space="preserve"> - Depreciation and Amortization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on Long-Term Debt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</si>
  <si>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r>
      <t>Federal</t>
    </r>
    <r>
      <rPr>
        <sz val="11"/>
        <color theme="1"/>
        <rFont val="Calibri"/>
        <family val="2"/>
        <scheme val="minor"/>
      </rPr>
      <t xml:space="preserve"> - Federal
</t>
    </r>
    <r>
      <rPr>
        <b/>
        <sz val="11"/>
        <color theme="1"/>
        <rFont val="Calibri"/>
        <family val="2"/>
        <scheme val="minor"/>
      </rPr>
      <t>Institutional</t>
    </r>
    <r>
      <rPr>
        <sz val="11"/>
        <color theme="1"/>
        <rFont val="Calibri"/>
        <family val="2"/>
        <scheme val="minor"/>
      </rPr>
      <t xml:space="preserve"> - Institutional
</t>
    </r>
  </si>
  <si>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</si>
  <si>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Annually</t>
    </r>
    <r>
      <rPr>
        <sz val="11"/>
        <color theme="1"/>
        <rFont val="Calibri"/>
        <family val="2"/>
        <scheme val="minor"/>
      </rPr>
      <t xml:space="preserve"> - Annually
</t>
    </r>
  </si>
  <si>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</si>
  <si>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r>
      <t>Full-time</t>
    </r>
    <r>
      <rPr>
        <sz val="11"/>
        <color theme="1"/>
        <rFont val="Calibri"/>
        <family val="2"/>
        <scheme val="minor"/>
      </rPr>
      <t xml:space="preserve"> - Full-time
</t>
    </r>
    <r>
      <rPr>
        <b/>
        <sz val="11"/>
        <color theme="1"/>
        <rFont val="Calibri"/>
        <family val="2"/>
        <scheme val="minor"/>
      </rPr>
      <t>Part-time</t>
    </r>
    <r>
      <rPr>
        <sz val="11"/>
        <color theme="1"/>
        <rFont val="Calibri"/>
        <family val="2"/>
        <scheme val="minor"/>
      </rPr>
      <t xml:space="preserve"> - Part-time
</t>
    </r>
  </si>
  <si>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</si>
  <si>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</si>
  <si>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</si>
  <si>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r>
      <t>Weighted</t>
    </r>
    <r>
      <rPr>
        <sz val="11"/>
        <color theme="1"/>
        <rFont val="Calibri"/>
        <family val="2"/>
        <scheme val="minor"/>
      </rPr>
      <t xml:space="preserve"> - Weighted
</t>
    </r>
    <r>
      <rPr>
        <b/>
        <sz val="11"/>
        <color theme="1"/>
        <rFont val="Calibri"/>
        <family val="2"/>
        <scheme val="minor"/>
      </rPr>
      <t>Unweighted</t>
    </r>
    <r>
      <rPr>
        <sz val="11"/>
        <color theme="1"/>
        <rFont val="Calibri"/>
        <family val="2"/>
        <scheme val="minor"/>
      </rPr>
      <t xml:space="preserve"> - Unweighted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</si>
  <si>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</si>
  <si>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</si>
  <si>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</si>
  <si>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</si>
  <si>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</si>
  <si>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</si>
  <si>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</si>
  <si>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</si>
  <si>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</si>
  <si>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</si>
  <si>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r>
      <t>Shelters</t>
    </r>
    <r>
      <rPr>
        <sz val="11"/>
        <color theme="1"/>
        <rFont val="Calibri"/>
        <family val="2"/>
        <scheme val="minor"/>
      </rPr>
      <t xml:space="preserve"> - Shelters
</t>
    </r>
    <r>
      <rPr>
        <b/>
        <sz val="11"/>
        <color theme="1"/>
        <rFont val="Calibri"/>
        <family val="2"/>
        <scheme val="minor"/>
      </rP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</si>
  <si>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</si>
  <si>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</si>
  <si>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</si>
  <si>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</si>
  <si>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</si>
  <si>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</si>
  <si>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r>
      <t>DevelopmentalDelay</t>
    </r>
    <r>
      <rPr>
        <sz val="11"/>
        <color theme="1"/>
        <rFont val="Calibri"/>
        <family val="2"/>
        <scheme val="minor"/>
      </rPr>
      <t xml:space="preserve"> - Developmental Delay
</t>
    </r>
    <r>
      <rPr>
        <b/>
        <sz val="11"/>
        <color theme="1"/>
        <rFont val="Calibri"/>
        <family val="2"/>
        <scheme val="minor"/>
      </rPr>
      <t>DiagnosedCondition</t>
    </r>
    <r>
      <rPr>
        <sz val="11"/>
        <color theme="1"/>
        <rFont val="Calibri"/>
        <family val="2"/>
        <scheme val="minor"/>
      </rPr>
      <t xml:space="preserve"> - Diagnosed Condition
</t>
    </r>
    <r>
      <rPr>
        <b/>
        <sz val="11"/>
        <color theme="1"/>
        <rFont val="Calibri"/>
        <family val="2"/>
        <scheme val="minor"/>
      </rPr>
      <t>AtRisk</t>
    </r>
    <r>
      <rPr>
        <sz val="11"/>
        <color theme="1"/>
        <rFont val="Calibri"/>
        <family val="2"/>
        <scheme val="minor"/>
      </rPr>
      <t xml:space="preserve"> - At-risk
</t>
    </r>
  </si>
  <si>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</si>
  <si>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</si>
  <si>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</si>
  <si>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</si>
  <si>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r>
      <t>Primary</t>
    </r>
    <r>
      <rPr>
        <sz val="11"/>
        <color theme="1"/>
        <rFont val="Calibri"/>
        <family val="2"/>
        <scheme val="minor"/>
      </rPr>
      <t xml:space="preserve"> - Primary
</t>
    </r>
    <r>
      <rPr>
        <b/>
        <sz val="11"/>
        <color theme="1"/>
        <rFont val="Calibri"/>
        <family val="2"/>
        <scheme val="minor"/>
      </rPr>
      <t>Secondary</t>
    </r>
    <r>
      <rPr>
        <sz val="11"/>
        <color theme="1"/>
        <rFont val="Calibri"/>
        <family val="2"/>
        <scheme val="minor"/>
      </rPr>
      <t xml:space="preserve"> - Secondary
</t>
    </r>
  </si>
  <si>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</si>
  <si>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r>
      <t>Victim</t>
    </r>
    <r>
      <rPr>
        <sz val="11"/>
        <color theme="1"/>
        <rFont val="Calibri"/>
        <family val="2"/>
        <scheme val="minor"/>
      </rPr>
      <t xml:space="preserve"> - Victim
</t>
    </r>
    <r>
      <rPr>
        <b/>
        <sz val="11"/>
        <color theme="1"/>
        <rFont val="Calibri"/>
        <family val="2"/>
        <scheme val="minor"/>
      </rPr>
      <t>Perpetrator</t>
    </r>
    <r>
      <rPr>
        <sz val="11"/>
        <color theme="1"/>
        <rFont val="Calibri"/>
        <family val="2"/>
        <scheme val="minor"/>
      </rPr>
      <t xml:space="preserve"> - Perpetrator
</t>
    </r>
    <r>
      <rPr>
        <b/>
        <sz val="11"/>
        <color theme="1"/>
        <rFont val="Calibri"/>
        <family val="2"/>
        <scheme val="minor"/>
      </rPr>
      <t>Witness</t>
    </r>
    <r>
      <rPr>
        <sz val="11"/>
        <color theme="1"/>
        <rFont val="Calibri"/>
        <family val="2"/>
        <scheme val="minor"/>
      </rPr>
      <t xml:space="preserve"> - Witness
</t>
    </r>
    <r>
      <rPr>
        <b/>
        <sz val="11"/>
        <color theme="1"/>
        <rFont val="Calibri"/>
        <family val="2"/>
        <scheme val="minor"/>
      </rPr>
      <t>Reporter</t>
    </r>
    <r>
      <rPr>
        <sz val="11"/>
        <color theme="1"/>
        <rFont val="Calibri"/>
        <family val="2"/>
        <scheme val="minor"/>
      </rPr>
      <t xml:space="preserve"> - Reporter
</t>
    </r>
  </si>
  <si>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</si>
  <si>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</si>
  <si>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</si>
  <si>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</si>
  <si>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</si>
  <si>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Biweekly</t>
    </r>
    <r>
      <rPr>
        <sz val="11"/>
        <color theme="1"/>
        <rFont val="Calibri"/>
        <family val="2"/>
        <scheme val="minor"/>
      </rPr>
      <t xml:space="preserve"> - Biweekly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Bimonthly</t>
    </r>
    <r>
      <rPr>
        <sz val="11"/>
        <color theme="1"/>
        <rFont val="Calibri"/>
        <family val="2"/>
        <scheme val="minor"/>
      </rPr>
      <t xml:space="preserve"> - Bimonthly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Semiannually</t>
    </r>
    <r>
      <rPr>
        <sz val="11"/>
        <color theme="1"/>
        <rFont val="Calibri"/>
        <family val="2"/>
        <scheme val="minor"/>
      </rPr>
      <t xml:space="preserve"> - Semiannually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</si>
  <si>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</si>
  <si>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</si>
  <si>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</si>
  <si>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r>
      <t>Fax</t>
    </r>
    <r>
      <rPr>
        <sz val="11"/>
        <color theme="1"/>
        <rFont val="Calibri"/>
        <family val="2"/>
        <scheme val="minor"/>
      </rPr>
      <t xml:space="preserve"> - Fax number
</t>
    </r>
    <r>
      <rPr>
        <b/>
        <sz val="11"/>
        <color theme="1"/>
        <rFont val="Calibri"/>
        <family val="2"/>
        <scheme val="minor"/>
      </rP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Facsimile phone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</si>
  <si>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</si>
  <si>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r>
      <t>Credit</t>
    </r>
    <r>
      <rPr>
        <sz val="11"/>
        <color theme="1"/>
        <rFont val="Calibri"/>
        <family val="2"/>
        <scheme val="minor"/>
      </rPr>
      <t xml:space="preserve"> - Credit
</t>
    </r>
    <r>
      <rPr>
        <b/>
        <sz val="11"/>
        <color theme="1"/>
        <rFont val="Calibri"/>
        <family val="2"/>
        <scheme val="minor"/>
      </rPr>
      <t>Contact</t>
    </r>
    <r>
      <rPr>
        <sz val="11"/>
        <color theme="1"/>
        <rFont val="Calibri"/>
        <family val="2"/>
        <scheme val="minor"/>
      </rPr>
      <t xml:space="preserve"> - Contact
</t>
    </r>
  </si>
  <si>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</si>
  <si>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</si>
  <si>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</si>
  <si>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</si>
  <si>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</si>
  <si>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r>
      <t>aav</t>
    </r>
    <r>
      <rPr>
        <sz val="11"/>
        <color theme="1"/>
        <rFont val="Calibri"/>
        <family val="2"/>
        <scheme val="minor"/>
      </rPr>
      <t xml:space="preserve"> - Austro-Asiatic languages
</t>
    </r>
    <r>
      <rPr>
        <b/>
        <sz val="11"/>
        <color theme="1"/>
        <rFont val="Calibri"/>
        <family val="2"/>
        <scheme val="minor"/>
      </rPr>
      <t>afa</t>
    </r>
    <r>
      <rPr>
        <sz val="11"/>
        <color theme="1"/>
        <rFont val="Calibri"/>
        <family val="2"/>
        <scheme val="minor"/>
      </rPr>
      <t xml:space="preserve"> - Afro-Asiatic languages
</t>
    </r>
    <r>
      <rPr>
        <b/>
        <sz val="11"/>
        <color theme="1"/>
        <rFont val="Calibri"/>
        <family val="2"/>
        <scheme val="minor"/>
      </rPr>
      <t>alg</t>
    </r>
    <r>
      <rPr>
        <sz val="11"/>
        <color theme="1"/>
        <rFont val="Calibri"/>
        <family val="2"/>
        <scheme val="minor"/>
      </rPr>
      <t xml:space="preserve"> - Algonquian languages
</t>
    </r>
    <r>
      <rPr>
        <b/>
        <sz val="11"/>
        <color theme="1"/>
        <rFont val="Calibri"/>
        <family val="2"/>
        <scheme val="minor"/>
      </rPr>
      <t>alv</t>
    </r>
    <r>
      <rPr>
        <sz val="11"/>
        <color theme="1"/>
        <rFont val="Calibri"/>
        <family val="2"/>
        <scheme val="minor"/>
      </rPr>
      <t xml:space="preserve"> - Atlantic-Congo languages
</t>
    </r>
    <r>
      <rPr>
        <b/>
        <sz val="11"/>
        <color theme="1"/>
        <rFont val="Calibri"/>
        <family val="2"/>
        <scheme val="minor"/>
      </rPr>
      <t>apa</t>
    </r>
    <r>
      <rPr>
        <sz val="11"/>
        <color theme="1"/>
        <rFont val="Calibri"/>
        <family val="2"/>
        <scheme val="minor"/>
      </rPr>
      <t xml:space="preserve"> - Apache languages
</t>
    </r>
    <r>
      <rPr>
        <b/>
        <sz val="11"/>
        <color theme="1"/>
        <rFont val="Calibri"/>
        <family val="2"/>
        <scheme val="minor"/>
      </rPr>
      <t>aqa</t>
    </r>
    <r>
      <rPr>
        <sz val="11"/>
        <color theme="1"/>
        <rFont val="Calibri"/>
        <family val="2"/>
        <scheme val="minor"/>
      </rPr>
      <t xml:space="preserve"> - Alacalufan languages
</t>
    </r>
    <r>
      <rPr>
        <b/>
        <sz val="11"/>
        <color theme="1"/>
        <rFont val="Calibri"/>
        <family val="2"/>
        <scheme val="minor"/>
      </rPr>
      <t>aql</t>
    </r>
    <r>
      <rPr>
        <sz val="11"/>
        <color theme="1"/>
        <rFont val="Calibri"/>
        <family val="2"/>
        <scheme val="minor"/>
      </rPr>
      <t xml:space="preserve"> - Algic languages
</t>
    </r>
    <r>
      <rPr>
        <b/>
        <sz val="11"/>
        <color theme="1"/>
        <rFont val="Calibri"/>
        <family val="2"/>
        <scheme val="minor"/>
      </rPr>
      <t>art</t>
    </r>
    <r>
      <rPr>
        <sz val="11"/>
        <color theme="1"/>
        <rFont val="Calibri"/>
        <family val="2"/>
        <scheme val="minor"/>
      </rPr>
      <t xml:space="preserve"> - Artificial languages
</t>
    </r>
    <r>
      <rPr>
        <b/>
        <sz val="11"/>
        <color theme="1"/>
        <rFont val="Calibri"/>
        <family val="2"/>
        <scheme val="minor"/>
      </rPr>
      <t>ath</t>
    </r>
    <r>
      <rPr>
        <sz val="11"/>
        <color theme="1"/>
        <rFont val="Calibri"/>
        <family val="2"/>
        <scheme val="minor"/>
      </rPr>
      <t xml:space="preserve"> - Athapascan languages
</t>
    </r>
    <r>
      <rPr>
        <b/>
        <sz val="11"/>
        <color theme="1"/>
        <rFont val="Calibri"/>
        <family val="2"/>
        <scheme val="minor"/>
      </rPr>
      <t>auf</t>
    </r>
    <r>
      <rPr>
        <sz val="11"/>
        <color theme="1"/>
        <rFont val="Calibri"/>
        <family val="2"/>
        <scheme val="minor"/>
      </rPr>
      <t xml:space="preserve"> - Arauan languages
</t>
    </r>
    <r>
      <rPr>
        <b/>
        <sz val="11"/>
        <color theme="1"/>
        <rFont val="Calibri"/>
        <family val="2"/>
        <scheme val="minor"/>
      </rPr>
      <t>aus</t>
    </r>
    <r>
      <rPr>
        <sz val="11"/>
        <color theme="1"/>
        <rFont val="Calibri"/>
        <family val="2"/>
        <scheme val="minor"/>
      </rPr>
      <t xml:space="preserve"> - Australian languages
</t>
    </r>
    <r>
      <rPr>
        <b/>
        <sz val="11"/>
        <color theme="1"/>
        <rFont val="Calibri"/>
        <family val="2"/>
        <scheme val="minor"/>
      </rPr>
      <t>awd</t>
    </r>
    <r>
      <rPr>
        <sz val="11"/>
        <color theme="1"/>
        <rFont val="Calibri"/>
        <family val="2"/>
        <scheme val="minor"/>
      </rPr>
      <t xml:space="preserve"> - Arawakan languages
</t>
    </r>
    <r>
      <rPr>
        <b/>
        <sz val="11"/>
        <color theme="1"/>
        <rFont val="Calibri"/>
        <family val="2"/>
        <scheme val="minor"/>
      </rPr>
      <t>azc</t>
    </r>
    <r>
      <rPr>
        <sz val="11"/>
        <color theme="1"/>
        <rFont val="Calibri"/>
        <family val="2"/>
        <scheme val="minor"/>
      </rPr>
      <t xml:space="preserve"> - Uto-Aztecan languages
</t>
    </r>
    <r>
      <rPr>
        <b/>
        <sz val="11"/>
        <color theme="1"/>
        <rFont val="Calibri"/>
        <family val="2"/>
        <scheme val="minor"/>
      </rPr>
      <t>bad</t>
    </r>
    <r>
      <rPr>
        <sz val="11"/>
        <color theme="1"/>
        <rFont val="Calibri"/>
        <family val="2"/>
        <scheme val="minor"/>
      </rPr>
      <t xml:space="preserve"> - Banda languages
</t>
    </r>
    <r>
      <rPr>
        <b/>
        <sz val="11"/>
        <color theme="1"/>
        <rFont val="Calibri"/>
        <family val="2"/>
        <scheme val="minor"/>
      </rPr>
      <t>bai</t>
    </r>
    <r>
      <rPr>
        <sz val="11"/>
        <color theme="1"/>
        <rFont val="Calibri"/>
        <family val="2"/>
        <scheme val="minor"/>
      </rPr>
      <t xml:space="preserve"> - Bamileke languages
</t>
    </r>
    <r>
      <rPr>
        <b/>
        <sz val="11"/>
        <color theme="1"/>
        <rFont val="Calibri"/>
        <family val="2"/>
        <scheme val="minor"/>
      </rPr>
      <t>bat</t>
    </r>
    <r>
      <rPr>
        <sz val="11"/>
        <color theme="1"/>
        <rFont val="Calibri"/>
        <family val="2"/>
        <scheme val="minor"/>
      </rPr>
      <t xml:space="preserve"> - Baltic languages
</t>
    </r>
    <r>
      <rPr>
        <b/>
        <sz val="11"/>
        <color theme="1"/>
        <rFont val="Calibri"/>
        <family val="2"/>
        <scheme val="minor"/>
      </rPr>
      <t>ber</t>
    </r>
    <r>
      <rPr>
        <sz val="11"/>
        <color theme="1"/>
        <rFont val="Calibri"/>
        <family val="2"/>
        <scheme val="minor"/>
      </rPr>
      <t xml:space="preserve"> - Berber languages
</t>
    </r>
    <r>
      <rPr>
        <b/>
        <sz val="11"/>
        <color theme="1"/>
        <rFont val="Calibri"/>
        <family val="2"/>
        <scheme val="minor"/>
      </rPr>
      <t>bih</t>
    </r>
    <r>
      <rPr>
        <sz val="11"/>
        <color theme="1"/>
        <rFont val="Calibri"/>
        <family val="2"/>
        <scheme val="minor"/>
      </rPr>
      <t xml:space="preserve"> - Bihari languages
</t>
    </r>
    <r>
      <rPr>
        <b/>
        <sz val="11"/>
        <color theme="1"/>
        <rFont val="Calibri"/>
        <family val="2"/>
        <scheme val="minor"/>
      </rPr>
      <t>bnt</t>
    </r>
    <r>
      <rPr>
        <sz val="11"/>
        <color theme="1"/>
        <rFont val="Calibri"/>
        <family val="2"/>
        <scheme val="minor"/>
      </rPr>
      <t xml:space="preserve"> - Bantu languages
</t>
    </r>
    <r>
      <rPr>
        <b/>
        <sz val="11"/>
        <color theme="1"/>
        <rFont val="Calibri"/>
        <family val="2"/>
        <scheme val="minor"/>
      </rPr>
      <t>btk</t>
    </r>
    <r>
      <rPr>
        <sz val="11"/>
        <color theme="1"/>
        <rFont val="Calibri"/>
        <family val="2"/>
        <scheme val="minor"/>
      </rPr>
      <t xml:space="preserve"> - Batak languages
</t>
    </r>
    <r>
      <rPr>
        <b/>
        <sz val="11"/>
        <color theme="1"/>
        <rFont val="Calibri"/>
        <family val="2"/>
        <scheme val="minor"/>
      </rPr>
      <t>cai</t>
    </r>
    <r>
      <rPr>
        <sz val="11"/>
        <color theme="1"/>
        <rFont val="Calibri"/>
        <family val="2"/>
        <scheme val="minor"/>
      </rPr>
      <t xml:space="preserve"> - Central American Indian languages
</t>
    </r>
    <r>
      <rPr>
        <b/>
        <sz val="11"/>
        <color theme="1"/>
        <rFont val="Calibri"/>
        <family val="2"/>
        <scheme val="minor"/>
      </rPr>
      <t>cau</t>
    </r>
    <r>
      <rPr>
        <sz val="11"/>
        <color theme="1"/>
        <rFont val="Calibri"/>
        <family val="2"/>
        <scheme val="minor"/>
      </rPr>
      <t xml:space="preserve"> - Caucasian languages
</t>
    </r>
    <r>
      <rPr>
        <b/>
        <sz val="11"/>
        <color theme="1"/>
        <rFont val="Calibri"/>
        <family val="2"/>
        <scheme val="minor"/>
      </rPr>
      <t>cba</t>
    </r>
    <r>
      <rPr>
        <sz val="11"/>
        <color theme="1"/>
        <rFont val="Calibri"/>
        <family val="2"/>
        <scheme val="minor"/>
      </rPr>
      <t xml:space="preserve"> - Chibchan languages
</t>
    </r>
    <r>
      <rPr>
        <b/>
        <sz val="11"/>
        <color theme="1"/>
        <rFont val="Calibri"/>
        <family val="2"/>
        <scheme val="minor"/>
      </rPr>
      <t>ccn</t>
    </r>
    <r>
      <rPr>
        <sz val="11"/>
        <color theme="1"/>
        <rFont val="Calibri"/>
        <family val="2"/>
        <scheme val="minor"/>
      </rPr>
      <t xml:space="preserve"> - North Caucasian languages
</t>
    </r>
    <r>
      <rPr>
        <b/>
        <sz val="11"/>
        <color theme="1"/>
        <rFont val="Calibri"/>
        <family val="2"/>
        <scheme val="minor"/>
      </rPr>
      <t>ccs</t>
    </r>
    <r>
      <rPr>
        <sz val="11"/>
        <color theme="1"/>
        <rFont val="Calibri"/>
        <family val="2"/>
        <scheme val="minor"/>
      </rPr>
      <t xml:space="preserve"> - South Caucasian languages
</t>
    </r>
    <r>
      <rPr>
        <b/>
        <sz val="11"/>
        <color theme="1"/>
        <rFont val="Calibri"/>
        <family val="2"/>
        <scheme val="minor"/>
      </rPr>
      <t>cdc</t>
    </r>
    <r>
      <rPr>
        <sz val="11"/>
        <color theme="1"/>
        <rFont val="Calibri"/>
        <family val="2"/>
        <scheme val="minor"/>
      </rPr>
      <t xml:space="preserve"> - Chadic languages
</t>
    </r>
    <r>
      <rPr>
        <b/>
        <sz val="11"/>
        <color theme="1"/>
        <rFont val="Calibri"/>
        <family val="2"/>
        <scheme val="minor"/>
      </rPr>
      <t>cdd</t>
    </r>
    <r>
      <rPr>
        <sz val="11"/>
        <color theme="1"/>
        <rFont val="Calibri"/>
        <family val="2"/>
        <scheme val="minor"/>
      </rPr>
      <t xml:space="preserve"> - Caddoan languages
</t>
    </r>
    <r>
      <rPr>
        <b/>
        <sz val="11"/>
        <color theme="1"/>
        <rFont val="Calibri"/>
        <family val="2"/>
        <scheme val="minor"/>
      </rPr>
      <t>cel</t>
    </r>
    <r>
      <rPr>
        <sz val="11"/>
        <color theme="1"/>
        <rFont val="Calibri"/>
        <family val="2"/>
        <scheme val="minor"/>
      </rPr>
      <t xml:space="preserve"> - Celtic languages
</t>
    </r>
    <r>
      <rPr>
        <b/>
        <sz val="11"/>
        <color theme="1"/>
        <rFont val="Calibri"/>
        <family val="2"/>
        <scheme val="minor"/>
      </rPr>
      <t>cmc</t>
    </r>
    <r>
      <rPr>
        <sz val="11"/>
        <color theme="1"/>
        <rFont val="Calibri"/>
        <family val="2"/>
        <scheme val="minor"/>
      </rPr>
      <t xml:space="preserve"> - Chamic languages
</t>
    </r>
    <r>
      <rPr>
        <b/>
        <sz val="11"/>
        <color theme="1"/>
        <rFont val="Calibri"/>
        <family val="2"/>
        <scheme val="minor"/>
      </rPr>
      <t>cpe</t>
    </r>
    <r>
      <rPr>
        <sz val="11"/>
        <color theme="1"/>
        <rFont val="Calibri"/>
        <family val="2"/>
        <scheme val="minor"/>
      </rPr>
      <t xml:space="preserve"> - Creoles and pidgins, Englishâ€‘based
</t>
    </r>
    <r>
      <rPr>
        <b/>
        <sz val="11"/>
        <color theme="1"/>
        <rFont val="Calibri"/>
        <family val="2"/>
        <scheme val="minor"/>
      </rPr>
      <t>cpf</t>
    </r>
    <r>
      <rPr>
        <sz val="11"/>
        <color theme="1"/>
        <rFont val="Calibri"/>
        <family val="2"/>
        <scheme val="minor"/>
      </rPr>
      <t xml:space="preserve"> - Creoles and pidgins, Frenchâ€‘based
</t>
    </r>
    <r>
      <rPr>
        <b/>
        <sz val="11"/>
        <color theme="1"/>
        <rFont val="Calibri"/>
        <family val="2"/>
        <scheme val="minor"/>
      </rPr>
      <t>cpp</t>
    </r>
    <r>
      <rPr>
        <sz val="11"/>
        <color theme="1"/>
        <rFont val="Calibri"/>
        <family val="2"/>
        <scheme val="minor"/>
      </rPr>
      <t xml:space="preserve"> - Creoles and pidgins, Portuguese-based
</t>
    </r>
    <r>
      <rPr>
        <b/>
        <sz val="11"/>
        <color theme="1"/>
        <rFont val="Calibri"/>
        <family val="2"/>
        <scheme val="minor"/>
      </rPr>
      <t>crp</t>
    </r>
    <r>
      <rPr>
        <sz val="11"/>
        <color theme="1"/>
        <rFont val="Calibri"/>
        <family val="2"/>
        <scheme val="minor"/>
      </rPr>
      <t xml:space="preserve"> - Creoles and pidgins
</t>
    </r>
    <r>
      <rPr>
        <b/>
        <sz val="11"/>
        <color theme="1"/>
        <rFont val="Calibri"/>
        <family val="2"/>
        <scheme val="minor"/>
      </rPr>
      <t>csu</t>
    </r>
    <r>
      <rPr>
        <sz val="11"/>
        <color theme="1"/>
        <rFont val="Calibri"/>
        <family val="2"/>
        <scheme val="minor"/>
      </rPr>
      <t xml:space="preserve"> - Central Sudanic languages
</t>
    </r>
    <r>
      <rPr>
        <b/>
        <sz val="11"/>
        <color theme="1"/>
        <rFont val="Calibri"/>
        <family val="2"/>
        <scheme val="minor"/>
      </rPr>
      <t>cus</t>
    </r>
    <r>
      <rPr>
        <sz val="11"/>
        <color theme="1"/>
        <rFont val="Calibri"/>
        <family val="2"/>
        <scheme val="minor"/>
      </rPr>
      <t xml:space="preserve"> - Cushitic languages
</t>
    </r>
    <r>
      <rPr>
        <b/>
        <sz val="11"/>
        <color theme="1"/>
        <rFont val="Calibri"/>
        <family val="2"/>
        <scheme val="minor"/>
      </rPr>
      <t>day</t>
    </r>
    <r>
      <rPr>
        <sz val="11"/>
        <color theme="1"/>
        <rFont val="Calibri"/>
        <family val="2"/>
        <scheme val="minor"/>
      </rPr>
      <t xml:space="preserve"> - Land Dayak languages
</t>
    </r>
    <r>
      <rPr>
        <b/>
        <sz val="11"/>
        <color theme="1"/>
        <rFont val="Calibri"/>
        <family val="2"/>
        <scheme val="minor"/>
      </rPr>
      <t>dmn</t>
    </r>
    <r>
      <rPr>
        <sz val="11"/>
        <color theme="1"/>
        <rFont val="Calibri"/>
        <family val="2"/>
        <scheme val="minor"/>
      </rPr>
      <t xml:space="preserve"> - Mande languages
</t>
    </r>
    <r>
      <rPr>
        <b/>
        <sz val="11"/>
        <color theme="1"/>
        <rFont val="Calibri"/>
        <family val="2"/>
        <scheme val="minor"/>
      </rPr>
      <t>dra</t>
    </r>
    <r>
      <rPr>
        <sz val="11"/>
        <color theme="1"/>
        <rFont val="Calibri"/>
        <family val="2"/>
        <scheme val="minor"/>
      </rPr>
      <t xml:space="preserve"> - Dravidian languages
</t>
    </r>
    <r>
      <rPr>
        <b/>
        <sz val="11"/>
        <color theme="1"/>
        <rFont val="Calibri"/>
        <family val="2"/>
        <scheme val="minor"/>
      </rPr>
      <t>egx</t>
    </r>
    <r>
      <rPr>
        <sz val="11"/>
        <color theme="1"/>
        <rFont val="Calibri"/>
        <family val="2"/>
        <scheme val="minor"/>
      </rPr>
      <t xml:space="preserve"> - Egyptian languages
</t>
    </r>
    <r>
      <rPr>
        <b/>
        <sz val="11"/>
        <color theme="1"/>
        <rFont val="Calibri"/>
        <family val="2"/>
        <scheme val="minor"/>
      </rPr>
      <t>esx</t>
    </r>
    <r>
      <rPr>
        <sz val="11"/>
        <color theme="1"/>
        <rFont val="Calibri"/>
        <family val="2"/>
        <scheme val="minor"/>
      </rPr>
      <t xml:space="preserve"> - Eskimo-Aleut languages
</t>
    </r>
    <r>
      <rPr>
        <b/>
        <sz val="11"/>
        <color theme="1"/>
        <rFont val="Calibri"/>
        <family val="2"/>
        <scheme val="minor"/>
      </rPr>
      <t>euq</t>
    </r>
    <r>
      <rPr>
        <sz val="11"/>
        <color theme="1"/>
        <rFont val="Calibri"/>
        <family val="2"/>
        <scheme val="minor"/>
      </rPr>
      <t xml:space="preserve"> - Basque (family)
</t>
    </r>
    <r>
      <rPr>
        <b/>
        <sz val="11"/>
        <color theme="1"/>
        <rFont val="Calibri"/>
        <family val="2"/>
        <scheme val="minor"/>
      </rPr>
      <t>fiu</t>
    </r>
    <r>
      <rPr>
        <sz val="11"/>
        <color theme="1"/>
        <rFont val="Calibri"/>
        <family val="2"/>
        <scheme val="minor"/>
      </rPr>
      <t xml:space="preserve"> - Finno-Ugrian languages
</t>
    </r>
    <r>
      <rPr>
        <b/>
        <sz val="11"/>
        <color theme="1"/>
        <rFont val="Calibri"/>
        <family val="2"/>
        <scheme val="minor"/>
      </rPr>
      <t>fox</t>
    </r>
    <r>
      <rPr>
        <sz val="11"/>
        <color theme="1"/>
        <rFont val="Calibri"/>
        <family val="2"/>
        <scheme val="minor"/>
      </rPr>
      <t xml:space="preserve"> - Formosan languages
</t>
    </r>
    <r>
      <rPr>
        <b/>
        <sz val="11"/>
        <color theme="1"/>
        <rFont val="Calibri"/>
        <family val="2"/>
        <scheme val="minor"/>
      </rPr>
      <t>gem</t>
    </r>
    <r>
      <rPr>
        <sz val="11"/>
        <color theme="1"/>
        <rFont val="Calibri"/>
        <family val="2"/>
        <scheme val="minor"/>
      </rPr>
      <t xml:space="preserve"> - Germanic languages
</t>
    </r>
    <r>
      <rPr>
        <b/>
        <sz val="11"/>
        <color theme="1"/>
        <rFont val="Calibri"/>
        <family val="2"/>
        <scheme val="minor"/>
      </rPr>
      <t>gme</t>
    </r>
    <r>
      <rPr>
        <sz val="11"/>
        <color theme="1"/>
        <rFont val="Calibri"/>
        <family val="2"/>
        <scheme val="minor"/>
      </rPr>
      <t xml:space="preserve"> - East Germanic languages
</t>
    </r>
    <r>
      <rPr>
        <b/>
        <sz val="11"/>
        <color theme="1"/>
        <rFont val="Calibri"/>
        <family val="2"/>
        <scheme val="minor"/>
      </rPr>
      <t>gmq</t>
    </r>
    <r>
      <rPr>
        <sz val="11"/>
        <color theme="1"/>
        <rFont val="Calibri"/>
        <family val="2"/>
        <scheme val="minor"/>
      </rPr>
      <t xml:space="preserve"> - North Germanic languages
</t>
    </r>
    <r>
      <rPr>
        <b/>
        <sz val="11"/>
        <color theme="1"/>
        <rFont val="Calibri"/>
        <family val="2"/>
        <scheme val="minor"/>
      </rPr>
      <t>gmw</t>
    </r>
    <r>
      <rPr>
        <sz val="11"/>
        <color theme="1"/>
        <rFont val="Calibri"/>
        <family val="2"/>
        <scheme val="minor"/>
      </rPr>
      <t xml:space="preserve"> - West Germanic languages
</t>
    </r>
    <r>
      <rPr>
        <b/>
        <sz val="11"/>
        <color theme="1"/>
        <rFont val="Calibri"/>
        <family val="2"/>
        <scheme val="minor"/>
      </rPr>
      <t>grk</t>
    </r>
    <r>
      <rPr>
        <sz val="11"/>
        <color theme="1"/>
        <rFont val="Calibri"/>
        <family val="2"/>
        <scheme val="minor"/>
      </rPr>
      <t xml:space="preserve"> - Greek languages
</t>
    </r>
    <r>
      <rPr>
        <b/>
        <sz val="11"/>
        <color theme="1"/>
        <rFont val="Calibri"/>
        <family val="2"/>
        <scheme val="minor"/>
      </rPr>
      <t>hmx</t>
    </r>
    <r>
      <rPr>
        <sz val="11"/>
        <color theme="1"/>
        <rFont val="Calibri"/>
        <family val="2"/>
        <scheme val="minor"/>
      </rPr>
      <t xml:space="preserve"> - Hmong-Mien languages
</t>
    </r>
    <r>
      <rPr>
        <b/>
        <sz val="11"/>
        <color theme="1"/>
        <rFont val="Calibri"/>
        <family val="2"/>
        <scheme val="minor"/>
      </rPr>
      <t>hok</t>
    </r>
    <r>
      <rPr>
        <sz val="11"/>
        <color theme="1"/>
        <rFont val="Calibri"/>
        <family val="2"/>
        <scheme val="minor"/>
      </rPr>
      <t xml:space="preserve"> - Hokan languages
</t>
    </r>
    <r>
      <rPr>
        <b/>
        <sz val="11"/>
        <color theme="1"/>
        <rFont val="Calibri"/>
        <family val="2"/>
        <scheme val="minor"/>
      </rPr>
      <t>hyx</t>
    </r>
    <r>
      <rPr>
        <sz val="11"/>
        <color theme="1"/>
        <rFont val="Calibri"/>
        <family val="2"/>
        <scheme val="minor"/>
      </rPr>
      <t xml:space="preserve"> - Armenian (family)
</t>
    </r>
    <r>
      <rPr>
        <b/>
        <sz val="11"/>
        <color theme="1"/>
        <rFont val="Calibri"/>
        <family val="2"/>
        <scheme val="minor"/>
      </rPr>
      <t>iir</t>
    </r>
    <r>
      <rPr>
        <sz val="11"/>
        <color theme="1"/>
        <rFont val="Calibri"/>
        <family val="2"/>
        <scheme val="minor"/>
      </rPr>
      <t xml:space="preserve"> - Indo-Iranian languages
</t>
    </r>
    <r>
      <rPr>
        <b/>
        <sz val="11"/>
        <color theme="1"/>
        <rFont val="Calibri"/>
        <family val="2"/>
        <scheme val="minor"/>
      </rPr>
      <t>ijo</t>
    </r>
    <r>
      <rPr>
        <sz val="11"/>
        <color theme="1"/>
        <rFont val="Calibri"/>
        <family val="2"/>
        <scheme val="minor"/>
      </rPr>
      <t xml:space="preserve"> - Ijo languages
</t>
    </r>
    <r>
      <rPr>
        <b/>
        <sz val="11"/>
        <color theme="1"/>
        <rFont val="Calibri"/>
        <family val="2"/>
        <scheme val="minor"/>
      </rPr>
      <t>inc</t>
    </r>
    <r>
      <rPr>
        <sz val="11"/>
        <color theme="1"/>
        <rFont val="Calibri"/>
        <family val="2"/>
        <scheme val="minor"/>
      </rPr>
      <t xml:space="preserve"> - Indic languages
</t>
    </r>
    <r>
      <rPr>
        <b/>
        <sz val="11"/>
        <color theme="1"/>
        <rFont val="Calibri"/>
        <family val="2"/>
        <scheme val="minor"/>
      </rPr>
      <t>ine</t>
    </r>
    <r>
      <rPr>
        <sz val="11"/>
        <color theme="1"/>
        <rFont val="Calibri"/>
        <family val="2"/>
        <scheme val="minor"/>
      </rPr>
      <t xml:space="preserve"> - Indo-European languages
</t>
    </r>
    <r>
      <rPr>
        <b/>
        <sz val="11"/>
        <color theme="1"/>
        <rFont val="Calibri"/>
        <family val="2"/>
        <scheme val="minor"/>
      </rPr>
      <t>ira</t>
    </r>
    <r>
      <rPr>
        <sz val="11"/>
        <color theme="1"/>
        <rFont val="Calibri"/>
        <family val="2"/>
        <scheme val="minor"/>
      </rPr>
      <t xml:space="preserve"> - Iranian languages
</t>
    </r>
    <r>
      <rPr>
        <b/>
        <sz val="11"/>
        <color theme="1"/>
        <rFont val="Calibri"/>
        <family val="2"/>
        <scheme val="minor"/>
      </rPr>
      <t>iro</t>
    </r>
    <r>
      <rPr>
        <sz val="11"/>
        <color theme="1"/>
        <rFont val="Calibri"/>
        <family val="2"/>
        <scheme val="minor"/>
      </rPr>
      <t xml:space="preserve"> - Iroquoian languages
</t>
    </r>
    <r>
      <rPr>
        <b/>
        <sz val="11"/>
        <color theme="1"/>
        <rFont val="Calibri"/>
        <family val="2"/>
        <scheme val="minor"/>
      </rPr>
      <t>itc</t>
    </r>
    <r>
      <rPr>
        <sz val="11"/>
        <color theme="1"/>
        <rFont val="Calibri"/>
        <family val="2"/>
        <scheme val="minor"/>
      </rPr>
      <t xml:space="preserve"> - Italic languages
</t>
    </r>
    <r>
      <rPr>
        <b/>
        <sz val="11"/>
        <color theme="1"/>
        <rFont val="Calibri"/>
        <family val="2"/>
        <scheme val="minor"/>
      </rPr>
      <t>jpx</t>
    </r>
    <r>
      <rPr>
        <sz val="11"/>
        <color theme="1"/>
        <rFont val="Calibri"/>
        <family val="2"/>
        <scheme val="minor"/>
      </rPr>
      <t xml:space="preserve"> - Japanese (family)
</t>
    </r>
    <r>
      <rPr>
        <b/>
        <sz val="11"/>
        <color theme="1"/>
        <rFont val="Calibri"/>
        <family val="2"/>
        <scheme val="minor"/>
      </rPr>
      <t>kar</t>
    </r>
    <r>
      <rPr>
        <sz val="11"/>
        <color theme="1"/>
        <rFont val="Calibri"/>
        <family val="2"/>
        <scheme val="minor"/>
      </rPr>
      <t xml:space="preserve"> - Karen languages
</t>
    </r>
    <r>
      <rPr>
        <b/>
        <sz val="11"/>
        <color theme="1"/>
        <rFont val="Calibri"/>
        <family val="2"/>
        <scheme val="minor"/>
      </rPr>
      <t>kdo</t>
    </r>
    <r>
      <rPr>
        <sz val="11"/>
        <color theme="1"/>
        <rFont val="Calibri"/>
        <family val="2"/>
        <scheme val="minor"/>
      </rPr>
      <t xml:space="preserve"> - Kordofanian languages
</t>
    </r>
    <r>
      <rPr>
        <b/>
        <sz val="11"/>
        <color theme="1"/>
        <rFont val="Calibri"/>
        <family val="2"/>
        <scheme val="minor"/>
      </rPr>
      <t>khi</t>
    </r>
    <r>
      <rPr>
        <sz val="11"/>
        <color theme="1"/>
        <rFont val="Calibri"/>
        <family val="2"/>
        <scheme val="minor"/>
      </rPr>
      <t xml:space="preserve"> - Khoisan languages
</t>
    </r>
    <r>
      <rPr>
        <b/>
        <sz val="11"/>
        <color theme="1"/>
        <rFont val="Calibri"/>
        <family val="2"/>
        <scheme val="minor"/>
      </rPr>
      <t>kro</t>
    </r>
    <r>
      <rPr>
        <sz val="11"/>
        <color theme="1"/>
        <rFont val="Calibri"/>
        <family val="2"/>
        <scheme val="minor"/>
      </rPr>
      <t xml:space="preserve"> - Kru languages
</t>
    </r>
    <r>
      <rPr>
        <b/>
        <sz val="11"/>
        <color theme="1"/>
        <rFont val="Calibri"/>
        <family val="2"/>
        <scheme val="minor"/>
      </rPr>
      <t>map</t>
    </r>
    <r>
      <rPr>
        <sz val="11"/>
        <color theme="1"/>
        <rFont val="Calibri"/>
        <family val="2"/>
        <scheme val="minor"/>
      </rPr>
      <t xml:space="preserve"> - Austronesian languages
</t>
    </r>
    <r>
      <rPr>
        <b/>
        <sz val="11"/>
        <color theme="1"/>
        <rFont val="Calibri"/>
        <family val="2"/>
        <scheme val="minor"/>
      </rPr>
      <t>mkh</t>
    </r>
    <r>
      <rPr>
        <sz val="11"/>
        <color theme="1"/>
        <rFont val="Calibri"/>
        <family val="2"/>
        <scheme val="minor"/>
      </rPr>
      <t xml:space="preserve"> - Mon-Khmer languages
</t>
    </r>
    <r>
      <rPr>
        <b/>
        <sz val="11"/>
        <color theme="1"/>
        <rFont val="Calibri"/>
        <family val="2"/>
        <scheme val="minor"/>
      </rPr>
      <t>mno</t>
    </r>
    <r>
      <rPr>
        <sz val="11"/>
        <color theme="1"/>
        <rFont val="Calibri"/>
        <family val="2"/>
        <scheme val="minor"/>
      </rPr>
      <t xml:space="preserve"> - Manobo languages
</t>
    </r>
    <r>
      <rPr>
        <b/>
        <sz val="11"/>
        <color theme="1"/>
        <rFont val="Calibri"/>
        <family val="2"/>
        <scheme val="minor"/>
      </rPr>
      <t>mun</t>
    </r>
    <r>
      <rPr>
        <sz val="11"/>
        <color theme="1"/>
        <rFont val="Calibri"/>
        <family val="2"/>
        <scheme val="minor"/>
      </rPr>
      <t xml:space="preserve"> - Munda languages
</t>
    </r>
    <r>
      <rPr>
        <b/>
        <sz val="11"/>
        <color theme="1"/>
        <rFont val="Calibri"/>
        <family val="2"/>
        <scheme val="minor"/>
      </rPr>
      <t>myn</t>
    </r>
    <r>
      <rPr>
        <sz val="11"/>
        <color theme="1"/>
        <rFont val="Calibri"/>
        <family val="2"/>
        <scheme val="minor"/>
      </rPr>
      <t xml:space="preserve"> - Mayan languages
</t>
    </r>
    <r>
      <rPr>
        <b/>
        <sz val="11"/>
        <color theme="1"/>
        <rFont val="Calibri"/>
        <family val="2"/>
        <scheme val="minor"/>
      </rPr>
      <t>nah</t>
    </r>
    <r>
      <rPr>
        <sz val="11"/>
        <color theme="1"/>
        <rFont val="Calibri"/>
        <family val="2"/>
        <scheme val="minor"/>
      </rPr>
      <t xml:space="preserve"> - Nahuatl languages
</t>
    </r>
    <r>
      <rPr>
        <b/>
        <sz val="11"/>
        <color theme="1"/>
        <rFont val="Calibri"/>
        <family val="2"/>
        <scheme val="minor"/>
      </rPr>
      <t>nai</t>
    </r>
    <r>
      <rPr>
        <sz val="11"/>
        <color theme="1"/>
        <rFont val="Calibri"/>
        <family val="2"/>
        <scheme val="minor"/>
      </rPr>
      <t xml:space="preserve"> - North American Indian languages
</t>
    </r>
    <r>
      <rPr>
        <b/>
        <sz val="11"/>
        <color theme="1"/>
        <rFont val="Calibri"/>
        <family val="2"/>
        <scheme val="minor"/>
      </rPr>
      <t>ngf</t>
    </r>
    <r>
      <rPr>
        <sz val="11"/>
        <color theme="1"/>
        <rFont val="Calibri"/>
        <family val="2"/>
        <scheme val="minor"/>
      </rPr>
      <t xml:space="preserve"> - Trans-New Guinea languages
</t>
    </r>
    <r>
      <rPr>
        <b/>
        <sz val="11"/>
        <color theme="1"/>
        <rFont val="Calibri"/>
        <family val="2"/>
        <scheme val="minor"/>
      </rPr>
      <t>nic</t>
    </r>
    <r>
      <rPr>
        <sz val="11"/>
        <color theme="1"/>
        <rFont val="Calibri"/>
        <family val="2"/>
        <scheme val="minor"/>
      </rPr>
      <t xml:space="preserve"> - Niger-Kordofanian languages
</t>
    </r>
    <r>
      <rPr>
        <b/>
        <sz val="11"/>
        <color theme="1"/>
        <rFont val="Calibri"/>
        <family val="2"/>
        <scheme val="minor"/>
      </rPr>
      <t>nub</t>
    </r>
    <r>
      <rPr>
        <sz val="11"/>
        <color theme="1"/>
        <rFont val="Calibri"/>
        <family val="2"/>
        <scheme val="minor"/>
      </rPr>
      <t xml:space="preserve"> - Nubian languages
</t>
    </r>
    <r>
      <rPr>
        <b/>
        <sz val="11"/>
        <color theme="1"/>
        <rFont val="Calibri"/>
        <family val="2"/>
        <scheme val="minor"/>
      </rPr>
      <t>omq</t>
    </r>
    <r>
      <rPr>
        <sz val="11"/>
        <color theme="1"/>
        <rFont val="Calibri"/>
        <family val="2"/>
        <scheme val="minor"/>
      </rPr>
      <t xml:space="preserve"> - Oto-Manguean languages
</t>
    </r>
    <r>
      <rPr>
        <b/>
        <sz val="11"/>
        <color theme="1"/>
        <rFont val="Calibri"/>
        <family val="2"/>
        <scheme val="minor"/>
      </rPr>
      <t>omv</t>
    </r>
    <r>
      <rPr>
        <sz val="11"/>
        <color theme="1"/>
        <rFont val="Calibri"/>
        <family val="2"/>
        <scheme val="minor"/>
      </rPr>
      <t xml:space="preserve"> - Omotic languages
</t>
    </r>
    <r>
      <rPr>
        <b/>
        <sz val="11"/>
        <color theme="1"/>
        <rFont val="Calibri"/>
        <family val="2"/>
        <scheme val="minor"/>
      </rPr>
      <t>oto</t>
    </r>
    <r>
      <rPr>
        <sz val="11"/>
        <color theme="1"/>
        <rFont val="Calibri"/>
        <family val="2"/>
        <scheme val="minor"/>
      </rPr>
      <t xml:space="preserve"> - Otomian languages
</t>
    </r>
    <r>
      <rPr>
        <b/>
        <sz val="11"/>
        <color theme="1"/>
        <rFont val="Calibri"/>
        <family val="2"/>
        <scheme val="minor"/>
      </rPr>
      <t>paa</t>
    </r>
    <r>
      <rPr>
        <sz val="11"/>
        <color theme="1"/>
        <rFont val="Calibri"/>
        <family val="2"/>
        <scheme val="minor"/>
      </rPr>
      <t xml:space="preserve"> - Papuan languages
</t>
    </r>
    <r>
      <rPr>
        <b/>
        <sz val="11"/>
        <color theme="1"/>
        <rFont val="Calibri"/>
        <family val="2"/>
        <scheme val="minor"/>
      </rPr>
      <t>phi</t>
    </r>
    <r>
      <rPr>
        <sz val="11"/>
        <color theme="1"/>
        <rFont val="Calibri"/>
        <family val="2"/>
        <scheme val="minor"/>
      </rPr>
      <t xml:space="preserve"> - Philippine languages
</t>
    </r>
    <r>
      <rPr>
        <b/>
        <sz val="11"/>
        <color theme="1"/>
        <rFont val="Calibri"/>
        <family val="2"/>
        <scheme val="minor"/>
      </rPr>
      <t>plf</t>
    </r>
    <r>
      <rPr>
        <sz val="11"/>
        <color theme="1"/>
        <rFont val="Calibri"/>
        <family val="2"/>
        <scheme val="minor"/>
      </rPr>
      <t xml:space="preserve"> - Central Malayo-Polynesian languages
</t>
    </r>
    <r>
      <rPr>
        <b/>
        <sz val="11"/>
        <color theme="1"/>
        <rFont val="Calibri"/>
        <family val="2"/>
        <scheme val="minor"/>
      </rPr>
      <t>poz</t>
    </r>
    <r>
      <rPr>
        <sz val="11"/>
        <color theme="1"/>
        <rFont val="Calibri"/>
        <family val="2"/>
        <scheme val="minor"/>
      </rPr>
      <t xml:space="preserve"> - Malayo-Polynesian languages
</t>
    </r>
    <r>
      <rPr>
        <b/>
        <sz val="11"/>
        <color theme="1"/>
        <rFont val="Calibri"/>
        <family val="2"/>
        <scheme val="minor"/>
      </rPr>
      <t>pqe</t>
    </r>
    <r>
      <rPr>
        <sz val="11"/>
        <color theme="1"/>
        <rFont val="Calibri"/>
        <family val="2"/>
        <scheme val="minor"/>
      </rPr>
      <t xml:space="preserve"> - Eastern Malayo-Polynesian languages
</t>
    </r>
    <r>
      <rPr>
        <b/>
        <sz val="11"/>
        <color theme="1"/>
        <rFont val="Calibri"/>
        <family val="2"/>
        <scheme val="minor"/>
      </rPr>
      <t>pqw</t>
    </r>
    <r>
      <rPr>
        <sz val="11"/>
        <color theme="1"/>
        <rFont val="Calibri"/>
        <family val="2"/>
        <scheme val="minor"/>
      </rPr>
      <t xml:space="preserve"> - Western Malayo-Polynesian languages
</t>
    </r>
    <r>
      <rPr>
        <b/>
        <sz val="11"/>
        <color theme="1"/>
        <rFont val="Calibri"/>
        <family val="2"/>
        <scheme val="minor"/>
      </rPr>
      <t>pra</t>
    </r>
    <r>
      <rPr>
        <sz val="11"/>
        <color theme="1"/>
        <rFont val="Calibri"/>
        <family val="2"/>
        <scheme val="minor"/>
      </rPr>
      <t xml:space="preserve"> - Prakrit languages
</t>
    </r>
    <r>
      <rPr>
        <b/>
        <sz val="11"/>
        <color theme="1"/>
        <rFont val="Calibri"/>
        <family val="2"/>
        <scheme val="minor"/>
      </rPr>
      <t>qwe</t>
    </r>
    <r>
      <rPr>
        <sz val="11"/>
        <color theme="1"/>
        <rFont val="Calibri"/>
        <family val="2"/>
        <scheme val="minor"/>
      </rPr>
      <t xml:space="preserve"> - Quechuan (family)
</t>
    </r>
    <r>
      <rPr>
        <b/>
        <sz val="11"/>
        <color theme="1"/>
        <rFont val="Calibri"/>
        <family val="2"/>
        <scheme val="minor"/>
      </rPr>
      <t>roa</t>
    </r>
    <r>
      <rPr>
        <sz val="11"/>
        <color theme="1"/>
        <rFont val="Calibri"/>
        <family val="2"/>
        <scheme val="minor"/>
      </rPr>
      <t xml:space="preserve"> - Romance languages
</t>
    </r>
    <r>
      <rPr>
        <b/>
        <sz val="11"/>
        <color theme="1"/>
        <rFont val="Calibri"/>
        <family val="2"/>
        <scheme val="minor"/>
      </rPr>
      <t>sai</t>
    </r>
    <r>
      <rPr>
        <sz val="11"/>
        <color theme="1"/>
        <rFont val="Calibri"/>
        <family val="2"/>
        <scheme val="minor"/>
      </rPr>
      <t xml:space="preserve"> - South American Indian languages
</t>
    </r>
    <r>
      <rPr>
        <b/>
        <sz val="11"/>
        <color theme="1"/>
        <rFont val="Calibri"/>
        <family val="2"/>
        <scheme val="minor"/>
      </rPr>
      <t>sal</t>
    </r>
    <r>
      <rPr>
        <sz val="11"/>
        <color theme="1"/>
        <rFont val="Calibri"/>
        <family val="2"/>
        <scheme val="minor"/>
      </rPr>
      <t xml:space="preserve"> - Salishan languages
</t>
    </r>
    <r>
      <rPr>
        <b/>
        <sz val="11"/>
        <color theme="1"/>
        <rFont val="Calibri"/>
        <family val="2"/>
        <scheme val="minor"/>
      </rPr>
      <t>sdv</t>
    </r>
    <r>
      <rPr>
        <sz val="11"/>
        <color theme="1"/>
        <rFont val="Calibri"/>
        <family val="2"/>
        <scheme val="minor"/>
      </rPr>
      <t xml:space="preserve"> - Eastern Sudanic languages
</t>
    </r>
    <r>
      <rPr>
        <b/>
        <sz val="11"/>
        <color theme="1"/>
        <rFont val="Calibri"/>
        <family val="2"/>
        <scheme val="minor"/>
      </rPr>
      <t>sem</t>
    </r>
    <r>
      <rPr>
        <sz val="11"/>
        <color theme="1"/>
        <rFont val="Calibri"/>
        <family val="2"/>
        <scheme val="minor"/>
      </rPr>
      <t xml:space="preserve"> - Semitic languages
</t>
    </r>
    <r>
      <rPr>
        <b/>
        <sz val="11"/>
        <color theme="1"/>
        <rFont val="Calibri"/>
        <family val="2"/>
        <scheme val="minor"/>
      </rPr>
      <t>sgn</t>
    </r>
    <r>
      <rPr>
        <sz val="11"/>
        <color theme="1"/>
        <rFont val="Calibri"/>
        <family val="2"/>
        <scheme val="minor"/>
      </rPr>
      <t xml:space="preserve"> - sign languages
</t>
    </r>
    <r>
      <rPr>
        <b/>
        <sz val="11"/>
        <color theme="1"/>
        <rFont val="Calibri"/>
        <family val="2"/>
        <scheme val="minor"/>
      </rPr>
      <t>sio</t>
    </r>
    <r>
      <rPr>
        <sz val="11"/>
        <color theme="1"/>
        <rFont val="Calibri"/>
        <family val="2"/>
        <scheme val="minor"/>
      </rPr>
      <t xml:space="preserve"> - Siouan languages
</t>
    </r>
    <r>
      <rPr>
        <b/>
        <sz val="11"/>
        <color theme="1"/>
        <rFont val="Calibri"/>
        <family val="2"/>
        <scheme val="minor"/>
      </rPr>
      <t>sit</t>
    </r>
    <r>
      <rPr>
        <sz val="11"/>
        <color theme="1"/>
        <rFont val="Calibri"/>
        <family val="2"/>
        <scheme val="minor"/>
      </rPr>
      <t xml:space="preserve"> - Sino-Tibetan languages
</t>
    </r>
    <r>
      <rPr>
        <b/>
        <sz val="11"/>
        <color theme="1"/>
        <rFont val="Calibri"/>
        <family val="2"/>
        <scheme val="minor"/>
      </rPr>
      <t>sla</t>
    </r>
    <r>
      <rPr>
        <sz val="11"/>
        <color theme="1"/>
        <rFont val="Calibri"/>
        <family val="2"/>
        <scheme val="minor"/>
      </rPr>
      <t xml:space="preserve"> - Slavic languages
</t>
    </r>
    <r>
      <rPr>
        <b/>
        <sz val="11"/>
        <color theme="1"/>
        <rFont val="Calibri"/>
        <family val="2"/>
        <scheme val="minor"/>
      </rPr>
      <t>smi</t>
    </r>
    <r>
      <rPr>
        <sz val="11"/>
        <color theme="1"/>
        <rFont val="Calibri"/>
        <family val="2"/>
        <scheme val="minor"/>
      </rPr>
      <t xml:space="preserve"> - Sami languages
</t>
    </r>
    <r>
      <rPr>
        <b/>
        <sz val="11"/>
        <color theme="1"/>
        <rFont val="Calibri"/>
        <family val="2"/>
        <scheme val="minor"/>
      </rPr>
      <t>son</t>
    </r>
    <r>
      <rPr>
        <sz val="11"/>
        <color theme="1"/>
        <rFont val="Calibri"/>
        <family val="2"/>
        <scheme val="minor"/>
      </rPr>
      <t xml:space="preserve"> - Songhai languages
</t>
    </r>
    <r>
      <rPr>
        <b/>
        <sz val="11"/>
        <color theme="1"/>
        <rFont val="Calibri"/>
        <family val="2"/>
        <scheme val="minor"/>
      </rPr>
      <t>sqj</t>
    </r>
    <r>
      <rPr>
        <sz val="11"/>
        <color theme="1"/>
        <rFont val="Calibri"/>
        <family val="2"/>
        <scheme val="minor"/>
      </rPr>
      <t xml:space="preserve"> - Albanian languages
</t>
    </r>
    <r>
      <rPr>
        <b/>
        <sz val="11"/>
        <color theme="1"/>
        <rFont val="Calibri"/>
        <family val="2"/>
        <scheme val="minor"/>
      </rPr>
      <t>ssa</t>
    </r>
    <r>
      <rPr>
        <sz val="11"/>
        <color theme="1"/>
        <rFont val="Calibri"/>
        <family val="2"/>
        <scheme val="minor"/>
      </rPr>
      <t xml:space="preserve"> - Nilo-Saharan languages
</t>
    </r>
    <r>
      <rPr>
        <b/>
        <sz val="11"/>
        <color theme="1"/>
        <rFont val="Calibri"/>
        <family val="2"/>
        <scheme val="minor"/>
      </rPr>
      <t>syd</t>
    </r>
    <r>
      <rPr>
        <sz val="11"/>
        <color theme="1"/>
        <rFont val="Calibri"/>
        <family val="2"/>
        <scheme val="minor"/>
      </rPr>
      <t xml:space="preserve"> - Samoyedic languages
</t>
    </r>
    <r>
      <rPr>
        <b/>
        <sz val="11"/>
        <color theme="1"/>
        <rFont val="Calibri"/>
        <family val="2"/>
        <scheme val="minor"/>
      </rPr>
      <t>tai</t>
    </r>
    <r>
      <rPr>
        <sz val="11"/>
        <color theme="1"/>
        <rFont val="Calibri"/>
        <family val="2"/>
        <scheme val="minor"/>
      </rPr>
      <t xml:space="preserve"> - Tai languages
</t>
    </r>
    <r>
      <rPr>
        <b/>
        <sz val="11"/>
        <color theme="1"/>
        <rFont val="Calibri"/>
        <family val="2"/>
        <scheme val="minor"/>
      </rPr>
      <t>tbq</t>
    </r>
    <r>
      <rPr>
        <sz val="11"/>
        <color theme="1"/>
        <rFont val="Calibri"/>
        <family val="2"/>
        <scheme val="minor"/>
      </rPr>
      <t xml:space="preserve"> - Tibeto-Burman languages
</t>
    </r>
    <r>
      <rPr>
        <b/>
        <sz val="11"/>
        <color theme="1"/>
        <rFont val="Calibri"/>
        <family val="2"/>
        <scheme val="minor"/>
      </rPr>
      <t>trk</t>
    </r>
    <r>
      <rPr>
        <sz val="11"/>
        <color theme="1"/>
        <rFont val="Calibri"/>
        <family val="2"/>
        <scheme val="minor"/>
      </rPr>
      <t xml:space="preserve"> - Turkic languages
</t>
    </r>
    <r>
      <rPr>
        <b/>
        <sz val="11"/>
        <color theme="1"/>
        <rFont val="Calibri"/>
        <family val="2"/>
        <scheme val="minor"/>
      </rPr>
      <t>tup</t>
    </r>
    <r>
      <rPr>
        <sz val="11"/>
        <color theme="1"/>
        <rFont val="Calibri"/>
        <family val="2"/>
        <scheme val="minor"/>
      </rPr>
      <t xml:space="preserve"> - Tupi languages
</t>
    </r>
    <r>
      <rPr>
        <b/>
        <sz val="11"/>
        <color theme="1"/>
        <rFont val="Calibri"/>
        <family val="2"/>
        <scheme val="minor"/>
      </rPr>
      <t>tut</t>
    </r>
    <r>
      <rPr>
        <sz val="11"/>
        <color theme="1"/>
        <rFont val="Calibri"/>
        <family val="2"/>
        <scheme val="minor"/>
      </rPr>
      <t xml:space="preserve"> - Altaic languages
</t>
    </r>
    <r>
      <rPr>
        <b/>
        <sz val="11"/>
        <color theme="1"/>
        <rFont val="Calibri"/>
        <family val="2"/>
        <scheme val="minor"/>
      </rPr>
      <t>tuw</t>
    </r>
    <r>
      <rPr>
        <sz val="11"/>
        <color theme="1"/>
        <rFont val="Calibri"/>
        <family val="2"/>
        <scheme val="minor"/>
      </rPr>
      <t xml:space="preserve"> - Tungus languages
</t>
    </r>
    <r>
      <rPr>
        <b/>
        <sz val="11"/>
        <color theme="1"/>
        <rFont val="Calibri"/>
        <family val="2"/>
        <scheme val="minor"/>
      </rPr>
      <t>urj</t>
    </r>
    <r>
      <rPr>
        <sz val="11"/>
        <color theme="1"/>
        <rFont val="Calibri"/>
        <family val="2"/>
        <scheme val="minor"/>
      </rPr>
      <t xml:space="preserve"> - Uralic languages
</t>
    </r>
    <r>
      <rPr>
        <b/>
        <sz val="11"/>
        <color theme="1"/>
        <rFont val="Calibri"/>
        <family val="2"/>
        <scheme val="minor"/>
      </rPr>
      <t>wak</t>
    </r>
    <r>
      <rPr>
        <sz val="11"/>
        <color theme="1"/>
        <rFont val="Calibri"/>
        <family val="2"/>
        <scheme val="minor"/>
      </rPr>
      <t xml:space="preserve"> - Wakashan languages
</t>
    </r>
    <r>
      <rPr>
        <b/>
        <sz val="11"/>
        <color theme="1"/>
        <rFont val="Calibri"/>
        <family val="2"/>
        <scheme val="minor"/>
      </rPr>
      <t>wen</t>
    </r>
    <r>
      <rPr>
        <sz val="11"/>
        <color theme="1"/>
        <rFont val="Calibri"/>
        <family val="2"/>
        <scheme val="minor"/>
      </rPr>
      <t xml:space="preserve"> - Sorbian languages
</t>
    </r>
    <r>
      <rPr>
        <b/>
        <sz val="11"/>
        <color theme="1"/>
        <rFont val="Calibri"/>
        <family val="2"/>
        <scheme val="minor"/>
      </rPr>
      <t>xgn</t>
    </r>
    <r>
      <rPr>
        <sz val="11"/>
        <color theme="1"/>
        <rFont val="Calibri"/>
        <family val="2"/>
        <scheme val="minor"/>
      </rPr>
      <t xml:space="preserve"> - Mongolian languages
</t>
    </r>
    <r>
      <rPr>
        <b/>
        <sz val="11"/>
        <color theme="1"/>
        <rFont val="Calibri"/>
        <family val="2"/>
        <scheme val="minor"/>
      </rPr>
      <t>xnd</t>
    </r>
    <r>
      <rPr>
        <sz val="11"/>
        <color theme="1"/>
        <rFont val="Calibri"/>
        <family val="2"/>
        <scheme val="minor"/>
      </rPr>
      <t xml:space="preserve"> - Na-Dene languages
</t>
    </r>
    <r>
      <rPr>
        <b/>
        <sz val="11"/>
        <color theme="1"/>
        <rFont val="Calibri"/>
        <family val="2"/>
        <scheme val="minor"/>
      </rPr>
      <t>ypk</t>
    </r>
    <r>
      <rPr>
        <sz val="11"/>
        <color theme="1"/>
        <rFont val="Calibri"/>
        <family val="2"/>
        <scheme val="minor"/>
      </rPr>
      <t xml:space="preserve"> - Yupik languages
</t>
    </r>
    <r>
      <rPr>
        <b/>
        <sz val="11"/>
        <color theme="1"/>
        <rFont val="Calibri"/>
        <family val="2"/>
        <scheme val="minor"/>
      </rPr>
      <t>zhx</t>
    </r>
    <r>
      <rPr>
        <sz val="11"/>
        <color theme="1"/>
        <rFont val="Calibri"/>
        <family val="2"/>
        <scheme val="minor"/>
      </rPr>
      <t xml:space="preserve"> - Chinese (family)
</t>
    </r>
    <r>
      <rPr>
        <b/>
        <sz val="11"/>
        <color theme="1"/>
        <rFont val="Calibri"/>
        <family val="2"/>
        <scheme val="minor"/>
      </rPr>
      <t>zle</t>
    </r>
    <r>
      <rPr>
        <sz val="11"/>
        <color theme="1"/>
        <rFont val="Calibri"/>
        <family val="2"/>
        <scheme val="minor"/>
      </rPr>
      <t xml:space="preserve"> - East Slavic languages
</t>
    </r>
    <r>
      <rPr>
        <b/>
        <sz val="11"/>
        <color theme="1"/>
        <rFont val="Calibri"/>
        <family val="2"/>
        <scheme val="minor"/>
      </rPr>
      <t>zls</t>
    </r>
    <r>
      <rPr>
        <sz val="11"/>
        <color theme="1"/>
        <rFont val="Calibri"/>
        <family val="2"/>
        <scheme val="minor"/>
      </rPr>
      <t xml:space="preserve"> - South Slavic languages
</t>
    </r>
    <r>
      <rPr>
        <b/>
        <sz val="11"/>
        <color theme="1"/>
        <rFont val="Calibri"/>
        <family val="2"/>
        <scheme val="minor"/>
      </rPr>
      <t>zlw</t>
    </r>
    <r>
      <rPr>
        <sz val="11"/>
        <color theme="1"/>
        <rFont val="Calibri"/>
        <family val="2"/>
        <scheme val="minor"/>
      </rPr>
      <t xml:space="preserve"> - West Slavic languages
</t>
    </r>
    <r>
      <rPr>
        <b/>
        <sz val="11"/>
        <color theme="1"/>
        <rFont val="Calibri"/>
        <family val="2"/>
        <scheme val="minor"/>
      </rPr>
      <t>znd</t>
    </r>
    <r>
      <rPr>
        <sz val="11"/>
        <color theme="1"/>
        <rFont val="Calibri"/>
        <family val="2"/>
        <scheme val="minor"/>
      </rPr>
      <t xml:space="preserve"> - Zande languages
</t>
    </r>
  </si>
  <si>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</si>
  <si>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Learning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</si>
  <si>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</si>
  <si>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</si>
  <si>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</si>
  <si>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r>
      <t>abandoned</t>
    </r>
    <r>
      <rPr>
        <sz val="11"/>
        <color theme="1"/>
        <rFont val="Calibri"/>
        <family val="2"/>
        <scheme val="minor"/>
      </rPr>
      <t xml:space="preserve"> - Indicates the activity provider has determined that the session was abnormally terminated either by an actor or due to a system failure.
</t>
    </r>
    <r>
      <rPr>
        <b/>
        <sz val="11"/>
        <color theme="1"/>
        <rFont val="Calibri"/>
        <family val="2"/>
        <scheme val="minor"/>
      </rPr>
      <t>answered</t>
    </r>
    <r>
      <rPr>
        <sz val="11"/>
        <color theme="1"/>
        <rFont val="Calibri"/>
        <family val="2"/>
        <scheme val="minor"/>
      </rPr>
      <t xml:space="preserve"> - Indicates the actor replied to a question, where the object is generally an activity representing the question. The text of the answer will often be included in the response inside result.
</t>
    </r>
    <r>
      <rPr>
        <b/>
        <sz val="11"/>
        <color theme="1"/>
        <rFont val="Calibri"/>
        <family val="2"/>
        <scheme val="minor"/>
      </rPr>
      <t>asked</t>
    </r>
    <r>
      <rPr>
        <sz val="11"/>
        <color theme="1"/>
        <rFont val="Calibri"/>
        <family val="2"/>
        <scheme val="minor"/>
      </rPr>
      <t xml:space="preserve"> - Indicates an inquiry by an actor with the expectation of a response or answer to a question.
</t>
    </r>
    <r>
      <rPr>
        <b/>
        <sz val="11"/>
        <color theme="1"/>
        <rFont val="Calibri"/>
        <family val="2"/>
        <scheme val="minor"/>
      </rPr>
      <t>attempted</t>
    </r>
    <r>
      <rPr>
        <sz val="11"/>
        <color theme="1"/>
        <rFont val="Calibri"/>
        <family val="2"/>
        <scheme val="minor"/>
      </rPr>
      <t xml:space="preserve"> - Indicates the actor made an effort to access the object. An attempt statement without additional activities could be considered incomplete in some cases.
</t>
    </r>
    <r>
      <rPr>
        <b/>
        <sz val="11"/>
        <color theme="1"/>
        <rFont val="Calibri"/>
        <family val="2"/>
        <scheme val="minor"/>
      </rPr>
      <t>attended</t>
    </r>
    <r>
      <rPr>
        <sz val="11"/>
        <color theme="1"/>
        <rFont val="Calibri"/>
        <family val="2"/>
        <scheme val="minor"/>
      </rPr>
      <t xml:space="preserve"> - Indicates the actor was present at a virtual or physical event or activity.
</t>
    </r>
    <r>
      <rPr>
        <b/>
        <sz val="11"/>
        <color theme="1"/>
        <rFont val="Calibri"/>
        <family val="2"/>
        <scheme val="minor"/>
      </rPr>
      <t>commented</t>
    </r>
    <r>
      <rPr>
        <sz val="11"/>
        <color theme="1"/>
        <rFont val="Calibri"/>
        <family val="2"/>
        <scheme val="minor"/>
      </rPr>
      <t xml:space="preserve"> - Indicates the actor provided digital or written annotations on or about an object.
</t>
    </r>
    <r>
      <rPr>
        <b/>
        <sz val="11"/>
        <color theme="1"/>
        <rFont val="Calibri"/>
        <family val="2"/>
        <scheme val="minor"/>
      </rPr>
      <t>completed</t>
    </r>
    <r>
      <rPr>
        <sz val="11"/>
        <color theme="1"/>
        <rFont val="Calibri"/>
        <family val="2"/>
        <scheme val="minor"/>
      </rPr>
      <t xml:space="preserve"> - Indicates the actor finished or concluded the activity normally.
</t>
    </r>
    <r>
      <rPr>
        <b/>
        <sz val="11"/>
        <color theme="1"/>
        <rFont val="Calibri"/>
        <family val="2"/>
        <scheme val="minor"/>
      </rPr>
      <t>exited</t>
    </r>
    <r>
      <rPr>
        <sz val="11"/>
        <color theme="1"/>
        <rFont val="Calibri"/>
        <family val="2"/>
        <scheme val="minor"/>
      </rPr>
      <t xml:space="preserve"> - Indicates the actor intentionally departed from the activity or object.
</t>
    </r>
    <r>
      <rPr>
        <b/>
        <sz val="11"/>
        <color theme="1"/>
        <rFont val="Calibri"/>
        <family val="2"/>
        <scheme val="minor"/>
      </rPr>
      <t>experienced</t>
    </r>
    <r>
      <rPr>
        <sz val="11"/>
        <color theme="1"/>
        <rFont val="Calibri"/>
        <family val="2"/>
        <scheme val="minor"/>
      </rPr>
      <t xml:space="preserve"> - Indicates the actor only encountered the object, and is applicable in situations where a specific achievement or completion is not required.
</t>
    </r>
    <r>
      <rPr>
        <b/>
        <sz val="11"/>
        <color theme="1"/>
        <rFont val="Calibri"/>
        <family val="2"/>
        <scheme val="minor"/>
      </rPr>
      <t>failed</t>
    </r>
    <r>
      <rPr>
        <sz val="11"/>
        <color theme="1"/>
        <rFont val="Calibri"/>
        <family val="2"/>
        <scheme val="minor"/>
      </rPr>
      <t xml:space="preserve"> - Indicates the actor did not successfully pass an activity to a level of predetermined satisfaction.
</t>
    </r>
    <r>
      <rPr>
        <b/>
        <sz val="11"/>
        <color theme="1"/>
        <rFont val="Calibri"/>
        <family val="2"/>
        <scheme val="minor"/>
      </rPr>
      <t>imported</t>
    </r>
    <r>
      <rPr>
        <sz val="11"/>
        <color theme="1"/>
        <rFont val="Calibri"/>
        <family val="2"/>
        <scheme val="minor"/>
      </rPr>
      <t xml:space="preserve"> - Indicates the actor introduced an object into a physical or virtual location.
</t>
    </r>
    <r>
      <rPr>
        <b/>
        <sz val="11"/>
        <color theme="1"/>
        <rFont val="Calibri"/>
        <family val="2"/>
        <scheme val="minor"/>
      </rPr>
      <t>initialized</t>
    </r>
    <r>
      <rPr>
        <sz val="11"/>
        <color theme="1"/>
        <rFont val="Calibri"/>
        <family val="2"/>
        <scheme val="minor"/>
      </rPr>
      <t xml:space="preserve"> - Indicates the activity provider has determined that the actor successfully started an activity.
</t>
    </r>
    <r>
      <rPr>
        <b/>
        <sz val="11"/>
        <color theme="1"/>
        <rFont val="Calibri"/>
        <family val="2"/>
        <scheme val="minor"/>
      </rPr>
      <t>interacted</t>
    </r>
    <r>
      <rPr>
        <sz val="11"/>
        <color theme="1"/>
        <rFont val="Calibri"/>
        <family val="2"/>
        <scheme val="minor"/>
      </rPr>
      <t xml:space="preserve"> - Indicates the actor engaged with a physical or virtual object.
</t>
    </r>
    <r>
      <rPr>
        <b/>
        <sz val="11"/>
        <color theme="1"/>
        <rFont val="Calibri"/>
        <family val="2"/>
        <scheme val="minor"/>
      </rPr>
      <t>launched</t>
    </r>
    <r>
      <rPr>
        <sz val="11"/>
        <color theme="1"/>
        <rFont val="Calibri"/>
        <family val="2"/>
        <scheme val="minor"/>
      </rPr>
      <t xml:space="preserve"> - Indicates the actor attempted to start an activity.
</t>
    </r>
    <r>
      <rPr>
        <b/>
        <sz val="11"/>
        <color theme="1"/>
        <rFont val="Calibri"/>
        <family val="2"/>
        <scheme val="minor"/>
      </rPr>
      <t>logged-in</t>
    </r>
    <r>
      <rPr>
        <sz val="11"/>
        <color theme="1"/>
        <rFont val="Calibri"/>
        <family val="2"/>
        <scheme val="minor"/>
      </rPr>
      <t xml:space="preserve"> - Indicates the actor gained access to a system or service by identifying and authenticating with the credentials provided by the actor.
</t>
    </r>
    <r>
      <rPr>
        <b/>
        <sz val="11"/>
        <color theme="1"/>
        <rFont val="Calibri"/>
        <family val="2"/>
        <scheme val="minor"/>
      </rPr>
      <t>logged-out</t>
    </r>
    <r>
      <rPr>
        <sz val="11"/>
        <color theme="1"/>
        <rFont val="Calibri"/>
        <family val="2"/>
        <scheme val="minor"/>
      </rPr>
      <t xml:space="preserve"> - Indicates the actor either lost or discontinued access to a system or service.
</t>
    </r>
    <r>
      <rPr>
        <b/>
        <sz val="11"/>
        <color theme="1"/>
        <rFont val="Calibri"/>
        <family val="2"/>
        <scheme val="minor"/>
      </rPr>
      <t>mastered</t>
    </r>
    <r>
      <rPr>
        <sz val="11"/>
        <color theme="1"/>
        <rFont val="Calibri"/>
        <family val="2"/>
        <scheme val="minor"/>
      </rPr>
      <t xml:space="preserve"> - Indicates the highest level of comprehension or competence the actor performed in an activity.
</t>
    </r>
    <r>
      <rPr>
        <b/>
        <sz val="11"/>
        <color theme="1"/>
        <rFont val="Calibri"/>
        <family val="2"/>
        <scheme val="minor"/>
      </rPr>
      <t>passed</t>
    </r>
    <r>
      <rPr>
        <sz val="11"/>
        <color theme="1"/>
        <rFont val="Calibri"/>
        <family val="2"/>
        <scheme val="minor"/>
      </rPr>
      <t xml:space="preserve"> - Indicates the actor successfully passed an activity to a level of predetermined satisfaction.
</t>
    </r>
    <r>
      <rPr>
        <b/>
        <sz val="11"/>
        <color theme="1"/>
        <rFont val="Calibri"/>
        <family val="2"/>
        <scheme val="minor"/>
      </rPr>
      <t>preferred</t>
    </r>
    <r>
      <rPr>
        <sz val="11"/>
        <color theme="1"/>
        <rFont val="Calibri"/>
        <family val="2"/>
        <scheme val="minor"/>
      </rPr>
      <t xml:space="preserve"> - Indicates the selected choices, favored options or settings of an actor in relation to an object or activity.
</t>
    </r>
    <r>
      <rPr>
        <b/>
        <sz val="11"/>
        <color theme="1"/>
        <rFont val="Calibri"/>
        <family val="2"/>
        <scheme val="minor"/>
      </rPr>
      <t>progressed</t>
    </r>
    <r>
      <rPr>
        <sz val="11"/>
        <color theme="1"/>
        <rFont val="Calibri"/>
        <family val="2"/>
        <scheme val="minor"/>
      </rPr>
      <t xml:space="preserve"> - Indicates a value of how much of an actor has advanced or moved through an activity.
</t>
    </r>
    <r>
      <rPr>
        <b/>
        <sz val="11"/>
        <color theme="1"/>
        <rFont val="Calibri"/>
        <family val="2"/>
        <scheme val="minor"/>
      </rPr>
      <t>registered</t>
    </r>
    <r>
      <rPr>
        <sz val="11"/>
        <color theme="1"/>
        <rFont val="Calibri"/>
        <family val="2"/>
        <scheme val="minor"/>
      </rPr>
      <t xml:space="preserve"> - Indicates the actor is officially enrolled or inducted in an activity.
</t>
    </r>
    <r>
      <rPr>
        <b/>
        <sz val="11"/>
        <color theme="1"/>
        <rFont val="Calibri"/>
        <family val="2"/>
        <scheme val="minor"/>
      </rPr>
      <t>responded</t>
    </r>
    <r>
      <rPr>
        <sz val="11"/>
        <color theme="1"/>
        <rFont val="Calibri"/>
        <family val="2"/>
        <scheme val="minor"/>
      </rPr>
      <t xml:space="preserve"> - Indicates an actor reacted or replied to an object.
</t>
    </r>
    <r>
      <rPr>
        <b/>
        <sz val="11"/>
        <color theme="1"/>
        <rFont val="Calibri"/>
        <family val="2"/>
        <scheme val="minor"/>
      </rPr>
      <t>resumed</t>
    </r>
    <r>
      <rPr>
        <sz val="11"/>
        <color theme="1"/>
        <rFont val="Calibri"/>
        <family val="2"/>
        <scheme val="minor"/>
      </rPr>
      <t xml:space="preserve"> - Indicates the application has determined that the actor continued or reopened a suspended attempt on an activity.
</t>
    </r>
    <r>
      <rPr>
        <b/>
        <sz val="11"/>
        <color theme="1"/>
        <rFont val="Calibri"/>
        <family val="2"/>
        <scheme val="minor"/>
      </rPr>
      <t>satisfied</t>
    </r>
    <r>
      <rPr>
        <sz val="11"/>
        <color theme="1"/>
        <rFont val="Calibri"/>
        <family val="2"/>
        <scheme val="minor"/>
      </rPr>
      <t xml:space="preserve"> - Indicates that the authority or activity provider determined the actor has fulfilled the criteria of the object or activity.
</t>
    </r>
    <r>
      <rPr>
        <b/>
        <sz val="11"/>
        <color theme="1"/>
        <rFont val="Calibri"/>
        <family val="2"/>
        <scheme val="minor"/>
      </rPr>
      <t>scored</t>
    </r>
    <r>
      <rPr>
        <sz val="11"/>
        <color theme="1"/>
        <rFont val="Calibri"/>
        <family val="2"/>
        <scheme val="minor"/>
      </rPr>
      <t xml:space="preserve"> - Indicates a numerical value related to an actor's performance on an activity.
</t>
    </r>
    <r>
      <rPr>
        <b/>
        <sz val="11"/>
        <color theme="1"/>
        <rFont val="Calibri"/>
        <family val="2"/>
        <scheme val="minor"/>
      </rPr>
      <t>shared</t>
    </r>
    <r>
      <rPr>
        <sz val="11"/>
        <color theme="1"/>
        <rFont val="Calibri"/>
        <family val="2"/>
        <scheme val="minor"/>
      </rPr>
      <t xml:space="preserve"> - Indicates the actor's intent to openly provide access to an object of common interest to other actors or groups.
</t>
    </r>
    <r>
      <rPr>
        <b/>
        <sz val="11"/>
        <color theme="1"/>
        <rFont val="Calibri"/>
        <family val="2"/>
        <scheme val="minor"/>
      </rPr>
      <t>suspended</t>
    </r>
    <r>
      <rPr>
        <sz val="11"/>
        <color theme="1"/>
        <rFont val="Calibri"/>
        <family val="2"/>
        <scheme val="minor"/>
      </rPr>
      <t xml:space="preserve"> - Indicates the status of a temporarily halted activity when an actor's intent is returning to the or object activity at a later time.
</t>
    </r>
    <r>
      <rPr>
        <b/>
        <sz val="11"/>
        <color theme="1"/>
        <rFont val="Calibri"/>
        <family val="2"/>
        <scheme val="minor"/>
      </rPr>
      <t>terminated</t>
    </r>
    <r>
      <rPr>
        <sz val="11"/>
        <color theme="1"/>
        <rFont val="Calibri"/>
        <family val="2"/>
        <scheme val="minor"/>
      </rPr>
      <t xml:space="preserve"> - Indicates that the actor successfully ended an activity.
</t>
    </r>
    <r>
      <rPr>
        <b/>
        <sz val="11"/>
        <color theme="1"/>
        <rFont val="Calibri"/>
        <family val="2"/>
        <scheme val="minor"/>
      </rPr>
      <t>voided</t>
    </r>
    <r>
      <rPr>
        <sz val="11"/>
        <color theme="1"/>
        <rFont val="Calibri"/>
        <family val="2"/>
        <scheme val="minor"/>
      </rPr>
      <t xml:space="preserve"> - A special reserved verb used by a LRS or application to mark a statement as invalid. See the xAPI specification for details on Voided statements.
</t>
    </r>
    <r>
      <rPr>
        <b/>
        <sz val="11"/>
        <color theme="1"/>
        <rFont val="Calibri"/>
        <family val="2"/>
        <scheme val="minor"/>
      </rPr>
      <t>waived</t>
    </r>
    <r>
      <rPr>
        <sz val="11"/>
        <color theme="1"/>
        <rFont val="Calibri"/>
        <family val="2"/>
        <scheme val="minor"/>
      </rPr>
      <t xml:space="preserve"> - Indicates that the learning activity requirements were met by means other than completing the activity. A waived statement is used to indicate that the activity may be skipped by the actor.
</t>
    </r>
  </si>
  <si>
    <r>
      <t>Week</t>
    </r>
    <r>
      <rPr>
        <sz val="11"/>
        <color theme="1"/>
        <rFont val="Calibri"/>
        <family val="2"/>
        <scheme val="minor"/>
      </rPr>
      <t xml:space="preserve"> - Week
</t>
    </r>
    <r>
      <rPr>
        <b/>
        <sz val="11"/>
        <color theme="1"/>
        <rFont val="Calibri"/>
        <family val="2"/>
        <scheme val="minor"/>
      </rPr>
      <t>Day</t>
    </r>
    <r>
      <rPr>
        <sz val="11"/>
        <color theme="1"/>
        <rFont val="Calibri"/>
        <family val="2"/>
        <scheme val="minor"/>
      </rPr>
      <t xml:space="preserve"> - Day
</t>
    </r>
    <r>
      <rPr>
        <b/>
        <sz val="11"/>
        <color theme="1"/>
        <rFont val="Calibri"/>
        <family val="2"/>
        <scheme val="minor"/>
      </rPr>
      <t>Hour</t>
    </r>
    <r>
      <rPr>
        <sz val="11"/>
        <color theme="1"/>
        <rFont val="Calibri"/>
        <family val="2"/>
        <scheme val="minor"/>
      </rPr>
      <t xml:space="preserve"> - Hour
</t>
    </r>
    <r>
      <rPr>
        <b/>
        <sz val="11"/>
        <color theme="1"/>
        <rFont val="Calibri"/>
        <family val="2"/>
        <scheme val="minor"/>
      </rPr>
      <t>Minute</t>
    </r>
    <r>
      <rPr>
        <sz val="11"/>
        <color theme="1"/>
        <rFont val="Calibri"/>
        <family val="2"/>
        <scheme val="minor"/>
      </rPr>
      <t xml:space="preserve"> - Minute
</t>
    </r>
    <r>
      <rPr>
        <b/>
        <sz val="11"/>
        <color theme="1"/>
        <rFont val="Calibri"/>
        <family val="2"/>
        <scheme val="minor"/>
      </rPr>
      <t>Second</t>
    </r>
    <r>
      <rPr>
        <sz val="11"/>
        <color theme="1"/>
        <rFont val="Calibri"/>
        <family val="2"/>
        <scheme val="minor"/>
      </rPr>
      <t xml:space="preserve"> - Second
</t>
    </r>
  </si>
  <si>
    <r>
      <t>Assignment</t>
    </r>
    <r>
      <rPr>
        <sz val="11"/>
        <color theme="1"/>
        <rFont val="Calibri"/>
        <family val="2"/>
        <scheme val="minor"/>
      </rPr>
      <t xml:space="preserve"> - Assignment
</t>
    </r>
    <r>
      <rPr>
        <b/>
        <sz val="11"/>
        <color theme="1"/>
        <rFont val="Calibri"/>
        <family val="2"/>
        <scheme val="minor"/>
      </rPr>
      <t>LearningResource</t>
    </r>
    <r>
      <rPr>
        <sz val="11"/>
        <color theme="1"/>
        <rFont val="Calibri"/>
        <family val="2"/>
        <scheme val="minor"/>
      </rPr>
      <t xml:space="preserve"> - Learning Resource
</t>
    </r>
    <r>
      <rPr>
        <b/>
        <sz val="11"/>
        <color theme="1"/>
        <rFont val="Calibri"/>
        <family val="2"/>
        <scheme val="minor"/>
      </rPr>
      <t>Activity</t>
    </r>
    <r>
      <rPr>
        <sz val="11"/>
        <color theme="1"/>
        <rFont val="Calibri"/>
        <family val="2"/>
        <scheme val="minor"/>
      </rPr>
      <t xml:space="preserve"> - Activity
</t>
    </r>
    <r>
      <rPr>
        <b/>
        <sz val="11"/>
        <color theme="1"/>
        <rFont val="Calibri"/>
        <family val="2"/>
        <scheme val="minor"/>
      </rPr>
      <t>Lesson</t>
    </r>
    <r>
      <rPr>
        <sz val="11"/>
        <color theme="1"/>
        <rFont val="Calibri"/>
        <family val="2"/>
        <scheme val="minor"/>
      </rPr>
      <t xml:space="preserve"> - Lesson
</t>
    </r>
  </si>
  <si>
    <r>
      <t>AndroidAccessibility</t>
    </r>
    <r>
      <rPr>
        <sz val="11"/>
        <color theme="1"/>
        <rFont val="Calibri"/>
        <family val="2"/>
        <scheme val="minor"/>
      </rPr>
      <t xml:space="preserve"> - Android Accessibility
</t>
    </r>
    <r>
      <rPr>
        <b/>
        <sz val="11"/>
        <color theme="1"/>
        <rFont val="Calibri"/>
        <family val="2"/>
        <scheme val="minor"/>
      </rPr>
      <t>ARIA</t>
    </r>
    <r>
      <rPr>
        <sz val="11"/>
        <color theme="1"/>
        <rFont val="Calibri"/>
        <family val="2"/>
        <scheme val="minor"/>
      </rPr>
      <t xml:space="preserve"> - ARIA
</t>
    </r>
    <r>
      <rPr>
        <b/>
        <sz val="11"/>
        <color theme="1"/>
        <rFont val="Calibri"/>
        <family val="2"/>
        <scheme val="minor"/>
      </rPr>
      <t>ATK</t>
    </r>
    <r>
      <rPr>
        <sz val="11"/>
        <color theme="1"/>
        <rFont val="Calibri"/>
        <family val="2"/>
        <scheme val="minor"/>
      </rPr>
      <t xml:space="preserve"> - ATK
</t>
    </r>
    <r>
      <rPr>
        <b/>
        <sz val="11"/>
        <color theme="1"/>
        <rFont val="Calibri"/>
        <family val="2"/>
        <scheme val="minor"/>
      </rPr>
      <t>AT-SPI</t>
    </r>
    <r>
      <rPr>
        <sz val="11"/>
        <color theme="1"/>
        <rFont val="Calibri"/>
        <family val="2"/>
        <scheme val="minor"/>
      </rPr>
      <t xml:space="preserve"> - AT-SPI
</t>
    </r>
    <r>
      <rPr>
        <b/>
        <sz val="11"/>
        <color theme="1"/>
        <rFont val="Calibri"/>
        <family val="2"/>
        <scheme val="minor"/>
      </rPr>
      <t>BlackberryAccessibility</t>
    </r>
    <r>
      <rPr>
        <sz val="11"/>
        <color theme="1"/>
        <rFont val="Calibri"/>
        <family val="2"/>
        <scheme val="minor"/>
      </rPr>
      <t xml:space="preserve"> - Blackberry Accessibility
</t>
    </r>
    <r>
      <rPr>
        <b/>
        <sz val="11"/>
        <color theme="1"/>
        <rFont val="Calibri"/>
        <family val="2"/>
        <scheme val="minor"/>
      </rPr>
      <t>iAccessible2</t>
    </r>
    <r>
      <rPr>
        <sz val="11"/>
        <color theme="1"/>
        <rFont val="Calibri"/>
        <family val="2"/>
        <scheme val="minor"/>
      </rPr>
      <t xml:space="preserve"> - I Accessible2
</t>
    </r>
    <r>
      <rPr>
        <b/>
        <sz val="11"/>
        <color theme="1"/>
        <rFont val="Calibri"/>
        <family val="2"/>
        <scheme val="minor"/>
      </rPr>
      <t>iOSAccessibility</t>
    </r>
    <r>
      <rPr>
        <sz val="11"/>
        <color theme="1"/>
        <rFont val="Calibri"/>
        <family val="2"/>
        <scheme val="minor"/>
      </rPr>
      <t xml:space="preserve"> - iOS Accessibility
</t>
    </r>
    <r>
      <rPr>
        <b/>
        <sz val="11"/>
        <color theme="1"/>
        <rFont val="Calibri"/>
        <family val="2"/>
        <scheme val="minor"/>
      </rPr>
      <t>JavaAccessibility</t>
    </r>
    <r>
      <rPr>
        <sz val="11"/>
        <color theme="1"/>
        <rFont val="Calibri"/>
        <family val="2"/>
        <scheme val="minor"/>
      </rPr>
      <t xml:space="preserve"> - Java Accessibility
</t>
    </r>
    <r>
      <rPr>
        <b/>
        <sz val="11"/>
        <color theme="1"/>
        <rFont val="Calibri"/>
        <family val="2"/>
        <scheme val="minor"/>
      </rPr>
      <t>MacOSXAccessibility</t>
    </r>
    <r>
      <rPr>
        <sz val="11"/>
        <color theme="1"/>
        <rFont val="Calibri"/>
        <family val="2"/>
        <scheme val="minor"/>
      </rPr>
      <t xml:space="preserve"> - Mac OSX Accessibility
</t>
    </r>
    <r>
      <rPr>
        <b/>
        <sz val="11"/>
        <color theme="1"/>
        <rFont val="Calibri"/>
        <family val="2"/>
        <scheme val="minor"/>
      </rPr>
      <t>MSAA</t>
    </r>
    <r>
      <rPr>
        <sz val="11"/>
        <color theme="1"/>
        <rFont val="Calibri"/>
        <family val="2"/>
        <scheme val="minor"/>
      </rPr>
      <t xml:space="preserve"> - MSAA
</t>
    </r>
    <r>
      <rPr>
        <b/>
        <sz val="11"/>
        <color theme="1"/>
        <rFont val="Calibri"/>
        <family val="2"/>
        <scheme val="minor"/>
      </rPr>
      <t>UIAutomation</t>
    </r>
    <r>
      <rPr>
        <sz val="11"/>
        <color theme="1"/>
        <rFont val="Calibri"/>
        <family val="2"/>
        <scheme val="minor"/>
      </rPr>
      <t xml:space="preserve"> - UI Automation
</t>
    </r>
  </si>
  <si>
    <r>
      <t>Flashing</t>
    </r>
    <r>
      <rPr>
        <sz val="11"/>
        <color theme="1"/>
        <rFont val="Calibri"/>
        <family val="2"/>
        <scheme val="minor"/>
      </rPr>
      <t xml:space="preserve"> - Flashing
</t>
    </r>
    <r>
      <rPr>
        <b/>
        <sz val="11"/>
        <color theme="1"/>
        <rFont val="Calibri"/>
        <family val="2"/>
        <scheme val="minor"/>
      </rPr>
      <t>MotionSimulation</t>
    </r>
    <r>
      <rPr>
        <sz val="11"/>
        <color theme="1"/>
        <rFont val="Calibri"/>
        <family val="2"/>
        <scheme val="minor"/>
      </rPr>
      <t xml:space="preserve"> - Motion simulation
</t>
    </r>
    <r>
      <rPr>
        <b/>
        <sz val="11"/>
        <color theme="1"/>
        <rFont val="Calibri"/>
        <family val="2"/>
        <scheme val="minor"/>
      </rPr>
      <t>Sound</t>
    </r>
    <r>
      <rPr>
        <sz val="11"/>
        <color theme="1"/>
        <rFont val="Calibri"/>
        <family val="2"/>
        <scheme val="minor"/>
      </rPr>
      <t xml:space="preserve"> - Sound
</t>
    </r>
  </si>
  <si>
    <r>
      <t>auditory</t>
    </r>
    <r>
      <rPr>
        <sz val="11"/>
        <color theme="1"/>
        <rFont val="Calibri"/>
        <family val="2"/>
        <scheme val="minor"/>
      </rPr>
      <t xml:space="preserve"> - Auditory
</t>
    </r>
    <r>
      <rPr>
        <b/>
        <sz val="11"/>
        <color theme="1"/>
        <rFont val="Calibri"/>
        <family val="2"/>
        <scheme val="minor"/>
      </rPr>
      <t>colorDependent</t>
    </r>
    <r>
      <rPr>
        <sz val="11"/>
        <color theme="1"/>
        <rFont val="Calibri"/>
        <family val="2"/>
        <scheme val="minor"/>
      </rPr>
      <t xml:space="preserve"> - Color Dependent
</t>
    </r>
    <r>
      <rPr>
        <b/>
        <sz val="11"/>
        <color theme="1"/>
        <rFont val="Calibri"/>
        <family val="2"/>
        <scheme val="minor"/>
      </rPr>
      <t>tactile</t>
    </r>
    <r>
      <rPr>
        <sz val="11"/>
        <color theme="1"/>
        <rFont val="Calibri"/>
        <family val="2"/>
        <scheme val="minor"/>
      </rPr>
      <t xml:space="preserve"> - Tactile
</t>
    </r>
    <r>
      <rPr>
        <b/>
        <sz val="11"/>
        <color theme="1"/>
        <rFont val="Calibri"/>
        <family val="2"/>
        <scheme val="minor"/>
      </rPr>
      <t>textOnImage</t>
    </r>
    <r>
      <rPr>
        <sz val="11"/>
        <color theme="1"/>
        <rFont val="Calibri"/>
        <family val="2"/>
        <scheme val="minor"/>
      </rPr>
      <t xml:space="preserve"> - Text On Image
</t>
    </r>
    <r>
      <rPr>
        <b/>
        <sz val="11"/>
        <color theme="1"/>
        <rFont val="Calibri"/>
        <family val="2"/>
        <scheme val="minor"/>
      </rPr>
      <t>textual</t>
    </r>
    <r>
      <rPr>
        <sz val="11"/>
        <color theme="1"/>
        <rFont val="Calibri"/>
        <family val="2"/>
        <scheme val="minor"/>
      </rPr>
      <t xml:space="preserve"> - Textual
</t>
    </r>
    <r>
      <rPr>
        <b/>
        <sz val="11"/>
        <color theme="1"/>
        <rFont val="Calibri"/>
        <family val="2"/>
        <scheme val="minor"/>
      </rPr>
      <t>visual</t>
    </r>
    <r>
      <rPr>
        <sz val="11"/>
        <color theme="1"/>
        <rFont val="Calibri"/>
        <family val="2"/>
        <scheme val="minor"/>
      </rPr>
      <t xml:space="preserve"> - Visual
</t>
    </r>
  </si>
  <si>
    <r>
      <t>FreeAccess</t>
    </r>
    <r>
      <rPr>
        <sz val="11"/>
        <color theme="1"/>
        <rFont val="Calibri"/>
        <family val="2"/>
        <scheme val="minor"/>
      </rPr>
      <t xml:space="preserve"> - Free Access
</t>
    </r>
    <r>
      <rPr>
        <b/>
        <sz val="11"/>
        <color theme="1"/>
        <rFont val="Calibri"/>
        <family val="2"/>
        <scheme val="minor"/>
      </rP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</si>
  <si>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r>
      <t>Organization</t>
    </r>
    <r>
      <rPr>
        <sz val="11"/>
        <color theme="1"/>
        <rFont val="Calibri"/>
        <family val="2"/>
        <scheme val="minor"/>
      </rPr>
      <t xml:space="preserve"> - Organization
</t>
    </r>
    <r>
      <rPr>
        <b/>
        <sz val="11"/>
        <color theme="1"/>
        <rFont val="Calibri"/>
        <family val="2"/>
        <scheme val="minor"/>
      </rPr>
      <t>Person</t>
    </r>
    <r>
      <rPr>
        <sz val="11"/>
        <color theme="1"/>
        <rFont val="Calibri"/>
        <family val="2"/>
        <scheme val="minor"/>
      </rPr>
      <t xml:space="preserve"> - Person
</t>
    </r>
  </si>
  <si>
    <r>
      <t>Ebook</t>
    </r>
    <r>
      <rPr>
        <sz val="11"/>
        <color theme="1"/>
        <rFont val="Calibri"/>
        <family val="2"/>
        <scheme val="minor"/>
      </rPr>
      <t xml:space="preserve"> - Ebook
</t>
    </r>
    <r>
      <rPr>
        <b/>
        <sz val="11"/>
        <color theme="1"/>
        <rFont val="Calibri"/>
        <family val="2"/>
        <scheme val="minor"/>
      </rPr>
      <t>Hardcover</t>
    </r>
    <r>
      <rPr>
        <sz val="11"/>
        <color theme="1"/>
        <rFont val="Calibri"/>
        <family val="2"/>
        <scheme val="minor"/>
      </rPr>
      <t xml:space="preserve"> - Hardcover
</t>
    </r>
    <r>
      <rPr>
        <b/>
        <sz val="11"/>
        <color theme="1"/>
        <rFont val="Calibri"/>
        <family val="2"/>
        <scheme val="minor"/>
      </rPr>
      <t>Paperback</t>
    </r>
    <r>
      <rPr>
        <sz val="11"/>
        <color theme="1"/>
        <rFont val="Calibri"/>
        <family val="2"/>
        <scheme val="minor"/>
      </rPr>
      <t xml:space="preserve"> - Paperback
</t>
    </r>
    <r>
      <rPr>
        <b/>
        <sz val="11"/>
        <color theme="1"/>
        <rFont val="Calibri"/>
        <family val="2"/>
        <scheme val="minor"/>
      </rPr>
      <t>DAISY202</t>
    </r>
    <r>
      <rPr>
        <sz val="11"/>
        <color theme="1"/>
        <rFont val="Calibri"/>
        <family val="2"/>
        <scheme val="minor"/>
      </rPr>
      <t xml:space="preserve"> - DAISY202
</t>
    </r>
    <r>
      <rPr>
        <b/>
        <sz val="11"/>
        <color theme="1"/>
        <rFont val="Calibri"/>
        <family val="2"/>
        <scheme val="minor"/>
      </rPr>
      <t>DAISY3</t>
    </r>
    <r>
      <rPr>
        <sz val="11"/>
        <color theme="1"/>
        <rFont val="Calibri"/>
        <family val="2"/>
        <scheme val="minor"/>
      </rPr>
      <t xml:space="preserve"> - DAISY3
</t>
    </r>
    <r>
      <rPr>
        <b/>
        <sz val="11"/>
        <color theme="1"/>
        <rFont val="Calibri"/>
        <family val="2"/>
        <scheme val="minor"/>
      </rPr>
      <t>EPUB2</t>
    </r>
    <r>
      <rPr>
        <sz val="11"/>
        <color theme="1"/>
        <rFont val="Calibri"/>
        <family val="2"/>
        <scheme val="minor"/>
      </rPr>
      <t xml:space="preserve"> - EPUB2
</t>
    </r>
    <r>
      <rPr>
        <b/>
        <sz val="11"/>
        <color theme="1"/>
        <rFont val="Calibri"/>
        <family val="2"/>
        <scheme val="minor"/>
      </rPr>
      <t>EPUB3</t>
    </r>
    <r>
      <rPr>
        <sz val="11"/>
        <color theme="1"/>
        <rFont val="Calibri"/>
        <family val="2"/>
        <scheme val="minor"/>
      </rPr>
      <t xml:space="preserve"> - EPUB3
</t>
    </r>
    <r>
      <rPr>
        <b/>
        <sz val="11"/>
        <color theme="1"/>
        <rFont val="Calibri"/>
        <family val="2"/>
        <scheme val="minor"/>
      </rPr>
      <t>Other</t>
    </r>
    <r>
      <rPr>
        <sz val="11"/>
        <color theme="1"/>
        <rFont val="Calibri"/>
        <family val="2"/>
        <scheme val="minor"/>
      </rPr>
      <t xml:space="preserve"> - Other
</t>
    </r>
  </si>
  <si>
    <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</si>
  <si>
    <r>
      <t>fullAudioControl</t>
    </r>
    <r>
      <rPr>
        <sz val="11"/>
        <color theme="1"/>
        <rFont val="Calibri"/>
        <family val="2"/>
        <scheme val="minor"/>
      </rPr>
      <t xml:space="preserve"> - Full Audio Control
</t>
    </r>
    <r>
      <rPr>
        <b/>
        <sz val="11"/>
        <color theme="1"/>
        <rFont val="Calibri"/>
        <family val="2"/>
        <scheme val="minor"/>
      </rPr>
      <t>fullKeyboardControl</t>
    </r>
    <r>
      <rPr>
        <sz val="11"/>
        <color theme="1"/>
        <rFont val="Calibri"/>
        <family val="2"/>
        <scheme val="minor"/>
      </rPr>
      <t xml:space="preserve"> - Full Keyboard Control
</t>
    </r>
    <r>
      <rPr>
        <b/>
        <sz val="11"/>
        <color theme="1"/>
        <rFont val="Calibri"/>
        <family val="2"/>
        <scheme val="minor"/>
      </rPr>
      <t>fullMouseControl</t>
    </r>
    <r>
      <rPr>
        <sz val="11"/>
        <color theme="1"/>
        <rFont val="Calibri"/>
        <family val="2"/>
        <scheme val="minor"/>
      </rPr>
      <t xml:space="preserve"> - Full Mouse Control
</t>
    </r>
    <r>
      <rPr>
        <b/>
        <sz val="11"/>
        <color theme="1"/>
        <rFont val="Calibri"/>
        <family val="2"/>
        <scheme val="minor"/>
      </rPr>
      <t>fullTouchControl</t>
    </r>
    <r>
      <rPr>
        <sz val="11"/>
        <color theme="1"/>
        <rFont val="Calibri"/>
        <family val="2"/>
        <scheme val="minor"/>
      </rPr>
      <t xml:space="preserve"> - Full Touch Control
</t>
    </r>
    <r>
      <rPr>
        <b/>
        <sz val="11"/>
        <color theme="1"/>
        <rFont val="Calibri"/>
        <family val="2"/>
        <scheme val="minor"/>
      </rPr>
      <t>fullVideoControl</t>
    </r>
    <r>
      <rPr>
        <sz val="11"/>
        <color theme="1"/>
        <rFont val="Calibri"/>
        <family val="2"/>
        <scheme val="minor"/>
      </rPr>
      <t xml:space="preserve"> - Full Video Control
</t>
    </r>
  </si>
  <si>
    <r>
      <t>application</t>
    </r>
    <r>
      <rPr>
        <sz val="11"/>
        <color theme="1"/>
        <rFont val="Calibri"/>
        <family val="2"/>
        <scheme val="minor"/>
      </rPr>
      <t xml:space="preserve"> - Application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example</t>
    </r>
    <r>
      <rPr>
        <sz val="11"/>
        <color theme="1"/>
        <rFont val="Calibri"/>
        <family val="2"/>
        <scheme val="minor"/>
      </rPr>
      <t xml:space="preserve"> - Example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message</t>
    </r>
    <r>
      <rPr>
        <sz val="11"/>
        <color theme="1"/>
        <rFont val="Calibri"/>
        <family val="2"/>
        <scheme val="minor"/>
      </rPr>
      <t xml:space="preserve"> - Message
</t>
    </r>
    <r>
      <rPr>
        <b/>
        <sz val="11"/>
        <color theme="1"/>
        <rFont val="Calibri"/>
        <family val="2"/>
        <scheme val="minor"/>
      </rPr>
      <t>model</t>
    </r>
    <r>
      <rPr>
        <sz val="11"/>
        <color theme="1"/>
        <rFont val="Calibri"/>
        <family val="2"/>
        <scheme val="minor"/>
      </rPr>
      <t xml:space="preserve"> - Model
</t>
    </r>
    <r>
      <rPr>
        <b/>
        <sz val="11"/>
        <color theme="1"/>
        <rFont val="Calibri"/>
        <family val="2"/>
        <scheme val="minor"/>
      </rPr>
      <t>multipart</t>
    </r>
    <r>
      <rPr>
        <sz val="11"/>
        <color theme="1"/>
        <rFont val="Calibri"/>
        <family val="2"/>
        <scheme val="minor"/>
      </rPr>
      <t xml:space="preserve"> - Multipart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video</t>
    </r>
    <r>
      <rPr>
        <sz val="11"/>
        <color theme="1"/>
        <rFont val="Calibri"/>
        <family val="2"/>
        <scheme val="minor"/>
      </rPr>
      <t xml:space="preserve"> - Video
</t>
    </r>
  </si>
  <si>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</si>
  <si>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r>
      <t>Administrator</t>
    </r>
    <r>
      <rPr>
        <sz val="11"/>
        <color theme="1"/>
        <rFont val="Calibri"/>
        <family val="2"/>
        <scheme val="minor"/>
      </rPr>
      <t xml:space="preserve"> - Administrator
</t>
    </r>
    <r>
      <rPr>
        <b/>
        <sz val="11"/>
        <color theme="1"/>
        <rFont val="Calibri"/>
        <family val="2"/>
        <scheme val="minor"/>
      </rPr>
      <t>Mentor</t>
    </r>
    <r>
      <rPr>
        <sz val="11"/>
        <color theme="1"/>
        <rFont val="Calibri"/>
        <family val="2"/>
        <scheme val="minor"/>
      </rPr>
      <t xml:space="preserve"> - Mentor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Peer-Tutor</t>
    </r>
    <r>
      <rPr>
        <sz val="11"/>
        <color theme="1"/>
        <rFont val="Calibri"/>
        <family val="2"/>
        <scheme val="minor"/>
      </rPr>
      <t xml:space="preserve"> - Peer- Tutor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Teacher</t>
    </r>
    <r>
      <rPr>
        <sz val="11"/>
        <color theme="1"/>
        <rFont val="Calibri"/>
        <family val="2"/>
        <scheme val="minor"/>
      </rPr>
      <t xml:space="preserve"> - Teacher
</t>
    </r>
    <r>
      <rPr>
        <b/>
        <sz val="11"/>
        <color theme="1"/>
        <rFont val="Calibri"/>
        <family val="2"/>
        <scheme val="minor"/>
      </rPr>
      <t>Team</t>
    </r>
    <r>
      <rPr>
        <sz val="11"/>
        <color theme="1"/>
        <rFont val="Calibri"/>
        <family val="2"/>
        <scheme val="minor"/>
      </rPr>
      <t xml:space="preserve"> - Team
</t>
    </r>
    <r>
      <rPr>
        <b/>
        <sz val="11"/>
        <color theme="1"/>
        <rFont val="Calibri"/>
        <family val="2"/>
        <scheme val="minor"/>
      </rPr>
      <t>Other</t>
    </r>
    <r>
      <rPr>
        <sz val="11"/>
        <color theme="1"/>
        <rFont val="Calibri"/>
        <family val="2"/>
        <scheme val="minor"/>
      </rPr>
      <t xml:space="preserve"> - Other
</t>
    </r>
  </si>
  <si>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</si>
  <si>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r>
      <t>Active</t>
    </r>
    <r>
      <rPr>
        <sz val="11"/>
        <color theme="1"/>
        <rFont val="Calibri"/>
        <family val="2"/>
        <scheme val="minor"/>
      </rPr>
      <t xml:space="preserve"> - Active
</t>
    </r>
    <r>
      <rPr>
        <b/>
        <sz val="11"/>
        <color theme="1"/>
        <rFont val="Calibri"/>
        <family val="2"/>
        <scheme val="minor"/>
      </rPr>
      <t>Expositive</t>
    </r>
    <r>
      <rPr>
        <sz val="11"/>
        <color theme="1"/>
        <rFont val="Calibri"/>
        <family val="2"/>
        <scheme val="minor"/>
      </rPr>
      <t xml:space="preserve"> - Expositive
</t>
    </r>
    <r>
      <rPr>
        <b/>
        <sz val="11"/>
        <color theme="1"/>
        <rFont val="Calibri"/>
        <family val="2"/>
        <scheme val="minor"/>
      </rPr>
      <t>Mixed</t>
    </r>
    <r>
      <rPr>
        <sz val="11"/>
        <color theme="1"/>
        <rFont val="Calibri"/>
        <family val="2"/>
        <scheme val="minor"/>
      </rPr>
      <t xml:space="preserve"> - Mixed
</t>
    </r>
  </si>
  <si>
    <r>
      <t>alternativeText</t>
    </r>
    <r>
      <rPr>
        <sz val="11"/>
        <color theme="1"/>
        <rFont val="Calibri"/>
        <family val="2"/>
        <scheme val="minor"/>
      </rPr>
      <t xml:space="preserve"> - Alternative Text
</t>
    </r>
    <r>
      <rPr>
        <b/>
        <sz val="11"/>
        <color theme="1"/>
        <rFont val="Calibri"/>
        <family val="2"/>
        <scheme val="minor"/>
      </rPr>
      <t>audioDescription</t>
    </r>
    <r>
      <rPr>
        <sz val="11"/>
        <color theme="1"/>
        <rFont val="Calibri"/>
        <family val="2"/>
        <scheme val="minor"/>
      </rPr>
      <t xml:space="preserve"> - Audio Description
</t>
    </r>
    <r>
      <rPr>
        <b/>
        <sz val="11"/>
        <color theme="1"/>
        <rFont val="Calibri"/>
        <family val="2"/>
        <scheme val="minor"/>
      </rPr>
      <t>braille</t>
    </r>
    <r>
      <rPr>
        <sz val="11"/>
        <color theme="1"/>
        <rFont val="Calibri"/>
        <family val="2"/>
        <scheme val="minor"/>
      </rPr>
      <t xml:space="preserve"> - Braille
</t>
    </r>
    <r>
      <rPr>
        <b/>
        <sz val="11"/>
        <color theme="1"/>
        <rFont val="Calibri"/>
        <family val="2"/>
        <scheme val="minor"/>
      </rPr>
      <t>captions</t>
    </r>
    <r>
      <rPr>
        <sz val="11"/>
        <color theme="1"/>
        <rFont val="Calibri"/>
        <family val="2"/>
        <scheme val="minor"/>
      </rPr>
      <t xml:space="preserve"> - Captions
</t>
    </r>
    <r>
      <rPr>
        <b/>
        <sz val="11"/>
        <color theme="1"/>
        <rFont val="Calibri"/>
        <family val="2"/>
        <scheme val="minor"/>
      </rPr>
      <t>ChemML</t>
    </r>
    <r>
      <rPr>
        <sz val="11"/>
        <color theme="1"/>
        <rFont val="Calibri"/>
        <family val="2"/>
        <scheme val="minor"/>
      </rPr>
      <t xml:space="preserve"> - Chem M L
</t>
    </r>
    <r>
      <rPr>
        <b/>
        <sz val="11"/>
        <color theme="1"/>
        <rFont val="Calibri"/>
        <family val="2"/>
        <scheme val="minor"/>
      </rPr>
      <t>describedMath</t>
    </r>
    <r>
      <rPr>
        <sz val="11"/>
        <color theme="1"/>
        <rFont val="Calibri"/>
        <family val="2"/>
        <scheme val="minor"/>
      </rPr>
      <t xml:space="preserve"> - Described Math
</t>
    </r>
    <r>
      <rPr>
        <b/>
        <sz val="11"/>
        <color theme="1"/>
        <rFont val="Calibri"/>
        <family val="2"/>
        <scheme val="minor"/>
      </rPr>
      <t>displayTransformability</t>
    </r>
    <r>
      <rPr>
        <sz val="11"/>
        <color theme="1"/>
        <rFont val="Calibri"/>
        <family val="2"/>
        <scheme val="minor"/>
      </rPr>
      <t xml:space="preserve"> - Display Transformability
</t>
    </r>
    <r>
      <rPr>
        <b/>
        <sz val="11"/>
        <color theme="1"/>
        <rFont val="Calibri"/>
        <family val="2"/>
        <scheme val="minor"/>
      </rPr>
      <t>haptic</t>
    </r>
    <r>
      <rPr>
        <sz val="11"/>
        <color theme="1"/>
        <rFont val="Calibri"/>
        <family val="2"/>
        <scheme val="minor"/>
      </rPr>
      <t xml:space="preserve"> - Haptic
</t>
    </r>
    <r>
      <rPr>
        <b/>
        <sz val="11"/>
        <color theme="1"/>
        <rFont val="Calibri"/>
        <family val="2"/>
        <scheme val="minor"/>
      </rPr>
      <t>highContrast</t>
    </r>
    <r>
      <rPr>
        <sz val="11"/>
        <color theme="1"/>
        <rFont val="Calibri"/>
        <family val="2"/>
        <scheme val="minor"/>
      </rPr>
      <t xml:space="preserve"> - High Contrast
</t>
    </r>
    <r>
      <rPr>
        <b/>
        <sz val="11"/>
        <color theme="1"/>
        <rFont val="Calibri"/>
        <family val="2"/>
        <scheme val="minor"/>
      </rPr>
      <t>largePrint</t>
    </r>
    <r>
      <rPr>
        <sz val="11"/>
        <color theme="1"/>
        <rFont val="Calibri"/>
        <family val="2"/>
        <scheme val="minor"/>
      </rPr>
      <t xml:space="preserve"> - Large Print
</t>
    </r>
    <r>
      <rPr>
        <b/>
        <sz val="11"/>
        <color theme="1"/>
        <rFont val="Calibri"/>
        <family val="2"/>
        <scheme val="minor"/>
      </rPr>
      <t>latex</t>
    </r>
    <r>
      <rPr>
        <sz val="11"/>
        <color theme="1"/>
        <rFont val="Calibri"/>
        <family val="2"/>
        <scheme val="minor"/>
      </rPr>
      <t xml:space="preserve"> - Latex
</t>
    </r>
    <r>
      <rPr>
        <b/>
        <sz val="11"/>
        <color theme="1"/>
        <rFont val="Calibri"/>
        <family val="2"/>
        <scheme val="minor"/>
      </rPr>
      <t>longDescription</t>
    </r>
    <r>
      <rPr>
        <sz val="11"/>
        <color theme="1"/>
        <rFont val="Calibri"/>
        <family val="2"/>
        <scheme val="minor"/>
      </rPr>
      <t xml:space="preserve"> - Long Description
</t>
    </r>
    <r>
      <rPr>
        <b/>
        <sz val="11"/>
        <color theme="1"/>
        <rFont val="Calibri"/>
        <family val="2"/>
        <scheme val="minor"/>
      </rPr>
      <t>MathML</t>
    </r>
    <r>
      <rPr>
        <sz val="11"/>
        <color theme="1"/>
        <rFont val="Calibri"/>
        <family val="2"/>
        <scheme val="minor"/>
      </rPr>
      <t xml:space="preserve"> - Math M L
</t>
    </r>
    <r>
      <rPr>
        <b/>
        <sz val="11"/>
        <color theme="1"/>
        <rFont val="Calibri"/>
        <family val="2"/>
        <scheme val="minor"/>
      </rPr>
      <t>musicBraille</t>
    </r>
    <r>
      <rPr>
        <sz val="11"/>
        <color theme="1"/>
        <rFont val="Calibri"/>
        <family val="2"/>
        <scheme val="minor"/>
      </rPr>
      <t xml:space="preserve"> - Music Braille
</t>
    </r>
    <r>
      <rPr>
        <b/>
        <sz val="11"/>
        <color theme="1"/>
        <rFont val="Calibri"/>
        <family val="2"/>
        <scheme val="minor"/>
      </rPr>
      <t>nemethBraille</t>
    </r>
    <r>
      <rPr>
        <sz val="11"/>
        <color theme="1"/>
        <rFont val="Calibri"/>
        <family val="2"/>
        <scheme val="minor"/>
      </rPr>
      <t xml:space="preserve"> - Nemeth Braille
</t>
    </r>
    <r>
      <rPr>
        <b/>
        <sz val="11"/>
        <color theme="1"/>
        <rFont val="Calibri"/>
        <family val="2"/>
        <scheme val="minor"/>
      </rPr>
      <t>signLanguage</t>
    </r>
    <r>
      <rPr>
        <sz val="11"/>
        <color theme="1"/>
        <rFont val="Calibri"/>
        <family val="2"/>
        <scheme val="minor"/>
      </rPr>
      <t xml:space="preserve"> - Sign Language
</t>
    </r>
    <r>
      <rPr>
        <b/>
        <sz val="11"/>
        <color theme="1"/>
        <rFont val="Calibri"/>
        <family val="2"/>
        <scheme val="minor"/>
      </rPr>
      <t>structuralNavigation</t>
    </r>
    <r>
      <rPr>
        <sz val="11"/>
        <color theme="1"/>
        <rFont val="Calibri"/>
        <family val="2"/>
        <scheme val="minor"/>
      </rPr>
      <t xml:space="preserve"> - Structural Navigation
</t>
    </r>
    <r>
      <rPr>
        <b/>
        <sz val="11"/>
        <color theme="1"/>
        <rFont val="Calibri"/>
        <family val="2"/>
        <scheme val="minor"/>
      </rPr>
      <t>tactileGraphics</t>
    </r>
    <r>
      <rPr>
        <sz val="11"/>
        <color theme="1"/>
        <rFont val="Calibri"/>
        <family val="2"/>
        <scheme val="minor"/>
      </rPr>
      <t xml:space="preserve"> - Tactile Graphics
</t>
    </r>
    <r>
      <rPr>
        <b/>
        <sz val="11"/>
        <color theme="1"/>
        <rFont val="Calibri"/>
        <family val="2"/>
        <scheme val="minor"/>
      </rPr>
      <t>tactileObject</t>
    </r>
    <r>
      <rPr>
        <sz val="11"/>
        <color theme="1"/>
        <rFont val="Calibri"/>
        <family val="2"/>
        <scheme val="minor"/>
      </rPr>
      <t xml:space="preserve"> - Tactile Object
</t>
    </r>
    <r>
      <rPr>
        <b/>
        <sz val="11"/>
        <color theme="1"/>
        <rFont val="Calibri"/>
        <family val="2"/>
        <scheme val="minor"/>
      </rPr>
      <t>transcript</t>
    </r>
    <r>
      <rPr>
        <sz val="11"/>
        <color theme="1"/>
        <rFont val="Calibri"/>
        <family val="2"/>
        <scheme val="minor"/>
      </rPr>
      <t xml:space="preserve"> - Transcript
</t>
    </r>
  </si>
  <si>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</si>
  <si>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</si>
  <si>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r>
      <t>Adopted</t>
    </r>
    <r>
      <rPr>
        <sz val="11"/>
        <color theme="1"/>
        <rFont val="Calibri"/>
        <family val="2"/>
        <scheme val="minor"/>
      </rPr>
      <t xml:space="preserve"> - Adopted
</t>
    </r>
    <r>
      <rPr>
        <b/>
        <sz val="11"/>
        <color theme="1"/>
        <rFont val="Calibri"/>
        <family val="2"/>
        <scheme val="minor"/>
      </rPr>
      <t>Draft</t>
    </r>
    <r>
      <rPr>
        <sz val="11"/>
        <color theme="1"/>
        <rFont val="Calibri"/>
        <family val="2"/>
        <scheme val="minor"/>
      </rPr>
      <t xml:space="preserve"> - Draft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Unknown</t>
    </r>
    <r>
      <rPr>
        <sz val="11"/>
        <color theme="1"/>
        <rFont val="Calibri"/>
        <family val="2"/>
        <scheme val="minor"/>
      </rPr>
      <t xml:space="preserve"> - Unknown
</t>
    </r>
  </si>
  <si>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ComplexityLevel</t>
    </r>
    <r>
      <rPr>
        <sz val="11"/>
        <color theme="1"/>
        <rFont val="Calibri"/>
        <family val="2"/>
        <scheme val="minor"/>
      </rPr>
      <t xml:space="preserve"> - Complexity Level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</si>
  <si>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r>
      <t>Cognitive</t>
    </r>
    <r>
      <rPr>
        <sz val="11"/>
        <color theme="1"/>
        <rFont val="Calibri"/>
        <family val="2"/>
        <scheme val="minor"/>
      </rPr>
      <t xml:space="preserve"> - Cognitive
</t>
    </r>
    <r>
      <rPr>
        <b/>
        <sz val="11"/>
        <color theme="1"/>
        <rFont val="Calibri"/>
        <family val="2"/>
        <scheme val="minor"/>
      </rPr>
      <t>Affective</t>
    </r>
    <r>
      <rPr>
        <sz val="11"/>
        <color theme="1"/>
        <rFont val="Calibri"/>
        <family val="2"/>
        <scheme val="minor"/>
      </rPr>
      <t xml:space="preserve"> - Affective
</t>
    </r>
    <r>
      <rPr>
        <b/>
        <sz val="11"/>
        <color theme="1"/>
        <rFont val="Calibri"/>
        <family val="2"/>
        <scheme val="minor"/>
      </rPr>
      <t>Psychomotor</t>
    </r>
    <r>
      <rPr>
        <sz val="11"/>
        <color theme="1"/>
        <rFont val="Calibri"/>
        <family val="2"/>
        <scheme val="minor"/>
      </rPr>
      <t xml:space="preserve"> - Psychomotor
</t>
    </r>
  </si>
  <si>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 Spatial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</si>
  <si>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r>
      <t>Vision</t>
    </r>
    <r>
      <rPr>
        <sz val="11"/>
        <color theme="1"/>
        <rFont val="Calibri"/>
        <family val="2"/>
        <scheme val="minor"/>
      </rPr>
      <t xml:space="preserve"> - Vision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Mobility</t>
    </r>
    <r>
      <rPr>
        <sz val="11"/>
        <color theme="1"/>
        <rFont val="Calibri"/>
        <family val="2"/>
        <scheme val="minor"/>
      </rPr>
      <t xml:space="preserve"> - Mobility
</t>
    </r>
    <r>
      <rPr>
        <b/>
        <sz val="11"/>
        <color theme="1"/>
        <rFont val="Calibri"/>
        <family val="2"/>
        <scheme val="minor"/>
      </rPr>
      <t>General</t>
    </r>
    <r>
      <rPr>
        <sz val="11"/>
        <color theme="1"/>
        <rFont val="Calibri"/>
        <family val="2"/>
        <scheme val="minor"/>
      </rPr>
      <t xml:space="preserve"> - General
</t>
    </r>
  </si>
  <si>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</si>
  <si>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</si>
  <si>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</si>
  <si>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</si>
  <si>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</si>
  <si>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</si>
  <si>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</si>
  <si>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CENSUSID</t>
    </r>
    <r>
      <rPr>
        <sz val="11"/>
        <color theme="1"/>
        <rFont val="Calibri"/>
        <family val="2"/>
        <scheme val="minor"/>
      </rPr>
      <t xml:space="preserve"> - Census Bureau identification code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</si>
  <si>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</si>
  <si>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</si>
  <si>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r>
      <t>RegularNotInSupervisoryUnion</t>
    </r>
    <r>
      <rPr>
        <sz val="11"/>
        <color theme="1"/>
        <rFont val="Calibri"/>
        <family val="2"/>
        <scheme val="minor"/>
      </rPr>
      <t xml:space="preserve"> - Regular public school district that is NOT a component of a supervisory union
</t>
    </r>
    <r>
      <rPr>
        <b/>
        <sz val="11"/>
        <color theme="1"/>
        <rFont val="Calibri"/>
        <family val="2"/>
        <scheme val="minor"/>
      </rPr>
      <t>RegularInSupervisoryUnion</t>
    </r>
    <r>
      <rPr>
        <sz val="11"/>
        <color theme="1"/>
        <rFont val="Calibri"/>
        <family val="2"/>
        <scheme val="minor"/>
      </rPr>
      <t xml:space="preserve"> - Regular public school district that is a component of a supervisory union
</t>
    </r>
    <r>
      <rPr>
        <b/>
        <sz val="11"/>
        <color theme="1"/>
        <rFont val="Calibri"/>
        <family val="2"/>
        <scheme val="minor"/>
      </rPr>
      <t>SupervisoryUnion</t>
    </r>
    <r>
      <rPr>
        <sz val="11"/>
        <color theme="1"/>
        <rFont val="Calibri"/>
        <family val="2"/>
        <scheme val="minor"/>
      </rPr>
      <t xml:space="preserve"> - Supervisory Union
</t>
    </r>
    <r>
      <rPr>
        <b/>
        <sz val="11"/>
        <color theme="1"/>
        <rFont val="Calibri"/>
        <family val="2"/>
        <scheme val="minor"/>
      </rPr>
      <t>SpecializedPublicSchoolDistrict</t>
    </r>
    <r>
      <rPr>
        <sz val="11"/>
        <color theme="1"/>
        <rFont val="Calibri"/>
        <family val="2"/>
        <scheme val="minor"/>
      </rPr>
      <t xml:space="preserve"> - Specialized Public School District
</t>
    </r>
    <r>
      <rPr>
        <b/>
        <sz val="11"/>
        <color theme="1"/>
        <rFont val="Calibri"/>
        <family val="2"/>
        <scheme val="minor"/>
      </rPr>
      <t>ServiceAgency</t>
    </r>
    <r>
      <rPr>
        <sz val="11"/>
        <color theme="1"/>
        <rFont val="Calibri"/>
        <family val="2"/>
        <scheme val="minor"/>
      </rPr>
      <t xml:space="preserve"> - Service Agency
</t>
    </r>
    <r>
      <rPr>
        <b/>
        <sz val="11"/>
        <color theme="1"/>
        <rFont val="Calibri"/>
        <family val="2"/>
        <scheme val="minor"/>
      </rPr>
      <t>StateOperatedAgency</t>
    </r>
    <r>
      <rPr>
        <sz val="11"/>
        <color theme="1"/>
        <rFont val="Calibri"/>
        <family val="2"/>
        <scheme val="minor"/>
      </rPr>
      <t xml:space="preserve"> - State Operated Agency
</t>
    </r>
    <r>
      <rPr>
        <b/>
        <sz val="11"/>
        <color theme="1"/>
        <rFont val="Calibri"/>
        <family val="2"/>
        <scheme val="minor"/>
      </rPr>
      <t>FederalOperatedAgency</t>
    </r>
    <r>
      <rPr>
        <sz val="11"/>
        <color theme="1"/>
        <rFont val="Calibri"/>
        <family val="2"/>
        <scheme val="minor"/>
      </rPr>
      <t xml:space="preserve"> - Federal Operated Agency
</t>
    </r>
    <r>
      <rPr>
        <b/>
        <sz val="11"/>
        <color theme="1"/>
        <rFont val="Calibri"/>
        <family val="2"/>
        <scheme val="minor"/>
      </rPr>
      <t>Other</t>
    </r>
    <r>
      <rPr>
        <sz val="11"/>
        <color theme="1"/>
        <rFont val="Calibri"/>
        <family val="2"/>
        <scheme val="minor"/>
      </rPr>
      <t xml:space="preserve"> - Other Local Education Agencies
</t>
    </r>
  </si>
  <si>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</si>
  <si>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</si>
  <si>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r>
      <t>Chronic</t>
    </r>
    <r>
      <rPr>
        <sz val="11"/>
        <color theme="1"/>
        <rFont val="Calibri"/>
        <family val="2"/>
        <scheme val="minor"/>
      </rPr>
      <t xml:space="preserve"> - Chronic
</t>
    </r>
    <r>
      <rPr>
        <b/>
        <sz val="11"/>
        <color theme="1"/>
        <rFont val="Calibri"/>
        <family val="2"/>
        <scheme val="minor"/>
      </rPr>
      <t>Acute</t>
    </r>
    <r>
      <rPr>
        <sz val="11"/>
        <color theme="1"/>
        <rFont val="Calibri"/>
        <family val="2"/>
        <scheme val="minor"/>
      </rPr>
      <t xml:space="preserve"> - Acute
</t>
    </r>
    <r>
      <rPr>
        <b/>
        <sz val="11"/>
        <color theme="1"/>
        <rFont val="Calibri"/>
        <family val="2"/>
        <scheme val="minor"/>
      </rPr>
      <t>None</t>
    </r>
    <r>
      <rPr>
        <sz val="11"/>
        <color theme="1"/>
        <rFont val="Calibri"/>
        <family val="2"/>
        <scheme val="minor"/>
      </rPr>
      <t xml:space="preserve"> - None
</t>
    </r>
  </si>
  <si>
    <r>
      <t>Individual</t>
    </r>
    <r>
      <rPr>
        <sz val="11"/>
        <color theme="1"/>
        <rFont val="Calibri"/>
        <family val="2"/>
        <scheme val="minor"/>
      </rPr>
      <t xml:space="preserve"> - Individual
</t>
    </r>
    <r>
      <rPr>
        <b/>
        <sz val="11"/>
        <color theme="1"/>
        <rFont val="Calibri"/>
        <family val="2"/>
        <scheme val="minor"/>
      </rPr>
      <t>Group</t>
    </r>
    <r>
      <rPr>
        <sz val="11"/>
        <color theme="1"/>
        <rFont val="Calibri"/>
        <family val="2"/>
        <scheme val="minor"/>
      </rPr>
      <t xml:space="preserve"> - Group
</t>
    </r>
  </si>
  <si>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</si>
  <si>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</si>
  <si>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</si>
  <si>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</si>
  <si>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</si>
  <si>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</si>
  <si>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</si>
  <si>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r>
      <t>Army</t>
    </r>
    <r>
      <rPr>
        <sz val="11"/>
        <color theme="1"/>
        <rFont val="Calibri"/>
        <family val="2"/>
        <scheme val="minor"/>
      </rPr>
      <t xml:space="preserve"> - Army
</t>
    </r>
    <r>
      <rPr>
        <b/>
        <sz val="11"/>
        <color theme="1"/>
        <rFont val="Calibri"/>
        <family val="2"/>
        <scheme val="minor"/>
      </rPr>
      <t>Navy</t>
    </r>
    <r>
      <rPr>
        <sz val="11"/>
        <color theme="1"/>
        <rFont val="Calibri"/>
        <family val="2"/>
        <scheme val="minor"/>
      </rPr>
      <t xml:space="preserve"> - Navy
</t>
    </r>
    <r>
      <rPr>
        <b/>
        <sz val="11"/>
        <color theme="1"/>
        <rFont val="Calibri"/>
        <family val="2"/>
        <scheme val="minor"/>
      </rPr>
      <t>AirForce</t>
    </r>
    <r>
      <rPr>
        <sz val="11"/>
        <color theme="1"/>
        <rFont val="Calibri"/>
        <family val="2"/>
        <scheme val="minor"/>
      </rPr>
      <t xml:space="preserve"> - Air Force
</t>
    </r>
    <r>
      <rPr>
        <b/>
        <sz val="11"/>
        <color theme="1"/>
        <rFont val="Calibri"/>
        <family val="2"/>
        <scheme val="minor"/>
      </rPr>
      <t>MarineCorps</t>
    </r>
    <r>
      <rPr>
        <sz val="11"/>
        <color theme="1"/>
        <rFont val="Calibri"/>
        <family val="2"/>
        <scheme val="minor"/>
      </rPr>
      <t xml:space="preserve"> - Marine Corps
</t>
    </r>
    <r>
      <rPr>
        <b/>
        <sz val="11"/>
        <color theme="1"/>
        <rFont val="Calibri"/>
        <family val="2"/>
        <scheme val="minor"/>
      </rPr>
      <t>CoastGuard</t>
    </r>
    <r>
      <rPr>
        <sz val="11"/>
        <color theme="1"/>
        <rFont val="Calibri"/>
        <family val="2"/>
        <scheme val="minor"/>
      </rPr>
      <t xml:space="preserve"> - Coast Guard
</t>
    </r>
  </si>
  <si>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</si>
  <si>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</si>
  <si>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</si>
  <si>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</si>
  <si>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</si>
  <si>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</si>
  <si>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r>
      <t>Hours</t>
    </r>
    <r>
      <rPr>
        <sz val="11"/>
        <color theme="1"/>
        <rFont val="Calibri"/>
        <family val="2"/>
        <scheme val="minor"/>
      </rPr>
      <t xml:space="preserve"> - Hours
</t>
    </r>
    <r>
      <rPr>
        <b/>
        <sz val="11"/>
        <color theme="1"/>
        <rFont val="Calibri"/>
        <family val="2"/>
        <scheme val="minor"/>
      </rPr>
      <t>Weeks</t>
    </r>
    <r>
      <rPr>
        <sz val="11"/>
        <color theme="1"/>
        <rFont val="Calibri"/>
        <family val="2"/>
        <scheme val="minor"/>
      </rPr>
      <t xml:space="preserve"> - Weeks
</t>
    </r>
    <r>
      <rPr>
        <b/>
        <sz val="11"/>
        <color theme="1"/>
        <rFont val="Calibri"/>
        <family val="2"/>
        <scheme val="minor"/>
      </rPr>
      <t>Quarters</t>
    </r>
    <r>
      <rPr>
        <sz val="11"/>
        <color theme="1"/>
        <rFont val="Calibri"/>
        <family val="2"/>
        <scheme val="minor"/>
      </rPr>
      <t xml:space="preserve"> - Quarters
</t>
    </r>
    <r>
      <rPr>
        <b/>
        <sz val="11"/>
        <color theme="1"/>
        <rFont val="Calibri"/>
        <family val="2"/>
        <scheme val="minor"/>
      </rPr>
      <t>Semesters</t>
    </r>
    <r>
      <rPr>
        <sz val="11"/>
        <color theme="1"/>
        <rFont val="Calibri"/>
        <family val="2"/>
        <scheme val="minor"/>
      </rPr>
      <t xml:space="preserve"> - Semesters
</t>
    </r>
    <r>
      <rPr>
        <b/>
        <sz val="11"/>
        <color theme="1"/>
        <rFont val="Calibri"/>
        <family val="2"/>
        <scheme val="minor"/>
      </rPr>
      <t>Years</t>
    </r>
    <r>
      <rPr>
        <sz val="11"/>
        <color theme="1"/>
        <rFont val="Calibri"/>
        <family val="2"/>
        <scheme val="minor"/>
      </rPr>
      <t xml:space="preserve"> - Years
</t>
    </r>
  </si>
  <si>
    <r>
      <t>Announced</t>
    </r>
    <r>
      <rPr>
        <sz val="11"/>
        <color theme="1"/>
        <rFont val="Calibri"/>
        <family val="2"/>
        <scheme val="minor"/>
      </rPr>
      <t xml:space="preserve"> - Announced
</t>
    </r>
    <r>
      <rPr>
        <b/>
        <sz val="11"/>
        <color theme="1"/>
        <rFont val="Calibri"/>
        <family val="2"/>
        <scheme val="minor"/>
      </rPr>
      <t>Unannounced</t>
    </r>
    <r>
      <rPr>
        <sz val="11"/>
        <color theme="1"/>
        <rFont val="Calibri"/>
        <family val="2"/>
        <scheme val="minor"/>
      </rPr>
      <t xml:space="preserve"> - Unannounced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</si>
  <si>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</si>
  <si>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 Given Name
</t>
    </r>
    <r>
      <rPr>
        <b/>
        <sz val="11"/>
        <color theme="1"/>
        <rFont val="Calibri"/>
        <family val="2"/>
        <scheme val="minor"/>
      </rPr>
      <t>FullName</t>
    </r>
    <r>
      <rPr>
        <sz val="11"/>
        <color theme="1"/>
        <rFont val="Calibri"/>
        <family val="2"/>
        <scheme val="minor"/>
      </rPr>
      <t xml:space="preserve"> - Full Name
</t>
    </r>
  </si>
  <si>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</si>
  <si>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</si>
  <si>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</si>
  <si>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</si>
  <si>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</si>
  <si>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</si>
  <si>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</si>
  <si>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</si>
  <si>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</si>
  <si>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</si>
  <si>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</si>
  <si>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Other</t>
    </r>
    <r>
      <rPr>
        <sz val="11"/>
        <color theme="1"/>
        <rFont val="Calibri"/>
        <family val="2"/>
        <scheme val="minor"/>
      </rPr>
      <t xml:space="preserve"> - Other
</t>
    </r>
  </si>
  <si>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</si>
  <si>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</si>
  <si>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</si>
  <si>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</si>
  <si>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</si>
  <si>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</si>
  <si>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</si>
  <si>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</si>
  <si>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</si>
  <si>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r>
      <t>Beginner</t>
    </r>
    <r>
      <rPr>
        <sz val="11"/>
        <color theme="1"/>
        <rFont val="Calibri"/>
        <family val="2"/>
        <scheme val="minor"/>
      </rPr>
      <t xml:space="preserve"> - Beginner
</t>
    </r>
    <r>
      <rPr>
        <b/>
        <sz val="11"/>
        <color theme="1"/>
        <rFont val="Calibri"/>
        <family val="2"/>
        <scheme val="minor"/>
      </rPr>
      <t>Intermediate</t>
    </r>
    <r>
      <rPr>
        <sz val="11"/>
        <color theme="1"/>
        <rFont val="Calibri"/>
        <family val="2"/>
        <scheme val="minor"/>
      </rPr>
      <t xml:space="preserve"> - Intermediate
</t>
    </r>
    <r>
      <rPr>
        <b/>
        <sz val="11"/>
        <color theme="1"/>
        <rFont val="Calibri"/>
        <family val="2"/>
        <scheme val="minor"/>
      </rPr>
      <t>Advanced</t>
    </r>
    <r>
      <rPr>
        <sz val="11"/>
        <color theme="1"/>
        <rFont val="Calibri"/>
        <family val="2"/>
        <scheme val="minor"/>
      </rPr>
      <t xml:space="preserve"> - Advanced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</si>
  <si>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</si>
  <si>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</si>
  <si>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</si>
  <si>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</si>
  <si>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</si>
  <si>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r>
      <t>Registering</t>
    </r>
    <r>
      <rPr>
        <sz val="11"/>
        <color theme="1"/>
        <rFont val="Calibri"/>
        <family val="2"/>
        <scheme val="minor"/>
      </rPr>
      <t xml:space="preserve"> - Registering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Cancelled</t>
    </r>
    <r>
      <rPr>
        <sz val="11"/>
        <color theme="1"/>
        <rFont val="Calibri"/>
        <family val="2"/>
        <scheme val="minor"/>
      </rPr>
      <t xml:space="preserve"> - Cancelled
</t>
    </r>
  </si>
  <si>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</si>
  <si>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</si>
  <si>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</si>
  <si>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</si>
  <si>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</si>
  <si>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</si>
  <si>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</si>
  <si>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</si>
  <si>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</si>
  <si>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</si>
  <si>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</si>
  <si>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</si>
  <si>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</si>
  <si>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</si>
  <si>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</si>
  <si>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Promotion</t>
    </r>
    <r>
      <rPr>
        <sz val="11"/>
        <color theme="1"/>
        <rFont val="Calibri"/>
        <family val="2"/>
        <scheme val="minor"/>
      </rPr>
      <t xml:space="preserve"> - Promotion or advancement
</t>
    </r>
  </si>
  <si>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</si>
  <si>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</si>
  <si>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</si>
  <si>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</si>
  <si>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</si>
  <si>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</si>
  <si>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</si>
  <si>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</si>
  <si>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r>
      <t>Newborn</t>
    </r>
    <r>
      <rPr>
        <sz val="11"/>
        <color theme="1"/>
        <rFont val="Calibri"/>
        <family val="2"/>
        <scheme val="minor"/>
      </rPr>
      <t xml:space="preserve"> - Newborn well child visit
</t>
    </r>
    <r>
      <rPr>
        <b/>
        <sz val="11"/>
        <color theme="1"/>
        <rFont val="Calibri"/>
        <family val="2"/>
        <scheme val="minor"/>
      </rPr>
      <t>3To5Days</t>
    </r>
    <r>
      <rPr>
        <sz val="11"/>
        <color theme="1"/>
        <rFont val="Calibri"/>
        <family val="2"/>
        <scheme val="minor"/>
      </rPr>
      <t xml:space="preserve"> - 3 to 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</si>
  <si>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</si>
  <si>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t>
    </r>
    <r>
      <rPr>
        <sz val="11"/>
        <color theme="1"/>
        <rFont val="Calibri"/>
        <family val="2"/>
        <scheme val="minor"/>
      </rPr>
      <t xml:space="preserve"> - Other
</t>
    </r>
  </si>
  <si>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</si>
  <si>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</si>
  <si>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</si>
  <si>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</si>
  <si>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r>
      <t>Regular</t>
    </r>
    <r>
      <rPr>
        <sz val="11"/>
        <color theme="1"/>
        <rFont val="Calibri"/>
        <family val="2"/>
        <scheme val="minor"/>
      </rPr>
      <t xml:space="preserve"> - Regular School
</t>
    </r>
    <r>
      <rPr>
        <b/>
        <sz val="11"/>
        <color theme="1"/>
        <rFont val="Calibri"/>
        <family val="2"/>
        <scheme val="minor"/>
      </rPr>
      <t>Special</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Education School
</t>
    </r>
  </si>
  <si>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</si>
  <si>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</si>
  <si>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</si>
  <si>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</si>
  <si>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</si>
  <si>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</si>
  <si>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</si>
  <si>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</si>
  <si>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</si>
  <si>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</si>
  <si>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SAT_Reading</t>
    </r>
    <r>
      <rPr>
        <sz val="11"/>
        <color theme="1"/>
        <rFont val="Calibri"/>
        <family val="2"/>
        <scheme val="minor"/>
      </rPr>
      <t xml:space="preserve"> - SAT Reading
</t>
    </r>
    <r>
      <rPr>
        <b/>
        <sz val="11"/>
        <color theme="1"/>
        <rFont val="Calibri"/>
        <family val="2"/>
        <scheme val="minor"/>
      </rPr>
      <t>SAT_Writing</t>
    </r>
    <r>
      <rPr>
        <sz val="11"/>
        <color theme="1"/>
        <rFont val="Calibri"/>
        <family val="2"/>
        <scheme val="minor"/>
      </rPr>
      <t xml:space="preserve"> - SAT Writing
</t>
    </r>
    <r>
      <rPr>
        <b/>
        <sz val="11"/>
        <color theme="1"/>
        <rFont val="Calibri"/>
        <family val="2"/>
        <scheme val="minor"/>
      </rPr>
      <t>SAT_Math</t>
    </r>
    <r>
      <rPr>
        <sz val="11"/>
        <color theme="1"/>
        <rFont val="Calibri"/>
        <family val="2"/>
        <scheme val="minor"/>
      </rPr>
      <t xml:space="preserve"> - SAT Math
</t>
    </r>
    <r>
      <rPr>
        <b/>
        <sz val="11"/>
        <color theme="1"/>
        <rFont val="Calibri"/>
        <family val="2"/>
        <scheme val="minor"/>
      </rPr>
      <t>SAT_Total</t>
    </r>
    <r>
      <rPr>
        <sz val="11"/>
        <color theme="1"/>
        <rFont val="Calibri"/>
        <family val="2"/>
        <scheme val="minor"/>
      </rPr>
      <t xml:space="preserve"> - SAT Total
</t>
    </r>
    <r>
      <rPr>
        <b/>
        <sz val="11"/>
        <color theme="1"/>
        <rFont val="Calibri"/>
        <family val="2"/>
        <scheme val="minor"/>
      </rPr>
      <t>ACT_English</t>
    </r>
    <r>
      <rPr>
        <sz val="11"/>
        <color theme="1"/>
        <rFont val="Calibri"/>
        <family val="2"/>
        <scheme val="minor"/>
      </rPr>
      <t xml:space="preserve"> - ACT English
</t>
    </r>
    <r>
      <rPr>
        <b/>
        <sz val="11"/>
        <color theme="1"/>
        <rFont val="Calibri"/>
        <family val="2"/>
        <scheme val="minor"/>
      </rPr>
      <t>ACT_Math</t>
    </r>
    <r>
      <rPr>
        <sz val="11"/>
        <color theme="1"/>
        <rFont val="Calibri"/>
        <family val="2"/>
        <scheme val="minor"/>
      </rPr>
      <t xml:space="preserve"> - ACT Math
</t>
    </r>
    <r>
      <rPr>
        <b/>
        <sz val="11"/>
        <color theme="1"/>
        <rFont val="Calibri"/>
        <family val="2"/>
        <scheme val="minor"/>
      </rPr>
      <t>ACT_Reading</t>
    </r>
    <r>
      <rPr>
        <sz val="11"/>
        <color theme="1"/>
        <rFont val="Calibri"/>
        <family val="2"/>
        <scheme val="minor"/>
      </rPr>
      <t xml:space="preserve"> - ACT Reading
</t>
    </r>
    <r>
      <rPr>
        <b/>
        <sz val="11"/>
        <color theme="1"/>
        <rFont val="Calibri"/>
        <family val="2"/>
        <scheme val="minor"/>
      </rPr>
      <t>ACT_Science</t>
    </r>
    <r>
      <rPr>
        <sz val="11"/>
        <color theme="1"/>
        <rFont val="Calibri"/>
        <family val="2"/>
        <scheme val="minor"/>
      </rPr>
      <t xml:space="preserve"> - ACT Science
</t>
    </r>
    <r>
      <rPr>
        <b/>
        <sz val="11"/>
        <color theme="1"/>
        <rFont val="Calibri"/>
        <family val="2"/>
        <scheme val="minor"/>
      </rPr>
      <t>ACT_Composite</t>
    </r>
    <r>
      <rPr>
        <sz val="11"/>
        <color theme="1"/>
        <rFont val="Calibri"/>
        <family val="2"/>
        <scheme val="minor"/>
      </rPr>
      <t xml:space="preserve"> - ACT Composite
</t>
    </r>
    <r>
      <rPr>
        <b/>
        <sz val="11"/>
        <color theme="1"/>
        <rFont val="Calibri"/>
        <family val="2"/>
        <scheme val="minor"/>
      </rPr>
      <t>COMPASS_reading</t>
    </r>
    <r>
      <rPr>
        <sz val="11"/>
        <color theme="1"/>
        <rFont val="Calibri"/>
        <family val="2"/>
        <scheme val="minor"/>
      </rPr>
      <t xml:space="preserve"> - COMPASS reading
</t>
    </r>
    <r>
      <rPr>
        <b/>
        <sz val="11"/>
        <color theme="1"/>
        <rFont val="Calibri"/>
        <family val="2"/>
        <scheme val="minor"/>
      </rPr>
      <t>COMPASS_writing</t>
    </r>
    <r>
      <rPr>
        <sz val="11"/>
        <color theme="1"/>
        <rFont val="Calibri"/>
        <family val="2"/>
        <scheme val="minor"/>
      </rPr>
      <t xml:space="preserve"> - COMPASS writing
</t>
    </r>
    <r>
      <rPr>
        <b/>
        <sz val="11"/>
        <color theme="1"/>
        <rFont val="Calibri"/>
        <family val="2"/>
        <scheme val="minor"/>
      </rPr>
      <t>COMPASS_math</t>
    </r>
    <r>
      <rPr>
        <sz val="11"/>
        <color theme="1"/>
        <rFont val="Calibri"/>
        <family val="2"/>
        <scheme val="minor"/>
      </rPr>
      <t xml:space="preserve"> - COMPASS math
</t>
    </r>
    <r>
      <rPr>
        <b/>
        <sz val="11"/>
        <color theme="1"/>
        <rFont val="Calibri"/>
        <family val="2"/>
        <scheme val="minor"/>
      </rPr>
      <t>Accuplacer_reading</t>
    </r>
    <r>
      <rPr>
        <sz val="11"/>
        <color theme="1"/>
        <rFont val="Calibri"/>
        <family val="2"/>
        <scheme val="minor"/>
      </rPr>
      <t xml:space="preserve"> - Accuplacer reading
</t>
    </r>
    <r>
      <rPr>
        <b/>
        <sz val="11"/>
        <color theme="1"/>
        <rFont val="Calibri"/>
        <family val="2"/>
        <scheme val="minor"/>
      </rPr>
      <t>Accuplacer_writing</t>
    </r>
    <r>
      <rPr>
        <sz val="11"/>
        <color theme="1"/>
        <rFont val="Calibri"/>
        <family val="2"/>
        <scheme val="minor"/>
      </rPr>
      <t xml:space="preserve"> - Accuplacer writing
</t>
    </r>
    <r>
      <rPr>
        <b/>
        <sz val="11"/>
        <color theme="1"/>
        <rFont val="Calibri"/>
        <family val="2"/>
        <scheme val="minor"/>
      </rPr>
      <t>Accuplacer_math</t>
    </r>
    <r>
      <rPr>
        <sz val="11"/>
        <color theme="1"/>
        <rFont val="Calibri"/>
        <family val="2"/>
        <scheme val="minor"/>
      </rPr>
      <t xml:space="preserve"> - Accuplacer math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</si>
  <si>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</si>
  <si>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</si>
  <si>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</si>
  <si>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</si>
  <si>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</si>
  <si>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r>
      <t>Undergraduate</t>
    </r>
    <r>
      <rPr>
        <sz val="11"/>
        <color theme="1"/>
        <rFont val="Calibri"/>
        <family val="2"/>
        <scheme val="minor"/>
      </rPr>
      <t xml:space="preserve"> - Undergraduate
</t>
    </r>
    <r>
      <rPr>
        <b/>
        <sz val="11"/>
        <color theme="1"/>
        <rFont val="Calibri"/>
        <family val="2"/>
        <scheme val="minor"/>
      </rPr>
      <t>Graduate</t>
    </r>
    <r>
      <rPr>
        <sz val="11"/>
        <color theme="1"/>
        <rFont val="Calibri"/>
        <family val="2"/>
        <scheme val="minor"/>
      </rPr>
      <t xml:space="preserve"> - Graduate
</t>
    </r>
  </si>
  <si>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</si>
  <si>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</si>
  <si>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</si>
  <si>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</si>
  <si>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</si>
  <si>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</si>
  <si>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</si>
  <si>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</si>
  <si>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</si>
  <si>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</si>
  <si>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</si>
  <si>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</si>
  <si>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</si>
  <si>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</si>
  <si>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</si>
  <si>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</si>
  <si>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</si>
  <si>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Other</t>
    </r>
    <r>
      <rPr>
        <sz val="11"/>
        <color theme="1"/>
        <rFont val="Calibri"/>
        <family val="2"/>
        <scheme val="minor"/>
      </rPr>
      <t xml:space="preserve"> - Other
</t>
    </r>
  </si>
  <si>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</si>
  <si>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</si>
  <si>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</si>
  <si>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</si>
  <si>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</si>
  <si>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</si>
  <si>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r>
      <t>01</t>
    </r>
    <r>
      <rPr>
        <sz val="11"/>
        <color theme="1"/>
        <rFont val="Calibri"/>
        <family val="2"/>
        <scheme val="minor"/>
      </rPr>
      <t xml:space="preserve"> - Administering assessments required by section 1111(b)
</t>
    </r>
    <r>
      <rPr>
        <b/>
        <sz val="11"/>
        <color theme="1"/>
        <rFont val="Calibri"/>
        <family val="2"/>
        <scheme val="minor"/>
      </rPr>
      <t>02</t>
    </r>
    <r>
      <rPr>
        <sz val="11"/>
        <color theme="1"/>
        <rFont val="Calibri"/>
        <family val="2"/>
        <scheme val="minor"/>
      </rPr>
      <t xml:space="preserve"> - Developing challenging State academic content and student academic achievement standards
</t>
    </r>
    <r>
      <rPr>
        <b/>
        <sz val="11"/>
        <color theme="1"/>
        <rFont val="Calibri"/>
        <family val="2"/>
        <scheme val="minor"/>
      </rPr>
      <t>03</t>
    </r>
    <r>
      <rPr>
        <sz val="11"/>
        <color theme="1"/>
        <rFont val="Calibri"/>
        <family val="2"/>
        <scheme val="minor"/>
      </rPr>
      <t xml:space="preserve"> - Developing or improving assessments of English language proficiency
</t>
    </r>
    <r>
      <rPr>
        <b/>
        <sz val="11"/>
        <color theme="1"/>
        <rFont val="Calibri"/>
        <family val="2"/>
        <scheme val="minor"/>
      </rPr>
      <t>04</t>
    </r>
    <r>
      <rPr>
        <sz val="11"/>
        <color theme="1"/>
        <rFont val="Calibri"/>
        <family val="2"/>
        <scheme val="minor"/>
      </rPr>
      <t xml:space="preserve"> - Ensuring the continued validity and reliability of State assessments
</t>
    </r>
    <r>
      <rPr>
        <b/>
        <sz val="11"/>
        <color theme="1"/>
        <rFont val="Calibri"/>
        <family val="2"/>
        <scheme val="minor"/>
      </rPr>
      <t>05</t>
    </r>
    <r>
      <rPr>
        <sz val="11"/>
        <color theme="1"/>
        <rFont val="Calibri"/>
        <family val="2"/>
        <scheme val="minor"/>
      </rPr>
      <t xml:space="preserve"> - Developing multiple measures to increase the reliability and validity of State assessment systems
</t>
    </r>
    <r>
      <rPr>
        <b/>
        <sz val="11"/>
        <color theme="1"/>
        <rFont val="Calibri"/>
        <family val="2"/>
        <scheme val="minor"/>
      </rPr>
      <t>06</t>
    </r>
    <r>
      <rPr>
        <sz val="11"/>
        <color theme="1"/>
        <rFont val="Calibri"/>
        <family val="2"/>
        <scheme val="minor"/>
      </rPr>
      <t xml:space="preserve"> - Strengthening the capacity of local educational agencies and schools
</t>
    </r>
    <r>
      <rPr>
        <b/>
        <sz val="11"/>
        <color theme="1"/>
        <rFont val="Calibri"/>
        <family val="2"/>
        <scheme val="minor"/>
      </rPr>
      <t>07</t>
    </r>
    <r>
      <rPr>
        <sz val="11"/>
        <color theme="1"/>
        <rFont val="Calibri"/>
        <family val="2"/>
        <scheme val="minor"/>
      </rPr>
      <t xml:space="preserve"> - Expanding range of accommodations to students with LEP and students with disabilities (IDEA)
</t>
    </r>
    <r>
      <rPr>
        <b/>
        <sz val="11"/>
        <color theme="1"/>
        <rFont val="Calibri"/>
        <family val="2"/>
        <scheme val="minor"/>
      </rPr>
      <t>08</t>
    </r>
    <r>
      <rPr>
        <sz val="11"/>
        <color theme="1"/>
        <rFont val="Calibri"/>
        <family val="2"/>
        <scheme val="minor"/>
      </rPr>
      <t xml:space="preserve"> - Improving the dissemination of information on student achievement and school performance
</t>
    </r>
    <r>
      <rPr>
        <b/>
        <sz val="11"/>
        <color theme="1"/>
        <rFont val="Calibri"/>
        <family val="2"/>
        <scheme val="minor"/>
      </rPr>
      <t>09</t>
    </r>
    <r>
      <rPr>
        <sz val="11"/>
        <color theme="1"/>
        <rFont val="Calibri"/>
        <family val="2"/>
        <scheme val="minor"/>
      </rPr>
      <t xml:space="preserve"> - Other
</t>
    </r>
  </si>
  <si>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</si>
  <si>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</si>
  <si>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</si>
  <si>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</si>
  <si>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</si>
  <si>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</si>
  <si>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Early Learning</t>
  </si>
  <si>
    <t>EL Child</t>
  </si>
  <si>
    <t>Identity-&gt;Name</t>
  </si>
  <si>
    <t>No</t>
  </si>
  <si>
    <t>Identity-&gt;Other Name</t>
  </si>
  <si>
    <t>Identity-&gt;Identification</t>
  </si>
  <si>
    <t>Contact-&gt;Address</t>
  </si>
  <si>
    <t>Yes</t>
  </si>
  <si>
    <t>Contact-&gt;Telephone</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</si>
  <si>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</si>
  <si>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</si>
  <si>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</si>
  <si>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</si>
  <si>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</si>
  <si>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</si>
  <si>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</si>
  <si>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</si>
  <si>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</si>
  <si>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</si>
  <si>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</si>
  <si>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</si>
  <si>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</si>
  <si>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</si>
  <si>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Finance</t>
  </si>
  <si>
    <t>Services</t>
  </si>
  <si>
    <t>Services-&gt;Application</t>
  </si>
  <si>
    <t>Services-&gt;Service Partners</t>
  </si>
  <si>
    <t>Individualized Program</t>
  </si>
  <si>
    <t>Individualized Program-&gt;Individualized Transition Plan</t>
  </si>
  <si>
    <t>Child Outcome Summary</t>
  </si>
  <si>
    <t>Program</t>
  </si>
  <si>
    <t>Disability</t>
  </si>
  <si>
    <t>Parent/Guardian</t>
  </si>
  <si>
    <t>Relationship</t>
  </si>
  <si>
    <t>Contact-&gt;Email</t>
  </si>
  <si>
    <t>Education</t>
  </si>
  <si>
    <t>Insurance</t>
  </si>
  <si>
    <t>EL Family</t>
  </si>
  <si>
    <t>Identification</t>
  </si>
  <si>
    <t>Family/Household Information</t>
  </si>
  <si>
    <t>EL Organization</t>
  </si>
  <si>
    <t>Contact</t>
  </si>
  <si>
    <t>Contact-&gt;Name</t>
  </si>
  <si>
    <t>Contact-&gt;Other Name</t>
  </si>
  <si>
    <t>Address</t>
  </si>
  <si>
    <t>Telephone</t>
  </si>
  <si>
    <t>Licensing</t>
  </si>
  <si>
    <t>Directory</t>
  </si>
  <si>
    <t>QRIS Rating</t>
  </si>
  <si>
    <t>Facility</t>
  </si>
  <si>
    <t>Monitoring</t>
  </si>
  <si>
    <t>Accreditation</t>
  </si>
  <si>
    <t>Policies</t>
  </si>
  <si>
    <t>Cultural and Linguistic Diversity</t>
  </si>
  <si>
    <t>Health Promotion</t>
  </si>
  <si>
    <t>Inclusion</t>
  </si>
  <si>
    <t>Organization Information</t>
  </si>
  <si>
    <t>Parental/Family Involvement</t>
  </si>
  <si>
    <t>Compensation</t>
  </si>
  <si>
    <t>Professional Development</t>
  </si>
  <si>
    <t>Site Level Characteristics</t>
  </si>
  <si>
    <t>Quality</t>
  </si>
  <si>
    <t>Service Partners</t>
  </si>
  <si>
    <t>EL Staff</t>
  </si>
  <si>
    <t>Employment</t>
  </si>
  <si>
    <t>Credential or License</t>
  </si>
  <si>
    <t>Professional Development-&gt;Instructor</t>
  </si>
  <si>
    <t>Professional Development Activity</t>
  </si>
  <si>
    <t>Professional Development Activity-&gt;Session</t>
  </si>
  <si>
    <t>Professional Development Activity-&gt;Session - Location</t>
  </si>
  <si>
    <t>EL Class/Group</t>
  </si>
  <si>
    <t>Early Learning Program</t>
  </si>
  <si>
    <t>K12</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</si>
  <si>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</si>
  <si>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</si>
  <si>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</si>
  <si>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</si>
  <si>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</si>
  <si>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</si>
  <si>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</si>
  <si>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</si>
  <si>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</si>
  <si>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</si>
  <si>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</si>
  <si>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</si>
  <si>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</si>
  <si>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</si>
  <si>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</si>
  <si>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Academic Record</t>
  </si>
  <si>
    <t>Academic Record-&gt;Activity</t>
  </si>
  <si>
    <t>Academic Record-&gt;Academic Award</t>
  </si>
  <si>
    <t>Attendance</t>
  </si>
  <si>
    <t>CTE</t>
  </si>
  <si>
    <t>Discipline</t>
  </si>
  <si>
    <t>Economically Disadvantaged</t>
  </si>
  <si>
    <t>Graduation Plan</t>
  </si>
  <si>
    <t>Graduation Plan-&gt;Subject Area</t>
  </si>
  <si>
    <t>Graduation Plan-&gt;Course</t>
  </si>
  <si>
    <t>Homeless</t>
  </si>
  <si>
    <t>Immigrant</t>
  </si>
  <si>
    <t>Migrant</t>
  </si>
  <si>
    <t>Neglected or Delinquent</t>
  </si>
  <si>
    <t>IDEA</t>
  </si>
  <si>
    <t>Title I</t>
  </si>
  <si>
    <t>Learner Action</t>
  </si>
  <si>
    <t>K12 Staff</t>
  </si>
  <si>
    <t>Assignment</t>
  </si>
  <si>
    <t>K12 Course</t>
  </si>
  <si>
    <t>Course Section</t>
  </si>
  <si>
    <t>Course</t>
  </si>
  <si>
    <t>Enrollment-&gt;Student Course Section Mark</t>
  </si>
  <si>
    <t>Staff</t>
  </si>
  <si>
    <t>Teacher Student Data Link Exclusion</t>
  </si>
  <si>
    <t>Organization</t>
  </si>
  <si>
    <t>Incident</t>
  </si>
  <si>
    <t>Calendar</t>
  </si>
  <si>
    <t>Crisis</t>
  </si>
  <si>
    <t>Event</t>
  </si>
  <si>
    <t>Learning Resource</t>
  </si>
  <si>
    <t>Peer Rating</t>
  </si>
  <si>
    <t>Peer Rating System</t>
  </si>
  <si>
    <t>Postsecondary</t>
  </si>
  <si>
    <t>PS Institution</t>
  </si>
  <si>
    <t>IPEDS Reporting</t>
  </si>
  <si>
    <t>PS Student</t>
  </si>
  <si>
    <t>Application</t>
  </si>
  <si>
    <t>Financial Aid</t>
  </si>
  <si>
    <t>Institution Enrollment</t>
  </si>
  <si>
    <t>Institution Enrollment-&gt;Program</t>
  </si>
  <si>
    <t>Institution Enrollment-&gt;Prior Academic Award</t>
  </si>
  <si>
    <t>Term Enrollment</t>
  </si>
  <si>
    <t>Graduate Student</t>
  </si>
  <si>
    <t>Graduate Student-&gt;Thesis/Dissertation Advisor</t>
  </si>
  <si>
    <t>Assessment</t>
  </si>
  <si>
    <t>Teacher Education/Preparation</t>
  </si>
  <si>
    <t>K12 Transcript</t>
  </si>
  <si>
    <t>Program Participation</t>
  </si>
  <si>
    <t>PS Staff</t>
  </si>
  <si>
    <t>PS Applicant</t>
  </si>
  <si>
    <t>Career and Technical</t>
  </si>
  <si>
    <t>CTE Student</t>
  </si>
  <si>
    <t>Career Education Plan</t>
  </si>
  <si>
    <t>CTE Staff</t>
  </si>
  <si>
    <t>Adult Education</t>
  </si>
  <si>
    <t>AE Student</t>
  </si>
  <si>
    <t>AE Staff</t>
  </si>
  <si>
    <t>Certification</t>
  </si>
  <si>
    <t>Credential</t>
  </si>
  <si>
    <t>Experience</t>
  </si>
  <si>
    <t>AE Provider</t>
  </si>
  <si>
    <t>Workforce Program Participant</t>
  </si>
  <si>
    <t>Training Record</t>
  </si>
  <si>
    <t>Quarterly Employment Record</t>
  </si>
  <si>
    <t>Assessments</t>
  </si>
  <si>
    <t>Assessment Form</t>
  </si>
  <si>
    <t>Assessment Form Section</t>
  </si>
  <si>
    <t>Assessment Form Section-&gt;Assessment Item</t>
  </si>
  <si>
    <t>Assessment Form Subtest Assessment Item</t>
  </si>
  <si>
    <t>Assessment Session</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</si>
  <si>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</si>
  <si>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</si>
  <si>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</si>
  <si>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</si>
  <si>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</si>
  <si>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</si>
  <si>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</si>
  <si>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</si>
  <si>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</si>
  <si>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</si>
  <si>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</si>
  <si>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Result</t>
  </si>
  <si>
    <t>Scorer</t>
  </si>
  <si>
    <t>Assessment Registration</t>
  </si>
  <si>
    <t>Assessment Administration</t>
  </si>
  <si>
    <t>Assessment Personal Needs Profile</t>
  </si>
  <si>
    <t>Assessment Need Profile Content</t>
  </si>
  <si>
    <t>Assessment Need Profile Control</t>
  </si>
  <si>
    <t>Assessment Need Profile Display</t>
  </si>
  <si>
    <t>Assessment Need Screen Enhancement</t>
  </si>
  <si>
    <t>Assessment Participant Session</t>
  </si>
  <si>
    <t>Learning Resource Competency Alignment</t>
  </si>
  <si>
    <t>Learning Standard Item</t>
  </si>
  <si>
    <t>Competency Set</t>
  </si>
  <si>
    <t>Learner Activity</t>
  </si>
  <si>
    <t>Assessment Performance Level</t>
  </si>
  <si>
    <t>Learning Resources</t>
  </si>
  <si>
    <t>Authentication and Authorization</t>
  </si>
  <si>
    <t>Authentication Identity Provider</t>
  </si>
  <si>
    <t>Authorization Application</t>
  </si>
  <si>
    <t>Domain</t>
  </si>
  <si>
    <t>Entity</t>
  </si>
  <si>
    <t>Category</t>
  </si>
  <si>
    <t>New Association</t>
  </si>
  <si>
    <t>Use Case / Connection</t>
  </si>
  <si>
    <t>Element Change Status</t>
  </si>
  <si>
    <t>Submit Comment</t>
  </si>
  <si>
    <t>Ed-Fi</t>
  </si>
  <si>
    <t>AcademicWeek--&gt;BeginDate</t>
  </si>
  <si>
    <t>The start date for the academic week.</t>
  </si>
  <si>
    <t>AcademicWeek--&gt;EndDate</t>
  </si>
  <si>
    <t>The end date for the academic week.</t>
  </si>
  <si>
    <t>AcademicWeek--&gt;WeekIdentifier</t>
  </si>
  <si>
    <t>The school label for the week.</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</si>
  <si>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</si>
  <si>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</si>
  <si>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</si>
  <si>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</si>
  <si>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</si>
  <si>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</si>
  <si>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</si>
  <si>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</si>
  <si>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</si>
  <si>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</si>
  <si>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</si>
  <si>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</si>
  <si>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</si>
  <si>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 unique number or alphanumeric code assigned to an assessment by a school, school system, state or other agency or entity.</t>
  </si>
  <si>
    <t>AssessmentFamily--&gt;Nomenclature</t>
  </si>
  <si>
    <t>Reflects the specific nomenclature used for this level of AssessmentFamily.</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</si>
  <si>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</si>
  <si>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</si>
  <si>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</si>
  <si>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</si>
  <si>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</si>
  <si>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 item.</t>
  </si>
  <si>
    <t>AssessmentItem--&gt;Nomenclature</t>
  </si>
  <si>
    <t>Reflects the specific nomenclature used for AssessmentItem.</t>
  </si>
  <si>
    <t>AttendanceEvent--&gt;EducationalEnvironment</t>
  </si>
  <si>
    <t>BellSchedule--&gt;BellScheduleName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</si>
  <si>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</si>
  <si>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</si>
  <si>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</si>
  <si>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</si>
  <si>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</si>
  <si>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</si>
  <si>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</si>
  <si>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</si>
  <si>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</si>
  <si>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</si>
  <si>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</si>
  <si>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</si>
  <si>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</si>
  <si>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The competency levels defined to rate the student for the course.</t>
  </si>
  <si>
    <t>Course--&gt;DateCourseAdopted</t>
  </si>
  <si>
    <t>Date the course was adopted by the education agency.</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</si>
  <si>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</si>
  <si>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</si>
  <si>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</si>
  <si>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</si>
  <si>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</si>
  <si>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</si>
  <si>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EducationContent--&gt;AdditionalAuthorsIndicator</t>
  </si>
  <si>
    <t>Indicates whether there are additional un-named authors. In a research report, this is often marked by the abbreviation "et al".</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</si>
  <si>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</si>
  <si>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</si>
  <si>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</si>
  <si>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</si>
  <si>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</si>
  <si>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</si>
  <si>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An accountability rating level, designation, or assessment.</t>
  </si>
  <si>
    <t>The date the rating was awarded.</t>
  </si>
  <si>
    <t>The organization that assessed the rating.</t>
  </si>
  <si>
    <t>EducationOrganization--&gt;Address--&gt;BeginDate</t>
  </si>
  <si>
    <t>The first date the address is valid. For physical addresses, the date the person moved to that address.</t>
  </si>
  <si>
    <t>EducationOrganization--&gt;Address--&gt;EndDate</t>
  </si>
  <si>
    <t>The last date the address is valid. For physical addresses, this would be the date the person moved from that address.</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</si>
  <si>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</si>
  <si>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</si>
  <si>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</si>
  <si>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</si>
  <si>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EducationOrganizationNetwork--&gt;NetworkPurpose</t>
  </si>
  <si>
    <t>EducationOrganizationNetworkAssociation--&gt;BeginDate</t>
  </si>
  <si>
    <t>EducationOrganizationNetworkAssociation--&gt;EndDate</t>
  </si>
  <si>
    <t>EducationServiceCenter--&gt;Address--&gt;BeginDate</t>
  </si>
  <si>
    <t>EducationServiceCenter--&gt;Address--&gt;EndDate</t>
  </si>
  <si>
    <t>FeederSchoolAssociation--&gt;BeginDate</t>
  </si>
  <si>
    <t>The month, day, and year of the first day of the feeder school association.</t>
  </si>
  <si>
    <t>FeederSchoolAssociation--&gt;EndDate</t>
  </si>
  <si>
    <t>The month, day, and year of the last day of the feeder school association.</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</si>
  <si>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</si>
  <si>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</si>
  <si>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</si>
  <si>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GradingPeriod--&gt;BeginDate</t>
  </si>
  <si>
    <t>GradingPeriod--&gt;PeriodSequence</t>
  </si>
  <si>
    <t>The sequential order of this period relative to other periods.</t>
  </si>
  <si>
    <t>The grade level when the student is planned to take the course.</t>
  </si>
  <si>
    <t>GraduationPlan--&gt;GraduationPlanType</t>
  </si>
  <si>
    <t>The type of academic plan the student is following for graduation: for example, Minimum, Recommended, Distinguished or Standard.</t>
  </si>
  <si>
    <t>The way in which an intervention was implemented: individual, small group, whole class, or whole school.</t>
  </si>
  <si>
    <t>Intervention--&gt;GradeLevelAppropriateness</t>
  </si>
  <si>
    <t>Intervention--&gt;MeetingTime--&gt;OfficialAttendancePeriod</t>
  </si>
  <si>
    <t>Intervention--&gt;SexAppropriateness</t>
  </si>
  <si>
    <t>InterventionPrescription--&gt;DeliveryMethod</t>
  </si>
  <si>
    <t>InterventionPrescription--&gt;Diagnosis</t>
  </si>
  <si>
    <t>InterventionPrescription--&gt;InterventionClass</t>
  </si>
  <si>
    <t>The way in which an intervention is used: curriculum, supplement, or practice.</t>
  </si>
  <si>
    <t>InterventionPrescription--&gt;PopulationServed</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</si>
  <si>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</si>
  <si>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</si>
  <si>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</si>
  <si>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</si>
  <si>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</si>
  <si>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</si>
  <si>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</si>
  <si>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</si>
  <si>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</si>
  <si>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</si>
  <si>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</si>
  <si>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</si>
  <si>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LearningObjective--&gt;AcademicSubject</t>
  </si>
  <si>
    <t>The description of the content or subject area (e.g., arts, mathematics, reading, stenography, or a foreign language) of an assessment.</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</si>
  <si>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</si>
  <si>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</si>
  <si>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</si>
  <si>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</si>
  <si>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</si>
  <si>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</si>
  <si>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</si>
  <si>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</si>
  <si>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</si>
  <si>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</si>
  <si>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</si>
  <si>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</si>
  <si>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</si>
  <si>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</si>
  <si>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</si>
  <si>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</si>
  <si>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</si>
  <si>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LocalEducationAgency--&gt;Address--&gt;BeginDate</t>
  </si>
  <si>
    <t>LocalEducationAgency--&gt;Address--&gt;EndDate</t>
  </si>
  <si>
    <t>LocalEducationAgency--&gt;LocalEducationAgencyFederalFunds--&gt;FiscalYear</t>
  </si>
  <si>
    <t>The school year for which the accountability is reported.</t>
  </si>
  <si>
    <t>The most number of seats the class can maintain.</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</si>
  <si>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</si>
  <si>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</si>
  <si>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</si>
  <si>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</si>
  <si>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</si>
  <si>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OpenStaffPosition--&gt;DatePosted</t>
  </si>
  <si>
    <t>OpenStaffPosition--&gt;DatePostingRemoved</t>
  </si>
  <si>
    <t>The date the posting was removed or filled.</t>
  </si>
  <si>
    <t>The set of grade levels for which the position's assignment is responsible.</t>
  </si>
  <si>
    <t>OpenStaffPosition--&gt;PostingResult</t>
  </si>
  <si>
    <t>OpenStaffPosition--&gt;ProgramAssignment</t>
  </si>
  <si>
    <t>OpenStaffPosition--&gt;RequisitionNumber</t>
  </si>
  <si>
    <t>The number or identifier assigned to an open staff position, typically a requisition number assigned by Human Resources.</t>
  </si>
  <si>
    <t>Parent--&gt;Address--&gt;BeginDate</t>
  </si>
  <si>
    <t>Parent--&gt;Address--&gt;BuildingSiteNumber</t>
  </si>
  <si>
    <t>Parent--&gt;Address--&gt;EndDate</t>
  </si>
  <si>
    <t>Parent--&gt;LoginId</t>
  </si>
  <si>
    <t>The login ID for the user; used for security access control interface.</t>
  </si>
  <si>
    <t>The day when the document expires, if null then never expires.</t>
  </si>
  <si>
    <t>The title of the document given by the issuer.</t>
  </si>
  <si>
    <t>Country of origin of the document.</t>
  </si>
  <si>
    <t>The unique identifier on the issuer's identification system.</t>
  </si>
  <si>
    <t>Name of the entity or institution that issued the document.</t>
  </si>
  <si>
    <t>Payroll--&gt;AsOfDate</t>
  </si>
  <si>
    <t>The date of the reported payroll element.</t>
  </si>
  <si>
    <t>The categories in which an institution serves the students.</t>
  </si>
  <si>
    <t>Program--&gt;ProgramCharacteristic</t>
  </si>
  <si>
    <t>Reflects important characteristics of the Program, such as categories or particular indications.</t>
  </si>
  <si>
    <t>Defines the services this program provides to students.</t>
  </si>
  <si>
    <t>RestraintEvent--&gt;EducationalEnvironment</t>
  </si>
  <si>
    <t>School--&gt;Address--&gt;BeginDate</t>
  </si>
  <si>
    <t>School--&gt;Address--&gt;EndDate</t>
  </si>
  <si>
    <t>Reflects important characteristics of the Section, such as whether or not attendance is taken and the Section is graded.</t>
  </si>
  <si>
    <t>Staff--&gt;Address--&gt;BeginDate</t>
  </si>
  <si>
    <t>Staff--&gt;Address--&gt;BuildingSiteNumber</t>
  </si>
  <si>
    <t>Staff--&gt;Address--&gt;EndDate</t>
  </si>
  <si>
    <t>The field of certification for the certificate (e.g., Mathematics, Music)</t>
  </si>
  <si>
    <t>The grade level(s) certified for teaching.</t>
  </si>
  <si>
    <t>Staff--&gt;LoginId</t>
  </si>
  <si>
    <t>StaffCohortAssociation--&gt;BeginDate</t>
  </si>
  <si>
    <t>The month, day, and year on which the student was first identified as part of the cohort.</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</si>
  <si>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</si>
  <si>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</si>
  <si>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</si>
  <si>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</si>
  <si>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Date at which the staff member was made an official offer for this employment.</t>
  </si>
  <si>
    <t>StaffProgramAssociation--&gt;BeginDate</t>
  </si>
  <si>
    <t>StaffProgramAssociation--&gt;EndDate</t>
  </si>
  <si>
    <t>StaffProgramAssociation--&gt;StudentRecordAccess</t>
  </si>
  <si>
    <t>Indicator of whether the staff has access to the student records of the program per district interpretation of FERPA and other privacy laws, regulations and policies.</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</si>
  <si>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</si>
  <si>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</si>
  <si>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</si>
  <si>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</si>
  <si>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</si>
  <si>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</si>
  <si>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</si>
  <si>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A description of the disability diagnosis.</t>
  </si>
  <si>
    <t>The student's relative preference expressed as a percent to auditory learning.</t>
  </si>
  <si>
    <t>The student's relative preference expressed as a percent to kinesthetic or tactile learning.</t>
  </si>
  <si>
    <t>The student's relative preference expressed as a percent to visual learning.</t>
  </si>
  <si>
    <t>Student--&gt;LoginId</t>
  </si>
  <si>
    <t>Student--&gt;Name--&gt;MaidenName</t>
  </si>
  <si>
    <t>The person's maiden name.</t>
  </si>
  <si>
    <t>The person, organization, or department that designated the program association.</t>
  </si>
  <si>
    <t>The person, organization, or department that designated the characteristic.</t>
  </si>
  <si>
    <t>The date when the indicator was assigned or computed.</t>
  </si>
  <si>
    <t>The date the indicator or metric was sunset or removed.</t>
  </si>
  <si>
    <t>The name for a group of indicators.</t>
  </si>
  <si>
    <t>StudentAcademicRecord--&gt;ClassRanking--&gt;PercentageRanking</t>
  </si>
  <si>
    <t>The academic percentage rank of a student in relation to his or her graduating class (e.g., 95%, 80%, 50%).</t>
  </si>
  <si>
    <t>The name of the agent, entity or institution issuing the element.</t>
  </si>
  <si>
    <t>The date the recognition was awarded or earned.</t>
  </si>
  <si>
    <t>A description of the type of academic distinctions earned by or awarded to the individual.</t>
  </si>
  <si>
    <t>StudentAcademicRecord--&gt;SessionGradePointsEarned</t>
  </si>
  <si>
    <t>The number of grade points an individual earned for this session.</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</si>
  <si>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</si>
  <si>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</si>
  <si>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</si>
  <si>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</si>
  <si>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</si>
  <si>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Specifies a more granular level of detail of a behavior involved in the incident.</t>
  </si>
  <si>
    <t>StudentGradebookEntry--&gt;CompetencyLevel</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</si>
  <si>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</si>
  <si>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</si>
  <si>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</si>
  <si>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</si>
  <si>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</si>
  <si>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</si>
  <si>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</si>
  <si>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</si>
  <si>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</si>
  <si>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</si>
  <si>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</si>
  <si>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</si>
  <si>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</si>
  <si>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</si>
  <si>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</si>
  <si>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StudentSchoolAssociation--&gt;ResidencyStatus</t>
  </si>
  <si>
    <t>An indication of the location of a persons legal residence relative to (within or outside of) the boundaries of the public school attended and its administrative unit.</t>
  </si>
  <si>
    <t>StudentTitleIPartAProgramAssociation--&gt;ServedOutsideOfRegularSession</t>
  </si>
  <si>
    <t>Teacher--&gt;Address--&gt;BeginDate</t>
  </si>
  <si>
    <t>Teacher--&gt;Address--&gt;EndDate</t>
  </si>
  <si>
    <t>Teacher--&gt;YearsOfPriorProfessionalExperience</t>
  </si>
  <si>
    <t>The total number of years that an individual has previously held a similar professional position in one or more education institutions.</t>
  </si>
  <si>
    <t>Access to Records Status</t>
  </si>
  <si>
    <t>An indicator as to whether this contact has access to the student''s records.</t>
  </si>
  <si>
    <t>ID</t>
  </si>
  <si>
    <t>Accountability Focus</t>
  </si>
  <si>
    <t>A description of the educational unit under evaluation for accountability.</t>
  </si>
  <si>
    <t>AN</t>
  </si>
  <si>
    <t>Accountability Interventions</t>
  </si>
  <si>
    <t>A description of the interventions as a result of the accountability results.</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</si>
  <si>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</si>
  <si>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Accountability Report Producing Organization</t>
  </si>
  <si>
    <t>The name of the organization that produced the accountability report.</t>
  </si>
  <si>
    <t>Accountability Report Producing Organization Type</t>
  </si>
  <si>
    <t>The type of organization that produced the accountability report.</t>
  </si>
  <si>
    <t xml:space="preserve">Accountability Report Producing Organization Type
   00797 - Federal government
   00860 - State agency
   00214 - Regional or intermediate educational agency
   00862 - Local (e.g., school board, city council, municipal board)
   00675 - School
   00864 - Private/Religious
</t>
  </si>
  <si>
    <t>Accountability Rewards</t>
  </si>
  <si>
    <t>A description of the rewards as a result of the accountability results.</t>
  </si>
  <si>
    <t xml:space="preserve">Accountability Rewards
   02362 - Non-monetary awards to staff
   00404 - Monetary awards
   00405 - Exemption from regulations
   00406 - Accreditation
   00407 - Direct monetary awards to staff members
   00408 - Staff salary increases
   09999 - Other
</t>
  </si>
  <si>
    <t>Accountability Sanctions</t>
  </si>
  <si>
    <t>A description of the sanctions as a result of the accountability results.</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</si>
  <si>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</si>
  <si>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</si>
  <si>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</si>
  <si>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The date the property/facility was acquired.</t>
  </si>
  <si>
    <t>DT</t>
  </si>
  <si>
    <t>Activity Curriculum Type</t>
  </si>
  <si>
    <t>An indication of the degree that an activity is related to a student''s curriculum.</t>
  </si>
  <si>
    <t xml:space="preserve">Activity Type
   00750 - Co-curricular activity
   00751 - Extra-curricular Activity
</t>
  </si>
  <si>
    <t>The description of a particular co-curricular or extra-curricular activity in which the individual is involved.</t>
  </si>
  <si>
    <t>Activity Leadership/Coordinator Participation Level</t>
  </si>
  <si>
    <t>The individual''s level of leadership or coordinator involvement in the activity.</t>
  </si>
  <si>
    <t xml:space="preserve">Activity Leadership
   00666 - Student manager
   00671 - Officer
   00670 - President
   08689 - Vice president
   08690 - Treasurer 
   08691 - Captain 
   04845 - Secretary
   09999 - Other
</t>
  </si>
  <si>
    <t>Activity Level</t>
  </si>
  <si>
    <t>A description of the separation of level in the activity.</t>
  </si>
  <si>
    <t xml:space="preserve">Activity Level
   08681 - Varsity
   08682 - Junior Varsity
   08683 - Freshman
   08684 - Sophomore
   08685 - Junior
   08686 - Senior
   08687 - Intramural 
   08688 - Honors
   09999 - Other
</t>
  </si>
  <si>
    <t>Activity Time</t>
  </si>
  <si>
    <t>An indication of the time of day the activity takes place.</t>
  </si>
  <si>
    <t xml:space="preserve">Activity Time
   00736 - Before school hours
   00934 - After school hours
   00935 - During school hours
</t>
  </si>
  <si>
    <t>Activity Type</t>
  </si>
  <si>
    <t>The type of co-curricular or extra-curricular activity.</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</si>
  <si>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</si>
  <si>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Actual Use Date</t>
  </si>
  <si>
    <t>The month, day, and year on which a benefit will be paid off in a lump-sum payment or distributed in installments to an individual.</t>
  </si>
  <si>
    <t>The year the construction on the addition was completed.</t>
  </si>
  <si>
    <t>N</t>
  </si>
  <si>
    <t>Additional Compensation Type</t>
  </si>
  <si>
    <t>An indication of the category of income, wages, or benefits an individual receives as compensation for service in compliance with the employment agreement.</t>
  </si>
  <si>
    <t xml:space="preserve">Other Compensation Type
   01467 - Supplement pay/compensation
   01468 - Fringe benefit
   01469 - In-kind compensation
   09999 - Other
</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</si>
  <si>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</si>
  <si>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</si>
  <si>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</si>
  <si>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</si>
  <si>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</si>
  <si>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</si>
  <si>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</si>
  <si>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</si>
  <si>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</si>
  <si>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</si>
  <si>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</si>
  <si>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</si>
  <si>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</si>
  <si>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</si>
  <si>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</si>
  <si>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The space designed primarily for conducting administrative and business functions.</t>
  </si>
  <si>
    <t>Admission Date</t>
  </si>
  <si>
    <t>The month, day, and year on which a student is admitted to a school or an educational institution.</t>
  </si>
  <si>
    <t>Admission Status</t>
  </si>
  <si>
    <t>The status given to a student when he or she is admitted to a school or an educational institution.</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</si>
  <si>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</si>
  <si>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Advance Pay</t>
  </si>
  <si>
    <t>The amount paid to an individual prior to services rendered (e.g., deposit).</t>
  </si>
  <si>
    <t>Affiliated Institution Type</t>
  </si>
  <si>
    <t>An indication of the type of institution or organization providing the educational experience to the individual.</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</si>
  <si>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</si>
  <si>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Ages Served</t>
  </si>
  <si>
    <t>The ages of children served by an institution as identified by the funding and/or licensing source.</t>
  </si>
  <si>
    <t>The primary means by which air is circulated, freshened, and exhausted.</t>
  </si>
  <si>
    <t>Ala Carte Non-Reimbursable Purchase Price</t>
  </si>
  <si>
    <t>The total dollar amount paid for the purchase of food, for which no federal reimbursement is received, associated with a particular individual transaction.</t>
  </si>
  <si>
    <t>Alcohol Violation</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</si>
  <si>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</si>
  <si>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 xml:space="preserve">Alcohol Violation
   04619 - Sale of alcohol
   04620 - Distribution of alcohol
   04621 - Drinking alcohol
   04622 - Possession of alcohol
   04623 - Suspicion of alcohol use
   09999 - Other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</si>
  <si>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</si>
  <si>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</si>
  <si>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</si>
  <si>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</si>
  <si>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</si>
  <si>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</si>
  <si>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</si>
  <si>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</si>
  <si>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</si>
  <si>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</si>
  <si>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</si>
  <si>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</si>
  <si>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</si>
  <si>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</si>
  <si>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</si>
  <si>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</si>
  <si>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</si>
  <si>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</si>
  <si>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</si>
  <si>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</si>
  <si>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</si>
  <si>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</si>
  <si>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</si>
  <si>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</si>
  <si>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</si>
  <si>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</si>
  <si>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</si>
  <si>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</si>
  <si>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</si>
  <si>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Application Status</t>
  </si>
  <si>
    <t>An indication of the status of the individual's employment application.</t>
  </si>
  <si>
    <t xml:space="preserve">Active/Inactive
   00122 - Active
   00133 - Inactive
</t>
  </si>
  <si>
    <t>The name of the architect of record for the building.</t>
  </si>
  <si>
    <t>The name of the architectural firm responsible for the building design.</t>
  </si>
  <si>
    <t>Areas of Informal Qualification</t>
  </si>
  <si>
    <t>Other areas or fields in which an individual has some special informal qualification or occupational training (e.g., as an artist).</t>
  </si>
  <si>
    <t>The space designed to support the teaching and learning of 2 dimensional or 3 dimensional visual arts.</t>
  </si>
  <si>
    <t>An area designed primarily for theater productions, assemblies, and other large gatherings.</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</si>
  <si>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</si>
  <si>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</si>
  <si>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</si>
  <si>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</si>
  <si>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</si>
  <si>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</si>
  <si>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 xml:space="preserve">Assessment Development
   00423 - Off-the-shelf
   00425 - Built from commercial item banks
   00427 - Custom developed
   00424 - Customized off-the-shelf
   00428 - District developed
   00429 - State developed
</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</si>
  <si>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</si>
  <si>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</si>
  <si>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</si>
  <si>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</si>
  <si>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</si>
  <si>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</si>
  <si>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 xml:space="preserve">Assessment for Promotion/Graduation Status
   00232 - No
   13380 - Yes, for Both Promotion and Graduation
   13381 - Yes, for Graduation Only
   13382 - Yes, for Promotion Only
</t>
  </si>
  <si>
    <t>Assessment Groups</t>
  </si>
  <si>
    <t>The groups or subgroups of individuals at the designated grades who were assessed.</t>
  </si>
  <si>
    <t xml:space="preserve">Assessment Groups
   00480 - All students
   00481 - Sample
   00482 - Voluntary
   03472 - Sub-population
   09999 - Other
</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</si>
  <si>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</si>
  <si>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</si>
  <si>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</si>
  <si>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</si>
  <si>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</si>
  <si>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</si>
  <si>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</si>
  <si>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</si>
  <si>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</si>
  <si>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</si>
  <si>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</si>
  <si>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</si>
  <si>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</si>
  <si>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</si>
  <si>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</si>
  <si>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</si>
  <si>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</si>
  <si>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</si>
  <si>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</si>
  <si>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 xml:space="preserve">Performance Level Code
   13550 - Level 0
   13551 - Level 1
   13552 - Level 2
   13553 - Level 3
   13554 - Level 4
   13555 - Level 5
   13556 - Level 6
</t>
  </si>
  <si>
    <t>Assessment Reference Type</t>
  </si>
  <si>
    <t>A classification of how results of achievement tests are related and interpreted.</t>
  </si>
  <si>
    <t xml:space="preserve">Assessment Reference Type
   00487 - Norm-referenced
   00488 - Criterion-referenced
   00489 - Achievement-level reference or benchmarked
</t>
  </si>
  <si>
    <t>Assessment Registration Grade Level When Assessed</t>
  </si>
  <si>
    <t>The grade or level of the learner as specified during assessment registration.</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</si>
  <si>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</si>
  <si>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Assessment Reporting Level</t>
  </si>
  <si>
    <t>The level at which results are presented.</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</si>
  <si>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</si>
  <si>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Assessment Requirement Authority</t>
  </si>
  <si>
    <t>The person, agency, governmental entity, or other institution requiring or sponsoring the completion of the assessment requirement.</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</si>
  <si>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</si>
  <si>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</si>
  <si>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</si>
  <si>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</si>
  <si>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</si>
  <si>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</si>
  <si>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</si>
  <si>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</si>
  <si>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</si>
  <si>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An indication that the instruction space in a school is used in the calculation of student capacity.</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</si>
  <si>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</si>
  <si>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</si>
  <si>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</si>
  <si>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</si>
  <si>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</si>
  <si>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</si>
  <si>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</si>
  <si>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</si>
  <si>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</si>
  <si>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</si>
  <si>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</si>
  <si>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 xml:space="preserve">At Risk of Developmental Delay
   05993 - Established conditions
   05994 - Environment factors
   05995 - No established condition
   05996 - No established condition, needs follow-up
</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</si>
  <si>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</si>
  <si>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</si>
  <si>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</si>
  <si>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</si>
  <si>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</si>
  <si>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A description of the attendance status.</t>
  </si>
  <si>
    <t>Attendance Policy Violation</t>
  </si>
  <si>
    <t>Violation of state, school district, or school policy relating to attendance.</t>
  </si>
  <si>
    <t xml:space="preserve">Attendance Policy Violation
   04627 - Forging absence excuse
   04628 - Skipping class 
   04629 - Tardiness
   04630 - Truancy
   09999 - Other
</t>
  </si>
  <si>
    <t>Attendance Status Time</t>
  </si>
  <si>
    <t>An indication of the time of day the attendance status is recorded.</t>
  </si>
  <si>
    <t>The type of systematic review or audit of facility quality, management, decision making processes, controls, schedule and cost.</t>
  </si>
  <si>
    <t>Authorized Instructional Level</t>
  </si>
  <si>
    <t>The instructional level or levels within which an individual is authorized to serve by an active credential.</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</si>
  <si>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</si>
  <si>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</si>
  <si>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</si>
  <si>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</si>
  <si>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</si>
  <si>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</si>
  <si>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</si>
  <si>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</si>
  <si>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</si>
  <si>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</si>
  <si>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</si>
  <si>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</si>
  <si>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</si>
  <si>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</si>
  <si>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</si>
  <si>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 xml:space="preserve">Background Check Type
   01420 - Criminal records
   01421 - Previous employment records
   01422 - Personal references
   01423 - Credentials
   09999 - Other
</t>
  </si>
  <si>
    <t>Bank Account Type</t>
  </si>
  <si>
    <t>The type of bank account that is under an individual's name.</t>
  </si>
  <si>
    <t xml:space="preserve">Bank Account Type
   01589 - Checking
   01590 - Savings
   01591 - Money market
   09999 - Other
</t>
  </si>
  <si>
    <t>Base Indicators</t>
  </si>
  <si>
    <t>A description of the indicators that are used as the primary indicators of improvement and performance.</t>
  </si>
  <si>
    <t xml:space="preserve">Base Indicators
   00393 - Demographics
   00394 - Outcome
   00395 - Process
   09999 - Other
</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</si>
  <si>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</si>
  <si>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</si>
  <si>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</si>
  <si>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</si>
  <si>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</si>
  <si>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</si>
  <si>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A classroom designed for instruction of a particular age group, but not a specific subject.</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</si>
  <si>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</si>
  <si>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</si>
  <si>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</si>
  <si>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</si>
  <si>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</si>
  <si>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</si>
  <si>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</si>
  <si>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</si>
  <si>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</si>
  <si>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</si>
  <si>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</si>
  <si>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</si>
  <si>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 xml:space="preserve">Benefit Contribution Type
   01559 - Monetary
   01560 - In-kind
   09999 - Other
</t>
  </si>
  <si>
    <t>Benefit Contributor Type</t>
  </si>
  <si>
    <t>An indication of the category of an individual or institution that donates to an employee's benefit plan.</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</si>
  <si>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</si>
  <si>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Benefit Payoff Date</t>
  </si>
  <si>
    <t>The earliest possible month, day, and year on which a benefit will be paid off in a lump-sum payment or distributed in installments to an individual.</t>
  </si>
  <si>
    <t>Bilingual Education Program Type</t>
  </si>
  <si>
    <t>The types of program of instruction and services that uses more than one language to teach a content area. Students served by this program may or may not be proficient in English.</t>
  </si>
  <si>
    <t xml:space="preserve">Bilingual Education Program
   04924 - Curriculum content in native language
   04925 - Developmental bilingual education
   04926 - Native language support
   04927 - Two way bilingual education
   09999 - Other
</t>
  </si>
  <si>
    <t>The informal description of location sometimes used in rural areas, for example, "from the highway to the railroad tracks."</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</si>
  <si>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</si>
  <si>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</si>
  <si>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</si>
  <si>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</si>
  <si>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 xml:space="preserve">Boarding Status
   01861 - Seven (7) days per week
   01862 - Five (5) days per week
   01863 - Intermittent
   01864 - Not boarding
   09999 - Other
</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</si>
  <si>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</si>
  <si>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</si>
  <si>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</si>
  <si>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</si>
  <si>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</si>
  <si>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</si>
  <si>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</si>
  <si>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</si>
  <si>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 xml:space="preserve">Yes/No/Unknown
   00002 - Yes
   00232 - No
   09997 - Unknown
</t>
  </si>
  <si>
    <t>A description of the permanent structure added to the original building.</t>
  </si>
  <si>
    <t>Building Addition Code</t>
  </si>
  <si>
    <t>A unique number or alphanumeric code assigned to a building addition by a school, school system, state, or other agency or entity.</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</si>
  <si>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</si>
  <si>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</si>
  <si>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Building Design Type</t>
  </si>
  <si>
    <t>The primary design or purpose of a building, as determined by its physical layout and built-in systems and equipment, regardless of its current use.</t>
  </si>
  <si>
    <t>Building Elements Demolition</t>
  </si>
  <si>
    <t>A description of the destruction and removal of parts of an existing building.</t>
  </si>
  <si>
    <t>An indication of whether the building is built for permanent use in the same location or is relocatable.</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</si>
  <si>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</si>
  <si>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</si>
  <si>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</si>
  <si>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</si>
  <si>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</si>
  <si>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</si>
  <si>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</si>
  <si>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</si>
  <si>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</si>
  <si>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</si>
  <si>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</si>
  <si>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</si>
  <si>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</si>
  <si>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</si>
  <si>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</si>
  <si>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</si>
  <si>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</si>
  <si>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</si>
  <si>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 xml:space="preserve">Bus Route Type
   08695 - Inbound
   08696 - Outbound 
</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</si>
  <si>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</si>
  <si>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</si>
  <si>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</si>
  <si>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</si>
  <si>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</si>
  <si>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</si>
  <si>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</si>
  <si>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</si>
  <si>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</si>
  <si>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</si>
  <si>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</si>
  <si>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</si>
  <si>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</si>
  <si>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</si>
  <si>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</si>
  <si>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</si>
  <si>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</si>
  <si>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</si>
  <si>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</si>
  <si>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</si>
  <si>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</si>
  <si>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</si>
  <si>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</si>
  <si>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 xml:space="preserve">Calendar Type
   00823 - Planned school calendar
   00824 - Actual or revised school calendar
   00826 - Tentative schedule
   09999 - Other
</t>
  </si>
  <si>
    <t>A designation as to whether the space is included in the calculation of school building capacity under state or local guidelines.</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</si>
  <si>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</si>
  <si>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</si>
  <si>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</si>
  <si>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</si>
  <si>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</si>
  <si>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</si>
  <si>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</si>
  <si>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</si>
  <si>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Capital Project Actual Completion Date</t>
  </si>
  <si>
    <t>The month, day, and year on which the project is determined to be at substantial completion.</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</si>
  <si>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</si>
  <si>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</si>
  <si>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</si>
  <si>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</si>
  <si>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</si>
  <si>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</si>
  <si>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 xml:space="preserve">Capital Project Delivery Method
   02917 - Design-bid-build
   02918 - Construction management
   02919 - Construction management at risk
   02920 - General contractor method
   02921 - Design build
   02922 - Fast track
   02923 - Job order contracting
   09999 - Other
</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</si>
  <si>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</si>
  <si>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</si>
  <si>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</si>
  <si>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</si>
  <si>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</si>
  <si>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</si>
  <si>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</si>
  <si>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</si>
  <si>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</si>
  <si>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</si>
  <si>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</si>
  <si>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</si>
  <si>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</si>
  <si>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</si>
  <si>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</si>
  <si>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</si>
  <si>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</si>
  <si>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 xml:space="preserve">Care/Service Day Status
   09999 - Other
</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</si>
  <si>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</si>
  <si>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</si>
  <si>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</si>
  <si>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</si>
  <si>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</si>
  <si>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</si>
  <si>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 xml:space="preserve">Career Development Needs
   01622 - No preparation or additional experience required
   01623 - Job specialization required
   01624 - Task assignment required
   01625 - Job rotation required
   01626 - Formal preparation/credentials required
   09999 - Other
</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</si>
  <si>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</si>
  <si>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</si>
  <si>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</si>
  <si>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Career Technical Education Representation Status</t>
  </si>
  <si>
    <t>An indication of whether CTE participants were members of an underrepresented gender group.</t>
  </si>
  <si>
    <t xml:space="preserve">CTE Representation Status
   14554 - Members of an underrepresented gender group
   14555 - Not members of an underrepresented gender group
</t>
  </si>
  <si>
    <t>The classroom, laboratory, or shop specially located, designed, furnished, and equipped to support instruction of technical and technology related curriculum, usually tied to particular industry, for example, bio-tech, construction, or agriculture.</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</si>
  <si>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</si>
  <si>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</si>
  <si>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</si>
  <si>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</si>
  <si>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</si>
  <si>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The number given to all Federal programs available to State and local governments.</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</si>
  <si>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</si>
  <si>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The census tract number of the school site.</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</si>
  <si>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</si>
  <si>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</si>
  <si>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</si>
  <si>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</si>
  <si>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</si>
  <si>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Charter School Location Duration</t>
  </si>
  <si>
    <t>An indication of permanency that a public charter school will be in a location.</t>
  </si>
  <si>
    <t xml:space="preserve">Charter School Location Duration
   13728 - Permanent
   13729 - Temporary
</t>
  </si>
  <si>
    <t>Child-to-Instructional Staff Ratio</t>
  </si>
  <si>
    <t>The number of children per instructional staff member.</t>
  </si>
  <si>
    <t>Children Service</t>
  </si>
  <si>
    <t>An indication of the children an employee serves in current employment.</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</si>
  <si>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</si>
  <si>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A space designed to enable people to move within the building.</t>
  </si>
  <si>
    <t>Class Attendance Status</t>
  </si>
  <si>
    <t>The status of a student''s attendance in class.</t>
  </si>
  <si>
    <t xml:space="preserve">Class Attendance Status
   01904 - Early departure
   03451 - Absent
   01900 - In attendance/present
   01903 - Tardy
</t>
  </si>
  <si>
    <t xml:space="preserve">Attendance Status
   01900 - In attendance/present
   01901 - Excused absence
   01902 - Unexcused absence
   01903 - Tardy
   01904 - Early departure
</t>
  </si>
  <si>
    <t>Class Organization</t>
  </si>
  <si>
    <t>The structure in which class instruction is arranged.</t>
  </si>
  <si>
    <t xml:space="preserve">Class Organization
   00580 - Departmentalized instruction
   00581 - Self-contained class
   00582 - Elementary enrichment class
   00584 - Team-taught class
   00003 - Pull-out class
   00472 - Self-contained class (special education)
   03170 - Ability group class
</t>
  </si>
  <si>
    <t>Class Pace</t>
  </si>
  <si>
    <t>The pace at which class instruction is arranged.</t>
  </si>
  <si>
    <t xml:space="preserve">Class Pace
   01860 - Self-paced
   03483 - Controlled paced
   03484 - Combination of self-paced and control paced
</t>
  </si>
  <si>
    <t>Classroom Instruction Use Type</t>
  </si>
  <si>
    <t>Indication of the particular grade levels that receives instruction in the classroom.</t>
  </si>
  <si>
    <t>The standard for cleanliness, and benchmarks for how much space can be assigned to one properly supplied custodian to meet these standards.</t>
  </si>
  <si>
    <t>Co-educational Status</t>
  </si>
  <si>
    <t>An indication of the genders to whom the school offers instruction.</t>
  </si>
  <si>
    <t xml:space="preserve">Co-educational Status
   00016 - Co-educational
   00017 - All-female
   00018 - All-male
</t>
  </si>
  <si>
    <t>Collaborative Assignment</t>
  </si>
  <si>
    <t>An indication whether the assignment/activity was collaborative or independent.</t>
  </si>
  <si>
    <t xml:space="preserve">Collaborative Assignment
   07699 - Collaborative assignment
   07700 - Independent assignment
   07701 - Both collaborative and independent
</t>
  </si>
  <si>
    <t>Commercial Equipment</t>
  </si>
  <si>
    <t>Food preparation equipment used for warming, cooking, drying, cleaning, freezing, or cooling.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</si>
  <si>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</si>
  <si>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</si>
  <si>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</si>
  <si>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</si>
  <si>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</si>
  <si>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The space designed primarily for community or shared use.</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</si>
  <si>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</si>
  <si>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</si>
  <si>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</si>
  <si>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</si>
  <si>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</si>
  <si>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</si>
  <si>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</si>
  <si>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</si>
  <si>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The type of agency that has ultimate responsibility for the compliance determination.</t>
  </si>
  <si>
    <t>The month, day, and year that the school, building, site, system, component, equipment, or fixture compliance status was determined.</t>
  </si>
  <si>
    <t>The name of the inspection or process that indicates conformity to the requirements or standards specified in federal, state, or local standards or codes.</t>
  </si>
  <si>
    <t>An indication of whether the school, building, site, system, component, equipment, vehicle, or fixture conforms to the requirements or standards specified in federal, state, or local standards or codes or other officially required guidelines or regulations.</t>
  </si>
  <si>
    <t>A description of the component, system, or finish that needs replacement, repair, or maintenance to perform at an optimal level.</t>
  </si>
  <si>
    <t>A unique number or alphanumeric code assigned to a component by a school, school system, state, or other agency or entity.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</si>
  <si>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</si>
  <si>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</si>
  <si>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</si>
  <si>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</si>
  <si>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 xml:space="preserve">Hardware
   03177 - Monitor
   03231 - Keyboard
   03232 - Mouse
   03233 - Speakers
   03234 - Modem
   03235 - Wireless router
   03236 - External storage drive
   03237 - PDA port
</t>
  </si>
  <si>
    <t>Computer Operating System Version</t>
  </si>
  <si>
    <t>Software that contains the electronic instructions that control the computer and run the programs. This software is generally specific to a type of computer (e.g., Windows 2000, UNIX linux, and Mac OS X).</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</si>
  <si>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</si>
  <si>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</si>
  <si>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</si>
  <si>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</si>
  <si>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</si>
  <si>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The rating of the system or component functions under the demands of its regular operation.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</si>
  <si>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</si>
  <si>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</si>
  <si>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</si>
  <si>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</si>
  <si>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The month, day, and year on which construction of a building, addition, or improvement was completed.</t>
  </si>
  <si>
    <t>Designation of the nature of the construction completion date.</t>
  </si>
  <si>
    <t>The primary material used for the construction of a building.</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</si>
  <si>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</si>
  <si>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</si>
  <si>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</si>
  <si>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</si>
  <si>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</si>
  <si>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</si>
  <si>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</si>
  <si>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</si>
  <si>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 xml:space="preserve">Contractual Term
   01439 - Short-term
   00410 - Annual year
   01440 - Continuing
   01441 - Renewable
   01442 - Multiyear
   09999 - Other
</t>
  </si>
  <si>
    <t>The year the building was first constructed.</t>
  </si>
  <si>
    <t>The type of mechanical systems and building designs used for cooling.</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</si>
  <si>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</si>
  <si>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</si>
  <si>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</si>
  <si>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</si>
  <si>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</si>
  <si>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</si>
  <si>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</si>
  <si>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</si>
  <si>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</si>
  <si>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</si>
  <si>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</si>
  <si>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</si>
  <si>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</si>
  <si>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</si>
  <si>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</si>
  <si>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</si>
  <si>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</si>
  <si>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</si>
  <si>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</si>
  <si>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</si>
  <si>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</si>
  <si>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</si>
  <si>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</si>
  <si>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</si>
  <si>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</si>
  <si>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</si>
  <si>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</si>
  <si>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</si>
  <si>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</si>
  <si>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</si>
  <si>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</si>
  <si>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</si>
  <si>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</si>
  <si>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</si>
  <si>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 xml:space="preserve">Coverage Type
   14919 - Family Coverage
   14920 - High option
   14921 - Low option
   01571 - Term life insurance
   14922 - Whole life insurance
   14923 - Dental Insurance
   14924 - Health Insurance
   14925 - Long term disability
</t>
  </si>
  <si>
    <t>Crafts and Trades Job Classification</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</si>
  <si>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</si>
  <si>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</si>
  <si>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</si>
  <si>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</si>
  <si>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</si>
  <si>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</si>
  <si>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</si>
  <si>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</si>
  <si>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</si>
  <si>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</si>
  <si>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</si>
  <si>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</si>
  <si>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</si>
  <si>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 xml:space="preserve">Credential Assessment Purpose
   01276 - Initial credentialing
   01277 - Continuation of credential
   01278 - Renewal of credential
   09999 - Other
</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</si>
  <si>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</si>
  <si>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</si>
  <si>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</si>
  <si>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</si>
  <si>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Credential Description</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</si>
  <si>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</si>
  <si>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</si>
  <si>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</si>
  <si>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</si>
  <si>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</si>
  <si>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</si>
  <si>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</si>
  <si>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</si>
  <si>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</si>
  <si>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</si>
  <si>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</si>
  <si>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</si>
  <si>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</si>
  <si>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</si>
  <si>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</si>
  <si>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</si>
  <si>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</si>
  <si>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</si>
  <si>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</si>
  <si>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</si>
  <si>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</si>
  <si>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</si>
  <si>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</si>
  <si>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</si>
  <si>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</si>
  <si>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</si>
  <si>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</si>
  <si>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</si>
  <si>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</si>
  <si>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</si>
  <si>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</si>
  <si>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</si>
  <si>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</si>
  <si>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</si>
  <si>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</si>
  <si>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</si>
  <si>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</si>
  <si>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</si>
  <si>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</si>
  <si>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</si>
  <si>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</si>
  <si>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</si>
  <si>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</si>
  <si>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</si>
  <si>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</si>
  <si>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</si>
  <si>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</si>
  <si>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</si>
  <si>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The month, day and year in which a certificate of occupancy was granted by the appropriate local authority.</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</si>
  <si>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</si>
  <si>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</si>
  <si>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</si>
  <si>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</si>
  <si>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</si>
  <si>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</si>
  <si>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</si>
  <si>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</si>
  <si>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</si>
  <si>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</si>
  <si>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</si>
  <si>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</si>
  <si>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 xml:space="preserve">Day/Evening Session
   00838 - Day
   00839 - Morning
   00840 - Afternoon
   00841 - Evening
   00842 - Anytime
   09999 - Other
</t>
  </si>
  <si>
    <t>Day/Evening Status</t>
  </si>
  <si>
    <t>The status of a student in relation to the time of day that he or she attends the majority of his or her classes, as defined by the educational institution.</t>
  </si>
  <si>
    <t xml:space="preserve">Day/Evening Status
   01856 - Day student
   01857 - Morning student
   01858 - Afternoon student
   01859 - Evening student
   01860 - Self-paced
   09999 - Other
</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</si>
  <si>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</si>
  <si>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</si>
  <si>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</si>
  <si>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</si>
  <si>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</si>
  <si>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</si>
  <si>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</si>
  <si>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</si>
  <si>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</si>
  <si>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</si>
  <si>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</si>
  <si>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</si>
  <si>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</si>
  <si>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</si>
  <si>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</si>
  <si>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</si>
  <si>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</si>
  <si>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</si>
  <si>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</si>
  <si>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</si>
  <si>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</si>
  <si>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</si>
  <si>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</si>
  <si>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</si>
  <si>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</si>
  <si>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</si>
  <si>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</si>
  <si>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</si>
  <si>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</si>
  <si>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</si>
  <si>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 xml:space="preserve">Developmental Screening Results
   14579 - Further evaluation needed
   14580 - No further evaluation needed
</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</si>
  <si>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</si>
  <si>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</si>
  <si>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</si>
  <si>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</si>
  <si>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</si>
  <si>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</si>
  <si>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 xml:space="preserve">Assessment Administration Method
   00439 - Group
   00440 - Individual
   00441 - Both group and individual
</t>
  </si>
  <si>
    <t>Disability Level</t>
  </si>
  <si>
    <t>The degree of disability as determined by a qualified evaluator (e.g., mild mental retardation, moderate mental retardation, severe mental retardation).</t>
  </si>
  <si>
    <t>Disability Severity</t>
  </si>
  <si>
    <t>The severity of the disability.</t>
  </si>
  <si>
    <t xml:space="preserve">Disability Severity
   05997 - No problem
   05998 - Mild problem
   05999 - Moderate problem
   06000 - Severe problem
   06001 - Complete problem
   06002 - Not specified
   06003 - Not applicable
</t>
  </si>
  <si>
    <t>Discontinuing Schooling Reason</t>
  </si>
  <si>
    <t>The primary reason for which a student discontinued schooling or left school before graduation or matriculation.</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</si>
  <si>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</si>
  <si>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</si>
  <si>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</si>
  <si>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</si>
  <si>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</si>
  <si>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</si>
  <si>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</si>
  <si>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</si>
  <si>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</si>
  <si>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</si>
  <si>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Unlawful use, cultivation, manufacture, distribution, sale, solicitation, purchase, possession, transportation, or importation of any controlled drug (e.g., Demerol, morphine) or narcotic substance.</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</si>
  <si>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</si>
  <si>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Dwelling Arrangement</t>
  </si>
  <si>
    <t>An indication of the arrangement or environment in which an individual resides.</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</si>
  <si>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</si>
  <si>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Dwelling Ownership</t>
  </si>
  <si>
    <t>An indication of the type of ownership of a residence in which an individual lives.</t>
  </si>
  <si>
    <t xml:space="preserve">Dwelling Ownership
   01682 - Owned property
   01683 - Public or subsidized housing
   01684 - Rental property
   09999 - Other
</t>
  </si>
  <si>
    <t>Early Childhood Program Purposes</t>
  </si>
  <si>
    <t>A description of the major purposes of an early childhood program.</t>
  </si>
  <si>
    <t xml:space="preserve">Early Childhood Program Components
   03492 - Care
   01156 - Education
   03493 - Services
</t>
  </si>
  <si>
    <t>Early Childhood Program Sponsorship</t>
  </si>
  <si>
    <t>The type of organizational sponsorship of an early childhood program.</t>
  </si>
  <si>
    <t xml:space="preserve">Early Childhood Program Sponsorship
   02177 - Public school sponsored program
   02178 - Publicly sponsored program
   02179 - Non-profit and not-for-profit privately sponsored program
   02180 - For-profit program
</t>
  </si>
  <si>
    <t>Early Childhood Special Education Funding Source</t>
  </si>
  <si>
    <t>The primary method by which funds are generated in order to support a program.</t>
  </si>
  <si>
    <t xml:space="preserve">Early Childhood Program Funding Source
   02181 - Sponsor generated
   02182 - Client/tuition fees
   02183 - Both sponsor generated and client tuition/fees
   09999 - Other
</t>
  </si>
  <si>
    <t>Early Childhood Special Education Program Focus</t>
  </si>
  <si>
    <t>An indication as to whether the programs and services provided to a child have a special education focus.</t>
  </si>
  <si>
    <t xml:space="preserve">Early Childhood Program Focus
   02193 - Designed for children with developmental delay or disability
   02194 - Designed for typically developing children
   02195 - Designed for children with developmental delay and typically developing children
</t>
  </si>
  <si>
    <t>Early Childhood Special Education Setting</t>
  </si>
  <si>
    <t>The site or setting in which a child receives special education early childhood care, education, and/or services.</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</si>
  <si>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</si>
  <si>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</si>
  <si>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</si>
  <si>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</si>
  <si>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</si>
  <si>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</si>
  <si>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</si>
  <si>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</si>
  <si>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</si>
  <si>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</si>
  <si>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</si>
  <si>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</si>
  <si>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</si>
  <si>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</si>
  <si>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</si>
  <si>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</si>
  <si>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</si>
  <si>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</si>
  <si>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</si>
  <si>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</si>
  <si>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</si>
  <si>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</si>
  <si>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</si>
  <si>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</si>
  <si>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</si>
  <si>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</si>
  <si>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</si>
  <si>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</si>
  <si>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Educational Program/Staff Development Activity Anticipated Outcome</t>
  </si>
  <si>
    <t>The anticipated results of an individual's successful participation in an educational program or staff development activity.</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</si>
  <si>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</si>
  <si>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Educational Program/Staff Development Activity Arrangement</t>
  </si>
  <si>
    <t>An indication of the manner in which an individual's participation in an educational program or staff development activity has been scheduled.</t>
  </si>
  <si>
    <t xml:space="preserve">Educational Program/Staff Development Activity
   00348 - Released time, substitute provided
   00350 - Released time from duties, no substitute provided
   00352 - Off-the-job
</t>
  </si>
  <si>
    <t>Educational Program/Staff Development Activity Compensation</t>
  </si>
  <si>
    <t>An indication of the type of financial support an individual receives for participating in an educational program or staff development activity.</t>
  </si>
  <si>
    <t xml:space="preserve">Educational Program/Staff Development Activity Compensation
   00343 - Time paid
   00344 - Stipend only
   00345 - Travel/expense reimbursement
   00346 - Tuition and/or fees
   00347 - No compensation
   01469 - In-kind compensation
   09999 - Other
</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</si>
  <si>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</si>
  <si>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</si>
  <si>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</si>
  <si>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</si>
  <si>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</si>
  <si>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</si>
  <si>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</si>
  <si>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</si>
  <si>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</si>
  <si>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</si>
  <si>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</si>
  <si>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</si>
  <si>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</si>
  <si>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</si>
  <si>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</si>
  <si>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</si>
  <si>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</si>
  <si>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</si>
  <si>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</si>
  <si>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</si>
  <si>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</si>
  <si>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</si>
  <si>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</si>
  <si>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 xml:space="preserve">Educational Program/Staff Development Activity Participant's Role
   01197 - Consumer/learner
   01198 - Provider/trainer
   01199 - Collaborator/peer
   09999 - Other
</t>
  </si>
  <si>
    <t>Educational Program/Staff Development Activity Purpose</t>
  </si>
  <si>
    <t>The primary reason an individual is involved in an educational program or staff development activity.</t>
  </si>
  <si>
    <t xml:space="preserve">Educational Program/Staff Development Activity Purpose
   01122 - Acquisition of new skills or knowledge
   01123 - Maintenance or improvement of skills or knowledge
   01124 - Remediation of skills or knowledge
</t>
  </si>
  <si>
    <t>Educational Program/Staff Development Activity Relevance</t>
  </si>
  <si>
    <t>An indication as to whether the contents of an educational program or staff development activity are directly related to an individual's performance of job duties.</t>
  </si>
  <si>
    <t xml:space="preserve">Educational Program/Staff Development Activity Relevance
   01137 - Related to current job
   01138 - Related to advancement within the current job
   01139 - Related to a different job or higher position
   01140 - Not related
   02380 - General development
</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</si>
  <si>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</si>
  <si>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</si>
  <si>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</si>
  <si>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Educator/Agency Program Focus</t>
  </si>
  <si>
    <t>A description of the focus of the program or services offered to educators or agencies.</t>
  </si>
  <si>
    <t>The components and system required to distribute electricity throughout the building or site.</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</si>
  <si>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</si>
  <si>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</si>
  <si>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</si>
  <si>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</si>
  <si>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</si>
  <si>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</si>
  <si>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 xml:space="preserve">Eligibility Status
   01549 - Eligible
   01550 - Eligible, but coverage declined
   01551 - Not eligible for participation
</t>
  </si>
  <si>
    <t>Emergency Factor</t>
  </si>
  <si>
    <t>An identification of a physical or medical condition of potential special significance during an emergency treatment.</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</si>
  <si>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</si>
  <si>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</si>
  <si>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</si>
  <si>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</si>
  <si>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</si>
  <si>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</si>
  <si>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</si>
  <si>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 xml:space="preserve">Employer Type
   01803 - Government
   01804 - Military
   01805 - Private organization
   01806 - Self-employed
   01807 - Military/Department of Defense
   01808 - Agricultural/fishery seasonal employer
   09999 - Other
</t>
  </si>
  <si>
    <t>Employment Eligibility Verification</t>
  </si>
  <si>
    <t>The documentation in addition to an identification document with photograph (e.g., driver's license) furnished by an individual to prove his or her eligibility to be legally employed in the United States.</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</si>
  <si>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</si>
  <si>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Employment Location State Abbreviation</t>
  </si>
  <si>
    <t>The state in which an individual is found employed.</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</si>
  <si>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</si>
  <si>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</si>
  <si>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</si>
  <si>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</si>
  <si>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</si>
  <si>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</si>
  <si>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</si>
  <si>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</si>
  <si>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</si>
  <si>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</si>
  <si>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</si>
  <si>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</si>
  <si>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</si>
  <si>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</si>
  <si>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</si>
  <si>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</si>
  <si>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</si>
  <si>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</si>
  <si>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</si>
  <si>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</si>
  <si>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</si>
  <si>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</si>
  <si>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</si>
  <si>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</si>
  <si>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The type of modification to, or replacement of, a piece of equipment or building shell/system that increases energy efficiency.</t>
  </si>
  <si>
    <t>The name of the company that designs, procures, finances, installs, maintains, and guarantees the performance of energy conservation measures in an owner's facility or facilities.</t>
  </si>
  <si>
    <t>The source of energy that directly powers a school district facility or building system.</t>
  </si>
  <si>
    <t>English as a Second Language (ESL) Program Type</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</si>
  <si>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</si>
  <si>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 xml:space="preserve">English as a Second Language (ESL) Program:
   04929 - Content ESL
   09999 - Other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</si>
  <si>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</si>
  <si>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</si>
  <si>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 xml:space="preserve">English Proficiency
   01633 - Native English speaker
   01634 - Fluent English speaker
   02349 - Limited English proficient/English language learner
   01635 - Non-English speaking
   01636 - Redesignated as fluent English proficient
   09997 - Unknown
</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</si>
  <si>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</si>
  <si>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</si>
  <si>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</si>
  <si>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</si>
  <si>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</si>
  <si>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</si>
  <si>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</si>
  <si>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</si>
  <si>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</si>
  <si>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</si>
  <si>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</si>
  <si>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The primary groupings that rating organizations use to evaluate environmental sustainability and energy use.</t>
  </si>
  <si>
    <t>Equipment Description</t>
  </si>
  <si>
    <t>The description of a particular piece of equipment.</t>
  </si>
  <si>
    <t>Equipment Mobility</t>
  </si>
  <si>
    <t>The distinction of whether a piece of equipment can be moved or is built in.</t>
  </si>
  <si>
    <t xml:space="preserve">Equipment Mobility
   03266 - Built-in equipment
   03267 - Movable equipment
</t>
  </si>
  <si>
    <t>Equipment Name</t>
  </si>
  <si>
    <t>The name of a particular piece of equipment.</t>
  </si>
  <si>
    <t>Equipment Purpose</t>
  </si>
  <si>
    <t>The primary purpose of a piece of equipment, regardless of its current use.</t>
  </si>
  <si>
    <t xml:space="preserve">Equipment Type
   03268 - Art
   03269 - Performing arts
   03270 - Science materials
   03271 - Technology materials
   03272 - Indoor athletic
   03273 - Outdoor athletic
   03274 - Food service materials
   03275 - Operations/maintenance
   09999 - Other
</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</si>
  <si>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</si>
  <si>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</si>
  <si>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 xml:space="preserve">Essential Personnel Identifier
   01618 - Essential
   01619 - Non-essential
</t>
  </si>
  <si>
    <t>Established IDEA Condition</t>
  </si>
  <si>
    <t>A diagnosed physical or mental condition that has a high probability of resulting in developmental delay (e.g., Down Syndrome, Cerebral Palsy, Spina Bifida).</t>
  </si>
  <si>
    <t xml:space="preserve">Established IDEA Condition
   09998 - None
   09999 - Other
</t>
  </si>
  <si>
    <t>The estimated cost to bring systems, components, finishes, fixtures, or equipment to a state of good repair.</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</si>
  <si>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</si>
  <si>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</si>
  <si>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</si>
  <si>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</si>
  <si>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</si>
  <si>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</si>
  <si>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</si>
  <si>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</si>
  <si>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</si>
  <si>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</si>
  <si>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 xml:space="preserve">Evaluation Periodicity
   02321 - Monthly
   02322 - Quarterly
   02323 - Semi-annually
   02324 - Annually
   02325 - Post-probationary
   02326 - As needed
   09999 - Other
</t>
  </si>
  <si>
    <t>Evaluation Purpose</t>
  </si>
  <si>
    <t>The reason that an appraisal of an individual's performance is conducted.</t>
  </si>
  <si>
    <t xml:space="preserve">Evaluation Purpose
   02316 - End of probationary period
   02317 - Evaluation for advancement
   02318 - Evaluation for licensure
   02319 - Periodic evaluation
   02320 - Problem resolution
   09999 - Other
</t>
  </si>
  <si>
    <t>Evaluation Recommendations</t>
  </si>
  <si>
    <t>The recommendations by the employer or the supervisor of the individual after an assessment of his or her performance.</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</si>
  <si>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</si>
  <si>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Evaluation Sequence</t>
  </si>
  <si>
    <t>An indication of the sequence of the evaluation.</t>
  </si>
  <si>
    <t xml:space="preserve">Evaluation Sequence
   02101 - Initial evaluation
   02102 - Review evaluation
   02103 - Screening evaluation
   09999 - Other
</t>
  </si>
  <si>
    <t>The time, in years, of the expected useful life of a facility for the purposes of depreciation.</t>
  </si>
  <si>
    <t>The month, day, and year by which a hazardous condition of a site or building is expected to be remediated.</t>
  </si>
  <si>
    <t>Experience Type</t>
  </si>
  <si>
    <t>The nature of an individual's work experience.</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</si>
  <si>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</si>
  <si>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</si>
  <si>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</si>
  <si>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</si>
  <si>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</si>
  <si>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</si>
  <si>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A description of the extension.</t>
  </si>
  <si>
    <t>Exterior Walls</t>
  </si>
  <si>
    <t>The covering, structural or not, of the exterior building walls.</t>
  </si>
  <si>
    <t xml:space="preserve">Exterior Finish Type
   02422 - Brick
   02538 - Concrete masonry unit
   02539 - Stucco
   02540 - Synthetic stucco
   02523 - Wood
   02430 - Adobe
   02542 - Stone
   02543 - Prefabricated concrete
   02544 - Synthetic stone
   09999 - Other
</t>
  </si>
  <si>
    <t>Exterior Window Frame Material</t>
  </si>
  <si>
    <t>The building material used to construct window frames.</t>
  </si>
  <si>
    <t xml:space="preserve">Window Frame Material
   02523 - Wood
   02428 - Aluminum
   02525 - Vinyl
   02429 - Steel
   02527 - Vinyl-clad wood
   02528 - Vinyl-clad steel
   02529 - Aluminum-clad wood
   09999 - Other
</t>
  </si>
  <si>
    <t>Exterior Windows Design Type</t>
  </si>
  <si>
    <t>The type of window design, defined by how it operates.</t>
  </si>
  <si>
    <t xml:space="preserve">Window Design Type
   02518 - Nonoperable state
   02519 - Casement
   02520 - Double hung
   02521 - Tilt open (awning or hopper)
   02522 - Sliding
   09999 - Other
   13577 - Gas filled
   13578 - Switchable glazings
</t>
  </si>
  <si>
    <t>Facilities Capital Activity Type</t>
  </si>
  <si>
    <t>The type of activity that is included in the capital financing and expenditures by virtue of a bond referendum or an appropriation.</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</si>
  <si>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</si>
  <si>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Facilities Capital Budget</t>
  </si>
  <si>
    <t>The legally approved budget amount for capital finance and expenditures by virtue of a bond referendum or an appropriation.</t>
  </si>
  <si>
    <t>Facilities Management Emergency Type</t>
  </si>
  <si>
    <t>The type of abnormal and urgent circumstances that disrupt the normal operation of the building, threaten the health and safety of the occupants, or require an emergency response.</t>
  </si>
  <si>
    <t>Facilities Operating Budget</t>
  </si>
  <si>
    <t>The estimated annual budget for the facility operation.</t>
  </si>
  <si>
    <t>Facilities Operations Type</t>
  </si>
  <si>
    <t>The type of facilities operations coded into the operating budget.</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</si>
  <si>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</si>
  <si>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A description of the management and accountability plan.</t>
  </si>
  <si>
    <t>Facilities Plan Cost</t>
  </si>
  <si>
    <t>The estimated total amount of the facilities plan.</t>
  </si>
  <si>
    <t>Facilities Plan Type</t>
  </si>
  <si>
    <t>The type of management and accountability plan.</t>
  </si>
  <si>
    <t>Facility Capital Program Management Type</t>
  </si>
  <si>
    <t>The type of management organization for planning, design, and construction of major capital projects.</t>
  </si>
  <si>
    <t>Facility Furnishings Type</t>
  </si>
  <si>
    <t>Moveable assets that are provided so the building or interior assets can be utilized by occupants for their intended purposes.</t>
  </si>
  <si>
    <t>Facility Operations Management Type</t>
  </si>
  <si>
    <t>The type of management arrangements whereby a district oversees and manages its facilities operations.</t>
  </si>
  <si>
    <t>Facility Replacement Value</t>
  </si>
  <si>
    <t>The estimated cost of replacing a facility using current per square foot estimates of total project costs.</t>
  </si>
  <si>
    <t>An indication of the district or state requirements or guidelines for the design and construction of school facilities.</t>
  </si>
  <si>
    <t>Facility Type</t>
  </si>
  <si>
    <t>The functional or organizational classification of a function of a facility.</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</si>
  <si>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</si>
  <si>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</si>
  <si>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</si>
  <si>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 xml:space="preserve">Fair Labor Standards Act Coverage
   01443 - Nonexempt
   01438 - Exempt
</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</si>
  <si>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</si>
  <si>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</si>
  <si>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</si>
  <si>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Family Involvement Activities</t>
  </si>
  <si>
    <t>Areas in which a program offers opportunities for family involvement.</t>
  </si>
  <si>
    <t xml:space="preserve">Family Involvement Activities
   06084 - Policy development and review
   06085 - Program planning
   06086 - Training participation
   06087 - Training provision
   09999 - Other
</t>
  </si>
  <si>
    <t>Family Needs Assessment Method</t>
  </si>
  <si>
    <t>The process for assessing a family''s needs, resources, and concerns, relative to their child''s need for services.</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</si>
  <si>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</si>
  <si>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</si>
  <si>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</si>
  <si>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</si>
  <si>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</si>
  <si>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 xml:space="preserve">Family Public Assistance Status
   01717 - Temporary Assistance for Needy Families (TANF)
   01718 - Food stamps
   01719 - Women, Infants and Children (WIC) programs
   07698 - Medicaid
   09999 - Other
</t>
  </si>
  <si>
    <t>Family''s Primary Insurance Type</t>
  </si>
  <si>
    <t>An indication of the type of insurance covering an individual''s household for hospitalization and other health or medical care.</t>
  </si>
  <si>
    <t xml:space="preserve">Insurance Type
   06029 - Private insurance
   06030 - Public insurance
   01507 - Employee Retirement Income Security Act (ERISA)
   09999 - Other
</t>
  </si>
  <si>
    <t>Family''s Secondary Insurance Status</t>
  </si>
  <si>
    <t>An indication of the type of secondary insurance covering an individual''s household for hospitalization and other health or medical care.</t>
  </si>
  <si>
    <t>The particular federal law, regulation, or standard that pertains to a school facility.</t>
  </si>
  <si>
    <t>The area of interest controlled by a federal law, regulation, or standard that pertains to a school facility.</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</si>
  <si>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</si>
  <si>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</si>
  <si>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</si>
  <si>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</si>
  <si>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</si>
  <si>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</si>
  <si>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 xml:space="preserve">Fee Payment Status
   14926 - Fee was paid
   14927 - Fee was not paid
   14928 - Fee was waived
</t>
  </si>
  <si>
    <t>Fee Payment Type</t>
  </si>
  <si>
    <t>The type of charges required of a student for items not covered by tuition for a specified time period while in attendance.</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</si>
  <si>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</si>
  <si>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Fee-for-Service Funding Amount</t>
  </si>
  <si>
    <t>Amount of funding the Early Intervention program collects from family fees.</t>
  </si>
  <si>
    <t>Finance Options</t>
  </si>
  <si>
    <t>An alternative method to raise revenue and structure financing of school construction or improvements.</t>
  </si>
  <si>
    <t xml:space="preserve">Finance Options
   02954 - Public/private development partnerships
   02955 - Energy saving performance contract
   02956 - Sale-lease back
   09999 - Other
</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</si>
  <si>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</si>
  <si>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</si>
  <si>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</si>
  <si>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</si>
  <si>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</si>
  <si>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</si>
  <si>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 xml:space="preserve">Financial Assistance Qualifier
   01889 - Need-based assistance
   01890 - Non-need based assistance
</t>
  </si>
  <si>
    <t>Financial Assistance Source</t>
  </si>
  <si>
    <t>The funding source of financial assistance awarded to a student for his or her education.</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</si>
  <si>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</si>
  <si>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Financial Assistance Type</t>
  </si>
  <si>
    <t>A designation of the specific category of financial assistance awarded to a student.</t>
  </si>
  <si>
    <t xml:space="preserve">Financial Assistance Type
   01891 - Assistantship
   01892 - Grant/scholarship
   01893 - Loan
   01894 - Work-study
   01895 - Other tuition waiver/remittance
   09999 - Other
</t>
  </si>
  <si>
    <t>The type of fee that one must pay when getting a mortgage.</t>
  </si>
  <si>
    <t>The type of system that protects the facility against fire.</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</si>
  <si>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</si>
  <si>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</si>
  <si>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</si>
  <si>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</si>
  <si>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</si>
  <si>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</si>
  <si>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</si>
  <si>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</si>
  <si>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</si>
  <si>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</si>
  <si>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</si>
  <si>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</si>
  <si>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</si>
  <si>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</si>
  <si>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</si>
  <si>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</si>
  <si>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The space located, designed, furnished and equipped to support meal programs.</t>
  </si>
  <si>
    <t>Form Date</t>
  </si>
  <si>
    <t>The month, day, and year on which the required tax form is filled out by the individual.</t>
  </si>
  <si>
    <t>Form Type</t>
  </si>
  <si>
    <t>An indication of the type of form that is required to be filled out by an individual for tax records.</t>
  </si>
  <si>
    <t xml:space="preserve">Form Type
   01592 - Federal W-4 form
   01593 - State form
   09999 - Other
</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</si>
  <si>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</si>
  <si>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</si>
  <si>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</si>
  <si>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</si>
  <si>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</si>
  <si>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</si>
  <si>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 xml:space="preserve">Foundation Type
   13582 - Slab on grade
   13583 - Specific special foundations
   13584 - Specific standard foundations
</t>
  </si>
  <si>
    <t>Frequency of Accreditation/Evaluation</t>
  </si>
  <si>
    <t>The timing of accreditation/evaluation efforts.</t>
  </si>
  <si>
    <t xml:space="preserve">Frequency of Accreditation/Evaluation
   01526 - Annual
   00411 - Bi-annual
   00412 - Semi-annual
   00413 - Ad hoc/no fixed schedule
   09999 - Other
</t>
  </si>
  <si>
    <t>Fringe Benefit Type</t>
  </si>
  <si>
    <t>An indication of the type of compensation or benefit in a form other than direct wages, provided in whole or in part by an employer to the employee.</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</si>
  <si>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</si>
  <si>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FTP Address</t>
  </si>
  <si>
    <t>The File Transfer Protocol address to let users find particular files on servers connected to the internet</t>
  </si>
  <si>
    <t>The type of kitchen housed in the facility as defined by whether it prepares food to be served onsite and/or at additional locations.</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</si>
  <si>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</si>
  <si>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</si>
  <si>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</si>
  <si>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</si>
  <si>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 xml:space="preserve">Full-time/Part-time Session
   00843 - Full-time
   00844 - Part-time
   00119 - Both full-time and part-time
</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</si>
  <si>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</si>
  <si>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</si>
  <si>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</si>
  <si>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Future Entry Date</t>
  </si>
  <si>
    <t>The month, date, and year on which an individual is anticipated to being receiving instructional services.</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</si>
  <si>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</si>
  <si>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</si>
  <si>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</si>
  <si>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</si>
  <si>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</si>
  <si>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</si>
  <si>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 xml:space="preserve">Governmental Jurisdiction Type
   02384 - City Council Ward
   02386 - County Commissioner District
   02387 - State Board of Education District
   02388 - State Legislative District
   02385 - Congressional District
</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</si>
  <si>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</si>
  <si>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</si>
  <si>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</si>
  <si>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</si>
  <si>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</si>
  <si>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</si>
  <si>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</si>
  <si>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</si>
  <si>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</si>
  <si>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</si>
  <si>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</si>
  <si>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</si>
  <si>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</si>
  <si>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</si>
  <si>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</si>
  <si>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</si>
  <si>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</si>
  <si>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</si>
  <si>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</si>
  <si>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</si>
  <si>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 xml:space="preserve">Promotion Testing Status
   13420 - Alternate Assessment
   03446 - Not tested
   13421 - Tested and Failed
   13422 - Tested and Passed
</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</si>
  <si>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</si>
  <si>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</si>
  <si>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</si>
  <si>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</si>
  <si>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</si>
  <si>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</si>
  <si>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</si>
  <si>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</si>
  <si>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</si>
  <si>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</si>
  <si>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</si>
  <si>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</si>
  <si>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</si>
  <si>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Repeatedly annoying or attacking a student or group of students or other personnel which creates an intimidating or hostile educational or work environment.</t>
  </si>
  <si>
    <t xml:space="preserve">Harassment, Nonsexual Violation
   04647 - Bullying
   04648 - Hazing
   09999 - Other
</t>
  </si>
  <si>
    <t>Hazardous Components Abatement</t>
  </si>
  <si>
    <t>A description of the removal and control of hazardous materials from a construction site.</t>
  </si>
  <si>
    <t>A description of the seriousness a threat or hazardous material poses.</t>
  </si>
  <si>
    <t>The month, day, and year that the site or building is tested for a specific hazardous material.</t>
  </si>
  <si>
    <t>The type of hazardous materials or conditions tested for at a site or building.</t>
  </si>
  <si>
    <t>Head of Household</t>
  </si>
  <si>
    <t>The individual with primary responsibility for the maintenance of a residence.</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</si>
  <si>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</si>
  <si>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</si>
  <si>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</si>
  <si>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</si>
  <si>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</si>
  <si>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</si>
  <si>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</si>
  <si>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</si>
  <si>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</si>
  <si>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The method by which the heat is distributed and delivered throughout the room(s) or building.</t>
  </si>
  <si>
    <t>An indication of whether or not a building is eligible to be or has been declared a landmark or historic building.</t>
  </si>
  <si>
    <t>Home Day Care Status</t>
  </si>
  <si>
    <t>An indication of the presence of other "non-sibling children" receiving care, education, and/or services with the child.</t>
  </si>
  <si>
    <t xml:space="preserve">Home Day Care Status
   02175 - Non-sibling children present
   02176 - No non-sibling children present
</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</si>
  <si>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</si>
  <si>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</si>
  <si>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</si>
  <si>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</si>
  <si>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</si>
  <si>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</si>
  <si>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</si>
  <si>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</si>
  <si>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</si>
  <si>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</si>
  <si>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The number of hours that all or part of a building is used for purposes other than general education by the community or other organizations.</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</si>
  <si>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</si>
  <si>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</si>
  <si>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</si>
  <si>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</si>
  <si>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The building service system that provides for heating, ventilation and air-conditioning.</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</si>
  <si>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</si>
  <si>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</si>
  <si>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</si>
  <si>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</si>
  <si>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</si>
  <si>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Identification Results</t>
  </si>
  <si>
    <t>Information gathered by a qualified evaluator about an individual's need for a special program/service.</t>
  </si>
  <si>
    <t>IFSP Goals Met</t>
  </si>
  <si>
    <t>Number of IFSP goals a child has met.</t>
  </si>
  <si>
    <t xml:space="preserve">Progress Toward IFSP Goals and Objectives
   06026 - Most
   06027 - Some
   06028 - All
</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</si>
  <si>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</si>
  <si>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</si>
  <si>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</si>
  <si>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</si>
  <si>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</si>
  <si>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</si>
  <si>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</si>
  <si>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</si>
  <si>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</si>
  <si>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 xml:space="preserve">Required/Not Required
   01102 - Required
   01103 - Not required
</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</si>
  <si>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</si>
  <si>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</si>
  <si>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</si>
  <si>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</si>
  <si>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</si>
  <si>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</si>
  <si>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</si>
  <si>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</si>
  <si>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</si>
  <si>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</si>
  <si>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</si>
  <si>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</si>
  <si>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</si>
  <si>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</si>
  <si>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</si>
  <si>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</si>
  <si>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</si>
  <si>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Incident Recording Mechanism</t>
  </si>
  <si>
    <t>The mechanism by which evidence of an incident or offense may have been recorded (e.g., a hallway video camera, e-mail server, or police report.)</t>
  </si>
  <si>
    <t>The amount of indebtedness allowed by law to be carried by the school district.</t>
  </si>
  <si>
    <t>The indoor space designed, located, furnished, and equipped for instruction and support of a physical education curriculum and athletic program.</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</si>
  <si>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</si>
  <si>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</si>
  <si>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</si>
  <si>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</si>
  <si>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</si>
  <si>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</si>
  <si>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</si>
  <si>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</si>
  <si>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</si>
  <si>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</si>
  <si>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</si>
  <si>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</si>
  <si>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</si>
  <si>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</si>
  <si>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</si>
  <si>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</si>
  <si>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</si>
  <si>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 xml:space="preserve">Injury Occurrence Location
   01117 - At the workplace
   01118 - Not at the workplace but performing job duties
   09999 - Other
</t>
  </si>
  <si>
    <t>The description of a meaningful raw score of statistical expression of the performance on an inspection.</t>
  </si>
  <si>
    <t>A description of the standard violation(s) found in the inspection.</t>
  </si>
  <si>
    <t>Installation Date</t>
  </si>
  <si>
    <t>The year in which the system, component, equipment, or fixture was originally installed.</t>
  </si>
  <si>
    <t>Equipment that is installed for use in support of instructional program such as kilns for art, planetarium equipment for astronomy, fitness equipment for physical education.</t>
  </si>
  <si>
    <t>Instructional Minutes in Period</t>
  </si>
  <si>
    <t>The number of minutes to be counted for instruction for the bell period.</t>
  </si>
  <si>
    <t>A designation as to whether the space is considered an instructional space under state or local guidelines.</t>
  </si>
  <si>
    <t>Insurance Deductible</t>
  </si>
  <si>
    <t>The dollar amount a school district must pay before its insurance will compensate it for loss.</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</si>
  <si>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</si>
  <si>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</si>
  <si>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</si>
  <si>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</si>
  <si>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</si>
  <si>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</si>
  <si>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</si>
  <si>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</si>
  <si>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</si>
  <si>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</si>
  <si>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</si>
  <si>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</si>
  <si>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Interior Wall Finish</t>
  </si>
  <si>
    <t>The type of covering, structural or not, of the interior walls.</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</si>
  <si>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</si>
  <si>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</si>
  <si>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</si>
  <si>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</si>
  <si>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</si>
  <si>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 xml:space="preserve">Internet Bandwidth to the Building
   03438 - 128K
   03439 - 256K
   03440 - 720K
   03441 - 1.5Mbps
   03435 - 10Mbps
   03442 - OC1 (51.84 Mbps)
   03443 - OC2 (103.68 Mbps)
   03444 - OC3 (155.52 Mbps)
   09999 - Other
</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</si>
  <si>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</si>
  <si>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</si>
  <si>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</si>
  <si>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</si>
  <si>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</si>
  <si>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</si>
  <si>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</si>
  <si>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</si>
  <si>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</si>
  <si>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</si>
  <si>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</si>
  <si>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</si>
  <si>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 xml:space="preserve">Assessment Standard Indicator
   00430 - Local standard
   00431 - Statewide standard
   00432 - Regional standard
   00434 - Association standard
   00435 - School standard
   00438 - Other standard
   09998 - None
   09999 - Other
</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</si>
  <si>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</si>
  <si>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</si>
  <si>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</si>
  <si>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</si>
  <si>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</si>
  <si>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</si>
  <si>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</si>
  <si>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</si>
  <si>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</si>
  <si>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Job Type</t>
  </si>
  <si>
    <t>The type of trade needed to meet work order job requirements.</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</si>
  <si>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</si>
  <si>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The type of development where two or more entities partner to plan, site, design, and/or build a new school or renovate an existing school to better support the joint use of the building and/or land.</t>
  </si>
  <si>
    <t>The reasons for permitting and participating in joint-use.</t>
  </si>
  <si>
    <t>The type of designation of non school district users by the amount of time they have access to public school for joint use.</t>
  </si>
  <si>
    <t>The types of users sharing school district controlled, owned, or utilized facilities.</t>
  </si>
  <si>
    <t>Knife Type</t>
  </si>
  <si>
    <t>The type of knife used as a weapon.</t>
  </si>
  <si>
    <t xml:space="preserve">Knife Type
   04611 - Knife with blade length less than 2.5 inches
   04612 - Knife with blade length greater than or equal to 3 inches
   04614 - Other knife
</t>
  </si>
  <si>
    <t>Laborer Job Classification</t>
  </si>
  <si>
    <t>A general job classification that describes staff that performs tasks requiring some manual skills which can be conducted with no special training. This includes individuals performing lifting, digging, mixing, loading, and pulling operations.</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</si>
  <si>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</si>
  <si>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t>
  </si>
  <si>
    <t>The speed of the local area network, the interconnected system of computers and/or peripheral equipment that is confined to a limited area and enables users to communicate and share information and resources.</t>
  </si>
  <si>
    <t>LAN Bandwidth Within the Building
   03434 -</t>
  </si>
  <si>
    <t>Languages Other Than English</t>
  </si>
  <si>
    <t>An indicator that an individual speaks or uses a language other than English.</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</si>
  <si>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</si>
  <si>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</si>
  <si>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</si>
  <si>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</si>
  <si>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</si>
  <si>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</si>
  <si>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</si>
  <si>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</si>
  <si>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 xml:space="preserve">Learning Standard Document Source Code
   13492 - National standard
   13493 - State standard
   00432 - Regional standard
   13494 - District standard
   13495 - Site standard
   13496 - Classroom standard
   13497 - Publisher standard
</t>
  </si>
  <si>
    <t>The learning standard to which the assessment is aligned.</t>
  </si>
  <si>
    <t>Learning Standard Number</t>
  </si>
  <si>
    <t>This is the specific number of the standard.</t>
  </si>
  <si>
    <t>Learnng Standard Document Date</t>
  </si>
  <si>
    <t>The date of the Learning Standard document.</t>
  </si>
  <si>
    <t>The amount of money the school must pay to rent the facility that it is in.</t>
  </si>
  <si>
    <t>Lease Type (Equipment)</t>
  </si>
  <si>
    <t>The type of agreement that allows the use and possession of equipment or equipment systems from a third party in return for a regularly scheduled installment payment over an agreed-upon period.</t>
  </si>
  <si>
    <t xml:space="preserve">Lease Type (Equipment)
   02973 - Capital lease
   02974 - Master lease
   02975 - Operating lease
</t>
  </si>
  <si>
    <t>The type of agreement that allows the use and possession of a school, building, or other facility from a third party in return for a regularly scheduled installment payment over an agreed-upon period.</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</si>
  <si>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</si>
  <si>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</si>
  <si>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</si>
  <si>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</si>
  <si>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</si>
  <si>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</si>
  <si>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</si>
  <si>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</si>
  <si>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</si>
  <si>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</si>
  <si>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 xml:space="preserve">Leave Payment Status
   01611 - With pay
   01612 - Without pay
</t>
  </si>
  <si>
    <t>Leave Substitution Status</t>
  </si>
  <si>
    <t>An indication of the type of substitution provided for an individual's job assignment during the period of his/her absence.</t>
  </si>
  <si>
    <t xml:space="preserve">Leave Substitution Status
   01608 - No substitution
   01609 - Substitution by an individual without proof of required credentials
   01610 - Substitution by an individual with proof of required credentials
</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</si>
  <si>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</si>
  <si>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</si>
  <si>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</si>
  <si>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</si>
  <si>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</si>
  <si>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</si>
  <si>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</si>
  <si>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</si>
  <si>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</si>
  <si>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</si>
  <si>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</si>
  <si>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</si>
  <si>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</si>
  <si>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</si>
  <si>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</si>
  <si>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</si>
  <si>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</si>
  <si>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</si>
  <si>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</si>
  <si>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</si>
  <si>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</si>
  <si>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</si>
  <si>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</si>
  <si>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 xml:space="preserve">Level of Specialization
   01145 - Area of interest
   01144 - Post-degree study
   01143 - Area of emphasis/concentration
   01142 - Minor
   01141 - Major
</t>
  </si>
  <si>
    <t>The primary and auxiliary space designed to provide and support student and staff access to books, periodicals, software, videos, and the Internet.</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</si>
  <si>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</si>
  <si>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</si>
  <si>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</si>
  <si>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</si>
  <si>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 xml:space="preserve">Life Status
   01784 - Deceased
   01785 - Living
</t>
  </si>
  <si>
    <t>Life-cycle Cost</t>
  </si>
  <si>
    <t>The total cost of acquiring, owning, operating, and disposing of a building, facility, or piece of equipment over its useful life.</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</si>
  <si>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</si>
  <si>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</si>
  <si>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</si>
  <si>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</si>
  <si>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</si>
  <si>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</si>
  <si>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</si>
  <si>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</si>
  <si>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</si>
  <si>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</si>
  <si>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</si>
  <si>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</si>
  <si>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 xml:space="preserve">Local Funding Source Type
   14910 - Bond
   14911 - Capital Project Fund
   14912 - Department of Defense Grant
   14913 - Federal
   14914 - Impact Fees
   14915 - Insurance
   14916 - Levy
   14917 - Property Sale
   14918 - Reserve Funds
</t>
  </si>
  <si>
    <t>Local Funding Type</t>
  </si>
  <si>
    <t>The type of funding from local entities that serves public health, education, social services, developmental disabilities, or other.</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</si>
  <si>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</si>
  <si>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</si>
  <si>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</si>
  <si>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</si>
  <si>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The location at which the identified hazardous material is found.</t>
  </si>
  <si>
    <t>The standard for maintenance of a component, system, or building.</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</si>
  <si>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</si>
  <si>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</si>
  <si>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</si>
  <si>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</si>
  <si>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The authority that mandates through law, regulation, or standard that pertains to a specific mandate.</t>
  </si>
  <si>
    <t>Marital Status</t>
  </si>
  <si>
    <t>The condition of an individual with regard to marriage.</t>
  </si>
  <si>
    <t xml:space="preserve">Marital Status
   01040 - Legally separated
   01041 - Married
   01042 - Not married 
</t>
  </si>
  <si>
    <t>Marital Status for Tax Withholding</t>
  </si>
  <si>
    <t>An indication of the marital condition of an individual for tax purposes.</t>
  </si>
  <si>
    <t xml:space="preserve">Marital Status for Tax Withholding
   01041 - Married
   00142 - Single
   00210 - Married but withholding at single rate
</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</si>
  <si>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</si>
  <si>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</si>
  <si>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</si>
  <si>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</si>
  <si>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</si>
  <si>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</si>
  <si>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</si>
  <si>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</si>
  <si>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</si>
  <si>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Meal Menu Planning Approach Type</t>
  </si>
  <si>
    <t>The type of menu planning approach used to plan healthful and appealing meals for the student body.</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</si>
  <si>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</si>
  <si>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Meal Payment Method (Reimbursable/Non-reimbursable)</t>
  </si>
  <si>
    <t>The type of meal payment method (reimbursable/non-reimbursable) associated with a particular individual transaction.</t>
  </si>
  <si>
    <t xml:space="preserve">Meal Payment Method (Reimbursable/Non-reimbursable)
   03119 - Free
   03151 - Debit from account (prepaid)
   03152 - Charge to account (to be paid)
   03153 - Payment at point of service 
   09999 - Other
</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</si>
  <si>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</si>
  <si>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</si>
  <si>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</si>
  <si>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</si>
  <si>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 xml:space="preserve">Meal Service
   03135 - Breakfast
   03136 - Lunch
   03137 - Snack
   03138 - Supper
   03139 - Milk
</t>
  </si>
  <si>
    <t>Meal Service Components</t>
  </si>
  <si>
    <t>The components of the meal service.</t>
  </si>
  <si>
    <t xml:space="preserve">Meal Service Components
   03260 - Meat
   03261 - Fruit
   03262 - Vegetable
   03263 - Bread
   03139 - Milk
</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</si>
  <si>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</si>
  <si>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</si>
  <si>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</si>
  <si>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</si>
  <si>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</si>
  <si>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</si>
  <si>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</si>
  <si>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</si>
  <si>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</si>
  <si>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Meal Type</t>
  </si>
  <si>
    <t>The type of meal or food service attributable to a particular transaction.</t>
  </si>
  <si>
    <t xml:space="preserve">Meal Type
   03140 - Meal
   03137 - Snack
   03139 - Milk
   03141 - Ala carte/extra food item(s)
</t>
  </si>
  <si>
    <t>Means of Introduction for Employment</t>
  </si>
  <si>
    <t>The manner in which an individual was initially introduced to an employer or the way in which the employer became aware of an individual's availability for employment.</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</si>
  <si>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</si>
  <si>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Mechanical means for moving people and equipment within buildings.</t>
  </si>
  <si>
    <t>The major manufactured systems required to operate a building.</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</si>
  <si>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</si>
  <si>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</si>
  <si>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</si>
  <si>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</si>
  <si>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</si>
  <si>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</si>
  <si>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</si>
  <si>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</si>
  <si>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</si>
  <si>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</si>
  <si>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</si>
  <si>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</si>
  <si>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</si>
  <si>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</si>
  <si>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</si>
  <si>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</si>
  <si>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</si>
  <si>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</si>
  <si>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</si>
  <si>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</si>
  <si>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</si>
  <si>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</si>
  <si>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</si>
  <si>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</si>
  <si>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</si>
  <si>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</si>
  <si>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</si>
  <si>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</si>
  <si>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</si>
  <si>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</si>
  <si>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</si>
  <si>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</si>
  <si>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Metro Status Code (MSC)</t>
  </si>
  <si>
    <t>The classification of the institution's service area relative to a Metropolitan Statistical Area (MSA).</t>
  </si>
  <si>
    <t xml:space="preserve">Metro Status Code (MSC)
   02366 - Primarily serves a central city of a Metropolitan Statistical Area (MSA)
   02367 - Serves a Metropolitan Statistical Area (MSA) but not primarily its central city
   02368 - Does not serve a Metropolitan Statistical Area (MSA)
</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</si>
  <si>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</si>
  <si>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</si>
  <si>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</si>
  <si>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</si>
  <si>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</si>
  <si>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</si>
  <si>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 xml:space="preserve">Migrant Certificate of Eligibility
   01650 - Certificate of eligibility completed
   01651 - Certificate of eligibility not completed
</t>
  </si>
  <si>
    <t>Migrant Classification Subgroup</t>
  </si>
  <si>
    <t>An indication of the status of a migrant student, as further specified by the migratory pattern (e.g., interstate or intrastate) and industry (e.g., agriculture or fishing) by which his or her family is influenced.</t>
  </si>
  <si>
    <t xml:space="preserve">Migrant Classification Subgroup
   03159 - Currently migratory agricultural
   03160 - Formerly migratory agricultural
   03161 - Currently migratory fishing
   03162 - Formerly migratory fishing
   03163 - Not migratory
</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</si>
  <si>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</si>
  <si>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</si>
  <si>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</si>
  <si>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</si>
  <si>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</si>
  <si>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</si>
  <si>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</si>
  <si>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</si>
  <si>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 xml:space="preserve">Migrant Qualifying Work Type
   03164 - Production
   03165 - Processing
</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</si>
  <si>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</si>
  <si>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</si>
  <si>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</si>
  <si>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</si>
  <si>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</si>
  <si>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</si>
  <si>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</si>
  <si>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</si>
  <si>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 xml:space="preserve">Military Discharge Type
   01070 - Honorable discharge
   01072 - General discharge
   01071 - Dishonorable discharge
</t>
  </si>
  <si>
    <t>Military Duty Status</t>
  </si>
  <si>
    <t>The current military status of an individual.</t>
  </si>
  <si>
    <t xml:space="preserve">Military Duty Status
   01064 - Active duty
   01065 - Ready reserve, selected reserve
   01066 - Ready reserve, individual ready reserve (IRR)
   01067 - Ready reserve, inactive national guard (ING)
   01068 - Standby reserve
   01069 - Retired reserve
   09998 - None
</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</si>
  <si>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</si>
  <si>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</si>
  <si>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</si>
  <si>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</si>
  <si>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</si>
  <si>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</si>
  <si>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</si>
  <si>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</si>
  <si>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 xml:space="preserve">Military Service Type
   01058 - United States Air Force
   01059 - United States Army
   01060 - United States Coast Guard
   01061 - United States Marine Corps
   01062 - United States Navy
   01063 - National Guard
</t>
  </si>
  <si>
    <t>Minor/Adult Status</t>
  </si>
  <si>
    <t>A person's status in relation to legal adulthood as specified by state law.</t>
  </si>
  <si>
    <t xml:space="preserve">Minor/Adult Status
   01638 - Emancipated minor
   01639 - Legal adult
   01640 - Legal minor
</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</si>
  <si>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</si>
  <si>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</si>
  <si>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</si>
  <si>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</si>
  <si>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The amount the borrower pays the lender to compensate the lender for the use of money to purchase a building or facility.</t>
  </si>
  <si>
    <t>The type of interest paid on a mortgage to the lender to compensate the lender for the use of money to purchase a building or facility.</t>
  </si>
  <si>
    <t>The status of a mortgage as it relates to priority of payment.</t>
  </si>
  <si>
    <t>Movable Furnishings</t>
  </si>
  <si>
    <t>Furniture which is not permanently installed in a space and can be relocated by simply carrying it from one location to another.</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</si>
  <si>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</si>
  <si>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</si>
  <si>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</si>
  <si>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</si>
  <si>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</si>
  <si>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</si>
  <si>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</si>
  <si>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</si>
  <si>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</si>
  <si>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</si>
  <si>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Type of natural hazard that can affect the health, safety and operation of school facilities and their occupants.</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</si>
  <si>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</si>
  <si>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</si>
  <si>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</si>
  <si>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</si>
  <si>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</si>
  <si>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</si>
  <si>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The area of space directly used for instruction excluding circulation, administration, student services, and building support.</t>
  </si>
  <si>
    <t>Network Connection Type</t>
  </si>
  <si>
    <t>The type of link between a computer and an external network.</t>
  </si>
  <si>
    <t xml:space="preserve">Connection Type
   03193 - Dial-up via modem
   03194 - Wired LAN and router
   03195 - Wireless LAN and router
   03196 - Cable modem
   03197 - Satellite/modem hybrid link
   03198 - Full satellite/two-way link
</t>
  </si>
  <si>
    <t>The month, day, and year a major component, system, equipment, or fixture is scheduled to be serviced for preventive or routine maintenance.</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</si>
  <si>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</si>
  <si>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</si>
  <si>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</si>
  <si>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</si>
  <si>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</si>
  <si>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</si>
  <si>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</si>
  <si>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</si>
  <si>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</si>
  <si>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</si>
  <si>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 xml:space="preserve">Non-Course Graduation Requirement Code
   02010 - State graduation test
   02011 - Service learning/community service
   02012 - Thesis/dissertation
   02013 - Special skill test
   02014 - Career-related work experience
   09999 - Other
</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</si>
  <si>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</si>
  <si>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</si>
  <si>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Non-parental Caregiver/Early Childhood Program Provider</t>
  </si>
  <si>
    <t>A description of the individual or institution which provides care, education, and/or services to the child.</t>
  </si>
  <si>
    <t xml:space="preserve">Non-Parental Caregiver/Early Childhood Program Provider
   02351 - Relative care, education, and/or services
   02352 - Non-relative care, education, and/or services
   09998 - None
</t>
  </si>
  <si>
    <t>Non-resident Attendance Rationale</t>
  </si>
  <si>
    <t>The reason that the student attends a school outside of his or her usual attendance area.</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</si>
  <si>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</si>
  <si>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</si>
  <si>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</si>
  <si>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</si>
  <si>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</si>
  <si>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</si>
  <si>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</si>
  <si>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</si>
  <si>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</si>
  <si>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</si>
  <si>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</si>
  <si>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</si>
  <si>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</si>
  <si>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</si>
  <si>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Nontax Revenue Type</t>
  </si>
  <si>
    <t>The source of revenue for capital projects that are voluntarily contributed.</t>
  </si>
  <si>
    <t>Norming Period</t>
  </si>
  <si>
    <t>The time of year when the assessment was given to a sample of students for the purpose of establishing a standard of performance for that group of students (e.g., fall, mid-year, or spring).</t>
  </si>
  <si>
    <t>Notice of Recommended Educational Placement Date</t>
  </si>
  <si>
    <t>Date the Notice of Recommended Educational Placement was signed and approved by the parent/guardian of the student.</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</si>
  <si>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</si>
  <si>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</si>
  <si>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</si>
  <si>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</si>
  <si>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</si>
  <si>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</si>
  <si>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</si>
  <si>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</si>
  <si>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</si>
  <si>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</si>
  <si>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</si>
  <si>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</si>
  <si>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</si>
  <si>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</si>
  <si>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</si>
  <si>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</si>
  <si>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</si>
  <si>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</si>
  <si>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The number of stories in a building, excluding the basement if its ceiling is less than three feet above ground level.</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</si>
  <si>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</si>
  <si>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</si>
  <si>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</si>
  <si>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</si>
  <si>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The number of teaching stations, as defined by how many spaces have, or could have, a teacher assigned to them for classroom instruction.</t>
  </si>
  <si>
    <t>Number of Tracks</t>
  </si>
  <si>
    <t>The number of tracks in a year-round school.</t>
  </si>
  <si>
    <t>Number of Units Required for Credential Renewal</t>
  </si>
  <si>
    <t>The number of professional development or re-certification units required to renew a credential.</t>
  </si>
  <si>
    <t>Obscene Behavior Violation</t>
  </si>
  <si>
    <t>Language or actions, written, oral, physical, or electronic, in violation of community or school standards.4662 Displays of affection in violation of school policy.</t>
  </si>
  <si>
    <t xml:space="preserve">Obscene Behavior Violation
   04663 - Obscene written messages
   04664 - Drawing obscene pictures
   04665 - Obscene electronic communication
   04666 - Obscene gestures
   04667 - Obscene language/profanity
   09999 - Other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</si>
  <si>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</si>
  <si>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</si>
  <si>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</si>
  <si>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</si>
  <si>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</si>
  <si>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</si>
  <si>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</si>
  <si>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A general job classification that describes staff that performs the activities of preparing, transferring, transcribing, systematizing, or preserving communications, records, and transactions.</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</si>
  <si>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</si>
  <si>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</si>
  <si>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</si>
  <si>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</si>
  <si>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</si>
  <si>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The area designed primarily for conducting activities concerned with maintaining the grounds, buildings, and equipment.</t>
  </si>
  <si>
    <t>Operative Job Classification</t>
  </si>
  <si>
    <t>A general job classification that describes staff that performs tasks requiring an intermediate level of manual skills which can be mastered in a few weeks through limited training to operate machines. This includes bus drivers and vehicle operators.</t>
  </si>
  <si>
    <t xml:space="preserve">Operative Job Classification
   04864 - Bus driver
   04865 - Other vehicle operator
   09999 - Other
</t>
  </si>
  <si>
    <t>Optimum Number of Seats</t>
  </si>
  <si>
    <t>Originating Location of Instruction/Service</t>
  </si>
  <si>
    <t>The type of location from which the instruction or service originates.</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</si>
  <si>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</si>
  <si>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</si>
  <si>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</si>
  <si>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</si>
  <si>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</si>
  <si>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 xml:space="preserve">Other Debt Type
   13757 - Bridge financing or bridge loan
   13758 - Installment Debt
</t>
  </si>
  <si>
    <t>Other equipment</t>
  </si>
  <si>
    <t>Equipment that is installed for special safety reasons, such as fume hoods in the science rooms.</t>
  </si>
  <si>
    <t>Other Site Systems and Equipment</t>
  </si>
  <si>
    <t>Description of additional site systems and equipment necessary for site development.</t>
  </si>
  <si>
    <t>The outdoor space designed, located, furnished, and equipped for instruction and support of a physical education curriculum and athletic program.</t>
  </si>
  <si>
    <t>Overall Diagnosis/Interpretation of Hearing</t>
  </si>
  <si>
    <t>An appraisal of an individual's hearing, including consideration of both test results and other factors.</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</si>
  <si>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</si>
  <si>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Overall Diagnosis/Interpretation of Speech and Language</t>
  </si>
  <si>
    <t>An appraisal of an individual's speech and language, including consideration of both test results and other factors.</t>
  </si>
  <si>
    <t xml:space="preserve">Overall Diagnosis/Interpretation of Speech
   02114 - No significant speech impairment
   02115 - Articulation disorder
   02116 - Fluency disorder
   02117 - Voice disorder
   02118 - Language disorder
   09999 - Other
</t>
  </si>
  <si>
    <t>Overall Diagnosis/Interpretation of Vision</t>
  </si>
  <si>
    <t>An appraisal of an individual's vision, including consideration of both test results and other factors.</t>
  </si>
  <si>
    <t xml:space="preserve">Overall Diagnosis/Interpretation of Vision
   02104 - No significant visual impairment
   02105 - Slight or mild visual impairment
   02106 - Partially seeing
   02107 - Blind
</t>
  </si>
  <si>
    <t>Overall Health Status</t>
  </si>
  <si>
    <t>The state of a child''s physical, mental, and social well-being and not merely the absence of disease or infirmity.</t>
  </si>
  <si>
    <t xml:space="preserve">Overall Health Status
   06007 - Excellent
   06005 - Very good
   06066 - Good
   06034 - Fair
   06050 - Poor
</t>
  </si>
  <si>
    <t>Overtime Identifier</t>
  </si>
  <si>
    <t>The amount of time at which an individual begins to earn overtime pay rather than base pay.</t>
  </si>
  <si>
    <t>Ownership Entity Type</t>
  </si>
  <si>
    <t>The public or private entity that holds legal title to the building and/or site.</t>
  </si>
  <si>
    <t>Paraprofessionals Job Classification</t>
  </si>
  <si>
    <t>A general job classification that describes staff that staff work alongside and assists professional individuals.</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</si>
  <si>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</si>
  <si>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</si>
  <si>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</si>
  <si>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</si>
  <si>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</si>
  <si>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</si>
  <si>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</si>
  <si>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</si>
  <si>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</si>
  <si>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 xml:space="preserve">Participation Status
   01119 - Currently enrolled/involved
   01120 - Previously enrolled/involved
   01121 - Program completed
</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</si>
  <si>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</si>
  <si>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</si>
  <si>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</si>
  <si>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</si>
  <si>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</si>
  <si>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</si>
  <si>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</si>
  <si>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</si>
  <si>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</si>
  <si>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</si>
  <si>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</si>
  <si>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</si>
  <si>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</si>
  <si>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</si>
  <si>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</si>
  <si>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</si>
  <si>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</si>
  <si>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Payroll Tax Treatment Status</t>
  </si>
  <si>
    <t>An indication of whether a payroll deduction is made prior to or after taxes have been withheld, according to rules of the taxing authorities.</t>
  </si>
  <si>
    <t xml:space="preserve">Payroll Tax Treatment Status
   01586 - Pre-tax
   01587 - After tax
   01588 - Non-taxed
</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</si>
  <si>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</si>
  <si>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</si>
  <si>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</si>
  <si>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</si>
  <si>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</si>
  <si>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</si>
  <si>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</si>
  <si>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</si>
  <si>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</si>
  <si>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</si>
  <si>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</si>
  <si>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</si>
  <si>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</si>
  <si>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The space designed, located, furnished, and equipped for instruction and support of music and drama curricula and productions.</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</si>
  <si>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</si>
  <si>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</si>
  <si>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</si>
  <si>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</si>
  <si>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</si>
  <si>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</si>
  <si>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</si>
  <si>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</si>
  <si>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 xml:space="preserve">Person Relationship to Learner Qualifier Type
   14761 - Adoptive
   14762 - Biological
   14763 - Foster
   14764 - Half
   14765 - Step
   09998 - None
</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</si>
  <si>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</si>
  <si>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</si>
  <si>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</si>
  <si>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</si>
  <si>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</si>
  <si>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Date the parent(s) consented to the proposed placement.</t>
  </si>
  <si>
    <t>Planned Assessment Participation</t>
  </si>
  <si>
    <t>The student''s planned level of participation in statewide assessments.</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</si>
  <si>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</si>
  <si>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The component of an on-site system for supplying, eliminating, and treating water.</t>
  </si>
  <si>
    <t>Points/Mark Assistance</t>
  </si>
  <si>
    <t>An indication of the points/mark were earned with assistance.</t>
  </si>
  <si>
    <t>Points/Mark Value</t>
  </si>
  <si>
    <t>The number of points received. The results can be expressed as a number, percentile, range, level, etc.</t>
  </si>
  <si>
    <t>Points/Mark Value Description</t>
  </si>
  <si>
    <t>The description of the number of points/mark received. Points could be based on the entire assignment or are a certain part of the assignment (i.e., penmanship).</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</si>
  <si>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</si>
  <si>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</si>
  <si>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</si>
  <si>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</si>
  <si>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</si>
  <si>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</si>
  <si>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</si>
  <si>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</si>
  <si>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</si>
  <si>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</si>
  <si>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</si>
  <si>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</si>
  <si>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</si>
  <si>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Postsecondary Subject Matter Area</t>
  </si>
  <si>
    <t>The descriptive name of an academic or vocational discipline studied by an individual in an educational program or staff development activity. (Note: Refer to the NCES Classification of Instructional Programs).</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</si>
  <si>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</si>
  <si>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</si>
  <si>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</si>
  <si>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</si>
  <si>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</si>
  <si>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</si>
  <si>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</si>
  <si>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</si>
  <si>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</si>
  <si>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</si>
  <si>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</si>
  <si>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</si>
  <si>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</si>
  <si>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</si>
  <si>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</si>
  <si>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</si>
  <si>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</si>
  <si>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</si>
  <si>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</si>
  <si>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</si>
  <si>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</si>
  <si>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</si>
  <si>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</si>
  <si>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</si>
  <si>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</si>
  <si>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</si>
  <si>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</si>
  <si>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</si>
  <si>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</si>
  <si>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</si>
  <si>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</si>
  <si>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</si>
  <si>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</si>
  <si>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</si>
  <si>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</si>
  <si>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</si>
  <si>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</si>
  <si>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</si>
  <si>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</si>
  <si>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</si>
  <si>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 xml:space="preserve">Program Availability
   00235 - Before school
   00231 - During school
   00236 - After school
   00234 - Weekend
   00237 - Summer
   00238 - In-school service day
   00239 - Evenings
   09999 - Other
</t>
  </si>
  <si>
    <t>Program Beginning Date</t>
  </si>
  <si>
    <t>The month, day, and year on which the program or activity begins.</t>
  </si>
  <si>
    <t>Program Beneficiary</t>
  </si>
  <si>
    <t>The audience(s) for which the program is intended.</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</si>
  <si>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</si>
  <si>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Program Benefit Targeting Type</t>
  </si>
  <si>
    <t>Degree and focus of the activities and services an individual, group of individuals, or organization receives as a result of a program.</t>
  </si>
  <si>
    <t xml:space="preserve">Program Benefit Targeting Type
   00147 - Direct
   00148 - Incidental
   00149 - Both direct and incidental
</t>
  </si>
  <si>
    <t>Program Characterization</t>
  </si>
  <si>
    <t>The description of the program of work, series of courses, individual course, or training program in which an individual is involved.</t>
  </si>
  <si>
    <t>Program Delivery Structure</t>
  </si>
  <si>
    <t>The regularity with which a program is provided.</t>
  </si>
  <si>
    <t xml:space="preserve">Program Delivery Structure
   00220 - Fixed schedule
   00221 - Variable schedule
   00874 - One-time
</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</si>
  <si>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</si>
  <si>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</si>
  <si>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</si>
  <si>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</si>
  <si>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</si>
  <si>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</si>
  <si>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</si>
  <si>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</si>
  <si>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</si>
  <si>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</si>
  <si>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 xml:space="preserve">Program Eligibility Indicator
   02568 - Eligible to participate in program
   02569 - Not eligible to participate in program
</t>
  </si>
  <si>
    <t>Program Ending Date</t>
  </si>
  <si>
    <t>The month, day, and year on which the program or activity ends.</t>
  </si>
  <si>
    <t>Program Frequency</t>
  </si>
  <si>
    <t>The actual (fixed) or average (variable) number of days per week that a program is provided to an individual or group of individuals.</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</si>
  <si>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</si>
  <si>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</si>
  <si>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</si>
  <si>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</si>
  <si>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</si>
  <si>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</si>
  <si>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</si>
  <si>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</si>
  <si>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</si>
  <si>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</si>
  <si>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</si>
  <si>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</si>
  <si>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</si>
  <si>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</si>
  <si>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</si>
  <si>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</si>
  <si>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</si>
  <si>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</si>
  <si>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</si>
  <si>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</si>
  <si>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 xml:space="preserve">Program of Study Relevance
   02040 - Relevant
   02041 - Peripheral
</t>
  </si>
  <si>
    <t>Program Participation Reason</t>
  </si>
  <si>
    <t>Identified status or reason that a student needs special or supplemental services.</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</si>
  <si>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</si>
  <si>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Program Placement Date</t>
  </si>
  <si>
    <t>Date student began the support program.</t>
  </si>
  <si>
    <t>Program Plan Date</t>
  </si>
  <si>
    <t>Date the most recent program plan was completed and approved by the team responsible for developing it.</t>
  </si>
  <si>
    <t>Program Plan Effective Date</t>
  </si>
  <si>
    <t>Date by which the plan must be implemented for the student.</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</si>
  <si>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</si>
  <si>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</si>
  <si>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</si>
  <si>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</si>
  <si>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</si>
  <si>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</si>
  <si>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 xml:space="preserve">Provider Authority
   02138 - School provider
   02139 - Personal/family provider
   02140 - Public agency provider
   09999 - Other
</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</si>
  <si>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</si>
  <si>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</si>
  <si>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</si>
  <si>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</si>
  <si>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Education Mill Rate</t>
  </si>
  <si>
    <t>The millage rate used to calculate property tax revenue for K-12 public education.</t>
  </si>
  <si>
    <t>A description of the policy that enables the community or other organizations to use all or part of a building for purposes other than general education.</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</si>
  <si>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</si>
  <si>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</si>
  <si>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</si>
  <si>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</si>
  <si>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 xml:space="preserve">Publication Type
   01372 - Book
   01373 - Peer journal article
   01374 - Non-peer journal article
   01375 - Fine arts performance 
   01376 - Presentation/paper at a conference or professional association meeting
   01377 - Newspaper article
   09999 - Other
</t>
  </si>
  <si>
    <t>Purchase Date</t>
  </si>
  <si>
    <t>The date the equipment was purchased.</t>
  </si>
  <si>
    <t>Purpose of Assessment Special Accommodation</t>
  </si>
  <si>
    <t>The primary reason the special accommodation for the assessment was offered to a student.</t>
  </si>
  <si>
    <t xml:space="preserve">Purpose of Assessment Special Accommodation
   03574 - Student's IEP status
   03575 - Student's LEP status
   03576 - Student's 504 status
   03577 - Student's IEP and LEP status
   09999 - Other
</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</si>
  <si>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</si>
  <si>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</si>
  <si>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</si>
  <si>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</si>
  <si>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</si>
  <si>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</si>
  <si>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</si>
  <si>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</si>
  <si>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</si>
  <si>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</si>
  <si>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</si>
  <si>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</si>
  <si>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 xml:space="preserve">Race for Federal Reporting
   00998 - American Indian or Alaska Native
   00999 - Asian
   01000 - Black or African American
   01001 - Native Hawaiian or Other Pacific Islander
   01002 - White
   02304 - Hispanic or Latino Ethnicity
   14559 - Two or more races
</t>
  </si>
  <si>
    <t>Readiness for Assignment of Greater Responsibility</t>
  </si>
  <si>
    <t>The degree to which an individual's capabilities would permit successful performance in an assignment of greater responsibility if and when such a position becomes available.</t>
  </si>
  <si>
    <t xml:space="preserve">Readiness for Assignment of Greater Responsibility
   02343 - Immediately eligible
   02344 - In the future
   02345 - Not ready
   09999 - Other
</t>
  </si>
  <si>
    <t>Reason for Closure</t>
  </si>
  <si>
    <t>A description of the reason or reasons for temporary or permanent closure.</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</si>
  <si>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</si>
  <si>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</si>
  <si>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</si>
  <si>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</si>
  <si>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</si>
  <si>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 xml:space="preserve">Reason for Non-Entrance
   01960 - Chose not to accept services
   01961 - Distance from residence to school
   01663 - Home schooling
   01963 - Receiving instruction elsewhere
   01964 - Religious reason
   01965 - Not eligible for services
   09999 - Other
</t>
  </si>
  <si>
    <t>Reason for Variation</t>
  </si>
  <si>
    <t>Information that describes and explains aspects of service delivery that varied from recommendations.</t>
  </si>
  <si>
    <t xml:space="preserve">Reason for Variation
   06023 - Parent request
   06024 - New assessment information
   06025 - Consensus among team members
</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</si>
  <si>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</si>
  <si>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</si>
  <si>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</si>
  <si>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</si>
  <si>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</si>
  <si>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</si>
  <si>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 xml:space="preserve">Reemployment Eligibility
   01627 - Eligible for reemployment
   01628 - Not eligible for reemployment
   01629 - Eligible on a conditional basis
</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</si>
  <si>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</si>
  <si>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</si>
  <si>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</si>
  <si>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</si>
  <si>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</si>
  <si>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</si>
  <si>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</si>
  <si>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</si>
  <si>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</si>
  <si>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</si>
  <si>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 xml:space="preserve">Referral Status
   02141 - Referring provider
   02142 - Receiving provider
</t>
  </si>
  <si>
    <t>Referral Purpose</t>
  </si>
  <si>
    <t>The general reason an individual was referred for examination and assistance.</t>
  </si>
  <si>
    <t xml:space="preserve">Referral Purpose
   02136 - Physical, health, sensory, and related conditions
   02137 - School work or for intellectual, social, or emotional reasons
</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</si>
  <si>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</si>
  <si>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</si>
  <si>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</si>
  <si>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</si>
  <si>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 xml:space="preserve">Regional Funding Type
   06075 - Regional public health entity
   00214 - Regional or intermediate educational agency
   06076 - Regional social services entity
   06077 - Regional developmental disabilities entity
   09999 - Other
</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</si>
  <si>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</si>
  <si>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</si>
  <si>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</si>
  <si>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</si>
  <si>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</si>
  <si>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</si>
  <si>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</si>
  <si>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</si>
  <si>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</si>
  <si>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</si>
  <si>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</si>
  <si>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</si>
  <si>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</si>
  <si>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</si>
  <si>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 xml:space="preserve">Regulation Promulation Requirement
   00866 - Public hearing
   00867 - Notify parents/public
   00869 - Waiting period
   00870 - Authority body vote
   00871 - Endorsements
   00872 - Signature
   09999 - Other
</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</si>
  <si>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</si>
  <si>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</si>
  <si>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</si>
  <si>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</si>
  <si>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</si>
  <si>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</si>
  <si>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</si>
  <si>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</si>
  <si>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</si>
  <si>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</si>
  <si>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</si>
  <si>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</si>
  <si>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</si>
  <si>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</si>
  <si>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</si>
  <si>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</si>
  <si>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</si>
  <si>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Date</t>
  </si>
  <si>
    <t>The month, day, and year on which a report is submitted.</t>
  </si>
  <si>
    <t>Report Title</t>
  </si>
  <si>
    <t>The description of the name or contents of the report.</t>
  </si>
  <si>
    <t>Report Type</t>
  </si>
  <si>
    <t>The type of report expected to be completed.</t>
  </si>
  <si>
    <t xml:space="preserve">Report Type
   00150 - Application
   00151 - Management report
   00152 - Regularly scheduled update report 
   00153 - Funding report
   00155 - Final report
   09999 - Other
</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</si>
  <si>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</si>
  <si>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</si>
  <si>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</si>
  <si>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</si>
  <si>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</si>
  <si>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</si>
  <si>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 xml:space="preserve">Reporting Means
   00624 - Letter or note
   00625 - Parent/guardian conference
   00626 - Report card/evaluation
   03485 - Progress report
   09999 - Other
</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</si>
  <si>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</si>
  <si>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</si>
  <si>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</si>
  <si>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</si>
  <si>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</si>
  <si>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</si>
  <si>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</si>
  <si>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</si>
  <si>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</si>
  <si>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</si>
  <si>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</si>
  <si>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</si>
  <si>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</si>
  <si>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</si>
  <si>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</si>
  <si>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</si>
  <si>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</si>
  <si>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</si>
  <si>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</si>
  <si>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</si>
  <si>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</si>
  <si>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</si>
  <si>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</si>
  <si>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</si>
  <si>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</si>
  <si>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</si>
  <si>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</si>
  <si>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</si>
  <si>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</si>
  <si>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</si>
  <si>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</si>
  <si>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</si>
  <si>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</si>
  <si>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</si>
  <si>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</si>
  <si>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</si>
  <si>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 xml:space="preserve">Resource Media
   00916 - Audiotape
   00917 - CD
   00918 - Diskette
   00919 - DVD
   00920 - Intranet/internet
   00921 - Print
   00923 - Television
   00924 - Videotape
   00146 - Film/filmstrip
   09999 - Other
</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</si>
  <si>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</si>
  <si>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</si>
  <si>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</si>
  <si>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</si>
  <si>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</si>
  <si>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</si>
  <si>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</si>
  <si>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</si>
  <si>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</si>
  <si>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</si>
  <si>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 xml:space="preserve">Response Form Design
   00442 - Collaborative/group activity
   00443 - Computer response
   03465 - Direct coding
   00444 - Constructed-response
   00445 - Laboratory experiment
   00446 - Selected response
   00447 - Performance
   01281 - Portfolio 
   09999 - Other
</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</si>
  <si>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</si>
  <si>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</si>
  <si>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Roof Construction</t>
  </si>
  <si>
    <t>The uppermost exterior plane of a building structure.</t>
  </si>
  <si>
    <t>Roof Covering</t>
  </si>
  <si>
    <t>The design or structure of roof. The material used as the exposed surface of the roof.</t>
  </si>
  <si>
    <t xml:space="preserve">Roof Type
   02530 - Metal
   02531 - Slate
   02532 - Asphalt shingle
   02533 - Built-up
   02534 - Single-ply
   02535 - Terra cotta tile
   02536 - Membrane
   09999 - Other
   13600 - Green roof
</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</si>
  <si>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</si>
  <si>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</si>
  <si>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</si>
  <si>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</si>
  <si>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</si>
  <si>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</si>
  <si>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 xml:space="preserve">Safe Harbor Application for AYP
   14929 - AYP was met because Safe Harbor was applied
   14930 - AYP was not met even though Safe Harbor was applied
   14931 - Safe Harbor was not applied
</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</si>
  <si>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</si>
  <si>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</si>
  <si>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</si>
  <si>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</si>
  <si>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</si>
  <si>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</si>
  <si>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</si>
  <si>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</si>
  <si>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</si>
  <si>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</si>
  <si>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</si>
  <si>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</si>
  <si>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</si>
  <si>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</si>
  <si>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</si>
  <si>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</si>
  <si>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</si>
  <si>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</si>
  <si>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The physical layout and character of a school facility, as determined by age groups served and educational programs provided.</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</si>
  <si>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</si>
  <si>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</si>
  <si>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</si>
  <si>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</si>
  <si>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</si>
  <si>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</si>
  <si>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</si>
  <si>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</si>
  <si>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 xml:space="preserve">School Food Services Eligibility Status Determination
   03130 - Household size and income application
   03131 - Categorical eligibility application 
   03132 - Direct certification
   09999 - Other
</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</si>
  <si>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</si>
  <si>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</si>
  <si>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</si>
  <si>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</si>
  <si>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 xml:space="preserve">School Food Services Participation Basis 
   03133 - Individual student eligibility
   03134 - Food services site eligibility
   09999 - Other
</t>
  </si>
  <si>
    <t>School Food Services Type</t>
  </si>
  <si>
    <t>The type of school food service program(s) offered to students.</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</si>
  <si>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</si>
  <si>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</si>
  <si>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</si>
  <si>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</si>
  <si>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</si>
  <si>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 xml:space="preserve">School Honor or Award
   00414 - National school of excellence
   00415 - State school of excellence
   01559 - Monetary
   00406 - Accreditation
   09999 - Other
</t>
  </si>
  <si>
    <t>School Threat Violation</t>
  </si>
  <si>
    <t>Any threat (verbal, written, or electronic) by a person to bomb or use other substances or devices for the purpose of exploding, burning, causing damage to a school building or school property, or to harm students or staff.</t>
  </si>
  <si>
    <t xml:space="preserve">School Threat Violation
   04672 - Bomb threat
   04673 - Fire alarm
   04674 - Chemical/biological threat
   04675 - Terroristic threat
   09999 - Other
</t>
  </si>
  <si>
    <t>School Use Type</t>
  </si>
  <si>
    <t>How a building is used for education, regardless of its intent or original design.</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</si>
  <si>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</si>
  <si>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School/Local Education Agency Enrollment Status</t>
  </si>
  <si>
    <t>An indication as to whether an individual (e.g., a sibling) is enrolled in the same school or local education agency.</t>
  </si>
  <si>
    <t xml:space="preserve">School/Local Education Agency Status
   01786 - Enrolled in the same school or local education agency
   01787 - Enrolled in a different school or local education agency
   01788 - Not enrolled in any school or local education agency
</t>
  </si>
  <si>
    <t>The space designed, located, furnished, and equipped for instruction and experimentation in science.</t>
  </si>
  <si>
    <t>Scope of Assignment</t>
  </si>
  <si>
    <t>The range or extent of an individual's current assignment.</t>
  </si>
  <si>
    <t xml:space="preserve">Scope of Assignment
   01613 - Statewide
   01614 - More-than-agency wide
   01615 - Agency wide
   01616 - Multi-operational unit but less-than-agency wide
   01617 - Single operational unit
</t>
  </si>
  <si>
    <t>Score Interpretation Information</t>
  </si>
  <si>
    <t>The type of unusual testing conditions that must be known to properly interpret an individual's test score.</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</si>
  <si>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</si>
  <si>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</si>
  <si>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</si>
  <si>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</si>
  <si>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</si>
  <si>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</si>
  <si>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</si>
  <si>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</si>
  <si>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</si>
  <si>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</si>
  <si>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</si>
  <si>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</si>
  <si>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</si>
  <si>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</si>
  <si>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Section Count for Attendance</t>
  </si>
  <si>
    <t>An indicator of whether attendance in this section is collected and used in attendance calculations.</t>
  </si>
  <si>
    <t>The type of system that protects the facility from intrusion.</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</si>
  <si>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</si>
  <si>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</si>
  <si>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</si>
  <si>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</si>
  <si>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</si>
  <si>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</si>
  <si>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 xml:space="preserve">Service Alternatives
   02120 - Special assistance needed
</t>
  </si>
  <si>
    <t>Service and Pedestrian Tunnels</t>
  </si>
  <si>
    <t>A description of passageways above- and below-ground that must be completed during site development.</t>
  </si>
  <si>
    <t>Service Category</t>
  </si>
  <si>
    <t>The type of service, typically designated by a state.</t>
  </si>
  <si>
    <t xml:space="preserve">Service Category Code
   13472 - Instructional service
   13473 - Related service (e.g. speech / language, vision)
   13474 - Transitional service
   13475 - Itinerant service
   09999 - Other
</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</si>
  <si>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</si>
  <si>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</si>
  <si>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</si>
  <si>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</si>
  <si>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</si>
  <si>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</si>
  <si>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</si>
  <si>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</si>
  <si>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</si>
  <si>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</si>
  <si>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</si>
  <si>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</si>
  <si>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</si>
  <si>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</si>
  <si>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</si>
  <si>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Service work Job Classification</t>
  </si>
  <si>
    <t>A general job classification that describes staff that performs tasks regardless of level of difficulty which relates to both protective and nonprotective supportive services.</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</si>
  <si>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</si>
  <si>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</si>
  <si>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</si>
  <si>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</si>
  <si>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</si>
  <si>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</si>
  <si>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</si>
  <si>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</si>
  <si>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</si>
  <si>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</si>
  <si>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</si>
  <si>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The total number of acres in a continuous piece of land, to the nearest tenth, including undeveloped areas as well as areas occupied by buildings, walks, drives, parking facilities, and other improvements.</t>
  </si>
  <si>
    <t>The designated constructed outdoor area on a public school site.</t>
  </si>
  <si>
    <t>Site Electrical Utilities</t>
  </si>
  <si>
    <t>The exterior site related eletrical systems and components.</t>
  </si>
  <si>
    <t xml:space="preserve">Site Electrical Utilities
   02473 - Electrical distribution
   13601 - Exterior communications and security
   13602 - Exterior lighting
   13603 - Other electrical utilities
</t>
  </si>
  <si>
    <t>The lot and square number, or equivalent unique municipal number identification, of a parcel of land.</t>
  </si>
  <si>
    <t>A description of the designed and constructed improvements made to a site.</t>
  </si>
  <si>
    <t>Site Improvements</t>
  </si>
  <si>
    <t>Designed and constructed modifications to a site.</t>
  </si>
  <si>
    <t xml:space="preserve">Site Improvements
   02443 - Landscaping
   13604 - Parking lots
   13605 - Pedestrian paving
   13606 - Roadways
   13607 - Site development
</t>
  </si>
  <si>
    <t>Site Preparation</t>
  </si>
  <si>
    <t>Activities required to physically prepare a site for construction.</t>
  </si>
  <si>
    <t xml:space="preserve">Site Preparation
   13608 - Hazardous waste remediation
   13609 - Site clearing
   13610 - Site demolition and relocations
   13611 - Site earthwork
</t>
  </si>
  <si>
    <t>A characterization of a site that would define restrictions or opportunities.</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</si>
  <si>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</si>
  <si>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</si>
  <si>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</si>
  <si>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</si>
  <si>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</si>
  <si>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</si>
  <si>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</si>
  <si>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</si>
  <si>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</si>
  <si>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The primary design or purpose of a space, as determined by its physical layout and built-in systems and equipment, regardless of its current use.</t>
  </si>
  <si>
    <t>The area in square feet measured between the principal wall that faces at or near floor level, including alcove spaces, and the outer limits of space designed to serve the activity. Structural space is excluded.</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</si>
  <si>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</si>
  <si>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</si>
  <si>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</si>
  <si>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</si>
  <si>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</si>
  <si>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</si>
  <si>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</si>
  <si>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</si>
  <si>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 xml:space="preserve">Special Construction
   13612 - Integrated construction
   13613 - Special construction systems
   13614 - Special controls and instrumentation
   13615 - Special facilities
   13616 - Special structures
</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</si>
  <si>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</si>
  <si>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</si>
  <si>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</si>
  <si>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</si>
  <si>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</si>
  <si>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</si>
  <si>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</si>
  <si>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</si>
  <si>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</si>
  <si>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</si>
  <si>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The space designed, located, furnished, and equipped to support instruction of children with special physical, emotional, and/or educational needs.</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</si>
  <si>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</si>
  <si>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</si>
  <si>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</si>
  <si>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</si>
  <si>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</si>
  <si>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</si>
  <si>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</si>
  <si>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</si>
  <si>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</si>
  <si>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</si>
  <si>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</si>
  <si>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</si>
  <si>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 xml:space="preserve">Staircases
   13617 - Stair construction
   13618 - Stair finishes
</t>
  </si>
  <si>
    <t>Standardization Group</t>
  </si>
  <si>
    <t>The group for which the scores of an assessment have been standardized for use in interpreting the results.</t>
  </si>
  <si>
    <t xml:space="preserve">Standardization Group
   00938 - International
   00939 - National
   00005 - Regional
   00391 - State
   00862 - Local (e.g., school board, city council, municipal board)
   00675 - School
   00006 - Categorical type 
   09999 - Other
</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</si>
  <si>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</si>
  <si>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</si>
  <si>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</si>
  <si>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</si>
  <si>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</si>
  <si>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</si>
  <si>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</si>
  <si>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</si>
  <si>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</si>
  <si>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State Funding Type</t>
  </si>
  <si>
    <t>The type of funding state agencies such as public health, education, social services, developmental disabilities, or other.</t>
  </si>
  <si>
    <t xml:space="preserve">State Funding Type
   06072 - Part C lead agency
   03460 - State department of health
   00868 - State Education Agency
   06073 - State social services agency
   06074 - State developmental disabilities agency
   09999 - Other
</t>
  </si>
  <si>
    <t>State Higher Education Course Requirement</t>
  </si>
  <si>
    <t>Code indicating that the course meets the state university admissions requirements for a particular subject area.</t>
  </si>
  <si>
    <t>The area of interest controlled by a law, rule, regulation, or standard of state and local governments that pertains to public school facilities.</t>
  </si>
  <si>
    <t>The specific law, rule, regulation, or standard of a state or local government that pertains to public school facilities.</t>
  </si>
  <si>
    <t>State Transportation Aid Qualification</t>
  </si>
  <si>
    <t>The qualification status of a student entitling the local education agency to receive state transportation aid.</t>
  </si>
  <si>
    <t xml:space="preserve">State Transportation Aid Qualification
   02065 - Qualifies for regular aid
   02066 - Qualifies for special education aid
   02067 - Does not qualify
   09999 - Other
</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</si>
  <si>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</si>
  <si>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</si>
  <si>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</si>
  <si>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</si>
  <si>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</si>
  <si>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</si>
  <si>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 xml:space="preserve">Status of Work Order Request
   02874 - Open
   02875 - Assigned
   02876 - Completed
   02877 - Reopened Work Order
   13684 - In Progress
</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</si>
  <si>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</si>
  <si>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</si>
  <si>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</si>
  <si>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</si>
  <si>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Full-time Status</t>
  </si>
  <si>
    <t>The status given to a student in relation to the course load that he or she is carrying.</t>
  </si>
  <si>
    <t xml:space="preserve">Full-Time/Part-Time status
   01854 - Full-time student
   01855 - Part-time student
</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</si>
  <si>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</si>
  <si>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</si>
  <si>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</si>
  <si>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</si>
  <si>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 xml:space="preserve">Tuition Status
   01878 - Full-tuition student
   01879 - Non-tuition student
   01880 - Partial-tuition student
</t>
  </si>
  <si>
    <t>Student Progress</t>
  </si>
  <si>
    <t>Progress for a student on given learning standards or objectives. This can be represented in a percentage, narrative or any measure.</t>
  </si>
  <si>
    <t>The space designed to provide student support services such as administrative, technical (e.g., guidance and health), and logistical support to facilitate and enhance instruction.</t>
  </si>
  <si>
    <t>Student Transportation Services</t>
  </si>
  <si>
    <t>Information about whether or not a student is transported to and/or from school or receives services, aid, or payment in lieu of transportation.</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</si>
  <si>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</si>
  <si>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</si>
  <si>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</si>
  <si>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</si>
  <si>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</si>
  <si>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 xml:space="preserve">Substitute Status
   01444 - Willing
   01445 - Not willing
   01446 - Currently substituting
</t>
  </si>
  <si>
    <t>Suicide Violation</t>
  </si>
  <si>
    <t>Act or instance of taking one''s own life voluntarily and intentionally.</t>
  </si>
  <si>
    <t xml:space="preserve">Suicide Violation
   04679 - Suicide
   04680 - Attempted suicide
   09999 - Other
</t>
  </si>
  <si>
    <t>Supplemental Pay Type</t>
  </si>
  <si>
    <t>An indication of the type of additional monetary compensation to an individual for his or her performance, position, additional duties or responsibilities, professional development or qualification, or extended time of work.</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</si>
  <si>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</si>
  <si>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Surplus Date</t>
  </si>
  <si>
    <t>The date the equipment was put into surplus.</t>
  </si>
  <si>
    <t>The type of system that is installed in the building or site.</t>
  </si>
  <si>
    <t>Tax Revenue Type</t>
  </si>
  <si>
    <t>The tax revenue designated for repaying school construction bonds.</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</si>
  <si>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</si>
  <si>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Teacher Involvement in Assessment Development</t>
  </si>
  <si>
    <t>The way in which teachers were involved in the development and/or scoring of the assessment.</t>
  </si>
  <si>
    <t xml:space="preserve">Teacher Involvement in Assessment Development
   00453 - Developed items
   00454 - Edited items
   00455 - Piloted items
   00456 - Helped to select items
   00458 - Scored items
   00459 - Instrument selection
   03466 - Test form review
   09998 - None
   09999 - Other
</t>
  </si>
  <si>
    <t>Teaching Assignment</t>
  </si>
  <si>
    <t>The teaching field taught by an individual.</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</si>
  <si>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</si>
  <si>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</si>
  <si>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</si>
  <si>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</si>
  <si>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</si>
  <si>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Technology Equipment</t>
  </si>
  <si>
    <t>The type of technology equipment.</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</si>
  <si>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</si>
  <si>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Technology Equipment Networking</t>
  </si>
  <si>
    <t>The networks to which the technology equipment is connected.</t>
  </si>
  <si>
    <t xml:space="preserve">Technology Equipment Networking
   03190 - Connected to a local-area network (building-level LAN)
   03191 - Connected to a wide-area network (district-level WAN)
   03192 - Directly connected to the Internet
</t>
  </si>
  <si>
    <t>Technology Equipment Use Purpose</t>
  </si>
  <si>
    <t>An indication whether a piece of technology equipment is for one specific use purpose.</t>
  </si>
  <si>
    <t xml:space="preserve">Technology Equipment Use/Purpose
   04732 - Teacher
   00126 - Student
   03187 - Administrative staff
   03188 - Support staff
   03189 - General reference
   09999 - Other
</t>
  </si>
  <si>
    <t>Technology Skills Assessed</t>
  </si>
  <si>
    <t>An indication that the individual was assessed against the standards-based performance profiles of technology user skills as defined by the state.</t>
  </si>
  <si>
    <t>The means through which voice, video, audio, and data information are conveyed.</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</si>
  <si>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</si>
  <si>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</si>
  <si>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</si>
  <si>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</si>
  <si>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</si>
  <si>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</si>
  <si>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</si>
  <si>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</si>
  <si>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 xml:space="preserve">Test Score Status
   03446 - Not tested
   03447 - Valid score, used in AYP
   03448 - Valid score, not used in AYP
   03449 - Invalid score, used in AYP
   03450 - Invalid score, not used in AYP
</t>
  </si>
  <si>
    <t>Theft Violation</t>
  </si>
  <si>
    <t>The unlawful taking of property belonging to another person or entity (e.g., school) without threat, violence or bodily harm. Electronic theft of data should be coded here. Do not include dealing in stolen goods in this category.</t>
  </si>
  <si>
    <t xml:space="preserve">Theft Violation
   04683 - General theft, Person
   04684 - General theft, Other entity
   09999 - Other
</t>
  </si>
  <si>
    <t>Threat/Intimidation Violation</t>
  </si>
  <si>
    <t>Physical, verbal, written, or electronic action which immediately creates fear of harm, without displaying a weapon and without subjecting the victim to actual physical attack.</t>
  </si>
  <si>
    <t xml:space="preserve">Threat/Intimidation Violation
   04687 - Physical threat
   04688 - Verbal threat
   04689 - Written threat
   04690 - Electronic threat
   09999 - Other
</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</si>
  <si>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</si>
  <si>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</si>
  <si>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</si>
  <si>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</si>
  <si>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</si>
  <si>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</si>
  <si>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</si>
  <si>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</si>
  <si>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</si>
  <si>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</si>
  <si>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 xml:space="preserve">Time Period Classification
   01620 - Calendar year
   01621 - Fiscal year
</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</si>
  <si>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</si>
  <si>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</si>
  <si>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</si>
  <si>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</si>
  <si>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</si>
  <si>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</si>
  <si>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</si>
  <si>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</si>
  <si>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</si>
  <si>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</si>
  <si>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</si>
  <si>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</si>
  <si>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</si>
  <si>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Tobacco Violation</t>
  </si>
  <si>
    <t>Possession, use, distribution, or sale of tobacco products.</t>
  </si>
  <si>
    <t xml:space="preserve">Tobacco Violation
   04693 - Sale of tobacco
   04694 - Distribution of tobacco
   04695 - Use of tobacco
   04696 - Possession of tobacco
   04697 - Suspicion of use of tobacco
   09999 - Other
</t>
  </si>
  <si>
    <t>The total assessed value of property that constitutes the basis for public borrowing.</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</si>
  <si>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</si>
  <si>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</si>
  <si>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</si>
  <si>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</si>
  <si>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</si>
  <si>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</si>
  <si>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</si>
  <si>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</si>
  <si>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</si>
  <si>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</si>
  <si>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</si>
  <si>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</si>
  <si>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</si>
  <si>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</si>
  <si>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</si>
  <si>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</si>
  <si>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</si>
  <si>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</si>
  <si>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</si>
  <si>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</si>
  <si>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 xml:space="preserve">Track System
   02369 - Single-track
   02370 - Multi-track
</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</si>
  <si>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</si>
  <si>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</si>
  <si>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</si>
  <si>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</si>
  <si>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</si>
  <si>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</si>
  <si>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</si>
  <si>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</si>
  <si>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</si>
  <si>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</si>
  <si>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</si>
  <si>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</si>
  <si>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</si>
  <si>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</si>
  <si>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</si>
  <si>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</si>
  <si>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</si>
  <si>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</si>
  <si>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</si>
  <si>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</si>
  <si>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</si>
  <si>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</si>
  <si>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</si>
  <si>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</si>
  <si>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</si>
  <si>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</si>
  <si>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</si>
  <si>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</si>
  <si>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</si>
  <si>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</si>
  <si>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</si>
  <si>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</si>
  <si>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</si>
  <si>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</si>
  <si>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An indication that the space in a school, including circulation, administration offices, support spaces, and common areas, is not part of the calculation for capacity.</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</si>
  <si>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</si>
  <si>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</si>
  <si>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</si>
  <si>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</si>
  <si>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</si>
  <si>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</si>
  <si>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</si>
  <si>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</si>
  <si>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</si>
  <si>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</si>
  <si>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</si>
  <si>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</si>
  <si>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</si>
  <si>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</si>
  <si>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</si>
  <si>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</si>
  <si>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</si>
  <si>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</si>
  <si>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</si>
  <si>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</si>
  <si>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</si>
  <si>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</si>
  <si>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</si>
  <si>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</si>
  <si>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</si>
  <si>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</si>
  <si>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</si>
  <si>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The anticipated time (in years) from the time of installation or service that a properly maintained system, component, equipment, or fixture is expected to operate effectively and efficiently.</t>
  </si>
  <si>
    <t>An indication of how utilities are supplied to a site or a building by a company or provider.</t>
  </si>
  <si>
    <t>The type of utility used in the operation of a facility.</t>
  </si>
  <si>
    <t>Vandalism Violation</t>
  </si>
  <si>
    <t>Willful destruction or defacement of school or personal property.</t>
  </si>
  <si>
    <t xml:space="preserve">Vandalism Violation
   04701 - Vandalism of school property
   04702 - Vandalism of personal property
   09999 - Other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</si>
  <si>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</si>
  <si>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</si>
  <si>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</si>
  <si>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</si>
  <si>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</si>
  <si>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</si>
  <si>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 xml:space="preserve">Vehicle Driver's License Type
   01447 - Automobile license
   01448 - School bus license
   01449 - Heavy equipment license
   01450 - Commercial vehicle license
   01451 - Motorcycle license
   09999 - Other
</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</si>
  <si>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</si>
  <si>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</si>
  <si>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</si>
  <si>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</si>
  <si>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</si>
  <si>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</si>
  <si>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</si>
  <si>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</si>
  <si>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</si>
  <si>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</si>
  <si>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</si>
  <si>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</si>
  <si>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The type of system used to convey persons or freight between floors.</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</si>
  <si>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</si>
  <si>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</si>
  <si>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</si>
  <si>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</si>
  <si>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</si>
  <si>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</si>
  <si>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</si>
  <si>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</si>
  <si>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</si>
  <si>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</si>
  <si>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</si>
  <si>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</si>
  <si>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</si>
  <si>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 xml:space="preserve">Voting Status
   02052 - Registered
   02053 - Not registered
   02358 - Not eligible to vote
</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</si>
  <si>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</si>
  <si>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</si>
  <si>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</si>
  <si>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</si>
  <si>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</si>
  <si>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</si>
  <si>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</si>
  <si>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</si>
  <si>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</si>
  <si>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</si>
  <si>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</si>
  <si>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</si>
  <si>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</si>
  <si>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</si>
  <si>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 xml:space="preserve">WAN Bandwidth to the Building
   03438 - 128K
   03439 - 256K
   03440 - 720K
   03441 - 1.5Mbps
   03435 - 10Mbps
   03436 - 100Mbps
   03437 - 1Gbps
   09999 - Other
</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</si>
  <si>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</si>
  <si>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</si>
  <si>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</si>
  <si>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</si>
  <si>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</si>
  <si>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</si>
  <si>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</si>
  <si>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</si>
  <si>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</si>
  <si>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</si>
  <si>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</si>
  <si>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</si>
  <si>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 xml:space="preserve">Work Experience Paid
   02042 - Yes, a salary was received
   02043 - No, a salary was not received
   09997 - Unknown
</t>
  </si>
  <si>
    <t>Work Experience Required</t>
  </si>
  <si>
    <t>An indication of whether the individual's work experience is required for the completion of a program of study or occupational goal.</t>
  </si>
  <si>
    <t xml:space="preserve">Work Experience Required
   01102 - Required
   01103 - Not required
   09997 - Unknown
</t>
  </si>
  <si>
    <t>Work Order Date of Completion</t>
  </si>
  <si>
    <t>The month, day, and year that the work order was completed.</t>
  </si>
  <si>
    <t>Work Order Date Scheduled</t>
  </si>
  <si>
    <t>The month, day, and year that work is scheduled to take place (not necessarily the date requested).</t>
  </si>
  <si>
    <t>Work Order Priority</t>
  </si>
  <si>
    <t xml:space="preserve">Work Order Priority
   02991 - Emergency priority
   02872 - Regular priority
   02873 - Low priority
</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</si>
  <si>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</si>
  <si>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</si>
  <si>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</si>
  <si>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</si>
  <si>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</si>
  <si>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</si>
  <si>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</si>
  <si>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</si>
  <si>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</si>
  <si>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The year a building was constructed, as indicated by cornerstone or official government records.</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</si>
  <si>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</si>
  <si>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</si>
  <si>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</si>
  <si>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</si>
  <si>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</si>
  <si>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</si>
  <si>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</si>
  <si>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</si>
  <si>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</si>
  <si>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</si>
  <si>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</si>
  <si>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</si>
  <si>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</si>
  <si>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</si>
  <si>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 xml:space="preserve">AcademicAwardEarnedPriorToAdmission
   AssociateDegree
   BaccalaureateDegree
   Doctorate
   MastersDegree
   ProfessionalDegree
   TwoYearCollegeDiploma
</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</si>
  <si>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</si>
  <si>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</si>
  <si>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</si>
  <si>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AcademicCompletionIndicator</t>
  </si>
  <si>
    <t>An indication that the degree-seeking student completed all of the requirements for his or her academic program. Not used for Non-Degree programs.</t>
  </si>
  <si>
    <t xml:space="preserve">AcademicCompletionIndicator
   true
   false
</t>
  </si>
  <si>
    <t>AcademicProgramCampus</t>
  </si>
  <si>
    <t>The preferred campus specified by the applicant for this particular program.</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</si>
  <si>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</si>
  <si>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</si>
  <si>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</si>
  <si>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</si>
  <si>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</si>
  <si>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</si>
  <si>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</si>
  <si>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 xml:space="preserve">AcademicProgramType
   Concentration
   Focus
   Major
   Minor
   SecondMajor
   Specialization
</t>
  </si>
  <si>
    <t>AcademicTrainingLevelCode</t>
  </si>
  <si>
    <t>This is the level of training approved for this Academic Training for international students on a J Visitors visa.</t>
  </si>
  <si>
    <t xml:space="preserve">AcademicTrainingLevelCode
   Associate
   Bachelors
   Doctorate
   Graduate
   HighSchool
   Professional
</t>
  </si>
  <si>
    <t>AcademicTrainingStatusCode</t>
  </si>
  <si>
    <t>The code used by SEVIS to identify the current status of the Academic Training.</t>
  </si>
  <si>
    <t xml:space="preserve">FullTimePartTime
   FullTime
   PartTime
</t>
  </si>
  <si>
    <t>AccreditingBodyCode</t>
  </si>
  <si>
    <t>This is the acronym for the regional or other accrediting body that has given accreditation to the school sending the high school transcript.</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</si>
  <si>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</si>
  <si>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AccreditingBodyName</t>
  </si>
  <si>
    <t>The name of the accrediting body.</t>
  </si>
  <si>
    <t>AchievementAwardYear</t>
  </si>
  <si>
    <t>The year in which the award was earned.</t>
  </si>
  <si>
    <t>CCYY</t>
  </si>
  <si>
    <t>AchievementAwardYearMonth</t>
  </si>
  <si>
    <t>The month and year in which the award was earned.</t>
  </si>
  <si>
    <t>CCYY-MM</t>
  </si>
  <si>
    <t>AchievementCategoryCode</t>
  </si>
  <si>
    <t>The category of the area in which achievement was earned.</t>
  </si>
  <si>
    <t xml:space="preserve">AchievementCategoryCode
   Academic
   Arts
   Athletic
   BusinessEmployment
   CommunityService
   Leadership
   Other
</t>
  </si>
  <si>
    <t>The name of the achievement or award.</t>
  </si>
  <si>
    <t>ActivityScopeCode</t>
  </si>
  <si>
    <t>The scope of the activity in which the applicant participated.</t>
  </si>
  <si>
    <t xml:space="preserve">ActivityScopeCode
   International
   Local
   National
   Regional
</t>
  </si>
  <si>
    <t>ActivitySponsorOrganizationName</t>
  </si>
  <si>
    <t>The sponsoring organization of the activity.</t>
  </si>
  <si>
    <t>AddressUpdateDate</t>
  </si>
  <si>
    <t>Date the student’s address became effective.</t>
  </si>
  <si>
    <t>ccyy-mm-dd</t>
  </si>
  <si>
    <t>AddressValidIndicator</t>
  </si>
  <si>
    <t>Flag to inidicate that the student’s address is valid.</t>
  </si>
  <si>
    <t>AgencyCode</t>
  </si>
  <si>
    <t>A code that describes the type of agency that assigned the student’s identification number.</t>
  </si>
  <si>
    <t>AlienRegistrationNumber</t>
  </si>
  <si>
    <t>Alien Registration Number.</t>
  </si>
  <si>
    <t>AllowedAnswerText</t>
  </si>
  <si>
    <t>An answer that the applicant was provided and allowed to select.</t>
  </si>
  <si>
    <t>AnswerSelectedCode</t>
  </si>
  <si>
    <t>An indication that the student did or did not select this answer.</t>
  </si>
  <si>
    <t xml:space="preserve">AnswerSelectedCode
   NotSelected
   Selected
</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</si>
  <si>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</si>
  <si>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</si>
  <si>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</si>
  <si>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</si>
  <si>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</si>
  <si>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</si>
  <si>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</si>
  <si>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</si>
  <si>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</si>
  <si>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</si>
  <si>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</si>
  <si>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</si>
  <si>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</si>
  <si>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</si>
  <si>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</si>
  <si>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</si>
  <si>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 xml:space="preserve">YesNo
   Yes
   No
</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</si>
  <si>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</si>
  <si>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</si>
  <si>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</si>
  <si>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</si>
  <si>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</si>
  <si>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</si>
  <si>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 xml:space="preserve">AttendedCollegeCode
   EitherParent
   GrandParent
   Siblings
   Spouse
</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</si>
  <si>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</si>
  <si>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</si>
  <si>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</si>
  <si>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</si>
  <si>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</si>
  <si>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</si>
  <si>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</si>
  <si>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</si>
  <si>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 xml:space="preserve">CanadianEthnicityCode
   BillC31
   FirstNations
   FrenchAncestry
   Inuit
   Metis
</t>
  </si>
  <si>
    <t>CardExpirationDate</t>
  </si>
  <si>
    <t>The month and year when the credit or debit card is scheduled to expire.</t>
  </si>
  <si>
    <t>CardIssuerCode</t>
  </si>
  <si>
    <t>The bank or agency that issued the credit or debit card.</t>
  </si>
  <si>
    <t xml:space="preserve">CardIssuerCode
   AmericanExpress
   Discover
   MasterCard
   Other
   Visa
</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</si>
  <si>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</si>
  <si>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</si>
  <si>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</si>
  <si>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</si>
  <si>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</si>
  <si>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</si>
  <si>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</si>
  <si>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</si>
  <si>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</si>
  <si>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</si>
  <si>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</si>
  <si>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</si>
  <si>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</si>
  <si>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</si>
  <si>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</si>
  <si>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</si>
  <si>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</si>
  <si>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</si>
  <si>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</si>
  <si>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</si>
  <si>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</si>
  <si>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</si>
  <si>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CitizenshipStatusCode</t>
  </si>
  <si>
    <t>Citizenship status of the family member of the applicant.</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</si>
  <si>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</si>
  <si>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</si>
  <si>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</si>
  <si>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</si>
  <si>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</si>
  <si>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</si>
  <si>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</si>
  <si>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</si>
  <si>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</si>
  <si>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 xml:space="preserve">ContactPreferenceCode
   Email
   InstantMessage
   Phone
   PostalMail
   TextMessage
</t>
  </si>
  <si>
    <t>ContactTitle</t>
  </si>
  <si>
    <t>The position title of the contact.</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</si>
  <si>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</si>
  <si>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</si>
  <si>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</si>
  <si>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</si>
  <si>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</si>
  <si>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</si>
  <si>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CourseApplicability</t>
  </si>
  <si>
    <t>The academic program to which this academic course applies toward graduation.</t>
  </si>
  <si>
    <t xml:space="preserve">CourseApplicability
   BothPrograms
   FirstProgram
   SecondProgram
   NotApplicable
</t>
  </si>
  <si>
    <t>CourseCreditBasis</t>
  </si>
  <si>
    <t>CourseCreditLevel</t>
  </si>
  <si>
    <t>CourseLevel</t>
  </si>
  <si>
    <t>The level of work which is reflected in the credits associated with the academic course being described or the level of the typical student taking the academic course.</t>
  </si>
  <si>
    <t>CPTStatusCode</t>
  </si>
  <si>
    <t>The code used by SEVIS to identify the current status of the Curricular Practical Training.</t>
  </si>
  <si>
    <t>CPTTrainingLevelCode</t>
  </si>
  <si>
    <t>This is the level of training approved for this CPT.</t>
  </si>
  <si>
    <t xml:space="preserve">CPTTrainingLevelCode
   Associate
   Bachelors
   Doctorate
   Graduate
   HighSchool
   Professional
</t>
  </si>
  <si>
    <t>CreditUnit</t>
  </si>
  <si>
    <t xml:space="preserve">CreditUnit
   CarnegieUnits
   ClockHours
   ContinuingEducationUnits
   NoCredit
   Other
   Quarter
   Semester
   Units
   Unreported
</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</si>
  <si>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</si>
  <si>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</si>
  <si>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</si>
  <si>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</si>
  <si>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</si>
  <si>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</si>
  <si>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</si>
  <si>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</si>
  <si>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</si>
  <si>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</si>
  <si>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DependencyStatusCode</t>
  </si>
  <si>
    <t>A code indicating if the applicant is a dependent or independent person concerning financial status.</t>
  </si>
  <si>
    <t xml:space="preserve">DependencyStatusCode
   Dependent
   Independent
</t>
  </si>
  <si>
    <t>DesignateCode</t>
  </si>
  <si>
    <t>An indication that this person has been designated with special authority by the applicant.</t>
  </si>
  <si>
    <t xml:space="preserve">DesignateCode
   AuthorizedDesignate
   EmergencyContact
</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</si>
  <si>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</si>
  <si>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</si>
  <si>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</si>
  <si>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</si>
  <si>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</si>
  <si>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</si>
  <si>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 xml:space="preserve">EarlyIndicatorCode
   EarlyAction
   EarlyAdmission
   EarlyDecision
   RestrictedEarlyAction
</t>
  </si>
  <si>
    <t>EducationLevel</t>
  </si>
  <si>
    <t>The highest level of education already attained by the family member of the applicant.</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</si>
  <si>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</si>
  <si>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</si>
  <si>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</si>
  <si>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</si>
  <si>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</si>
  <si>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</si>
  <si>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</si>
  <si>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</si>
  <si>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</si>
  <si>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</si>
  <si>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</si>
  <si>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</si>
  <si>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</si>
  <si>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ccyy-mm</t>
  </si>
  <si>
    <t>ExchangeVisitorPositionCode</t>
  </si>
  <si>
    <t>The code assigned to the position held (or being applied for) by the international exchange visitor applicant.</t>
  </si>
  <si>
    <t>FamilyIncomeAmount</t>
  </si>
  <si>
    <t>Amount of income for the most recent year available for the applicant?s family.</t>
  </si>
  <si>
    <t>FeeWaiverBasisCode</t>
  </si>
  <si>
    <t>The source of the waiver used to satisfy the application fee assessment.</t>
  </si>
  <si>
    <t xml:space="preserve">FeeWaiverBasisCode
   AmeriCorps
   Employee
   EmployeeDependent
   GoverningBoard
   LowIncome
   Other
   PeaceCorps
   PreviouslyPaid
   School
   SeniorCitizen
   TestAgency
</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</si>
  <si>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</si>
  <si>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</si>
  <si>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</si>
  <si>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</si>
  <si>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</si>
  <si>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</si>
  <si>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</si>
  <si>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</si>
  <si>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</si>
  <si>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</si>
  <si>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</si>
  <si>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</si>
  <si>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 xml:space="preserve">FundingSourceCode
   BiNationalCommission
   Employment
   ExchangeVisitorGovernment
   InternationalOrganization
   Other
   Personal
   ProgramSponsorFunds
   School
   USGovernmentFundsl
</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</si>
  <si>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</si>
  <si>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</si>
  <si>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</si>
  <si>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</si>
  <si>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</si>
  <si>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</si>
  <si>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</si>
  <si>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</si>
  <si>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</si>
  <si>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</si>
  <si>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 xml:space="preserve">GradeLevel
   Grade9
   Grade10
   Grade11
   Grade12
   PostSecondary
</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</si>
  <si>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</si>
  <si>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</si>
  <si>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</si>
  <si>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</si>
  <si>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</si>
  <si>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</si>
  <si>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 xml:space="preserve">HomesteadExemptionClaimedCode
   No
   Pending
   Yes
</t>
  </si>
  <si>
    <t>HonorsLevel</t>
  </si>
  <si>
    <t>A code value representing 1st highest honor, 2nd highest and 3rd highest.</t>
  </si>
  <si>
    <t xml:space="preserve">HonorsLevel
   FirstHighest
   SecondHighest
   ThirdHighest
</t>
  </si>
  <si>
    <t>HousingInformationCode</t>
  </si>
  <si>
    <t>Additional info being requested about student housing.</t>
  </si>
  <si>
    <t xml:space="preserve">HousingInformationCode
   Family
   General
   OffCampus
   OnCampus
</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</si>
  <si>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</si>
  <si>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</si>
  <si>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</si>
  <si>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</si>
  <si>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</si>
  <si>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</si>
  <si>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</si>
  <si>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</si>
  <si>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</si>
  <si>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</si>
  <si>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</si>
  <si>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</si>
  <si>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</si>
  <si>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</si>
  <si>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</si>
  <si>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IncomeTaxState</t>
  </si>
  <si>
    <t>The state to which income taxes were paid.</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</si>
  <si>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</si>
  <si>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</si>
  <si>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</si>
  <si>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</si>
  <si>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</si>
  <si>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</si>
  <si>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</si>
  <si>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</si>
  <si>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</si>
  <si>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 xml:space="preserve">InstructionUsage
   Examination
   Instruction
   WrittenExam
</t>
  </si>
  <si>
    <t>InterestedInCode</t>
  </si>
  <si>
    <t>Other programs or activities in which the student is interested and about which the applicant would like additional information.</t>
  </si>
  <si>
    <t xml:space="preserve">InterestedInCode
   Art
   AthleticsIntramural
   AthleticsVarsity
   Band
   CadetCorps
   HonorsProgram
   IndependentStudy
   ROTCAirForce
   ROTCArmy
   ROTCGeneral
   ROTCNavyMarine
   SororityFraternityClub
</t>
  </si>
  <si>
    <t>IssueDate</t>
  </si>
  <si>
    <t>The date of issue of the asylee or refugee document that gave the applicant the asylee or refugee status.</t>
  </si>
  <si>
    <t>IssuingCountryCode</t>
  </si>
  <si>
    <t>The SEVIS code for the country that issued the applicant?s passport.</t>
  </si>
  <si>
    <t>JobDescription</t>
  </si>
  <si>
    <t>A description of the work performed.</t>
  </si>
  <si>
    <t>LanguageProficiency</t>
  </si>
  <si>
    <t>The proficiency level of the applicant in this language.</t>
  </si>
  <si>
    <t xml:space="preserve">LanguageProficiency
   Unknown
   Unacceptable
   RedesignatedFluentEnglishProficient
   Poor
   NonEnglishSpeaking
   LimitedEnglishProficiency
   Good
   FullyEnglishProficient
   Fair
   Excellent
   EnglishOnly
</t>
  </si>
  <si>
    <t>LanguageUsage</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</si>
  <si>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</si>
  <si>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</si>
  <si>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</si>
  <si>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</si>
  <si>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</si>
  <si>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</si>
  <si>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 xml:space="preserve">LeadershipCharacteristicCode
   Elected
   NonElected
</t>
  </si>
  <si>
    <t>LeadershipPosition</t>
  </si>
  <si>
    <t>A description of any leadership positions held by the applicant.</t>
  </si>
  <si>
    <t>LegacyAlumniCode</t>
  </si>
  <si>
    <t>An indication that a close family member previously attended the school to which the applicant is applying.</t>
  </si>
  <si>
    <t xml:space="preserve">LegacyAlumniCode
   Child
   Father
   Mother
   Sibling
   Spouse
</t>
  </si>
  <si>
    <t>LegacyGraduateCode</t>
  </si>
  <si>
    <t>An indication that a close family member previously graduated from the school to which the applicant is applying.</t>
  </si>
  <si>
    <t>LegalStatusCode</t>
  </si>
  <si>
    <t>A status code to determine legal status in Canada.</t>
  </si>
  <si>
    <t xml:space="preserve">LegalStatusCode
   NonStatus
   Status
</t>
  </si>
  <si>
    <t>MaritalStatusChangeCode</t>
  </si>
  <si>
    <t>Information related to the change in marital status of the family member of the applicant.</t>
  </si>
  <si>
    <t xml:space="preserve">MaritalStatusChangeCode
   Cohabitation
   Divorced
   DomesticPartnership
   LegallySeparated
   Married
   None
   Other
   Unknown
   Widowed
</t>
  </si>
  <si>
    <t>MaritalStatusCode</t>
  </si>
  <si>
    <t>A code identifying marital status of this family member.</t>
  </si>
  <si>
    <t xml:space="preserve">MaritalStatusCode
   CommonLaw
   Divorced
   LegallySeparated
   Married
   RegisteredPartnership
   Separated
   Single
   Unknown
   Unmarried
   Unreported
   Widowed
</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</si>
  <si>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</si>
  <si>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</si>
  <si>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</si>
  <si>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</si>
  <si>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</si>
  <si>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</si>
  <si>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</si>
  <si>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</si>
  <si>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</si>
  <si>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</si>
  <si>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</si>
  <si>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</si>
  <si>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</si>
  <si>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</si>
  <si>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</si>
  <si>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MinimumFamilyIncomeAmount</t>
  </si>
  <si>
    <t>The minimum of the range of income for the most recent year available for the applicant?s family.</t>
  </si>
  <si>
    <t>NameCode</t>
  </si>
  <si>
    <t>A code that indicates the type of name that is being described.</t>
  </si>
  <si>
    <t xml:space="preserve">NameCode
   Casual
   Formal
   Former
   LawSchoolApplicationSource
   Legal
   MedicalSchoolApplicationSource
   Nickname
   Other
</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</si>
  <si>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</si>
  <si>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</si>
  <si>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</si>
  <si>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</si>
  <si>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</si>
  <si>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</si>
  <si>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</si>
  <si>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</si>
  <si>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</si>
  <si>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</si>
  <si>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</si>
  <si>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</si>
  <si>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</si>
  <si>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</si>
  <si>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</si>
  <si>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</si>
  <si>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</si>
  <si>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</si>
  <si>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</si>
  <si>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</si>
  <si>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</si>
  <si>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</si>
  <si>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</si>
  <si>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</si>
  <si>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</si>
  <si>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</si>
  <si>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</si>
  <si>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</si>
  <si>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</si>
  <si>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</si>
  <si>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</si>
  <si>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 xml:space="preserve">ParentsMaritalStatusCode
   CommonLaw
   Divorced
   LegallySeparated
   Married
   NeverMarried
   RegisteredDomesticPartners
   Separated
   Single
   Unknown
   Unmarried
   Unreported
   Widowed
</t>
  </si>
  <si>
    <t>PassportInformationAvailableCode</t>
  </si>
  <si>
    <t>Information provided if the detailed information about the applicant?s passport is not available.</t>
  </si>
  <si>
    <t xml:space="preserve">PassportInformationAvailableCode
   InformationNotAvailable
   NotYetIssued
</t>
  </si>
  <si>
    <t>PassportNumber</t>
  </si>
  <si>
    <t>The number assigned by the issuing country.</t>
  </si>
  <si>
    <t>PaymentMethodCode</t>
  </si>
  <si>
    <t>The method of payment or waiver being used to satisfy the assessment of the application fee.</t>
  </si>
  <si>
    <t xml:space="preserve">PaymentMethodCode
   BankWire
   Cash
   Check
   CreditCard
   DebitCard
   FeeWaiver
   GuaranteedFunds
   MoneyOrder
   Other
   OtherAgency
</t>
  </si>
  <si>
    <t>PlannedEnrollmentStatus</t>
  </si>
  <si>
    <t>The anticipated enrollment level of the applicant.</t>
  </si>
  <si>
    <t>PlanToApplyForCode</t>
  </si>
  <si>
    <t>Specific programs or aid for which the applicant is applying.</t>
  </si>
  <si>
    <t xml:space="preserve">PlanToApplyForCode
   CampusEmployment
   CoOp
   Fellowship
   FinancialAid
   HonorsProgram
   Housing
   Internship
   NationalStudentExchange
   ResearchAssistantship
   Scholarship
   StudyAbroad
   TeachingAssistantship
</t>
  </si>
  <si>
    <t>Title of this employment position.</t>
  </si>
  <si>
    <t>PostsecondarySchoolCategory</t>
  </si>
  <si>
    <t>The type of postsecondary school and the control for the school.</t>
  </si>
  <si>
    <t xml:space="preserve">PostsecondarySchoolCategory
   PrivateFourYear
   PrivateGraduateProfessional
   PrivateTwoYear
   PublicFourYear
   PublicGraduateProfessional
   PublicTwoYear
</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</si>
  <si>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</si>
  <si>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</si>
  <si>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</si>
  <si>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</si>
  <si>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</si>
  <si>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</si>
  <si>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</si>
  <si>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</si>
  <si>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</si>
  <si>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 xml:space="preserve">ProgramSecondarySchoolCode
   CareerPrep
   CollegePrep
   CollegePrepOrCollegeTechhPrep
   CollegeTechPrep
   General
   Occupational
   Vocational
</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</si>
  <si>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</si>
  <si>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</si>
  <si>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</si>
  <si>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</si>
  <si>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</si>
  <si>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</si>
  <si>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</si>
  <si>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</si>
  <si>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</si>
  <si>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</si>
  <si>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</si>
  <si>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</si>
  <si>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</si>
  <si>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</si>
  <si>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</si>
  <si>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</si>
  <si>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</si>
  <si>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</si>
  <si>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</si>
  <si>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</si>
  <si>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 xml:space="preserve">QuestionAreaCode
   AcademicRecord
   Admissions
   Biographical
   Education
   Employment
   Essay
   ExtraCurricularActivities
   Family
   FinancialAid
   General
   Health
   HonorsAwards
   Housing
   Immigration
   Other
   Personal
   References
   Residency
   Scholarship
   Tests
</t>
  </si>
  <si>
    <t>QuestionFormatCode</t>
  </si>
  <si>
    <t>This would indicate the format of the question asked.</t>
  </si>
  <si>
    <t xml:space="preserve">QuestionFormatCode
   CheckBox
   DropDownMenu
   NoInput
   OneLineText
   RadioButton
   TextArea
</t>
  </si>
  <si>
    <t>QuestionID</t>
  </si>
  <si>
    <t>An identifier that distinguishes this question from all other questions that might be asked.</t>
  </si>
  <si>
    <t>QuestionRequiredCode</t>
  </si>
  <si>
    <t>This would indicate whether or not this was a question that the applicant was required to answer.</t>
  </si>
  <si>
    <t xml:space="preserve">QuestionRequiredCode
   Optional
   Required
</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</si>
  <si>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</si>
  <si>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</si>
  <si>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</si>
  <si>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</si>
  <si>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</si>
  <si>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</si>
  <si>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</si>
  <si>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</si>
  <si>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</si>
  <si>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</si>
  <si>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</si>
  <si>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</si>
  <si>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</si>
  <si>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</si>
  <si>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ResidencyEstablishedDate</t>
  </si>
  <si>
    <t>The date on which the applicant or other claimant became a resident of the state, province, or county.</t>
  </si>
  <si>
    <t>ResidencyStatusCode</t>
  </si>
  <si>
    <t>The declaration made by the claimant as to his or her permanent residency.</t>
  </si>
  <si>
    <t xml:space="preserve">ResidencyStatusCode
   InCity
   InCounty
   InDistrict
   InState
   NonResident
   NotReported
   OtherResident
   Resident
</t>
  </si>
  <si>
    <t>SchoolAppliedEmployedCode</t>
  </si>
  <si>
    <t>An indication of current or previous employment at the school to which the applicant is applying, by the applicant or a family member.</t>
  </si>
  <si>
    <t xml:space="preserve">SchoolAppliedEmployedCode
   Applicant
   FamilyMember
   Father
   Mother
</t>
  </si>
  <si>
    <t>SchoolBeganYear</t>
  </si>
  <si>
    <t>The year the family member began attending the school to which the applicant is applying.</t>
  </si>
  <si>
    <t>ccyy</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</si>
  <si>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</si>
  <si>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</si>
  <si>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</si>
  <si>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</si>
  <si>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</si>
  <si>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</si>
  <si>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 xml:space="preserve">SchoolOverrideCode
   Coop
   Institutional
   Internship
   MultiCampus
   Reciprocal
   StudyAbroad
   Transfer
</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</si>
  <si>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</si>
  <si>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</si>
  <si>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</si>
  <si>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</si>
  <si>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</si>
  <si>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</si>
  <si>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</si>
  <si>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</si>
  <si>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 xml:space="preserve">SecondarySchoolCategoryCode
   Charter
   HomeSchool
   Independent
   Parochial
   Private
   Public
</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</si>
  <si>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</si>
  <si>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</si>
  <si>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</si>
  <si>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</si>
  <si>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</si>
  <si>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</si>
  <si>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 xml:space="preserve">SponsorCode
   ForeignCompany
   ForeignGovernment
   Institution
   Organization
   Other
   Parent
   Relative
   Self
   Spouse
   Unknown
   USCompany
   USGovernment
</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</si>
  <si>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</si>
  <si>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</si>
  <si>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</si>
  <si>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</si>
  <si>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</si>
  <si>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</si>
  <si>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</si>
  <si>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</si>
  <si>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</si>
  <si>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</si>
  <si>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</si>
  <si>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SupplementalGradeCode</t>
  </si>
  <si>
    <t>The type of component grade that is being included for an education course.</t>
  </si>
  <si>
    <t xml:space="preserve">SupplementalGradeCode
   BiCourseGrade
   BlendedFinalGrade
   ExamGrade
   InstructorAssignedGrade
   SubSessionGrade
   TriCourseGrade
</t>
  </si>
  <si>
    <t>TextMessageAddress</t>
  </si>
  <si>
    <t>The address to which a text message may be sent to the applicant.</t>
  </si>
  <si>
    <t>TreatyCode</t>
  </si>
  <si>
    <t>The applicant?s declaration of determination of treaty status.</t>
  </si>
  <si>
    <t xml:space="preserve">TreatyCode
   NonTreaty
   Treaty
</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</si>
  <si>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</si>
  <si>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</si>
  <si>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</si>
  <si>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</si>
  <si>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</si>
  <si>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</si>
  <si>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</si>
  <si>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</si>
  <si>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VisaReasonForUSBornCode</t>
  </si>
  <si>
    <t>The reason that the international applicant holds a visa from another country if the applicant was born in the US.</t>
  </si>
  <si>
    <t xml:space="preserve">VisaReasonForUSBornCode
   BornInUSToForeignDiplomat
   Expatriated
</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</si>
  <si>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</si>
  <si>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</si>
  <si>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</si>
  <si>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</si>
  <si>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</si>
  <si>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</si>
  <si>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</si>
  <si>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</si>
  <si>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</si>
  <si>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</si>
  <si>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</si>
  <si>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</si>
  <si>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Year group or Grade Level (US).</t>
  </si>
  <si>
    <t>gYearGroupType</t>
  </si>
  <si>
    <t>assessmentAssetType/assetSubjectList/assetSubject</t>
  </si>
  <si>
    <t>gSubjectAreaType</t>
  </si>
  <si>
    <t>assessmentFormType/formIdentifierList/formIdentifier</t>
  </si>
  <si>
    <t>gLocalIdType</t>
  </si>
  <si>
    <t>assessmentFormType/gradeLevelList/gradeLevel</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</si>
  <si>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</si>
  <si>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</si>
  <si>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</si>
  <si>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</si>
  <si>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</si>
  <si>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</si>
  <si>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</si>
  <si>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</si>
  <si>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</si>
  <si>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</si>
  <si>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</si>
  <si>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</si>
  <si>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</si>
  <si>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</si>
  <si>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</si>
  <si>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assessmentRegistrationType/assessmentGradeLevel</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</si>
  <si>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</si>
  <si>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</si>
  <si>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</si>
  <si>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</si>
  <si>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</si>
  <si>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</si>
  <si>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</si>
  <si>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</si>
  <si>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</si>
  <si>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</si>
  <si>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</si>
  <si>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assessmentRegistrationType/studentSpecialEventList/studentSpecialEvent/@eventType</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</si>
  <si>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</si>
  <si>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</si>
  <si>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</si>
  <si>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</si>
  <si>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</si>
  <si>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</si>
  <si>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</si>
  <si>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</si>
  <si>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</si>
  <si>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</si>
  <si>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</si>
  <si>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</si>
  <si>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</si>
  <si>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</si>
  <si>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</si>
  <si>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</si>
  <si>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</si>
  <si>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</si>
  <si>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</si>
  <si>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</si>
  <si>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</si>
  <si>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</si>
  <si>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</si>
  <si>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</si>
  <si>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</si>
  <si>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</si>
  <si>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</si>
  <si>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</si>
  <si>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Non-numeric score code value. Examples might be: 'BL' = blank 'OT' = off-topic The values for this field are determined by the assessment program.</t>
  </si>
  <si>
    <t>assessmentRubricType/scoreList/score/scoreCodeDefinition</t>
  </si>
  <si>
    <t>This provides the definition of the score code or value. For example, if the score code is OT, then this can provide the definition of 'Off Topic'.</t>
  </si>
  <si>
    <t>assessmentRubricType/scoreList/score/scoreCommentList/scoreComment/comment</t>
  </si>
  <si>
    <t>A description of the comment code. This can be used to provide additional feedback to the student for the score they received.</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</si>
  <si>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</si>
  <si>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</si>
  <si>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</si>
  <si>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</si>
  <si>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</si>
  <si>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</si>
  <si>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</si>
  <si>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</si>
  <si>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</si>
  <si>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</si>
  <si>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</si>
  <si>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</si>
  <si>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</si>
  <si>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</si>
  <si>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</si>
  <si>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</si>
  <si>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</si>
  <si>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</si>
  <si>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</si>
  <si>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</si>
  <si>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</si>
  <si>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</si>
  <si>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</si>
  <si>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</si>
  <si>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</si>
  <si>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</si>
  <si>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</si>
  <si>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</si>
  <si>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</si>
  <si>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</si>
  <si>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</si>
  <si>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</si>
  <si>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</si>
  <si>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</si>
  <si>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</si>
  <si>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</si>
  <si>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</si>
  <si>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</si>
  <si>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</si>
  <si>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</si>
  <si>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</si>
  <si>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</si>
  <si>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</si>
  <si>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</si>
  <si>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</si>
  <si>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</si>
  <si>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</si>
  <si>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</si>
  <si>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</si>
  <si>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</si>
  <si>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</si>
  <si>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</si>
  <si>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</si>
  <si>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</si>
  <si>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</si>
  <si>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</si>
  <si>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</si>
  <si>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gBellPeriodType/regularSchoolPeriod</t>
  </si>
  <si>
    <t>gBellPeriodType/timetablePeriodIdentifier</t>
  </si>
  <si>
    <t>gContactPersonAssociationType/contactSequenceSource</t>
  </si>
  <si>
    <t>The source used to determine the contact sequence or priority, e.g., court order, transportation system, etc.</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</si>
  <si>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</si>
  <si>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</si>
  <si>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</si>
  <si>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</si>
  <si>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</si>
  <si>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</si>
  <si>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</si>
  <si>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</si>
  <si>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</si>
  <si>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</si>
  <si>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</si>
  <si>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</si>
  <si>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</si>
  <si>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</si>
  <si>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</si>
  <si>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</si>
  <si>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</si>
  <si>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</si>
  <si>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</si>
  <si>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</si>
  <si>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</si>
  <si>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</si>
  <si>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</si>
  <si>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</si>
  <si>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</si>
  <si>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</si>
  <si>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</si>
  <si>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</si>
  <si>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</si>
  <si>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</si>
  <si>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</si>
  <si>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</si>
  <si>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The length of the term in days, months, etc.</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</si>
  <si>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</si>
  <si>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</si>
  <si>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</si>
  <si>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</si>
  <si>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</si>
  <si>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</si>
  <si>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</si>
  <si>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</si>
  <si>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gLearningStandardDocumentType/organizationList/organization</t>
  </si>
  <si>
    <t>Name of organization represented by the document, i.e., "National Council of Teachers of Mathematics (NCTM)," "ACARA"," NSW DET".</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</si>
  <si>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</si>
  <si>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</si>
  <si>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</si>
  <si>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</si>
  <si>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</si>
  <si>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</si>
  <si>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</si>
  <si>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</si>
  <si>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</si>
  <si>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</si>
  <si>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</si>
  <si>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</si>
  <si>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</si>
  <si>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</si>
  <si>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</si>
  <si>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</si>
  <si>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</si>
  <si>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</si>
  <si>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</si>
  <si>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The role of the child organization with respect to this association.</t>
  </si>
  <si>
    <t>gOrganizationOrganizationAssociationType/endDate</t>
  </si>
  <si>
    <t>gOrganizationOrganizationAssociationType/parentOrganizationRole</t>
  </si>
  <si>
    <t>The role of the parent organization with respect to this association.</t>
  </si>
  <si>
    <t>gOrganizationOrganizationAssociationType/startDate</t>
  </si>
  <si>
    <t>gOrganizationSubtypeType/entryDate</t>
  </si>
  <si>
    <t>gOrganizationSubtypeType/exitDate</t>
  </si>
  <si>
    <t>gOrganizationUserType/associatedRole</t>
  </si>
  <si>
    <t>gRoleTypeType</t>
  </si>
  <si>
    <t>gOrganizationUserType/associationType</t>
  </si>
  <si>
    <t>gOrganizationUserType/endDate</t>
  </si>
  <si>
    <t>gOrganizationUserType/startDate</t>
  </si>
  <si>
    <t>gOtherNameType/@nameRole</t>
  </si>
  <si>
    <t>gPartyAddressRelationType/addressType</t>
  </si>
  <si>
    <t>Code that defines the location of the address. Note: A subset of specific valid values for each instance in a data object may be listed in that object.</t>
  </si>
  <si>
    <t>gPartyOrganizationAssociationType/associationType</t>
  </si>
  <si>
    <t>The type of association. For example if the party is a person who is a member of the organizatinon then this field would contain the type of membership.</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</si>
  <si>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</si>
  <si>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</si>
  <si>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</si>
  <si>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</si>
  <si>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</si>
  <si>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</si>
  <si>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</si>
  <si>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</si>
  <si>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</si>
  <si>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</si>
  <si>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</si>
  <si>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</si>
  <si>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</si>
  <si>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</si>
  <si>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</si>
  <si>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</si>
  <si>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</si>
  <si>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</si>
  <si>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</si>
  <si>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gRelatedLearningStandardItemType/relationshipType</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</si>
  <si>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</si>
  <si>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</si>
  <si>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</si>
  <si>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</si>
  <si>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</si>
  <si>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</si>
  <si>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</si>
  <si>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</si>
  <si>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</si>
  <si>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</si>
  <si>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</si>
  <si>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School sector of school, e.g. Public/Private. CEDS Equivalent: Charter School Indicator 000039, Charter School Type 000710.</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</si>
  <si>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</si>
  <si>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</si>
  <si>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</si>
  <si>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</si>
  <si>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</si>
  <si>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</si>
  <si>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</si>
  <si>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</si>
  <si>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</si>
  <si>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</si>
  <si>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</si>
  <si>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</si>
  <si>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</si>
  <si>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</si>
  <si>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</si>
  <si>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</si>
  <si>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</si>
  <si>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</si>
  <si>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</si>
  <si>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</si>
  <si>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</si>
  <si>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</si>
  <si>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</si>
  <si>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</si>
  <si>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</si>
  <si>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The reason why this enrollment was closed. For example: SchoolExit. TimeDependentDataChange. EndOfYear.</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</si>
  <si>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</si>
  <si>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</si>
  <si>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</si>
  <si>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</si>
  <si>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</si>
  <si>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An alert message associatied with the student.</t>
  </si>
  <si>
    <t>gAlertMessageType</t>
  </si>
  <si>
    <t>gStudentType/medicalAlertMessageList/medicalAlertMessage</t>
  </si>
  <si>
    <t>A medical alert message associatied with the student.</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</si>
  <si>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</si>
  <si>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</si>
  <si>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</si>
  <si>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</si>
  <si>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</si>
  <si>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</si>
  <si>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</si>
  <si>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</si>
  <si>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</si>
  <si>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</si>
  <si>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</si>
  <si>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</si>
  <si>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</si>
  <si>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</si>
  <si>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</si>
  <si>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</si>
  <si>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</si>
  <si>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</si>
  <si>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</si>
  <si>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</si>
  <si>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</si>
  <si>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</si>
  <si>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</si>
  <si>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</si>
  <si>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</si>
  <si>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</si>
  <si>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</si>
  <si>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</si>
  <si>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</si>
  <si>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</si>
  <si>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</si>
  <si>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</si>
  <si>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</si>
  <si>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</si>
  <si>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</si>
  <si>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</si>
  <si>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</si>
  <si>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</si>
  <si>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</si>
  <si>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</si>
  <si>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</si>
  <si>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</si>
  <si>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</si>
  <si>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</si>
  <si>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</si>
  <si>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</si>
  <si>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</si>
  <si>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</si>
  <si>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</si>
  <si>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</si>
  <si>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</si>
  <si>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</si>
  <si>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</si>
  <si>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</si>
  <si>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</si>
  <si>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</si>
  <si>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</si>
  <si>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</si>
  <si>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</si>
  <si>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</si>
  <si>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</si>
  <si>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</si>
  <si>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</si>
  <si>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</si>
  <si>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</si>
  <si>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</si>
  <si>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</si>
  <si>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</si>
  <si>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</si>
  <si>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</si>
  <si>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</si>
  <si>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</si>
  <si>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</si>
  <si>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</si>
  <si>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</si>
  <si>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</si>
  <si>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</si>
  <si>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</si>
  <si>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</si>
  <si>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</si>
  <si>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</si>
  <si>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</si>
  <si>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</si>
  <si>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</si>
  <si>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</si>
  <si>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</si>
  <si>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</si>
  <si>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</si>
  <si>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</si>
  <si>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</si>
  <si>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studentCoreType/concurrentSchoolList/concurrentSchool/operation</t>
  </si>
  <si>
    <t>The enrollment action to take.</t>
  </si>
  <si>
    <t>studentCoreType/enrollmentOperation</t>
  </si>
  <si>
    <t>studentProgramAssociationType/exitStatus</t>
  </si>
  <si>
    <t>System</t>
  </si>
  <si>
    <t>Element Number</t>
  </si>
  <si>
    <t>Element Type</t>
  </si>
  <si>
    <t>Field Length</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</si>
  <si>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</si>
  <si>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 xml:space="preserv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</si>
  <si>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</si>
  <si>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Adult Education -&gt; Course Section
Career and Technical -&gt; Course Section
K12 -&gt; Course Section
K12 -&gt; K12 Course
K12 -&gt; K12 School -&gt; Institution Characteristics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</si>
  <si>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</si>
  <si>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Academic Award Prerequisite Type</t>
  </si>
  <si>
    <t>Prerequisite conditions for earning an academic award.</t>
  </si>
  <si>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</si>
  <si>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</si>
  <si>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</si>
  <si>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</si>
  <si>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</si>
  <si>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001665</t>
  </si>
  <si>
    <t>AcademicAwardRequirementsURL</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</si>
  <si>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</si>
  <si>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</si>
  <si>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</si>
  <si>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AccommodationOtherDescription</t>
  </si>
  <si>
    <t>Accommodation Type</t>
  </si>
  <si>
    <t>The specific accommodation necessary for assessment or instruction.</t>
  </si>
  <si>
    <t>Assessments -&gt; Assessment Participant Session
K12 -&gt; K12 Student -&gt; Individualized Program -&gt; Accommodation
K12 -&gt; K12 Student -&gt; Individualized Program -&gt; Assessment</t>
  </si>
  <si>
    <t>AccommodationType</t>
  </si>
  <si>
    <t>K12 -&gt; K12 Student -&gt; Academic Record -&gt; Activity
K12 -&gt; K12 Student -&gt; Enrollment -&gt; Activity
Postsecondary -&gt; PS Student -&gt; Academic Record -&gt; Activity</t>
  </si>
  <si>
    <t>Adult Education -&gt; Course Section
Career and Technical -&gt; Course
Career and Technical -&gt; Course Section
K12 -&gt; Course Section
K12 -&gt; K12 Course</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</si>
  <si>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Facilities -&gt; Facility -&gt; Address (added)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</si>
  <si>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(added)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</si>
  <si>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Early Learning -&gt; EL Organization -&gt; Address
Early Learning -&gt; EL Organization -&gt; Contact -&gt; Address
Facilities -&gt; Facility -&gt; Address (added)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t>
  </si>
  <si>
    <t>Adult Education -&gt; AE Staff -&gt; Contact -&gt; Address
Career and Technical -&gt; CTE Staff -&gt; Contact -&gt; Address
Early Learning -&gt; EL Staff -&gt; Contact -&gt; Address
Early Learning -&gt; EL Staff -&gt; Professional Development -&gt; Instructor
K12 -&gt; K12 Staff -&gt; Contact -&gt; Address
K12 -&gt; K12 Staff -&gt; Professional Development -&gt; Instructor
K12 -&gt; SEA -&gt; Contact -&gt; Address
Postsecondary -&gt; PS Staff -&gt; Contact -&gt; Address</t>
  </si>
  <si>
    <t>Adult Education -&gt; Course Section
Career and Technical -&gt; Course Section
K12 -&gt; Course Section
K12 -&gt; K12 Course
Postsecondary -&gt; Course Section</t>
  </si>
  <si>
    <t>Integer - greater than or equal to 0</t>
  </si>
  <si>
    <t>Adult Education -&gt; Course Section -&gt; Course
Career and Technical -&gt; Course Section -&gt; Course
Postsecondary -&gt; Course Section -&gt; Course</t>
  </si>
  <si>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</si>
  <si>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Assessments -&gt; Assessment Participant Session
Assessments -&gt; Assessment Registration
K12 -&gt; K12 Student -&gt; Individualized Program -&gt; Assessment
Postsecondary -&gt; PS Student -&gt; Assessment</t>
  </si>
  <si>
    <t>Assessments -&gt; Assessment
Assessments -&gt; Assessment Subtest
Early Learning -&gt; EL Child -&gt; Developmental Assessments</t>
  </si>
  <si>
    <t>Assessments -&gt; Assessment
Assessments -&gt; Assessment Administration
Assessments -&gt; Assessment Registration
Credential -&gt; Credential Award</t>
  </si>
  <si>
    <t>Assessments -&gt; Assessment
Assessments -&gt; Assessment Administration
Credential -&gt; Credential Award</t>
  </si>
  <si>
    <t>Numeric - up to 3 digits before and 2 digits after decimal place</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</si>
  <si>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</si>
  <si>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Assessments -&gt; Assessment Performance Level
Assessments -&gt; Assessment Result -&gt; Assessment Performance Level
Assessments -&gt; Assessment Subtest -&gt; Assessment Performance Level</t>
  </si>
  <si>
    <t>Assessments -&gt; Assessment
K12 -&gt; K12 Student -&gt; Individualized Program -&gt; Assessment</t>
  </si>
  <si>
    <t>Adult Education -&gt; Course Section -&gt; Staff
Career and Technical -&gt; Course Section -&gt; Staff
K12 -&gt; Course Section -&gt; Staff
K12 -&gt; K12 Staff -&gt; Assignment
Postsecondary -&gt; Course Section -&gt; Staff</t>
  </si>
  <si>
    <t>Adult Education -&gt; Course Section -&gt; Attendance
Career and Technical -&gt; Course Section -&gt; Attendance
K12 -&gt; Course Section -&gt; Attendance
K12 -&gt; K12 Staff -&gt; Attendance
K12 -&gt; K12 Student -&gt; Attendance</t>
  </si>
  <si>
    <t>Adult Education -&gt; Course Section -&gt; Attendance
Career and Technical -&gt; Course Section -&gt; Attendance
K12 -&gt; Course Section -&gt; Attendance
K12 -&gt; K12 Student -&gt; Attendance</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</si>
  <si>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</si>
  <si>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</si>
  <si>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</si>
  <si>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</si>
  <si>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</si>
  <si>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</si>
  <si>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</si>
  <si>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</si>
  <si>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</si>
  <si>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</si>
  <si>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</si>
  <si>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</si>
  <si>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</si>
  <si>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Authorizer Type</t>
  </si>
  <si>
    <t>Type of person who authorized the decision or document.</t>
  </si>
  <si>
    <t>001720</t>
  </si>
  <si>
    <t>AuthorizerType</t>
  </si>
  <si>
    <t>Adult Education -&gt; Course Section -&gt; Course
Career and Technical -&gt; Course
Career and Technical -&gt; Course Section -&gt; Course
K12 -&gt; Course Section -&gt; Course
K12 -&gt; K12 Course</t>
  </si>
  <si>
    <t>Available Utilized Instructional Space</t>
  </si>
  <si>
    <t>Facilities -&gt; Facility -&gt; Utilization (added)</t>
  </si>
  <si>
    <t>001902</t>
  </si>
  <si>
    <t>AvailableUtilizedInstructionalSpace</t>
  </si>
  <si>
    <t>Career and Technical -&gt; CTE Student -&gt; Disability
Early Learning -&gt; EL Child -&gt; Disability
K12 -&gt; K12 Student -&gt; Disability</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</si>
  <si>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</si>
  <si>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Adult Education -&gt; Course Section
Career and Technical -&gt; Course Section
K12 -&gt; Course Section
K12 -&gt; K12 Course</t>
  </si>
  <si>
    <t>Facilities -&gt; Facility -&gt; Identification (added)</t>
  </si>
  <si>
    <t>001776</t>
  </si>
  <si>
    <t>BuildingAdditionCode</t>
  </si>
  <si>
    <t>Building Addition Description</t>
  </si>
  <si>
    <t>001775</t>
  </si>
  <si>
    <t>BuildingAdditionDescription</t>
  </si>
  <si>
    <t>Building Administrative Space Type</t>
  </si>
  <si>
    <t>Facilities -&gt; Facility -&gt; Design (added)</t>
  </si>
  <si>
    <t>001813</t>
  </si>
  <si>
    <t>BuildingAdministrativeSpaceType</t>
  </si>
  <si>
    <t>Building Air Distribution System Type</t>
  </si>
  <si>
    <t>Facilities -&gt; Facility -&gt; Condition (added)</t>
  </si>
  <si>
    <t>001790</t>
  </si>
  <si>
    <t>BuildingAirDistributionSystemType</t>
  </si>
  <si>
    <t>Building Architect Name</t>
  </si>
  <si>
    <t>001834</t>
  </si>
  <si>
    <t>BuildingArchitectName</t>
  </si>
  <si>
    <t>Building Architectural Firm Name</t>
  </si>
  <si>
    <t>001835</t>
  </si>
  <si>
    <t>BuildingArchitecturalFirmName</t>
  </si>
  <si>
    <t>001764</t>
  </si>
  <si>
    <t>BuildingArea</t>
  </si>
  <si>
    <t>Building Art Specialty Space Type</t>
  </si>
  <si>
    <t>001814</t>
  </si>
  <si>
    <t>BuildingArtSpecialtySpaceType</t>
  </si>
  <si>
    <t>Building Assembly Space Type</t>
  </si>
  <si>
    <t>001836</t>
  </si>
  <si>
    <t>BuildingAssemblySpaceType</t>
  </si>
  <si>
    <t>Building Basic Classroom Design Type</t>
  </si>
  <si>
    <t>001815</t>
  </si>
  <si>
    <t>BuildingBasicClassroomDesignType</t>
  </si>
  <si>
    <t>Building Capacity Factor Indicator</t>
  </si>
  <si>
    <t>001903</t>
  </si>
  <si>
    <t>BuildingCapacityFactorIndicator</t>
  </si>
  <si>
    <t>Building Career-Technical Education Space Type</t>
  </si>
  <si>
    <t>001817</t>
  </si>
  <si>
    <t>BuildingCareer-TechnicalEducationSpaceType</t>
  </si>
  <si>
    <t>Building Charter School Realty Access Type</t>
  </si>
  <si>
    <t>The type of real estate vehicle through which a public charter school has access and control of its building space.</t>
  </si>
  <si>
    <t>Facilities -&gt; Facility -&gt; Management (added)</t>
  </si>
  <si>
    <t>001865</t>
  </si>
  <si>
    <t>BuildingCharterSchoolRealtyAccessType</t>
  </si>
  <si>
    <t>Building Circulation Space Type</t>
  </si>
  <si>
    <t>001818</t>
  </si>
  <si>
    <t>BuildingCirculationSpaceType</t>
  </si>
  <si>
    <t>Building Cleaning Standard Type</t>
  </si>
  <si>
    <t>001866</t>
  </si>
  <si>
    <t>BuildingCleaningStandardType</t>
  </si>
  <si>
    <t>Building Communications Management Component System Type</t>
  </si>
  <si>
    <t>The type of system, interface, and management components for carrying voice, video, and data throughout a building.</t>
  </si>
  <si>
    <t>001791</t>
  </si>
  <si>
    <t>BuildingCommunicationsManagementComponentSystemType</t>
  </si>
  <si>
    <t>Building Community Use Space Type</t>
  </si>
  <si>
    <t>001855</t>
  </si>
  <si>
    <t>BuildingCommunityUseSpaceType</t>
  </si>
  <si>
    <t>Building Cooling Generation System Type</t>
  </si>
  <si>
    <t>001794</t>
  </si>
  <si>
    <t>BuildingCoolingGenerationSystemType</t>
  </si>
  <si>
    <t>Building Date of Certificate of Occupancy</t>
  </si>
  <si>
    <t>001880</t>
  </si>
  <si>
    <t>001816</t>
  </si>
  <si>
    <t>BuildingDesignType</t>
  </si>
  <si>
    <t>Building Electrical System Type</t>
  </si>
  <si>
    <t>001795</t>
  </si>
  <si>
    <t>BuildingElectricalSystemType</t>
  </si>
  <si>
    <t>Building Energy Conservation Measure Type</t>
  </si>
  <si>
    <t>001868</t>
  </si>
  <si>
    <t>BuildingEnergyConservationMeasureType</t>
  </si>
  <si>
    <t>Building Energy Service Company Name</t>
  </si>
  <si>
    <t>001869</t>
  </si>
  <si>
    <t>BuildingEnergyServiceCompanyName</t>
  </si>
  <si>
    <t>Building Energy Source Type</t>
  </si>
  <si>
    <t>001870</t>
  </si>
  <si>
    <t>BuildingEnergySourceType</t>
  </si>
  <si>
    <t>001819</t>
  </si>
  <si>
    <t>Building Fire Protection System Type</t>
  </si>
  <si>
    <t>001798</t>
  </si>
  <si>
    <t>BuildingFireProtectionSystemType</t>
  </si>
  <si>
    <t>Building Food Service Space Type</t>
  </si>
  <si>
    <t>001821</t>
  </si>
  <si>
    <t>BuildingFoodServiceSpaceType</t>
  </si>
  <si>
    <t>Building Full Service Kitchen Type</t>
  </si>
  <si>
    <t>001843</t>
  </si>
  <si>
    <t>BuildingFullServiceKitchenType</t>
  </si>
  <si>
    <t>Building Heating Generation System Type</t>
  </si>
  <si>
    <t>001799</t>
  </si>
  <si>
    <t>BuildingHeatingGenerationSystemType</t>
  </si>
  <si>
    <t>Building Historic Status</t>
  </si>
  <si>
    <t>001772</t>
  </si>
  <si>
    <t>BuildingHistoricStatus</t>
  </si>
  <si>
    <t>001856</t>
  </si>
  <si>
    <t>Building HVAC System Type</t>
  </si>
  <si>
    <t>001800</t>
  </si>
  <si>
    <t>BuildingHVACSystemType</t>
  </si>
  <si>
    <t>001822</t>
  </si>
  <si>
    <t>Building Institutional Equipment Description</t>
  </si>
  <si>
    <t>001801</t>
  </si>
  <si>
    <t>BuildingInstitutionalEquipmentDescription</t>
  </si>
  <si>
    <t>Building Instructional Space Factor Type</t>
  </si>
  <si>
    <t>001851</t>
  </si>
  <si>
    <t>BuildingInstructionalSpaceFactorType</t>
  </si>
  <si>
    <t>Building Joint Use Rationale Type</t>
  </si>
  <si>
    <t>001852</t>
  </si>
  <si>
    <t>BuildingJointUseRationaleType</t>
  </si>
  <si>
    <t>Building Joint Use Scheduling Type</t>
  </si>
  <si>
    <t>001853</t>
  </si>
  <si>
    <t>BuildingJointUseSchedulingType</t>
  </si>
  <si>
    <t>Building Joint User Type</t>
  </si>
  <si>
    <t>001854</t>
  </si>
  <si>
    <t>BuildingJointUserType</t>
  </si>
  <si>
    <t>001823</t>
  </si>
  <si>
    <t>Building Mechanical Conveying System Type</t>
  </si>
  <si>
    <t>001802</t>
  </si>
  <si>
    <t>BuildingMechanicalConveyingSystemType</t>
  </si>
  <si>
    <t>Building Mechanical System Type</t>
  </si>
  <si>
    <t>001809</t>
  </si>
  <si>
    <t>BuildingMechanicalSystemType</t>
  </si>
  <si>
    <t>Building Net Area of Instructional Space</t>
  </si>
  <si>
    <t>001857</t>
  </si>
  <si>
    <t>Building Number of Stories</t>
  </si>
  <si>
    <t>001785</t>
  </si>
  <si>
    <t>Building Number of Teaching Stations</t>
  </si>
  <si>
    <t>001858</t>
  </si>
  <si>
    <t>001824</t>
  </si>
  <si>
    <t>001825</t>
  </si>
  <si>
    <t>The outdoor space located, designed, furnished, and equipped primarily for recreation, play and outdoor environmental education.</t>
  </si>
  <si>
    <t>001826</t>
  </si>
  <si>
    <t>Building Performing Arts Specialty Space Type</t>
  </si>
  <si>
    <t>001827</t>
  </si>
  <si>
    <t>BuildingPerformingArtsSpecialtySpaceType</t>
  </si>
  <si>
    <t>Building Plumbing System Type</t>
  </si>
  <si>
    <t>001803</t>
  </si>
  <si>
    <t>BuildingPlumbingSystemType</t>
  </si>
  <si>
    <t>Building Primary Use Type</t>
  </si>
  <si>
    <t>The primary use type of the building in which a school is located.</t>
  </si>
  <si>
    <t>001777</t>
  </si>
  <si>
    <t>BuildingPrimaryUseType</t>
  </si>
  <si>
    <t>Building Public Use Policy Description</t>
  </si>
  <si>
    <t>001859</t>
  </si>
  <si>
    <t>BuildingPublicUsePolicyDescription</t>
  </si>
  <si>
    <t>Building School Design Type</t>
  </si>
  <si>
    <t>001828</t>
  </si>
  <si>
    <t>BuildingSchoolDesignType</t>
  </si>
  <si>
    <t>Building Science Specialty Space Type</t>
  </si>
  <si>
    <t>001829</t>
  </si>
  <si>
    <t>BuildingScienceSpecialtySpaceType</t>
  </si>
  <si>
    <t>Building Security System Type</t>
  </si>
  <si>
    <t>001804</t>
  </si>
  <si>
    <t>BuildingSecuritySystemType</t>
  </si>
  <si>
    <t>Building Site Improvement Description</t>
  </si>
  <si>
    <t>001850</t>
  </si>
  <si>
    <t>BuildingSiteImprovementDescription</t>
  </si>
  <si>
    <t>Early Learning -&gt; EL Organization -&gt; Address
Facilities -&gt; Facility -&gt; Address (added)
K12 -&gt; K12 School -&gt; Address
K12 -&gt; LEA -&gt; Address
K12 -&gt; Organization -&gt; Address
K12 -&gt; SEA -&gt; Address
Postsecondary -&gt; Organization -&gt; Address</t>
  </si>
  <si>
    <t>Building Site Use Restrictions Type</t>
  </si>
  <si>
    <t>001860</t>
  </si>
  <si>
    <t>BuildingSiteUseRestrictionsType</t>
  </si>
  <si>
    <t>Building Space Design Type</t>
  </si>
  <si>
    <t>001831</t>
  </si>
  <si>
    <t>BuildingSpaceDesignType</t>
  </si>
  <si>
    <t>Building Space Utilization Area</t>
  </si>
  <si>
    <t>001861</t>
  </si>
  <si>
    <t>BuildingSpaceUtilizationArea</t>
  </si>
  <si>
    <t>Building Special Education Specialty Space Type</t>
  </si>
  <si>
    <t>001832</t>
  </si>
  <si>
    <t>BuildingSpecialEducationSpecialtySpaceType</t>
  </si>
  <si>
    <t>Building Student Support Space Type</t>
  </si>
  <si>
    <t>001833</t>
  </si>
  <si>
    <t>BuildingStudentSupportSpaceType</t>
  </si>
  <si>
    <t>Building System Type</t>
  </si>
  <si>
    <t>001811</t>
  </si>
  <si>
    <t>BuildingSystemType</t>
  </si>
  <si>
    <t>Building Technology Wiring System Type</t>
  </si>
  <si>
    <t>001807</t>
  </si>
  <si>
    <t>BuildingTechnologyWiringSystemType</t>
  </si>
  <si>
    <t>Building Unassigned Space Indicator</t>
  </si>
  <si>
    <t>001863</t>
  </si>
  <si>
    <t>BuildingUnassignedSpaceIndicator</t>
  </si>
  <si>
    <t>Building Vertical Transportation System Type</t>
  </si>
  <si>
    <t>001812</t>
  </si>
  <si>
    <t>BuildingVerticalTransportationSystemType</t>
  </si>
  <si>
    <t>Building Year Built</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</si>
  <si>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</si>
  <si>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</si>
  <si>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</si>
  <si>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</si>
  <si>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</si>
  <si>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A type of scheduled or unscheduled calendar event.</t>
  </si>
  <si>
    <t>Campus Status</t>
  </si>
  <si>
    <t>The generalized use or control of a campus, independent of program type.</t>
  </si>
  <si>
    <t>001778</t>
  </si>
  <si>
    <t>CampusStatus</t>
  </si>
  <si>
    <t>Campus Type</t>
  </si>
  <si>
    <t>The primary purpose for which a campus is designed and/or used.</t>
  </si>
  <si>
    <t>001897</t>
  </si>
  <si>
    <t>CampusType</t>
  </si>
  <si>
    <t>Adult Education -&gt; AE Student -&gt; Program Participation
Adult Education -&gt; Course Section
Adult Education -&gt; Program
Career and Technical -&gt; Course Section
Career and Technical -&gt; CTE Student -&gt; Program Participation
Career and Technical -&gt; Program
Credential
K12 -&gt; Course Section
K12 -&gt; K12 Course
Learning Resources -&gt; Learning Resource</t>
  </si>
  <si>
    <t>K12 -&gt; K12 Student -&gt; CTE
Postsecondary -&gt; PS Student -&gt; CTE</t>
  </si>
  <si>
    <t>K12 -&gt; K12 School -&gt; Directory -&gt; Charter School Authorizer</t>
  </si>
  <si>
    <t>Added usage note per CIID Generate feedback.</t>
  </si>
  <si>
    <t>When the element is used for an LEA, it means the LEA is a Charter District meaning any and all schools under the authority of the LEA are charter schools. Don't flag an LEA as a charter district if it has a mix of charter schools and non-charter schools.</t>
  </si>
  <si>
    <t>Indicates that the child demonstrates progress in positive social-emotional skills, including social relationships.</t>
  </si>
  <si>
    <t>Indicates that the child demonstrates progress in acquisition and use of knowledge and skills, including early language/communication.</t>
  </si>
  <si>
    <t>Adult Education -&gt; Course Section
Career and Technical -&gt; Course Section
Early Learning -&gt; EL Class/Group
K12 -&gt; Course Section</t>
  </si>
  <si>
    <t>Adult Education -&gt; Course Section
Career and Technical -&gt; Course Section
K12 -&gt; Course Section</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</si>
  <si>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</si>
  <si>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</si>
  <si>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Adult Education -&gt; AE Student -&gt; Academic Record -&gt; Academic Award
Adult Education -&gt; Course Section -&gt; Course
Career and Technical -&gt; Course Section -&gt; Course
Career and Technical -&gt; CTE Student -&gt; Academic Record -&gt; Academic Award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</si>
  <si>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Adult Education -&gt; Course Section
Adult Education -&gt; Course Section -&gt; Staff
Career and Technical -&gt; Course Section
Career and Technical -&gt; Course Section -&gt; Staff
K12 -&gt; Course Section
K12 -&gt; Course Section -&gt; Staff
K12 -&gt; K12 Staff -&gt; Assignment</t>
  </si>
  <si>
    <t>Competency Association Connection Citation</t>
  </si>
  <si>
    <t>Competencies -&gt; Competency Item -&gt; Competency Association</t>
  </si>
  <si>
    <t>Changes toward common naming throughout the Credentials Ecosystem Mapping community</t>
  </si>
  <si>
    <t>CompetencyAssociationConnectionCitation</t>
  </si>
  <si>
    <t>Competency Association Destination Node Name</t>
  </si>
  <si>
    <t>Name of the destination node when the Competency Association is used as a connector in a learning map.</t>
  </si>
  <si>
    <t>CompetencyAssociationDestinationNodeName</t>
  </si>
  <si>
    <t>Competency Association Destination Node URI</t>
  </si>
  <si>
    <t>URI of the destination node when the Competency Association is used as a connector in a learning map.</t>
  </si>
  <si>
    <t>CompetencyAssociationDestinationNodeURI</t>
  </si>
  <si>
    <t>Competency Association Identifier URI</t>
  </si>
  <si>
    <t>A URI that establishes uniqueness of an association between a competency item and another competency item or other objects such as learning resources.</t>
  </si>
  <si>
    <t>Assessments -&gt; Competencies -&gt; Competency Item -&gt; Competency Association
Competencies -&gt; Competency Item -&gt; Competency Association
Learning Resources -&gt; Learning Resource</t>
  </si>
  <si>
    <t>CompetencyAssociationIdentifierURI</t>
  </si>
  <si>
    <t>Competency Association Origin Node Name</t>
  </si>
  <si>
    <t>Name of the origin node when the Competency Association is used as a connector in a learning map.</t>
  </si>
  <si>
    <t>CompetencyAssociationOriginNodeName</t>
  </si>
  <si>
    <t>Competency Association Origin Node URI</t>
  </si>
  <si>
    <t>URI of the origin node when the Competency Association is used as a connector in a learning map.</t>
  </si>
  <si>
    <t>CompetencyAssociationOriginNodeURI</t>
  </si>
  <si>
    <t>Competency Association Type</t>
  </si>
  <si>
    <t>Defines the nature of the association between a Competency Item and an associated data object such as a Learning Resource, an Assessment Item, or even another Learning Standard Competency Framework Item.</t>
  </si>
  <si>
    <t>Changes toward common naming throughout the Credentials Ecosystem Mapping community, internal note(definition correction, added space between Learning and Standard)</t>
  </si>
  <si>
    <t>CompetencyAssociationType</t>
  </si>
  <si>
    <t>Competency Association Weight</t>
  </si>
  <si>
    <t>CompetencyAssociationWeight</t>
  </si>
  <si>
    <t>Competency Framework Creator</t>
  </si>
  <si>
    <t>The person or organization chiefly responsible for the intellectual content of the competency framework.</t>
  </si>
  <si>
    <t>Assessments -&gt; Competencies -&gt; Competency Framework
Competencies -&gt; Competency Framework</t>
  </si>
  <si>
    <t>CompetencyFrameworkCreator</t>
  </si>
  <si>
    <t>Competency Framework Description</t>
  </si>
  <si>
    <t>A textual description of the scope and contents of the competency framework.</t>
  </si>
  <si>
    <t>CompetencyFrameworkDescription</t>
  </si>
  <si>
    <t>Competency Framework Identifier URI</t>
  </si>
  <si>
    <t>An unambiguous reference to the competency framework using a network-resolvable URI.</t>
  </si>
  <si>
    <t>Assessments -&gt; Competencies -&gt; Competency Framework
Assessments -&gt; Competencies -&gt; Competency Item (added)
Competencies -&gt; Competency Framework
Competencies -&gt; Competency Item (added)</t>
  </si>
  <si>
    <t>CompetencyFrameworkIdentifierURI</t>
  </si>
  <si>
    <t>Competency Framework Jurisdiction</t>
  </si>
  <si>
    <t>CompetencyFrameworkJurisdiction</t>
  </si>
  <si>
    <t>Competency Framework Language</t>
  </si>
  <si>
    <t>The default language of the text used for the content in the competency framework.</t>
  </si>
  <si>
    <t>CompetencyFrameworkLanguage</t>
  </si>
  <si>
    <t>Competency Framework License</t>
  </si>
  <si>
    <t>A legal document giving official permission to do something with the competency framework.</t>
  </si>
  <si>
    <t>CompetencyFrameworkLicense</t>
  </si>
  <si>
    <t>Competency Framework Publication Date</t>
  </si>
  <si>
    <t>Competencies -&gt; Competency Framework</t>
  </si>
  <si>
    <t>CompetencyFrameworkPublicationDate</t>
  </si>
  <si>
    <t>Competency Framework Publication Status</t>
  </si>
  <si>
    <t>The publication status of the competency framework.</t>
  </si>
  <si>
    <t>CompetencyFrameworkPublicationStatus</t>
  </si>
  <si>
    <t>Competency Framework Publisher</t>
  </si>
  <si>
    <t>The entity responsible for making the competency framework available.</t>
  </si>
  <si>
    <t>CompetencyFrameworkPublisher</t>
  </si>
  <si>
    <t>Competency Framework Rights</t>
  </si>
  <si>
    <t>CompetencyFrameworkRights</t>
  </si>
  <si>
    <t>Competency Framework Rights Holder</t>
  </si>
  <si>
    <t>The person or organization owning or managing rights over the competency framework.</t>
  </si>
  <si>
    <t>CompetencyFrameworkRightsHolder</t>
  </si>
  <si>
    <t>Competency Framework Subject</t>
  </si>
  <si>
    <t>The topic or academic subject of the competency framework.</t>
  </si>
  <si>
    <t>CompetencyFrameworkSubject</t>
  </si>
  <si>
    <t>Competency Framework Title</t>
  </si>
  <si>
    <t>The name of the competency framework.</t>
  </si>
  <si>
    <t>CompetencyFrameworkTitle</t>
  </si>
  <si>
    <t>Competency Framework Valid End Date</t>
  </si>
  <si>
    <t>The year, month and day the competency framework was deprecated/replaced by the jurisdiction in which it was intended to apply.</t>
  </si>
  <si>
    <t>CompetencyFrameworkValidEndDate</t>
  </si>
  <si>
    <t>Competency Framework Valid Start Date</t>
  </si>
  <si>
    <t>The year, month and day the competency framework was adopted by the jurisdiction in which it was intended to apply.</t>
  </si>
  <si>
    <t>CompetencyFrameworkValidStartDate</t>
  </si>
  <si>
    <t>Competency Framework Version</t>
  </si>
  <si>
    <t>Defines the revision of the competency framework as a version number or date.</t>
  </si>
  <si>
    <t>CompetencyFrameworkVersion</t>
  </si>
  <si>
    <t>Competency Item Blooms Taxonomy Domain</t>
  </si>
  <si>
    <t>Classification of the Competency Item using Bloom's Taxonomy Domains. </t>
  </si>
  <si>
    <t>Assessments -&gt; Competencies -&gt; Competency Item
Competencies -&gt; Competency Item</t>
  </si>
  <si>
    <t>CompetencyItemBloomsTaxonomyDomain</t>
  </si>
  <si>
    <t>A human-referenceable code designated by the publisher to identify the item in the hierarchy of competency items.</t>
  </si>
  <si>
    <t>Assessments -&gt; Competencies -&gt; Competency Item
Competencies -&gt; Competency Item
K12 -&gt; K12 Student -&gt; Individualized Program -&gt; Goal
K12 -&gt; K12 Student -&gt; Individualized Program -&gt; Progress Report -&gt; Goal</t>
  </si>
  <si>
    <t>CompetencyItemCode</t>
  </si>
  <si>
    <t>Competency Item Concept Keyword</t>
  </si>
  <si>
    <t>The significant topicality of the competency item using free-text keywords and phrases.</t>
  </si>
  <si>
    <t>CompetencyItemConceptKeyword</t>
  </si>
  <si>
    <t>Competency Item Concept Term</t>
  </si>
  <si>
    <t>The topicality of the competency item, e.g. "Pythagorean Theorem" "Trigonometric functions" "Forces and energy" "Scientific method" "Oral history" etc.</t>
  </si>
  <si>
    <t>CompetencyItemConceptTerm</t>
  </si>
  <si>
    <t>Competency Item Current Version Indicator</t>
  </si>
  <si>
    <t>Indicates that this is the most current version of the Competency Item.</t>
  </si>
  <si>
    <t>CompetencyItemCurrentVersionIndicator</t>
  </si>
  <si>
    <t>Competency Item Education Level</t>
  </si>
  <si>
    <t>The education level, grade level or primary instructional level at which a Competency Item is intended.</t>
  </si>
  <si>
    <t>CompetencyItemEducationLevel</t>
  </si>
  <si>
    <t>The globally unique identifier (GUID) issued by the publisher of the competency framework that uniquely identifies the item in the hierarchy of competency items using a RFC 4122 compliant 32-character hexadecimal string, such as 21EC2020-3AEA-1069-A2DD-08002B30309D.</t>
  </si>
  <si>
    <t>CompetencyItemIdentifier</t>
  </si>
  <si>
    <t>Competency Item Language</t>
  </si>
  <si>
    <t>The default language of the text used for the content in the competency item statement.</t>
  </si>
  <si>
    <t>CompetencyItemLanguage</t>
  </si>
  <si>
    <t>Competency Item License</t>
  </si>
  <si>
    <t>The full text or URL reference to a legal document giving official permission to do something with the competency item statement.</t>
  </si>
  <si>
    <t>CompetencyItemLicense</t>
  </si>
  <si>
    <t>Competency Item Multiple Intelligence</t>
  </si>
  <si>
    <t>Classification of the Competency Item using intelligences defined for Howard Earl Gardner's Theory of Multiple Intelligences.</t>
  </si>
  <si>
    <t>CompetencyItemMultipleIntelligence</t>
  </si>
  <si>
    <t>Competency Item Node Accessibility Profile</t>
  </si>
  <si>
    <t>When the Competency Item is used as a node in a learning map, this element supports alternative pathways based on a learner's accessibility profile. The type selected indicates which accessibility profile the node is designed to address.</t>
  </si>
  <si>
    <t>Competencies -&gt; Competency Item</t>
  </si>
  <si>
    <t>CompetencyItemNodeAccessibilityProfile</t>
  </si>
  <si>
    <t>Competency Item Node Name</t>
  </si>
  <si>
    <t>The name or label displayed on the node when this competency item is used in a learning map.</t>
  </si>
  <si>
    <t>CompetencyItemNodeName</t>
  </si>
  <si>
    <t>Competency Item Notes</t>
  </si>
  <si>
    <t>Information about the derivation of a Competency Item Statement.</t>
  </si>
  <si>
    <t>CompetencyItemNotes</t>
  </si>
  <si>
    <t>Competency Item Parent Code</t>
  </si>
  <si>
    <t>A human-referenceable code designated by the publisher to identify the parent item in the hierarchy of competency items.</t>
  </si>
  <si>
    <t>CompetencyItemParentCode</t>
  </si>
  <si>
    <t>Competency Item Parent Identifier</t>
  </si>
  <si>
    <t>The globally unique identifier (GUID) issued by the publisher of the competency framework that uniquely identifies the parent item in the hierarchy of competency items using a RFC 4122 compliant 32-character hexadecimal string, such as 21EC2020-3AEA-1069-A2DD-08002B30309D.</t>
  </si>
  <si>
    <t>CompetencyItemParentIdentifier</t>
  </si>
  <si>
    <t>Competency Item Parent URL</t>
  </si>
  <si>
    <t>A network-resolvable Uniform Resource Locator (URL) pointing to the authoritative reference for the hierarchal parent of the competency item.</t>
  </si>
  <si>
    <t>CompetencyItemParentURL</t>
  </si>
  <si>
    <t>Competency Item Prerequisite Identifier</t>
  </si>
  <si>
    <t>The unique identifier of an immediate prerequisite Competency Item, a competency needed prior to learning this one. (Some items may have no prerequisites others may have one or more prerequisites. This should only be used to represent the immediate predecessors in a competency-based pathway, i.e. not prerequisites of prerequisites.)</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</si>
  <si>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</si>
  <si>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CompetencyItemPrerequisiteIdentifier</t>
  </si>
  <si>
    <t>Competency Item Previous Version Identifier</t>
  </si>
  <si>
    <t>The unique identifier of the previous version of the Competency Item if the statement was modified.</t>
  </si>
  <si>
    <t>CompetencyItemPreviousVersionIdentifier</t>
  </si>
  <si>
    <t>Competency Item Sequence</t>
  </si>
  <si>
    <t>Assessments -&gt; Competencies -&gt; Competency Item</t>
  </si>
  <si>
    <t>CompetencyItemSequence</t>
  </si>
  <si>
    <t>The text of the statement. The textual content that either describes a specific competency or describes a less granular group of competencies within the taxonomy of the competency framework.</t>
  </si>
  <si>
    <t>CompetencyItemStatement</t>
  </si>
  <si>
    <t>Competency Item Testability Type</t>
  </si>
  <si>
    <t>Indicates if the competency described in the Competency Item Statement can be tested using one or more assessment items.</t>
  </si>
  <si>
    <t>CompetencyItemTestabilityType</t>
  </si>
  <si>
    <t>Competency Item Text Complexity Maximum Value</t>
  </si>
  <si>
    <t>The maximum value in the range of text complexity applicable to a language competency item using the scaling system defined by Text Complexity System, e.g. Lexile(tm).</t>
  </si>
  <si>
    <t>CompetencyItemTextComplexityMaximumValue</t>
  </si>
  <si>
    <t>Competency Item Text Complexity Minimum Value</t>
  </si>
  <si>
    <t>The minimum value in the range of text complexity applicable to a language competency item using the scaling system defined by Text Complexity System, e.g. Lexile(tm).</t>
  </si>
  <si>
    <t>CompetencyItemTextComplexityMinimumValue</t>
  </si>
  <si>
    <t>Competency Item Text Complexity System</t>
  </si>
  <si>
    <t>The scaling system used to specify the text complexity of a competency item.</t>
  </si>
  <si>
    <t>CompetencyItemTextComplexitySystem</t>
  </si>
  <si>
    <t>CompetencyItemType</t>
  </si>
  <si>
    <t>Competency Item Type URL</t>
  </si>
  <si>
    <t>The URL defining the class of statement in the structure of statements in the Competency Framework according to a controlled vocabulary.</t>
  </si>
  <si>
    <t>001757</t>
  </si>
  <si>
    <t>CompetencyItemTypeURL</t>
  </si>
  <si>
    <t>Competency Item Typical Age Range</t>
  </si>
  <si>
    <t>CompetencyItemTypicalAgeRange</t>
  </si>
  <si>
    <t>Competency Item URL</t>
  </si>
  <si>
    <t>A network-resolvable Uniform Resource Locator (URL) pointing to the authoritative reference for the competency item.</t>
  </si>
  <si>
    <t>Assessments -&gt; Competencies -&gt; Competency Item
Competencies -&gt; Competency Item
Credential
K12 -&gt; K12 Student -&gt; Individualized Program -&gt; Goal
K12 -&gt; K12 Student -&gt; Individualized Program -&gt; Progress Report -&gt; Goal</t>
  </si>
  <si>
    <t>CompetencyItemURL</t>
  </si>
  <si>
    <t>Competency Item Valid End Date</t>
  </si>
  <si>
    <t>The year, month and day the competency item was deprecated/replaced by the jurisdiction in which it was intended to apply.</t>
  </si>
  <si>
    <t>Assessments -&gt; Competencies -&gt; Competency Framework</t>
  </si>
  <si>
    <t>Changes toward common naming throughout the Credentials Ecosystem Mapping community (internal note: usage note correction, learning was misspelled)</t>
  </si>
  <si>
    <t>When not specified the entity is assumed contain the most current version of the specified learning standard item.</t>
  </si>
  <si>
    <t>CompetencyItemValidEndDate</t>
  </si>
  <si>
    <t>Competency Item Valid Start Date</t>
  </si>
  <si>
    <t>The year, month and day the competency item was adopted by the jurisdiction in which it was intended to apply.</t>
  </si>
  <si>
    <t>CompetencyItemValidStartDate</t>
  </si>
  <si>
    <t>Competency Item Version</t>
  </si>
  <si>
    <t>A label assigned by the publisher indicating the version of the competency framework statement.</t>
  </si>
  <si>
    <t>CompetencyItemVersion</t>
  </si>
  <si>
    <t>Assessments -&gt; Competencies -&gt; Competency Set
Competencies -&gt; Competency Set</t>
  </si>
  <si>
    <t>Component or Fixture Check Date</t>
  </si>
  <si>
    <t>The month, day, and year that the condition of a system, component, equipment, or fixture was checked.</t>
  </si>
  <si>
    <t>Facilities -&gt; Facility -&gt; Condition -&gt; Component Or Fixture (added)</t>
  </si>
  <si>
    <t>001898</t>
  </si>
  <si>
    <t>Component or Fixture Scheduled Serviced Date</t>
  </si>
  <si>
    <t>001900</t>
  </si>
  <si>
    <t>Component or Fixture Serviced Date</t>
  </si>
  <si>
    <t>The month, day, and year a system, component, equipment, or fixture was serviced for repair or routine maintenance.</t>
  </si>
  <si>
    <t>001899</t>
  </si>
  <si>
    <t>Component or Fixture Useful Life</t>
  </si>
  <si>
    <t>001901</t>
  </si>
  <si>
    <t>The date the consent to evaluation occurred.</t>
  </si>
  <si>
    <t>K12 -&gt; K12 Student -&gt; Individualized Program -&gt; Eligibility -&gt; Authorization</t>
  </si>
  <si>
    <t>001727</t>
  </si>
  <si>
    <t>ConsentToEvaluationDate</t>
  </si>
  <si>
    <t>Indication parent agreed to evaluate student.</t>
  </si>
  <si>
    <t>001726</t>
  </si>
  <si>
    <t>ConsentToEvaluationIndicator</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</si>
  <si>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</si>
  <si>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</si>
  <si>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</si>
  <si>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</si>
  <si>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</si>
  <si>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</si>
  <si>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Contact -&gt; Address
Early Learning -&gt; EL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</si>
  <si>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Early Learning -&gt; EL Organization -&gt; Address
Early Learning -&gt; EL Organization -&gt; Contact -&gt; Address
Facilities -&gt; Facility -&gt; Address (added)
K12 -&gt; K12 School -&gt; Address
K12 -&gt; LEA -&gt; Address
K12 -&gt; Organization -&gt; Address
K12 -&gt; Organization -&gt; Contact -&gt; Address
Postsecondary -&gt; Organization -&gt; Address
Postsecondary -&gt; Organization -&gt; Contact -&gt; Address
Postsecondary -&gt; PS Institution -&gt; Address
Postsecondary -&gt; PS Student -&gt; K12 Transcript</t>
  </si>
  <si>
    <t>Integer - 5 digits with leading zeros</t>
  </si>
  <si>
    <t>Adult Education -&gt; Course Section -&gt; Enrollment
Career and Technical -&gt; Course Section -&gt; Enrollment
Postsecondary -&gt; Course Section -&gt; Enrollment</t>
  </si>
  <si>
    <t>Adult Education -&gt; Course Section
Career and Technical -&gt; Course Section
Postsecondary -&gt; Course Section</t>
  </si>
  <si>
    <t>Integer - 2 digits with leading zeros</t>
  </si>
  <si>
    <t>Adult Education -&gt; Course Section -&gt; Enrollment -&gt; Student Course Section Mark
Career and Technical -&gt; Course Section -&gt; Enrollment -&gt; Student Course Section Mark
Postsecondary -&gt; Course Section -&gt; Enrollment -&gt; Student Course Section Mark</t>
  </si>
  <si>
    <t>Adult Education -&gt; Course Section -&gt; Course
Career and Technical -&gt; Course
Career and Technical -&gt; Course Section -&gt; Course
K12 -&gt; Course Section -&gt; Course
K12 -&gt; K12 Course
K12 -&gt; K12 Student -&gt; Academic Record
K12 -&gt; K12 Student -&gt; Graduation Plan -&gt; Course</t>
  </si>
  <si>
    <t>Adult Education -&gt; Course Section -&gt; Course
Career and Technical -&gt; Course
Career and Technical -&gt; Course Section -&gt; Course
Early Learning -&gt; EL Staff -&gt; Professional Development
K12 -&gt; K12 Course
Postsecondary -&gt; Course Section -&gt; Course</t>
  </si>
  <si>
    <t>Adult Education -&gt; Course Section -&gt; Course
Career and Technical -&gt; Course
Career and Technical -&gt; Course Section -&gt; Course
K12 -&gt; Course Section -&gt; Course
K12 -&gt; K12 Course
K12 -&gt; K12 Student -&gt; Academic Record</t>
  </si>
  <si>
    <t>Adult Education -&gt; Course Section
Career and Technical -&gt; Course
Career and Technical -&gt; Course Section
K12 -&gt; Course Section
K12 -&gt; K12 Course
Postsecondary -&gt; Course Section</t>
  </si>
  <si>
    <t>Adult Education -&gt; Course Section
Career and Technical -&gt; Course Section
K12 -&gt; Course Section (added)
Postsecondary -&gt; Course Section</t>
  </si>
  <si>
    <t>Adult Education -&gt; AE Student -&gt; Course
Adult Education -&gt; Course Section
Career and Technical -&gt; Course Section
Postsecondary -&gt; Course Section</t>
  </si>
  <si>
    <t>Adult Education -&gt; Course Section
Career and Technical -&gt; Course Section
K12 -&gt; K12 Student -&gt; Academic Record
Postsecondary -&gt; Course Section</t>
  </si>
  <si>
    <t>Course Repeatability Maximum Number</t>
  </si>
  <si>
    <t>The maximum number of times the course may be taken or completed for credit.</t>
  </si>
  <si>
    <t>001667</t>
  </si>
  <si>
    <t>CourseRepeatabilityMaximumNumber</t>
  </si>
  <si>
    <t>Adult Education -&gt; Course Section -&gt; Course
Career and Technical -&gt; Course Section -&gt; Course
K12 -&gt; Course Section -&gt; Course</t>
  </si>
  <si>
    <t>Credential Advanced Standing Description</t>
  </si>
  <si>
    <t>A description of a credential that reduced the time or cost of attaining this credential.</t>
  </si>
  <si>
    <t>Credential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</si>
  <si>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</si>
  <si>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</si>
  <si>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</si>
  <si>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</si>
  <si>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</si>
  <si>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</si>
  <si>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Alternate Name</t>
  </si>
  <si>
    <t>An alias for the credential, which may include acronyms, alpha-numeric notations, and other forms of name abbreviations in common use such as PhD, MA, and BA.</t>
  </si>
  <si>
    <t>001736</t>
  </si>
  <si>
    <t>CredentialAlternateName</t>
  </si>
  <si>
    <t>Credential Assessment Method Type</t>
  </si>
  <si>
    <t>The method used to conduct the assessment being referenced.</t>
  </si>
  <si>
    <t>001738</t>
  </si>
  <si>
    <t>CredentialAssessmentMethodType</t>
  </si>
  <si>
    <t>Credential Award Approver Name</t>
  </si>
  <si>
    <t>Pronouncement of a favorable judgment by the agent being referenced.</t>
  </si>
  <si>
    <t>001737</t>
  </si>
  <si>
    <t>CredentialAwardApproverName</t>
  </si>
  <si>
    <t>Credential Award Evidence URL</t>
  </si>
  <si>
    <t>A URL to a page that describes the evidence that the learner met the criteria for attainment of the credential award.</t>
  </si>
  <si>
    <t>001669</t>
  </si>
  <si>
    <t>CredentialAwardEvidenceURL</t>
  </si>
  <si>
    <t>Credential Award Issuer Name</t>
  </si>
  <si>
    <t>CredentialAwardIssuerName</t>
  </si>
  <si>
    <t>Credential Award Issuer Origin URL</t>
  </si>
  <si>
    <t>CredentialAwardIssuerOriginURL</t>
  </si>
  <si>
    <t>Credential Category System</t>
  </si>
  <si>
    <t>CredentialCategorySystem</t>
  </si>
  <si>
    <t>Credential Category Type</t>
  </si>
  <si>
    <t>CredentialCategoryType</t>
  </si>
  <si>
    <t>Credential Completion Date</t>
  </si>
  <si>
    <t>The date on which the person's requirements for earning a credential were met or completed.</t>
  </si>
  <si>
    <t>001664</t>
  </si>
  <si>
    <t>CredentialCompletionDate</t>
  </si>
  <si>
    <t>Credential Criteria</t>
  </si>
  <si>
    <t>CredentialCriteria</t>
  </si>
  <si>
    <t>Credential Criteria URL</t>
  </si>
  <si>
    <t>CredentialCriteriaURL</t>
  </si>
  <si>
    <t>CredentialDescription</t>
  </si>
  <si>
    <t>Credential End Date</t>
  </si>
  <si>
    <t>Credential
Credential -&gt; Credential Award</t>
  </si>
  <si>
    <t>CredentialEndDate</t>
  </si>
  <si>
    <t>Credential Estimated Duration</t>
  </si>
  <si>
    <t>The estimated amount of time in minutes it will take to earn the credential.</t>
  </si>
  <si>
    <t>001741</t>
  </si>
  <si>
    <t>CredentialEstimatedDuration</t>
  </si>
  <si>
    <t>Credential Evidence Statement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</si>
  <si>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</si>
  <si>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CredentialEvidenceStatement</t>
  </si>
  <si>
    <t>Credential Identifier</t>
  </si>
  <si>
    <t>A globally unique identifier by which the creator/owner/provider of a credential recognizes the achievement in transactions with the external environment.</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</si>
  <si>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</si>
  <si>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001658</t>
  </si>
  <si>
    <t>CredentialIdentifier</t>
  </si>
  <si>
    <t>Credential Identifier System</t>
  </si>
  <si>
    <t>A coding scheme that is used for identification and record-keeping purposes by a credentialing organizations to refer to an achievement.</t>
  </si>
  <si>
    <t>001739</t>
  </si>
  <si>
    <t>CredentialIdentifierSystem</t>
  </si>
  <si>
    <t>Credential Image URL</t>
  </si>
  <si>
    <t>CredentialImageURL</t>
  </si>
  <si>
    <t>Credential Intended Purpose Type</t>
  </si>
  <si>
    <t>The intended type of application of the credential by the holder.</t>
  </si>
  <si>
    <t>001749</t>
  </si>
  <si>
    <t>CredentialIntendedPurposeType</t>
  </si>
  <si>
    <t>Credential Issuer Revocation List URL</t>
  </si>
  <si>
    <t>The URL to a document that describes credential award assertion an issuer has revoked.</t>
  </si>
  <si>
    <t>Postsecondary -&gt; Organization
Postsecondary -&gt; PS Institution</t>
  </si>
  <si>
    <t>See OpenBadges standard example http://openbadges.github.io/openbadges-specification/#RevocationList</t>
  </si>
  <si>
    <t>001662</t>
  </si>
  <si>
    <t>CredentialIssuerRevocationListURL</t>
  </si>
  <si>
    <t>Credential Jurisdiction Region</t>
  </si>
  <si>
    <t>The geo-political region in which the credential is applicable.</t>
  </si>
  <si>
    <t>GeoJSON</t>
  </si>
  <si>
    <t>http://geojson.org/geojson-spec.html#polygon</t>
  </si>
  <si>
    <t>001743</t>
  </si>
  <si>
    <t>CredentialJurisdictionRegion</t>
  </si>
  <si>
    <t>Credential Jurisdiction Region Exception</t>
  </si>
  <si>
    <t>A geo-political region in which the credential does not apply.</t>
  </si>
  <si>
    <t>001744</t>
  </si>
  <si>
    <t>CredentialJurisdictionRegionException</t>
  </si>
  <si>
    <t>Credential Keywords</t>
  </si>
  <si>
    <t>Keywords or key phrases describing aspects of a credential considered useful for its discovery.</t>
  </si>
  <si>
    <t>001745</t>
  </si>
  <si>
    <t>CredentialKeywords</t>
  </si>
  <si>
    <t>Credential Maximum Duration</t>
  </si>
  <si>
    <t>The maximum amount of time in minutes it will take to earn the described credential.</t>
  </si>
  <si>
    <t>001746</t>
  </si>
  <si>
    <t>CredentialMaximumDuration</t>
  </si>
  <si>
    <t>Credential Minimum Age</t>
  </si>
  <si>
    <t>The minimum allowed age in years at which a person is eligible for the credential.</t>
  </si>
  <si>
    <t>001747</t>
  </si>
  <si>
    <t>CredentialMinimumAge</t>
  </si>
  <si>
    <t>Credential Minimum Duration</t>
  </si>
  <si>
    <t>The minimum amount of time in minutes it will take to earn the described credential.</t>
  </si>
  <si>
    <t>001748</t>
  </si>
  <si>
    <t>CredentialMinimumDuration</t>
  </si>
  <si>
    <t>Credential NAICS Industry Type</t>
  </si>
  <si>
    <t>The North American Industry Classification System (NAICS) class identifier for an industry associated with the credential.</t>
  </si>
  <si>
    <t>Integer - exactly 6 digits</t>
  </si>
  <si>
    <t>001742</t>
  </si>
  <si>
    <t>CredentialNAICSIndustryType</t>
  </si>
  <si>
    <t>Credential Revoked Date</t>
  </si>
  <si>
    <t>The date on which credential award was revoked.</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</si>
  <si>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</si>
  <si>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</si>
  <si>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</si>
  <si>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</si>
  <si>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</si>
  <si>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</si>
  <si>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</si>
  <si>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</si>
  <si>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</si>
  <si>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</si>
  <si>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</si>
  <si>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Start Date</t>
  </si>
  <si>
    <t>CredentialStartDate</t>
  </si>
  <si>
    <t>Credential Status Type</t>
  </si>
  <si>
    <t>The status of the credential offered by a credentialing organization.</t>
  </si>
  <si>
    <t>001740</t>
  </si>
  <si>
    <t>CredentialStatusType</t>
  </si>
  <si>
    <t>Credential Title</t>
  </si>
  <si>
    <t>CredentialTitle</t>
  </si>
  <si>
    <t>Career and Technical -&gt; CTE Staff -&gt; Credential or License
Early Learning -&gt; EL Staff -&gt; Credential or License
K12 -&gt; K12 Staff -&gt; Credential or License
Postsecondary -&gt; PS Staff -&gt; Credential or License</t>
  </si>
  <si>
    <t>Credential Validation Method Description</t>
  </si>
  <si>
    <t>Description of the methods used to evaluate the validity and reliability of a credential earned by a person.</t>
  </si>
  <si>
    <t>001752</t>
  </si>
  <si>
    <t>CredentialValidationMethodDescription</t>
  </si>
  <si>
    <t>Credential Verification Type</t>
  </si>
  <si>
    <t>A resource describing the means by which someone can verify whether a credential has been attained by a person.</t>
  </si>
  <si>
    <t>001753</t>
  </si>
  <si>
    <t>CredentialVerificationType</t>
  </si>
  <si>
    <t>Credential Version</t>
  </si>
  <si>
    <t>An alphanumeric identifier of a version of the credential being described that is unique within the organizational context.</t>
  </si>
  <si>
    <t>001754</t>
  </si>
  <si>
    <t>CredentialVersion</t>
  </si>
  <si>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</si>
  <si>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Credit Unit Type</t>
  </si>
  <si>
    <t>Adult Education -&gt; Course Section -&gt; Course
Career and Technical -&gt; Course
Career and Technical -&gt; Course Section -&gt; Course
Credential -&gt; Credential Award
K12 -&gt; Course Section -&gt; Course
K12 -&gt; K12 Student -&gt; Academic Record</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</si>
  <si>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</si>
  <si>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</si>
  <si>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</si>
  <si>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Credential -&gt; Credential Award
K12 -&gt; K12 Course
K12 -&gt; K12 Student -&gt; Graduation Plan -&gt; Course
Postsecondary -&gt; Course Section -&gt; Course</t>
  </si>
  <si>
    <t>CreditValue</t>
  </si>
  <si>
    <t>CTDL Organization Type</t>
  </si>
  <si>
    <t>The type of credentialing organization or entity as defined by the Credential Transparency Description Language.</t>
  </si>
  <si>
    <t>Credential -&gt; Credential Award -&gt; Credential Issuer
Credential -&gt; Credential Creator</t>
  </si>
  <si>
    <t>Includes free-standing medical, law or other first-professional schools, schools that offer postbaccalaureate certificates only, those that offer graduate programs only, etc.</t>
  </si>
  <si>
    <t>001755</t>
  </si>
  <si>
    <t>CTDLOrganizationType</t>
  </si>
  <si>
    <t>Early Learning -&gt; EL Class/Group
Early Learning -&gt; EL Organization -&gt; Directory</t>
  </si>
  <si>
    <t>Declined Services Date</t>
  </si>
  <si>
    <t>The date recommended services were declined.</t>
  </si>
  <si>
    <t>K12 -&gt; K12 Student -&gt; Individualized Program -&gt; Services</t>
  </si>
  <si>
    <t>001712</t>
  </si>
  <si>
    <t>DeclinedServicesDate</t>
  </si>
  <si>
    <t>Adult Education -&gt; AE Staff -&gt; Education
Career and Technical -&gt; CTE Student -&gt; Academic Record
Early Learning -&gt; EL Staff -&gt; Education
K12 -&gt; K12 Staff -&gt; Education</t>
  </si>
  <si>
    <t>Early Learning -&gt; EL Child -&gt; Health -&gt; Insurance
Early Learning -&gt; Parent/Guardian -&gt; Insurance
K12 -&gt; K12 Student -&gt; Health -&gt; Insurance</t>
  </si>
  <si>
    <t>Early Learning -&gt; EL Child -&gt; Health -&gt; Dental
K12 -&gt; K12 Student -&gt; Health -&gt; Dental</t>
  </si>
  <si>
    <t>Adult Education -&gt; Course Section
Career and Technical -&gt; Course Section
Postsecondary -&gt; Course Section
Postsecondary -&gt; PS Student -&gt; Institution Enrollment</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</si>
  <si>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</si>
  <si>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Career and Technical -&gt; CTE Student -&gt; Disability
Early Learning -&gt; EL Child -&gt; Disability
K12 -&gt; K12 Student -&gt; Disability
Postsecondary -&gt; PS Student -&gt; Disability</t>
  </si>
  <si>
    <t>Adult Education -&gt; AE Student -&gt; Disability
Career and Technical -&gt; CTE Student -&gt; Disability
Early Learning -&gt; EL Child -&gt; Disability
K12 -&gt; K12 Student -&gt; Disability
Postsecondary -&gt; PS Student -&gt; Disability</t>
  </si>
  <si>
    <t>Adult Education -&gt; AE Student -&gt; Disability
Career and Technical -&gt; CTE Student -&gt; Disability
Early Learning -&gt; EL Child -&gt; Disability
K12 -&gt; K12 Student -&gt; Disability
K12 -&gt; K12 Student -&gt; Individualized Program -&gt; Eligibility -&gt; Determination
Postsecondary -&gt; PS Student -&gt; Disability</t>
  </si>
  <si>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</si>
  <si>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Duration Length in Minutes</t>
  </si>
  <si>
    <t>The number of minutes in an instance.</t>
  </si>
  <si>
    <t>001716</t>
  </si>
  <si>
    <t>DurationLengthinMinutes</t>
  </si>
  <si>
    <t>Early Learning -&gt; EL Class/Group</t>
  </si>
  <si>
    <t>Early Learning -&gt; EL Class/Group
Early Learning -&gt; EL Organization -&gt; Organization Information</t>
  </si>
  <si>
    <t>Integer - between 0 and 52</t>
  </si>
  <si>
    <t>Early Learning -&gt; EL Staff -&gt; Professional Development -&gt; Instructor
Early Learning -&gt; EL Staff -&gt; Professional Development Activity -&gt; Session
K12 -&gt; K12 Staff -&gt; Professional Development -&gt; Instructor</t>
  </si>
  <si>
    <t>Adult Education -&gt; AE Staff -&gt; Education
Early Learning -&gt; EL Staff -&gt; Education
K12 -&gt; K12 Staff -&gt; Education</t>
  </si>
  <si>
    <t>Adult Education -&gt; AE Staff -&gt; Contact -&gt; Email
Adult Education -&gt; AE Student -&gt; Contact -&gt; Email
Career and Technical -&gt; CTE Staff -&gt; Contact -&gt; Email
Career and Technical -&gt; CTE Student -&gt; Contact -&gt; Email
Early Learning -&gt; EL Organization -&gt; Contact -&gt; Email
Early Learning -&gt; EL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Student -&gt; Contact -&gt; Email
Workforce -&gt; Workforce Program Participant -&gt; Contact -&gt; Email</t>
  </si>
  <si>
    <t>Alphanumeric - between 7 and 128 characters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</si>
  <si>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</si>
  <si>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</si>
  <si>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</si>
  <si>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</si>
  <si>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</si>
  <si>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</si>
  <si>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</si>
  <si>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</si>
  <si>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</si>
  <si>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</si>
  <si>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</si>
  <si>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</si>
  <si>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</si>
  <si>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Adult Education -&gt; AE Student -&gt; Employment
Credential
K12 -&gt; K12 Student -&gt; Employment
Postsecondary -&gt; PS Student -&gt; Employment
Workforce -&gt; Quarterly Employment Record
Workforce -&gt; Workforce Program Participant -&gt; Employment</t>
  </si>
  <si>
    <t>English Learner Entry Date</t>
  </si>
  <si>
    <t>The year, month and day a student classified as an English Learner entered the English Learner program.</t>
  </si>
  <si>
    <t>K12 -&gt; K12 Student -&gt; English Learner</t>
  </si>
  <si>
    <t>Changed name, definition, and DES category to reflect LEP change to English Learner in Section 8101(20) of the ESEA, as amended by the ESSA</t>
  </si>
  <si>
    <t>EnglishLearnerExitDate</t>
  </si>
  <si>
    <t>English Learner Exit Date</t>
  </si>
  <si>
    <t>The year, month and day a student classified as an English Learner exited the English Learner program.</t>
  </si>
  <si>
    <t>EnglishLearnerEntryDate</t>
  </si>
  <si>
    <t>English Learner Status</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</si>
  <si>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</si>
  <si>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Early Learning -&gt; EL Child -&gt; Disability
K12 -&gt; K12 Student -&gt; English Learner</t>
  </si>
  <si>
    <t>Changed name, definition, DES category, and added usage note to reflect LEP change to English Learner in Section 8101(20) of the ESEA, as amended by the ESSA</t>
  </si>
  <si>
    <t>To be classified as an English learner, an individual must be A, B, and (C or D). For C, an individual can be i, ii, or iii. If C-ii, the individual must be I and II. For D, an individual must be denied i or ii or iii and must be determined by a valid assessment.</t>
  </si>
  <si>
    <t>EnglishLearnerStatus</t>
  </si>
  <si>
    <t>Early Learning -&gt; EL Child -&gt; Enrollment
Early Learning -&gt; EL Child -&gt; Program
K12 -&gt; K12 Student -&gt; Program</t>
  </si>
  <si>
    <t>Facilities -&gt; Facility -&gt; Identification (added)
K12 -&gt; LEA -&gt; Directory</t>
  </si>
  <si>
    <t>001871</t>
  </si>
  <si>
    <t>FacilitiesManagementEmergencyType</t>
  </si>
  <si>
    <t>Facilities Mandate Authority Type</t>
  </si>
  <si>
    <t>001885</t>
  </si>
  <si>
    <t>FacilitiesMandateAuthorityType</t>
  </si>
  <si>
    <t>Facilities Plan Description</t>
  </si>
  <si>
    <t>001882</t>
  </si>
  <si>
    <t>FacilitiesPlanDescription</t>
  </si>
  <si>
    <t>001883</t>
  </si>
  <si>
    <t>FacilitiesPlanType</t>
  </si>
  <si>
    <t>Facility Acquisition Date</t>
  </si>
  <si>
    <t>001768</t>
  </si>
  <si>
    <t>FacilityAcquisitionDate</t>
  </si>
  <si>
    <t>Facility Addition Year</t>
  </si>
  <si>
    <t>001769</t>
  </si>
  <si>
    <t>FacilityAdditionYear</t>
  </si>
  <si>
    <t>Facility Applicable Federal Mandate Type</t>
  </si>
  <si>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</si>
  <si>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</si>
  <si>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</si>
  <si>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</si>
  <si>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</si>
  <si>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</si>
  <si>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</si>
  <si>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001864</t>
  </si>
  <si>
    <t>FacilityAuditType</t>
  </si>
  <si>
    <t>001774</t>
  </si>
  <si>
    <t>Facility Building Permanency</t>
  </si>
  <si>
    <t>001770</t>
  </si>
  <si>
    <t>FacilityBuildingPermanency</t>
  </si>
  <si>
    <t>001872</t>
  </si>
  <si>
    <t>FacilityCapitalProgramManagementType</t>
  </si>
  <si>
    <t>Facility Census Tract</t>
  </si>
  <si>
    <t>Integer - exactly 11 digits</t>
  </si>
  <si>
    <t>001779</t>
  </si>
  <si>
    <t>FacilityCensusTract</t>
  </si>
  <si>
    <t>Facility Compliance Agency Type</t>
  </si>
  <si>
    <t>001867</t>
  </si>
  <si>
    <t>FacilityComplianceAgencyType</t>
  </si>
  <si>
    <t>Facility Compliance Determination Date</t>
  </si>
  <si>
    <t>001837</t>
  </si>
  <si>
    <t>FacilityComplianceDeterminationDate</t>
  </si>
  <si>
    <t>Facility Compliance Name</t>
  </si>
  <si>
    <t>001838</t>
  </si>
  <si>
    <t>FacilityComplianceName</t>
  </si>
  <si>
    <t>Facility Compliance Status</t>
  </si>
  <si>
    <t>001792</t>
  </si>
  <si>
    <t>FacilityComplianceStatus</t>
  </si>
  <si>
    <t>Facility Component Deficiency Description</t>
  </si>
  <si>
    <t>001839</t>
  </si>
  <si>
    <t>FacilityComponentDeficiencyDescription</t>
  </si>
  <si>
    <t>Facility Component Identification Code</t>
  </si>
  <si>
    <t>001840</t>
  </si>
  <si>
    <t>FacilityComponentIdentificationCode</t>
  </si>
  <si>
    <t>Facility Construction Date</t>
  </si>
  <si>
    <t>001780</t>
  </si>
  <si>
    <t>FacilityConstructionDate</t>
  </si>
  <si>
    <t>Facility Construction Date Type</t>
  </si>
  <si>
    <t>001781</t>
  </si>
  <si>
    <t>FacilityConstructionDateType</t>
  </si>
  <si>
    <t>Facility Construction Material Type</t>
  </si>
  <si>
    <t>001782</t>
  </si>
  <si>
    <t>FacilityConstructionMaterialType</t>
  </si>
  <si>
    <t>Facility Construction Year</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</si>
  <si>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</si>
  <si>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</si>
  <si>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</si>
  <si>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</si>
  <si>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</si>
  <si>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</si>
  <si>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</si>
  <si>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001841</t>
  </si>
  <si>
    <t>Facility Expected Life</t>
  </si>
  <si>
    <t>001783</t>
  </si>
  <si>
    <t>FacilityExpectedLife</t>
  </si>
  <si>
    <t>Facility Federal Mandate Interest Type</t>
  </si>
  <si>
    <t>001797</t>
  </si>
  <si>
    <t>FacilityFederalMandateInterestType</t>
  </si>
  <si>
    <t>Facility Financing Fee Type</t>
  </si>
  <si>
    <t>Facilities -&gt; Facility -&gt; Budget and Finance (added)</t>
  </si>
  <si>
    <t>001886</t>
  </si>
  <si>
    <t>FacilityFinancingFeeType</t>
  </si>
  <si>
    <t>001820</t>
  </si>
  <si>
    <t>FacilityFurnishingsType</t>
  </si>
  <si>
    <t>Facility Hazardous Condition Expected Remediation Date</t>
  </si>
  <si>
    <t>001842</t>
  </si>
  <si>
    <t>FacilityHazardousConditionExpectedRemediationDate</t>
  </si>
  <si>
    <t>Facility Hazardous Materials or Condition Type</t>
  </si>
  <si>
    <t>001874</t>
  </si>
  <si>
    <t>Facility Inspection Score Result Description</t>
  </si>
  <si>
    <t>001846</t>
  </si>
  <si>
    <t>FacilityInspectionScoreResultDescription</t>
  </si>
  <si>
    <t>Facility Inspection Violation Description</t>
  </si>
  <si>
    <t>001847</t>
  </si>
  <si>
    <t>FacilityInspectionViolationDescription</t>
  </si>
  <si>
    <t>Facility Joint Development Type</t>
  </si>
  <si>
    <t>001875</t>
  </si>
  <si>
    <t>FacilityJointDevelopmentType</t>
  </si>
  <si>
    <t>Facility Lease Amount</t>
  </si>
  <si>
    <t>001887</t>
  </si>
  <si>
    <t>FacilityLeaseAmount</t>
  </si>
  <si>
    <t>Facility Lease Amount Category</t>
  </si>
  <si>
    <t>The category of payment that a school must pay to rent the facility that it is in.</t>
  </si>
  <si>
    <t>001888</t>
  </si>
  <si>
    <t>FacilityLeaseAmountCategory</t>
  </si>
  <si>
    <t>Facility Lease Type</t>
  </si>
  <si>
    <t>001889</t>
  </si>
  <si>
    <t>FacilityLeaseType</t>
  </si>
  <si>
    <t>Facility Location of Hazardous Materials</t>
  </si>
  <si>
    <t>001808</t>
  </si>
  <si>
    <t>Facility Maintenance Standard Type</t>
  </si>
  <si>
    <t>001876</t>
  </si>
  <si>
    <t>FacilityMaintenanceStandardType</t>
  </si>
  <si>
    <t>Facility Mortgage Interest Amount</t>
  </si>
  <si>
    <t>001890</t>
  </si>
  <si>
    <t>FacilityMortgageInterestAmount</t>
  </si>
  <si>
    <t>Facility Mortgage Interest Type</t>
  </si>
  <si>
    <t>001891</t>
  </si>
  <si>
    <t>FacilityMortgageInterestType</t>
  </si>
  <si>
    <t>Facility Mortgage Type</t>
  </si>
  <si>
    <t>001892</t>
  </si>
  <si>
    <t>FacilityMortgageType</t>
  </si>
  <si>
    <t>Facility Naturally Occurring Hazard Type</t>
  </si>
  <si>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</si>
  <si>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</si>
  <si>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</si>
  <si>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</si>
  <si>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</si>
  <si>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</si>
  <si>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001873</t>
  </si>
  <si>
    <t>FacilityOperationsManagementType</t>
  </si>
  <si>
    <t>Facility Ownership Indicator</t>
  </si>
  <si>
    <t>Indicates the public or private entity holds legal title to the building and/or site.</t>
  </si>
  <si>
    <t>001906</t>
  </si>
  <si>
    <t>FacilityOwnershipIndicator</t>
  </si>
  <si>
    <t>001784</t>
  </si>
  <si>
    <t>FacilityReplacementValue</t>
  </si>
  <si>
    <t>Facility Site Area</t>
  </si>
  <si>
    <t>001773</t>
  </si>
  <si>
    <t>FacilitySiteArea</t>
  </si>
  <si>
    <t>Facility Site Identifier</t>
  </si>
  <si>
    <t>001786</t>
  </si>
  <si>
    <t>FacilitySiteIdentifier</t>
  </si>
  <si>
    <t>Facility Site Improvement Location Type</t>
  </si>
  <si>
    <t>The type of location of the designed and constructed improvements made to a site.</t>
  </si>
  <si>
    <t>001787</t>
  </si>
  <si>
    <t>FacilitySiteImprovementLocationType</t>
  </si>
  <si>
    <t>Facility Site Outdoor Area Type</t>
  </si>
  <si>
    <t>001830</t>
  </si>
  <si>
    <t>FacilitySiteOutdoorAreaType</t>
  </si>
  <si>
    <t>Facility Standard Type</t>
  </si>
  <si>
    <t>001884</t>
  </si>
  <si>
    <t>FacilityStandardType</t>
  </si>
  <si>
    <t>Facility State or Local Mandate Interest Type</t>
  </si>
  <si>
    <t>001805</t>
  </si>
  <si>
    <t>Facility State or Local Mandate Name</t>
  </si>
  <si>
    <t>001806</t>
  </si>
  <si>
    <t>Facility System or Component Condition</t>
  </si>
  <si>
    <t>001793</t>
  </si>
  <si>
    <t>Facility Total Assessed Value</t>
  </si>
  <si>
    <t>001896</t>
  </si>
  <si>
    <t>FacilityTotalAssessedValue</t>
  </si>
  <si>
    <t>Facility Utility Provider Type</t>
  </si>
  <si>
    <t>001878</t>
  </si>
  <si>
    <t>FacilityUtilityProviderType</t>
  </si>
  <si>
    <t>Facility Utility Type</t>
  </si>
  <si>
    <t>001879</t>
  </si>
  <si>
    <t>FacilityUtilityType</t>
  </si>
  <si>
    <t>Early Learning -&gt; EL Family -&gt; Identification</t>
  </si>
  <si>
    <t>Early Learning -&gt; EL Child -&gt; Finance
Early Learning -&gt; EL Organization -&gt; Finance
K12 -&gt; K12 School -&gt; Federal Funds
K12 -&gt; LEA -&gt; Federal Funds
K12 -&gt; SEA -&gt; Federal Funds</t>
  </si>
  <si>
    <t>Numeric - up to 2 digits before and 3 digits after decimal place</t>
  </si>
  <si>
    <t>Early Learning -&gt; Early Learning Program
K12 -&gt; K12 School -&gt; Federal Funds
K12 -&gt; LEA -&gt; Federal Funds
K12 -&gt; SEA -&gt; Federal Funds</t>
  </si>
  <si>
    <t>Alphanumeric - exactly 6 characters in length</t>
  </si>
  <si>
    <t>K12 -&gt; K12 School -&gt; Finance
K12 -&gt; LEA -&gt; Finance
K12 -&gt; Program -&gt; Finance
K12 -&gt; SEA -&gt; Finance
Postsecondary -&gt; PS Institution -&gt; Finance</t>
  </si>
  <si>
    <t>Financial Account K12 Balance Sheet Code</t>
  </si>
  <si>
    <t>FinancialAccountK12BalanceSheetCode</t>
  </si>
  <si>
    <t>Financial Account K12 Fund Classification</t>
  </si>
  <si>
    <t>FinancialAccountK12FundClassification</t>
  </si>
  <si>
    <t>Financial Account K12 Program Code</t>
  </si>
  <si>
    <t>FinancialAccountK12ProgramCode</t>
  </si>
  <si>
    <t>Financial Account K12 Revenue Code</t>
  </si>
  <si>
    <t>FinancialAccountK12RevenueCode</t>
  </si>
  <si>
    <t>Financial Expenditure K12 Function Code</t>
  </si>
  <si>
    <t>FinancialExpenditureK12FunctionCode</t>
  </si>
  <si>
    <t>Financial Expenditure K12 Level of Instruction Code</t>
  </si>
  <si>
    <t>FinancialExpenditureK12LevelofInstructionCode</t>
  </si>
  <si>
    <t>Financial Expenditure K12 Object Code</t>
  </si>
  <si>
    <t>FinancialExpenditureK12ObjectCode</t>
  </si>
  <si>
    <t>Financial Expenditure K12 Project Reporting Code</t>
  </si>
  <si>
    <t>FinancialExpenditureK12ProjectReportingCode</t>
  </si>
  <si>
    <t>Adult Education -&gt; AE Staff -&gt; Identity -&gt; Name
Adult Education -&gt; AE Student -&gt; Identity -&gt; Name
Assessments -&gt; Assessment Result -&gt; Scorer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</si>
  <si>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Removed per request from ESSA review regarding duplication of the element in Program Participation Exit Date when used with the "Foster Care" option in the Program Type element.</t>
  </si>
  <si>
    <t>Removed per request from ESSA review regarding duplication of the element in Program Participation Start Date when used with the "Foster Care" option in the Program Type element.</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</si>
  <si>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</si>
  <si>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</si>
  <si>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</si>
  <si>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</si>
  <si>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</si>
  <si>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</si>
  <si>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</si>
  <si>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</si>
  <si>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Unit</t>
  </si>
  <si>
    <t>The unit of time by which a cycle is defined.</t>
  </si>
  <si>
    <t>001713</t>
  </si>
  <si>
    <t>FrequencyUnit</t>
  </si>
  <si>
    <t>K12 -&gt; K12 School -&gt; Federal Funds
K12 -&gt; LEA -&gt; Federal Funds</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</si>
  <si>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</si>
  <si>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</si>
  <si>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</si>
  <si>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</si>
  <si>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</si>
  <si>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</si>
  <si>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</si>
  <si>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</si>
  <si>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Assessments -&gt; Goal
Early Learning -&gt; EL Child -&gt; Individualized Program -&gt; Goal
K12 -&gt; K12 Student -&gt; Individualized Program -&gt; Goal
K12 -&gt; K12 Student -&gt; Individualized Program -&gt; Progress Report -&gt; Goal</t>
  </si>
  <si>
    <t>GoalDescription</t>
  </si>
  <si>
    <t>Goal End Date</t>
  </si>
  <si>
    <t>The date on which the goal expires or has been achieved.</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</si>
  <si>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</si>
  <si>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</si>
  <si>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</si>
  <si>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</si>
  <si>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</si>
  <si>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</si>
  <si>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</si>
  <si>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</si>
  <si>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</si>
  <si>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</si>
  <si>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</si>
  <si>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</si>
  <si>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</si>
  <si>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</si>
  <si>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</si>
  <si>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</si>
  <si>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</si>
  <si>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</si>
  <si>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</si>
  <si>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</si>
  <si>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</si>
  <si>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</si>
  <si>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</si>
  <si>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</si>
  <si>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</si>
  <si>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</si>
  <si>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</si>
  <si>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</si>
  <si>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</si>
  <si>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t>001697</t>
  </si>
  <si>
    <t>GoalMeasurementType</t>
  </si>
  <si>
    <t>Goal Start Date</t>
  </si>
  <si>
    <t>The date on which the goal becomes active.</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</si>
  <si>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</si>
  <si>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</si>
  <si>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</si>
  <si>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</si>
  <si>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</si>
  <si>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</si>
  <si>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</si>
  <si>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</si>
  <si>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t>001702</t>
  </si>
  <si>
    <t>GoalStatusType</t>
  </si>
  <si>
    <t>Goal Success Criteria</t>
  </si>
  <si>
    <t>One or more statements that describes the criteria used by teachers and students to check for attainment of a goal.</t>
  </si>
  <si>
    <t>GoalSuccessCriteria</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</si>
  <si>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</si>
  <si>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001844</t>
  </si>
  <si>
    <t>HazardousMaterialOrConditionDescription</t>
  </si>
  <si>
    <t>001845</t>
  </si>
  <si>
    <t>HazardousMaterialOrConditionTestingDate</t>
  </si>
  <si>
    <t>Early Learning -&gt; EL Child -&gt; Health -&gt; Hearing
K12 -&gt; K12 Student -&gt; Health -&gt; Hearing</t>
  </si>
  <si>
    <t>Adult Education -&gt; Course Section -&gt; Course
Career and Technical -&gt; Course
Career and Technical -&gt; Course Section -&gt; Course
K12 -&gt; Course Section -&gt; Course
K12 -&gt; K12 Course
K12 -&gt; K12 Student -&gt; Graduation Plan -&gt; Course</t>
  </si>
  <si>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</si>
  <si>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</si>
  <si>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Adult Education -&gt; AE Staff -&gt; Credential
Adult Education -&gt; AE Staff -&gt; Education
Adult Education -&gt; AE Student -&gt; Academic Record
Early Learning -&gt; EL Staff -&gt; Education
Early Learning -&gt; Parent/Guardian -&gt; Education
K12 -&gt; K12 Staff -&gt; Credential or License
K12 -&gt; K12 Staff -&gt; Education</t>
  </si>
  <si>
    <t>IDEA Disability Type</t>
  </si>
  <si>
    <t>A category of disability that describes a person’s impairment defined by the Individuals with Disabilities Education Act.</t>
  </si>
  <si>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</si>
  <si>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</si>
  <si>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</si>
  <si>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</si>
  <si>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Early Learning -&gt; EL Child -&gt; Disability
Early Learning -&gt; EL Child -&gt; Enrollment
K12 -&gt; K12 Student -&gt; Individualized Program
K12 -&gt; K12 Student -&gt; Individualized Program -&gt; IDEA Placement</t>
  </si>
  <si>
    <t>Career and Technical -&gt; CTE Student -&gt; Disability
K12 -&gt; K12 Student -&gt; Disability
K12 -&gt; K12 Student -&gt; Individualized Program
K12 -&gt; K12 Student -&gt; Individualized Program -&gt; IDEA Placement</t>
  </si>
  <si>
    <t>IDEA Eligibility Evaluation Category</t>
  </si>
  <si>
    <t>Category of evaluation used for IDEA eligibility.</t>
  </si>
  <si>
    <t>001729</t>
  </si>
  <si>
    <t>IDEAEligibilityEvaluationCategory</t>
  </si>
  <si>
    <t>Indicates whether parents of a child potentially eligible for Part B preschool services have opted out of the impending notification to the local education agency.</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</si>
  <si>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</si>
  <si>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</si>
  <si>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</si>
  <si>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</si>
  <si>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</si>
  <si>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</si>
  <si>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</si>
  <si>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</si>
  <si>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</si>
  <si>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</si>
  <si>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</si>
  <si>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</si>
  <si>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</si>
  <si>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</si>
  <si>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</si>
  <si>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</si>
  <si>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</si>
  <si>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</si>
  <si>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</si>
  <si>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</si>
  <si>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</si>
  <si>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</si>
  <si>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</si>
  <si>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</si>
  <si>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t>001728</t>
  </si>
  <si>
    <t>IEPEligibilityEvaluationType</t>
  </si>
  <si>
    <t>IEP Goal Type</t>
  </si>
  <si>
    <t>Legal category for an IEP annual goal or short-term objectives.</t>
  </si>
  <si>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</si>
  <si>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</si>
  <si>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</si>
  <si>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</si>
  <si>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</si>
  <si>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</si>
  <si>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</si>
  <si>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</si>
  <si>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</si>
  <si>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</si>
  <si>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</si>
  <si>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</si>
  <si>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</si>
  <si>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</si>
  <si>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</si>
  <si>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</si>
  <si>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</si>
  <si>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</si>
  <si>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</si>
  <si>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</si>
  <si>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</si>
  <si>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</si>
  <si>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</si>
  <si>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</si>
  <si>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</si>
  <si>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</si>
  <si>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</si>
  <si>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</si>
  <si>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</si>
  <si>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</si>
  <si>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</si>
  <si>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</si>
  <si>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</si>
  <si>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</si>
  <si>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</si>
  <si>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</si>
  <si>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Early Learning -&gt; EL Child -&gt; Health -&gt; Immunization
K12 -&gt; K12 Student -&gt; Health -&gt; Immunization</t>
  </si>
  <si>
    <t>Indicates that services are provided to the child in a place where children of all abilities learn together.</t>
  </si>
  <si>
    <t>Early Learning -&gt; EL Child -&gt; Program
Early Learning -&gt; EL Organization -&gt; Organization Information
K12 -&gt; K12 Student -&gt; Individualized Program
K12 -&gt; K12 Student -&gt; Individualized Program -&gt; IDEA Placement</t>
  </si>
  <si>
    <t>Indebtedness Amount Allowed</t>
  </si>
  <si>
    <t>K12 -&gt; LEA -&gt; Finance (added)</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</si>
  <si>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</si>
  <si>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</si>
  <si>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</si>
  <si>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</si>
  <si>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</si>
  <si>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</si>
  <si>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</si>
  <si>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</si>
  <si>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</si>
  <si>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</si>
  <si>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</si>
  <si>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Early Learning -&gt; EL Child -&gt; Individualized Program
K12 -&gt; K12 Student -&gt; Individualized Program
K12 -&gt; K12 Student -&gt; Individualized Program -&gt; IDEA Placement</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</si>
  <si>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</si>
  <si>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</si>
  <si>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</si>
  <si>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</si>
  <si>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</si>
  <si>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</si>
  <si>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</si>
  <si>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</si>
  <si>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</si>
  <si>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 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</si>
  <si>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</si>
  <si>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</si>
  <si>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</si>
  <si>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</si>
  <si>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</si>
  <si>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</si>
  <si>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</si>
  <si>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</si>
  <si>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</si>
  <si>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</si>
  <si>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</si>
  <si>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</si>
  <si>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</si>
  <si>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</si>
  <si>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</si>
  <si>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</si>
  <si>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</si>
  <si>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</si>
  <si>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</si>
  <si>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</si>
  <si>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</si>
  <si>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</si>
  <si>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</si>
  <si>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t>K12 -&gt; K12 Student -&gt; Individualized Program
K12 -&gt; K12 Student -&gt; Individualized Program -&gt; Progress Report</t>
  </si>
  <si>
    <t>001701</t>
  </si>
  <si>
    <t>IndividualizedProgramServicePlanProgressReportType</t>
  </si>
  <si>
    <t>001848</t>
  </si>
  <si>
    <t>InstallationDate</t>
  </si>
  <si>
    <t>Early Learning -&gt; EL Organization -&gt; Telephone
K12 -&gt; K12 School -&gt; Telephone
K12 -&gt; LEA -&gt; Telephone
K12 -&gt; Organization -&gt; Telephone
Postsecondary -&gt; Organization -&gt; Telephone</t>
  </si>
  <si>
    <t>001894</t>
  </si>
  <si>
    <t>InsuranceDeductible</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</si>
  <si>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</si>
  <si>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</si>
  <si>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t>Postsecondary -&gt; PS Institution -&gt; Finance</t>
  </si>
  <si>
    <t>001671</t>
  </si>
  <si>
    <t>IPEDSFinanceFASBFinancialPositionCategory</t>
  </si>
  <si>
    <t>IPEDS Finance FASB Functional Expense Category</t>
  </si>
  <si>
    <t>A functional expense classification is a method of grouping expenses according to the purpose for which the costs are incurred. The classifications tell why an expense was incurred rather than what was purchased.</t>
  </si>
  <si>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</si>
  <si>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</si>
  <si>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</si>
  <si>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</si>
  <si>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</si>
  <si>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</si>
  <si>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</si>
  <si>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</si>
  <si>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</si>
  <si>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</si>
  <si>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</si>
  <si>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</si>
  <si>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</si>
  <si>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</si>
  <si>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</si>
  <si>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</si>
  <si>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</si>
  <si>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</si>
  <si>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</si>
  <si>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</si>
  <si>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</si>
  <si>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</si>
  <si>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</si>
  <si>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</si>
  <si>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</si>
  <si>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</si>
  <si>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</si>
  <si>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</si>
  <si>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</si>
  <si>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</si>
  <si>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</si>
  <si>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</si>
  <si>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</si>
  <si>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t>001677</t>
  </si>
  <si>
    <t>IPEDSFinanceGASBScholarshipsandFellowshipsRevenueCategory</t>
  </si>
  <si>
    <t>IPEDS Finance Intercollegiate Athletics Expenses</t>
  </si>
  <si>
    <t>Identifies the functional expense category where the institution allocates its intercollegiate athletics expenses.</t>
  </si>
  <si>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</si>
  <si>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</si>
  <si>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</si>
  <si>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</si>
  <si>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t>(NACUBO FARM section 700)</t>
  </si>
  <si>
    <t>001676</t>
  </si>
  <si>
    <t>IPEDSFinanceNaturalExpenseCategory</t>
  </si>
  <si>
    <t>See http://ceds.ed.gov/iso639-3LanguageCodev7.aspx</t>
  </si>
  <si>
    <t>Early Learning -&gt; EL Class/Group
Early Learning -&gt; EL Organization -&gt; Cultural and Linguistic Diversity</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</si>
  <si>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(added)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</si>
  <si>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LEA Full Academic Year</t>
  </si>
  <si>
    <t>An indication of whether a student was in membership in the LEA education unit for a full academic year, according to the state’s definition of Full Academic Year.</t>
  </si>
  <si>
    <t>001762</t>
  </si>
  <si>
    <t>LEAFullAcademicYear</t>
  </si>
  <si>
    <t>Learning Resource Access Rights URL</t>
  </si>
  <si>
    <t>update element names to consistently use "URL"</t>
  </si>
  <si>
    <t>LearningResourceAccessRightsURL</t>
  </si>
  <si>
    <t>Assessments -&gt; Competencies -&gt; Learning Resource Competency Alignment
Learning Resources -&gt; Learning Resource</t>
  </si>
  <si>
    <t>Learning Resources -&gt; Learning Resource -&gt; Peer Rating</t>
  </si>
  <si>
    <t>001849</t>
  </si>
  <si>
    <t>Life-cycleCost</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</si>
  <si>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</si>
  <si>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</si>
  <si>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Adult Education -&gt; AE Provider
Adult Education -&gt; AE Staff -&gt; Education
Early Learning -&gt; EL Staff -&gt; Education
K12 -&gt; K12 School -&gt; Identification
K12 -&gt; K12 Staff -&gt; Education
Postsecondary -&gt; PS Institution -&gt; Directory
Postsecondary -&gt; PS Student -&gt; Institution Enrollment -&gt; Prior Academic Award
Postsecondary -&gt; PS Student -&gt; K12 Transcript</t>
  </si>
  <si>
    <t>National School Lunch Program Status</t>
  </si>
  <si>
    <t>The classification of participation by a school in the National School Lunch Program.</t>
  </si>
  <si>
    <t>K12 -&gt; K12 School -&gt; Institution Characteristics (added)</t>
  </si>
  <si>
    <t>001767</t>
  </si>
  <si>
    <t>NationalSchoolLunchProgramStatus</t>
  </si>
  <si>
    <t>An indication that the student is participating in programs for neglected or delinquent students (N or D) under Title I, Part D, Subpart 1 (state agencies) of ESEA as amended.</t>
  </si>
  <si>
    <t>Updating NCLB references in elements</t>
  </si>
  <si>
    <t>Credential -&gt; Credential Award
K12 -&gt; Course Section -&gt; Enrollment
K12 -&gt; K12 Student -&gt; Academic Record</t>
  </si>
  <si>
    <t>Adult Education -&gt; AE Student -&gt; Academic Record
Adult Education -&gt; Course Section -&gt; Enrollment
Career and Technical -&gt; Course Section -&gt; Enrollment
Career and Technical -&gt; CTE Student -&gt; Academic Record
Credential -&gt; Credential Award
Early Learning -&gt; EL Staff -&gt; Professional Development
K12 -&gt; Course Section -&gt; Enrollment
K12 -&gt; K12 Student -&gt; Academic Record
Postsecondary -&gt; Course Section -&gt; Enrollment
Workforce -&gt; Workforce Program Participant -&gt; Academic Record</t>
  </si>
  <si>
    <t>O*NET-SOC Occupation Type</t>
  </si>
  <si>
    <t>The O*NET-SOC taxonomy defines the set of occupations across the world of work based on the Standard Occupational Classification.</t>
  </si>
  <si>
    <t>##-####.##</t>
  </si>
  <si>
    <t>https://www.onetcenter.org/taxonomy/2010/data_coll.html</t>
  </si>
  <si>
    <t>001756</t>
  </si>
  <si>
    <t>O*NET-SOCOccupationType</t>
  </si>
  <si>
    <t>Integer - exactly 8 digits</t>
  </si>
  <si>
    <t>Credential -&gt; Credential Award -&gt; Credential Issuer
Credential -&gt; Credential Creator
Early Learning -&gt; EL Child -&gt; Enrollment
Early Learning -&gt; EL Child -&gt; Program
Early Learning -&gt; EL Organization -&gt; Identification
Facilities -&gt; Facility -&gt; Identification (added)
K12 -&gt; K12 School -&gt; Directory -&gt; Charter School Authorizer
K12 -&gt; K12 School -&gt; Directory -&gt; Charter School Management Organization
K12 -&gt; K12 Student -&gt; Enrollment
K12 -&gt; K12 Student -&gt; Individualized Program -&gt; Services -&gt; Service Provider
K12 -&gt; Organization -&gt; Identification
K12 -&gt; Program
Postsecondary -&gt; Organization -&gt; Identification</t>
  </si>
  <si>
    <t>Credential -&gt; Credential Award -&gt; Credential Issuer
Credential -&gt; Credential Creator
Early Learning -&gt; EL Organization -&gt; Identification
Facilities -&gt; Facility -&gt; Identification (added)
K12 -&gt; K12 School -&gt; Directory -&gt; Charter School Authorizer
K12 -&gt; K12 School -&gt; Directory -&gt; Charter School Management Organization
K12 -&gt; K12 Student -&gt; Individualized Program -&gt; Services -&gt; Service Provider
K12 -&gt; Organization -&gt; Identification
K12 -&gt; Program
Postsecondary -&gt; Organization -&gt; Identification</t>
  </si>
  <si>
    <t>Organization Image URL</t>
  </si>
  <si>
    <t>The Uniform Resource Locator (URL) for the unique address of an image representing the Organization.</t>
  </si>
  <si>
    <t>Early Learning -&gt; EL Organization
K12 -&gt; K12 School
K12 -&gt; LEA
K12 -&gt; Organization
K12 -&gt; SEA
Postsecondary -&gt; Organization
Postsecondary -&gt; PS Institution</t>
  </si>
  <si>
    <t>001663</t>
  </si>
  <si>
    <t>OrganizationImageURL</t>
  </si>
  <si>
    <t>Early Learning -&gt; EL Organization -&gt; Identification
Early Learning -&gt; EL Staff -&gt; Employment
Facilities -&gt; Facility -&gt; Identification (added)
K12 -&gt; LEA -&gt; Identification
K12 -&gt; Organization -&gt; Identification
K12 -&gt; Program
K12 -&gt; SEA -&gt; Identification
Postsecondary -&gt; Organization -&gt; Identification</t>
  </si>
  <si>
    <t>Early Learning -&gt; EL Organization
K12 -&gt; Organization
K12 -&gt; Program
Postsecondary -&gt; Organization</t>
  </si>
  <si>
    <t>Organization Region GeoJSON</t>
  </si>
  <si>
    <t>The geo-political area of the organization's facility, building, or site.</t>
  </si>
  <si>
    <t>Early Learning -&gt; EL Organization
Facilities -&gt; Facility -&gt; Identification (added)
K12 -&gt; K12 School
K12 -&gt; LEA
K12 -&gt; Organization
K12 -&gt; SEA
Postsecondary -&gt; Organization
Postsecondary -&gt; PS Institution</t>
  </si>
  <si>
    <t>Added "facility, building, or site" to the definition based on need from Forum facilities workgroup.</t>
  </si>
  <si>
    <t>001750</t>
  </si>
  <si>
    <t>OrganizationRegionGeoJSON</t>
  </si>
  <si>
    <t>Organization Relationship Type</t>
  </si>
  <si>
    <t>The nature of one organization’s relationship to another.</t>
  </si>
  <si>
    <t>Early Learning -&gt; EL Organization -&gt; Identification (added)
Facilities -&gt; Facility -&gt; Identification (added)
K12 -&gt; K12 School -&gt; Identification (added)
K12 -&gt; LEA -&gt; Identification (added)
K12 -&gt; Organization -&gt; Identification (added)
K12 -&gt; SEA -&gt; Identification (added)
Postsecondary -&gt; Organization -&gt; Identification (added)</t>
  </si>
  <si>
    <t>001905</t>
  </si>
  <si>
    <t>OrganizationRelationshipType</t>
  </si>
  <si>
    <t>Early Learning -&gt; EL Organization -&gt; Identification
Facilities -&gt; Facility -&gt; Identification (added)
K12 -&gt; K12 School -&gt; Identification
K12 -&gt; LEA -&gt; Identification
K12 -&gt; Organization -&gt; Identification
K12 -&gt; SEA -&gt; Identification
Postsecondary -&gt; Organization -&gt; Identification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</si>
  <si>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</si>
  <si>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</si>
  <si>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Learning Resources -&gt; Peer Rating System</t>
  </si>
  <si>
    <t>Assessments -&gt; Assessment Result -&gt; Scorer
Credential -&gt; Credential Award -&gt; Credential Issuer
Credential -&gt; Credential Creator
Early Learning -&gt; Parent/Guardian -&gt; Identity -&gt; Identification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(added)
Workforce -&gt; Workforce Program Participant -&gt; Identity -&gt; Identification (added)</t>
  </si>
  <si>
    <t>Adult Education -&gt; AE Staff -&gt; Identity -&gt; Name
Adult Education -&gt; AE Student -&gt; Identity -&gt; Name
Career and Technical -&gt; CTE Staff -&gt; Identity -&gt; Name
Career and Technical -&gt; CTE Student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</si>
  <si>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PESC Award Level Type</t>
  </si>
  <si>
    <t>001668</t>
  </si>
  <si>
    <t>PESCAwardLevelType</t>
  </si>
  <si>
    <t>Early Learning -&gt; EL Organization -&gt; Contact
Early Learning -&gt; EL Staff -&gt; Professional Development -&gt; Instructor
K12 -&gt; K12 Staff -&gt; Employment
K12 -&gt; K12 Staff -&gt; Professional Development -&gt; Instructor
K12 -&gt; Organization -&gt; Contact
K12 -&gt; SEA -&gt; Contact
Postsecondary -&gt; Organization -&gt; Contact</t>
  </si>
  <si>
    <t>Early Learning -&gt; EL Organization -&gt; Contact
Early Learning -&gt; Parent/Guardian -&gt; Relationship
K12 -&gt; Organization -&gt; Contact
K12 -&gt; Parent/Guardian -&gt; Relationship
K12 -&gt; SEA -&gt; Contact
Postsecondary -&gt; Organization -&gt; Contact</t>
  </si>
  <si>
    <t>Career and Technical -&gt; CTE Student -&gt; Disability
Early Learning -&gt; EL Child -&gt; Disability
K12 -&gt; K12 Student -&gt; Disability
K12 -&gt; K12 Student -&gt; Individualized Program -&gt; Eligibility -&gt; Determination
Postsecondary -&gt; PS Student -&gt; Disability</t>
  </si>
  <si>
    <t>Option set based on EDFacts. Only one disability condition would be selected. Refer to IDEA Disability Type for selecting multiple disability category options and any additional IDEA disability categories.</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</si>
  <si>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Student -&gt; Contact -&gt; Telephone
Workforce -&gt; Workforce Program Participant -&gt; Contact -&gt; Telephone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</si>
  <si>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</si>
  <si>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Program Health Safety Checklist Use Status</t>
  </si>
  <si>
    <t>Adult Education -&gt; AE Student -&gt; Academic Record -&gt; Academic Award
Career and Technical -&gt; CTE Student -&gt; Academic Record -&gt; Academic Award
Early Learning -&gt; EL Child -&gt; Program
K12 -&gt; K12 Student -&gt; Academic Record -&gt; Academic Award
K12 -&gt; K12 Student -&gt; Program
K12 -&gt; Program
Postsecondary -&gt; PS Institution -&gt; Program
Postsecondary -&gt; PS Student -&gt; Academic Record -&gt; Academic Award
Postsecondary -&gt; PS Student -&gt; Institution Enrollment -&gt; Program
Workforce -&gt; Workforce Program Participant -&gt; Academic Record -&gt; Academic Award</t>
  </si>
  <si>
    <t>Career and Technical -&gt; Program
Early Learning -&gt; EL Child -&gt; Program
K12 -&gt; K12 Student -&gt; Program
K12 -&gt; Program
Postsecondary -&gt; PS Institution -&gt; Program
Postsecondary -&gt; PS Student -&gt; Institution Enrollment -&gt; Program</t>
  </si>
  <si>
    <t>Career and Technical -&gt; CTE Student -&gt; Program Participation
Early Learning -&gt; EL Child -&gt; Program
K12 -&gt; K12 Student -&gt; CTE
K12 -&gt; K12 Student -&gt; English Learner
K12 -&gt; K12 Student -&gt; IDEA
K12 -&gt; K12 Student -&gt; Migrant
K12 -&gt; K12 Student -&gt; Neglected or Delinquent
K12 -&gt; K12 Student -&gt; Program
K12 -&gt; K12 Student -&gt; Title I
Postsecondary -&gt; PS Student -&gt; Institution Enrollment -&gt; Program</t>
  </si>
  <si>
    <t>Early Learning -&gt; EL Child -&gt; Program
K12 -&gt; K12 Student -&gt; Program
Postsecondary -&gt; PS Student -&gt; Institution Enrollment -&gt; Program</t>
  </si>
  <si>
    <t>Career and Technical -&gt; Program
Early Learning -&gt; EL Child -&gt; Program
K12 -&gt; K12 School -&gt; Directory
K12 -&gt; K12 Student -&gt; Program</t>
  </si>
  <si>
    <t>Numeric - up to 2 digits before and 8 digits after decimal place</t>
  </si>
  <si>
    <t>001895</t>
  </si>
  <si>
    <t>PublicEducationMillRate</t>
  </si>
  <si>
    <t>Early Learning -&gt; EL Child -&gt; Services
K12 -&gt; K12 Student -&gt; Individualized Program -&gt; Services</t>
  </si>
  <si>
    <t>Adult Education -&gt; Course Section
Career and Technical -&gt; Course Section
K12 -&gt; Course Section
Postsecondary -&gt; PS Student -&gt; Graduate Student -&gt; Thesis/Dissertation Advisor</t>
  </si>
  <si>
    <t>Early Learning -&gt; EL Child -&gt; Referral
K12 -&gt; K12 Student -&gt; Individualized Program -&gt; Eligibility -&gt; Referral
K12 -&gt; K12 Student -&gt; Referral</t>
  </si>
  <si>
    <t>The person, program, or organization making the initial referral.</t>
  </si>
  <si>
    <t>Related Competency Items</t>
  </si>
  <si>
    <t>An indication of the competency item(s) addressed in the Course Section.</t>
  </si>
  <si>
    <t>Related Learning Standard Items</t>
  </si>
  <si>
    <t>RelatedCompetencyItems</t>
  </si>
  <si>
    <t>The month, day, and year on which a report was produced.</t>
  </si>
  <si>
    <t>001759</t>
  </si>
  <si>
    <t>ReportDate</t>
  </si>
  <si>
    <t>Early Learning -&gt; EL Child -&gt; Enrollment
Early Learning -&gt; EL Child -&gt; Program
K12 -&gt; K12 Student -&gt; Enrollment</t>
  </si>
  <si>
    <t>See http://ceds.ed.gov/ScedCourseCodesv4.aspx</t>
  </si>
  <si>
    <t>Career and Technical -&gt; Course
K12 -&gt; K12 Course
K12 -&gt; K12 Student -&gt; Graduation Plan -&gt; Course
K12 -&gt; K12 Student -&gt; Graduation Plan -&gt; Subject Area
K12 -&gt; K12 Student -&gt; Individualized Program -&gt; Accommodation</t>
  </si>
  <si>
    <t>Alphanumeric - exactly 4 characters in length</t>
  </si>
  <si>
    <t>School Full Academic Year</t>
  </si>
  <si>
    <t>An indication of whether a student was in membership in the school education unit for a full academic year, according to the state’s definition of Full Academic Year.</t>
  </si>
  <si>
    <t>001763</t>
  </si>
  <si>
    <t>SchoolFullAcademicYear</t>
  </si>
  <si>
    <t>Career and Technical -&gt; CTE Student -&gt; Disability
Early Learning -&gt; EL Child -&gt; Disability
K12 -&gt; K12 Student -&gt; Disability
K12 -&gt; K12 Student -&gt; Individualized Program -&gt; Eligibility -&gt; Determination</t>
  </si>
  <si>
    <t>Service Extends Outside School Year</t>
  </si>
  <si>
    <t>Determination if this service continues outside school year.</t>
  </si>
  <si>
    <t>001717</t>
  </si>
  <si>
    <t>ServiceExtendsOutsideSchoolYear</t>
  </si>
  <si>
    <t>Service Setting Description</t>
  </si>
  <si>
    <t>Description of the setting in which the services are delivered.</t>
  </si>
  <si>
    <t>001718</t>
  </si>
  <si>
    <t>ServiceSettingDescription</t>
  </si>
  <si>
    <t>Adult Education -&gt; Course Section
Career and Technical -&gt; Course Section
K12 -&gt; Calendar -&gt; Session
K12 -&gt; Course Section
K12 -&gt; K12 School -&gt; Session</t>
  </si>
  <si>
    <t>Adult Education -&gt; Course Section
Career and Technical -&gt; Course Section
K12 -&gt; Course Section
K12 -&gt; K12 School -&gt; Session
Postsecondary -&gt; PS Institution -&gt; Directory</t>
  </si>
  <si>
    <t>Adult Education -&gt; Course Section
Career and Technical -&gt; Course Section
K12 -&gt; Course Section
K12 -&gt; K12 School -&gt; Session</t>
  </si>
  <si>
    <t>Adult Education -&gt; AE Provider
Adult Education -&gt; AE Staff -&gt; Education
Early Learning -&gt; EL Staff -&gt; Education
K12 -&gt; K12 School -&gt; Identification
K12 -&gt; K12 Staff -&gt; Education
Postsecondary -&gt; PS Institution -&gt; Directory
Postsecondary -&gt; PS Student -&gt; K12 Transcript</t>
  </si>
  <si>
    <t>Significant Cognitive Disability Indicator</t>
  </si>
  <si>
    <t>Student has an existing IDEA disability with cognitive impairments which may prevent him/her from attaining grade-level achievement standards.</t>
  </si>
  <si>
    <t>K12 -&gt; K12 Student -&gt; Individualized Program -&gt; Eligibility -&gt; Determination (added)</t>
  </si>
  <si>
    <t>001765</t>
  </si>
  <si>
    <t>SignificantCognitiveDisabilityIndicator</t>
  </si>
  <si>
    <t>Integer - exactly 9 digits</t>
  </si>
  <si>
    <t>Removed per request from Align mapping regarding duplication of the element in Child Identifier, Staff Member Identifier, Student Identifier, and Person Identifier when used with the SSN option in the corresponding Child Identification System, Staff Member Identification System, Student Identification System, and Person Identification System elements.</t>
  </si>
  <si>
    <t>Special Education Support Services Category</t>
  </si>
  <si>
    <t>Titles of personnel employed and contracted to provide special education and related services for children with disabilities.</t>
  </si>
  <si>
    <t>K12 -&gt; K12 Staff -&gt; Assignment
K12 -&gt; K12 Student -&gt; Individualized Program -&gt; Services -&gt; Service Provider</t>
  </si>
  <si>
    <t>SpecialEducationSupportServicesCategory</t>
  </si>
  <si>
    <t>Adult Education -&gt; AE Staff -&gt; Identity -&gt; Identification
Adult Education -&gt; Course Section -&gt; Staff
Career and Technical -&gt; Course Section -&gt; Staff
Career and Technical -&gt; CTE Staff -&gt; Identity -&gt; Identification
Early Learning -&gt; EL Staff -&gt; Identity -&gt; Identification
Early Learning -&gt; EL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</si>
  <si>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Early Learning -&gt; Parent/Guardian -&gt; Demographic
K12 -&gt; Parent/Guardian -&gt; Demographic
Postsecondary -&gt; PS Staff -&gt; Employment</t>
  </si>
  <si>
    <t>Early Learning -&gt; EL Organization -&gt; Identification
K12 -&gt; LEA -&gt; Address
K12 -&gt; SEA -&gt; Address</t>
  </si>
  <si>
    <t>State Full Academic Year</t>
  </si>
  <si>
    <t>An indication of whether a student was in membership in the state education unit for a full academic year, according to the state’s definition of Full Academic Year.</t>
  </si>
  <si>
    <t>001761</t>
  </si>
  <si>
    <t>StateFullAcademicYear</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</si>
  <si>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</si>
  <si>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Numeric - between 0 and 1</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</si>
  <si>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</si>
  <si>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Adult Education -&gt; Course Section -&gt; Enrollment
Career and Technical -&gt; Course Section -&gt; Enrollment
K12 -&gt; Course Section -&gt; Enrollment
K12 -&gt; K12 Student -&gt; Academic Record
Postsecondary -&gt; Course Section -&gt; Enrollment</t>
  </si>
  <si>
    <t>Student Enrollment Access Type</t>
  </si>
  <si>
    <t>The designation of how students secure access to age appropriate public schools, or publicly funded charter or private schools.</t>
  </si>
  <si>
    <t>K12 -&gt; K12 Student -&gt; Enrollment (added)</t>
  </si>
  <si>
    <t>001862</t>
  </si>
  <si>
    <t>StudentEnrollmentAccessType</t>
  </si>
  <si>
    <t>Adult Education -&gt; AE Student -&gt; Identity -&gt; Identification
Adult Education -&gt; Course Section -&gt; Enrollment
Career and Technical -&gt; Course Section -&gt; Enrollment
Career and Technical -&gt; CTE Student -&gt; Identity -&gt; Identification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</si>
  <si>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K12 -&gt; K12 School -&gt; Institution Characteristics
K12 -&gt; K12 Student -&gt; Individualized Program
K12 -&gt; K12 Student -&gt; Individualized Program -&gt; Services</t>
  </si>
  <si>
    <t>Submission Date</t>
  </si>
  <si>
    <t>001758</t>
  </si>
  <si>
    <t>SubmissionDate</t>
  </si>
  <si>
    <t>Adult Education -&gt; Course Section -&gt; Staff
Career and Technical -&gt; Course Section -&gt; Staff
K12 -&gt; Course Section -&gt; Staff</t>
  </si>
  <si>
    <t>K12 -&gt; Course Section -&gt; Teacher Student Data Link Exclusion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</si>
  <si>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Student -&gt; Contact -&gt; Telephone
Workforce -&gt; Workforce Program Participant -&gt; Contact -&gt; Telephone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</si>
  <si>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Staff -&gt; Contact -&gt; Telephone
Early Learning -&gt; EL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Student -&gt; Contact -&gt; Telephone
Workforce -&gt; Workforce Program Participant -&gt; Contact -&gt; Telephone</t>
  </si>
  <si>
    <t>Title III English Learner Participation Status</t>
  </si>
  <si>
    <t>An indication that an English Learner student is served by an English language instruction educational program supported with Title III of ESEA funds.</t>
  </si>
  <si>
    <t>TitleIIIEnglishLearnerParticipationStatus</t>
  </si>
  <si>
    <t>See https://ceds.ed.gov/cedselementdetails.aspx?termid=14638</t>
  </si>
  <si>
    <t>Updated usage note based on feedback from the CEDS User Community</t>
  </si>
  <si>
    <t>Some data systems may require additional information on truancy based on local requirements. For example, capturing students who reach the statutory truancy status but then are in and out of attendance after that point, may require use of Number of Days in Attendance in conjunction with Truancy.</t>
  </si>
  <si>
    <t>Adult Education -&gt; Course Section
Career and Technical -&gt; Course Section
Early Learning -&gt; EL Staff -&gt; Professional Development
K12 -&gt; Course Section
K12 -&gt; K12 Course
K12 -&gt; K12 Staff -&gt; Professional Development</t>
  </si>
  <si>
    <t>K12 -&gt; K12 School -&gt; Federal Funds
K12 -&gt; K12 Student -&gt; English Learner (added)
K12 -&gt; LEA -&gt; Federal Funds</t>
  </si>
  <si>
    <t>Removed based on analysis of LEP change to English Learner in Section 8101(20) of the ESEA, as amended by the ESSA and lack of use in Align and Connect.</t>
  </si>
  <si>
    <t>Adult Education -&gt; Course Section
Career and Technical -&gt; Course Section
K12 -&gt; Course Section
K12 -&gt; K12 School -&gt; Directory
Postsecondary -&gt; PS Institution -&gt; Directory</t>
  </si>
  <si>
    <t>Virtual School Status</t>
  </si>
  <si>
    <t>An indication of the extent to which a public school offers instruction in which students and teachers are separated by time and/or location, and interaction occurs via computers and/or telecommunications technologies.</t>
  </si>
  <si>
    <t>K12 -&gt; K12 School -&gt; Directory (added)</t>
  </si>
  <si>
    <t>001766</t>
  </si>
  <si>
    <t>VirtualSchoolStatus</t>
  </si>
  <si>
    <t>Early Learning -&gt; EL Child -&gt; Health -&gt; Vision
K12 -&gt; K12 Student -&gt; Health -&gt; Vision</t>
  </si>
  <si>
    <t>Early Learning -&gt; EL Organization -&gt; Contact
K12 -&gt; K12 School -&gt; Directory
K12 -&gt; LEA -&gt; Directory
K12 -&gt; Organization -&gt; Contact
K12 -&gt; SEA -&gt; Contact
Postsecondary -&gt; Organization -&gt; Contact
Postsecondary -&gt; PS Institution -&gt; Directory</t>
  </si>
  <si>
    <t>Adult Education -&gt; Course Section
Career and Technical -&gt; Course Section
Career and Technical -&gt; CTE Student -&gt; Program Participation
K12 -&gt; K12 Course
K12 -&gt; K12 Student -&gt; Program
Postsecondary -&gt; Course Section
Postsecondary -&gt; PS Student -&gt; Program Participation</t>
  </si>
  <si>
    <t>Workforce Program Type</t>
  </si>
  <si>
    <t>WorkforceProgramType</t>
  </si>
  <si>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district,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</si>
  <si>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r>
      <t>Achievement</t>
    </r>
    <r>
      <rPr>
        <sz val="11"/>
        <color theme="1"/>
        <rFont val="Calibri"/>
        <family val="2"/>
        <scheme val="minor"/>
      </rPr>
      <t xml:space="preserve"> - Achievement
</t>
    </r>
    <r>
      <rPr>
        <b/>
        <sz val="11"/>
        <color theme="1"/>
        <rFont val="Calibri"/>
        <family val="2"/>
        <scheme val="minor"/>
      </rPr>
      <t>Experience</t>
    </r>
    <r>
      <rPr>
        <sz val="11"/>
        <color theme="1"/>
        <rFont val="Calibri"/>
        <family val="2"/>
        <scheme val="minor"/>
      </rPr>
      <t xml:space="preserve"> - Experience
</t>
    </r>
    <r>
      <rPr>
        <b/>
        <sz val="11"/>
        <color theme="1"/>
        <rFont val="Calibri"/>
        <family val="2"/>
        <scheme val="minor"/>
      </rPr>
      <t>Status</t>
    </r>
    <r>
      <rPr>
        <sz val="11"/>
        <color theme="1"/>
        <rFont val="Calibri"/>
        <family val="2"/>
        <scheme val="minor"/>
      </rPr>
      <t xml:space="preserve"> - Status
</t>
    </r>
    <r>
      <rPr>
        <b/>
        <sz val="11"/>
        <color theme="1"/>
        <rFont val="Calibri"/>
        <family val="2"/>
        <scheme val="minor"/>
      </rPr>
      <t>Score</t>
    </r>
    <r>
      <rPr>
        <sz val="11"/>
        <color theme="1"/>
        <rFont val="Calibri"/>
        <family val="2"/>
        <scheme val="minor"/>
      </rPr>
      <t xml:space="preserve"> - Score
</t>
    </r>
    <r>
      <rPr>
        <b/>
        <sz val="11"/>
        <color theme="1"/>
        <rFont val="Calibri"/>
        <family val="2"/>
        <scheme val="minor"/>
      </rPr>
      <t>Course</t>
    </r>
    <r>
      <rPr>
        <sz val="11"/>
        <color theme="1"/>
        <rFont val="Calibri"/>
        <family val="2"/>
        <scheme val="minor"/>
      </rPr>
      <t xml:space="preserve"> - Course
</t>
    </r>
  </si>
  <si>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75005</t>
    </r>
    <r>
      <rPr>
        <sz val="11"/>
        <color theme="1"/>
        <rFont val="Calibri"/>
        <family val="2"/>
        <scheme val="minor"/>
      </rPr>
      <t xml:space="preserve"> -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75006</t>
    </r>
    <r>
      <rPr>
        <sz val="11"/>
        <color theme="1"/>
        <rFont val="Calibri"/>
        <family val="2"/>
        <scheme val="minor"/>
      </rPr>
      <t xml:space="preserve"> - Audio recordings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75007</t>
    </r>
    <r>
      <rPr>
        <sz val="11"/>
        <color theme="1"/>
        <rFont val="Calibri"/>
        <family val="2"/>
        <scheme val="minor"/>
      </rPr>
      <t xml:space="preserve"> - Breaks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75008</t>
    </r>
    <r>
      <rPr>
        <sz val="11"/>
        <color theme="1"/>
        <rFont val="Calibri"/>
        <family val="2"/>
        <scheme val="minor"/>
      </rPr>
      <t xml:space="preserve"> - Dictated oral response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75009</t>
    </r>
    <r>
      <rPr>
        <sz val="11"/>
        <color theme="1"/>
        <rFont val="Calibri"/>
        <family val="2"/>
        <scheme val="minor"/>
      </rPr>
      <t xml:space="preserve"> - Large print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75010</t>
    </r>
    <r>
      <rPr>
        <sz val="11"/>
        <color theme="1"/>
        <rFont val="Calibri"/>
        <family val="2"/>
        <scheme val="minor"/>
      </rPr>
      <t xml:space="preserve"> - Linguistic modification of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75011</t>
    </r>
    <r>
      <rPr>
        <sz val="11"/>
        <color theme="1"/>
        <rFont val="Calibri"/>
        <family val="2"/>
        <scheme val="minor"/>
      </rPr>
      <t xml:space="preserve"> - Manually coded English or American Sign Language to present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75012</t>
    </r>
    <r>
      <rPr>
        <sz val="11"/>
        <color theme="1"/>
        <rFont val="Calibri"/>
        <family val="2"/>
        <scheme val="minor"/>
      </rPr>
      <t xml:space="preserve"> - Supervised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75013</t>
    </r>
    <r>
      <rPr>
        <sz val="11"/>
        <color theme="1"/>
        <rFont val="Calibri"/>
        <family val="2"/>
        <scheme val="minor"/>
      </rPr>
      <t xml:space="preserve"> - Test administered at best time of day for student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75014</t>
    </r>
    <r>
      <rPr>
        <sz val="11"/>
        <color theme="1"/>
        <rFont val="Calibri"/>
        <family val="2"/>
        <scheme val="minor"/>
      </rPr>
      <t xml:space="preserve"> - Video recordings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r>
      <rPr>
        <b/>
        <sz val="11"/>
        <color theme="1"/>
        <rFont val="Calibri"/>
        <family val="2"/>
        <scheme val="minor"/>
      </rPr>
      <t>75015</t>
    </r>
    <r>
      <rPr>
        <sz val="11"/>
        <color theme="1"/>
        <rFont val="Calibri"/>
        <family val="2"/>
        <scheme val="minor"/>
      </rPr>
      <t xml:space="preserve"> - Alternate assignments or goals
</t>
    </r>
    <r>
      <rPr>
        <b/>
        <sz val="11"/>
        <color theme="1"/>
        <rFont val="Calibri"/>
        <family val="2"/>
        <scheme val="minor"/>
      </rPr>
      <t>75016</t>
    </r>
    <r>
      <rPr>
        <sz val="11"/>
        <color theme="1"/>
        <rFont val="Calibri"/>
        <family val="2"/>
        <scheme val="minor"/>
      </rPr>
      <t xml:space="preserve"> - Behavior management program
</t>
    </r>
    <r>
      <rPr>
        <b/>
        <sz val="11"/>
        <color theme="1"/>
        <rFont val="Calibri"/>
        <family val="2"/>
        <scheme val="minor"/>
      </rPr>
      <t>75017</t>
    </r>
    <r>
      <rPr>
        <sz val="11"/>
        <color theme="1"/>
        <rFont val="Calibri"/>
        <family val="2"/>
        <scheme val="minor"/>
      </rPr>
      <t xml:space="preserve"> - Check for understanding
</t>
    </r>
    <r>
      <rPr>
        <b/>
        <sz val="11"/>
        <color theme="1"/>
        <rFont val="Calibri"/>
        <family val="2"/>
        <scheme val="minor"/>
      </rPr>
      <t>75018</t>
    </r>
    <r>
      <rPr>
        <sz val="11"/>
        <color theme="1"/>
        <rFont val="Calibri"/>
        <family val="2"/>
        <scheme val="minor"/>
      </rPr>
      <t xml:space="preserve"> - Frequent feedback
</t>
    </r>
    <r>
      <rPr>
        <b/>
        <sz val="11"/>
        <color theme="1"/>
        <rFont val="Calibri"/>
        <family val="2"/>
        <scheme val="minor"/>
      </rPr>
      <t>75019</t>
    </r>
    <r>
      <rPr>
        <sz val="11"/>
        <color theme="1"/>
        <rFont val="Calibri"/>
        <family val="2"/>
        <scheme val="minor"/>
      </rPr>
      <t xml:space="preserve"> - Peer support
</t>
    </r>
  </si>
  <si>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EnglishLearner</t>
    </r>
    <r>
      <rPr>
        <sz val="11"/>
        <color theme="1"/>
        <rFont val="Calibri"/>
        <family val="2"/>
        <scheme val="minor"/>
      </rPr>
      <t xml:space="preserve"> - English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</si>
  <si>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r>
      <t>Staff</t>
    </r>
    <r>
      <rPr>
        <sz val="11"/>
        <color theme="1"/>
        <rFont val="Calibri"/>
        <family val="2"/>
        <scheme val="minor"/>
      </rPr>
      <t xml:space="preserve"> - Staff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LEARepresentative</t>
    </r>
    <r>
      <rPr>
        <sz val="11"/>
        <color theme="1"/>
        <rFont val="Calibri"/>
        <family val="2"/>
        <scheme val="minor"/>
      </rPr>
      <t xml:space="preserve"> - LEA Representative
</t>
    </r>
    <r>
      <rPr>
        <b/>
        <sz val="11"/>
        <color theme="1"/>
        <rFont val="Calibri"/>
        <family val="2"/>
        <scheme val="minor"/>
      </rPr>
      <t>OutsideAgencySupportRepresentative</t>
    </r>
    <r>
      <rPr>
        <sz val="11"/>
        <color theme="1"/>
        <rFont val="Calibri"/>
        <family val="2"/>
        <scheme val="minor"/>
      </rPr>
      <t xml:space="preserve"> - Outside Agency Support Representative
</t>
    </r>
  </si>
  <si>
    <r>
      <t>02986</t>
    </r>
    <r>
      <rPr>
        <sz val="11"/>
        <color theme="1"/>
        <rFont val="Calibri"/>
        <family val="2"/>
        <scheme val="minor"/>
      </rPr>
      <t xml:space="preserve"> - Administrative office/room
</t>
    </r>
    <r>
      <rPr>
        <b/>
        <sz val="11"/>
        <color theme="1"/>
        <rFont val="Calibri"/>
        <family val="2"/>
        <scheme val="minor"/>
      </rPr>
      <t>02747</t>
    </r>
    <r>
      <rPr>
        <sz val="11"/>
        <color theme="1"/>
        <rFont val="Calibri"/>
        <family val="2"/>
        <scheme val="minor"/>
      </rPr>
      <t xml:space="preserve"> - Attendance reception
</t>
    </r>
    <r>
      <rPr>
        <b/>
        <sz val="11"/>
        <color theme="1"/>
        <rFont val="Calibri"/>
        <family val="2"/>
        <scheme val="minor"/>
      </rPr>
      <t>02744</t>
    </r>
    <r>
      <rPr>
        <sz val="11"/>
        <color theme="1"/>
        <rFont val="Calibri"/>
        <family val="2"/>
        <scheme val="minor"/>
      </rPr>
      <t xml:space="preserve"> - Clerical areas
</t>
    </r>
    <r>
      <rPr>
        <b/>
        <sz val="11"/>
        <color theme="1"/>
        <rFont val="Calibri"/>
        <family val="2"/>
        <scheme val="minor"/>
      </rPr>
      <t>02746</t>
    </r>
    <r>
      <rPr>
        <sz val="11"/>
        <color theme="1"/>
        <rFont val="Calibri"/>
        <family val="2"/>
        <scheme val="minor"/>
      </rPr>
      <t xml:space="preserve"> - Conference room
</t>
    </r>
    <r>
      <rPr>
        <b/>
        <sz val="11"/>
        <color theme="1"/>
        <rFont val="Calibri"/>
        <family val="2"/>
        <scheme val="minor"/>
      </rPr>
      <t>02748</t>
    </r>
    <r>
      <rPr>
        <sz val="11"/>
        <color theme="1"/>
        <rFont val="Calibri"/>
        <family val="2"/>
        <scheme val="minor"/>
      </rPr>
      <t xml:space="preserve"> - General reception
</t>
    </r>
    <r>
      <rPr>
        <b/>
        <sz val="11"/>
        <color theme="1"/>
        <rFont val="Calibri"/>
        <family val="2"/>
        <scheme val="minor"/>
      </rPr>
      <t>75032</t>
    </r>
    <r>
      <rPr>
        <sz val="11"/>
        <color theme="1"/>
        <rFont val="Calibri"/>
        <family val="2"/>
        <scheme val="minor"/>
      </rPr>
      <t xml:space="preserve"> - IT center
</t>
    </r>
    <r>
      <rPr>
        <b/>
        <sz val="11"/>
        <color theme="1"/>
        <rFont val="Calibri"/>
        <family val="2"/>
        <scheme val="minor"/>
      </rPr>
      <t>02745</t>
    </r>
    <r>
      <rPr>
        <sz val="11"/>
        <color theme="1"/>
        <rFont val="Calibri"/>
        <family val="2"/>
        <scheme val="minor"/>
      </rPr>
      <t xml:space="preserve"> - Mail room
</t>
    </r>
    <r>
      <rPr>
        <b/>
        <sz val="11"/>
        <color theme="1"/>
        <rFont val="Calibri"/>
        <family val="2"/>
        <scheme val="minor"/>
      </rPr>
      <t>02742</t>
    </r>
    <r>
      <rPr>
        <sz val="11"/>
        <color theme="1"/>
        <rFont val="Calibri"/>
        <family val="2"/>
        <scheme val="minor"/>
      </rPr>
      <t xml:space="preserve"> - Principal's office
</t>
    </r>
    <r>
      <rPr>
        <b/>
        <sz val="11"/>
        <color theme="1"/>
        <rFont val="Calibri"/>
        <family val="2"/>
        <scheme val="minor"/>
      </rPr>
      <t>02754</t>
    </r>
    <r>
      <rPr>
        <sz val="11"/>
        <color theme="1"/>
        <rFont val="Calibri"/>
        <family val="2"/>
        <scheme val="minor"/>
      </rPr>
      <t xml:space="preserve"> - PTO/PTA spaces
</t>
    </r>
    <r>
      <rPr>
        <b/>
        <sz val="11"/>
        <color theme="1"/>
        <rFont val="Calibri"/>
        <family val="2"/>
        <scheme val="minor"/>
      </rPr>
      <t>02756</t>
    </r>
    <r>
      <rPr>
        <sz val="11"/>
        <color theme="1"/>
        <rFont val="Calibri"/>
        <family val="2"/>
        <scheme val="minor"/>
      </rPr>
      <t xml:space="preserve"> - Records room/vault
</t>
    </r>
    <r>
      <rPr>
        <b/>
        <sz val="11"/>
        <color theme="1"/>
        <rFont val="Calibri"/>
        <family val="2"/>
        <scheme val="minor"/>
      </rPr>
      <t>02753</t>
    </r>
    <r>
      <rPr>
        <sz val="11"/>
        <color theme="1"/>
        <rFont val="Calibri"/>
        <family val="2"/>
        <scheme val="minor"/>
      </rPr>
      <t xml:space="preserve"> - School bank
</t>
    </r>
    <r>
      <rPr>
        <b/>
        <sz val="11"/>
        <color theme="1"/>
        <rFont val="Calibri"/>
        <family val="2"/>
        <scheme val="minor"/>
      </rPr>
      <t>02752</t>
    </r>
    <r>
      <rPr>
        <sz val="11"/>
        <color theme="1"/>
        <rFont val="Calibri"/>
        <family val="2"/>
        <scheme val="minor"/>
      </rPr>
      <t xml:space="preserve"> - School store
</t>
    </r>
    <r>
      <rPr>
        <b/>
        <sz val="11"/>
        <color theme="1"/>
        <rFont val="Calibri"/>
        <family val="2"/>
        <scheme val="minor"/>
      </rPr>
      <t>02749</t>
    </r>
    <r>
      <rPr>
        <sz val="11"/>
        <color theme="1"/>
        <rFont val="Calibri"/>
        <family val="2"/>
        <scheme val="minor"/>
      </rPr>
      <t xml:space="preserve"> - Security/police/probation office
</t>
    </r>
    <r>
      <rPr>
        <b/>
        <sz val="11"/>
        <color theme="1"/>
        <rFont val="Calibri"/>
        <family val="2"/>
        <scheme val="minor"/>
      </rPr>
      <t>02755</t>
    </r>
    <r>
      <rPr>
        <sz val="11"/>
        <color theme="1"/>
        <rFont val="Calibri"/>
        <family val="2"/>
        <scheme val="minor"/>
      </rPr>
      <t xml:space="preserve"> - Site-based council office
</t>
    </r>
    <r>
      <rPr>
        <b/>
        <sz val="11"/>
        <color theme="1"/>
        <rFont val="Calibri"/>
        <family val="2"/>
        <scheme val="minor"/>
      </rPr>
      <t>02750</t>
    </r>
    <r>
      <rPr>
        <sz val="11"/>
        <color theme="1"/>
        <rFont val="Calibri"/>
        <family val="2"/>
        <scheme val="minor"/>
      </rPr>
      <t xml:space="preserve"> - Staff lounge
</t>
    </r>
    <r>
      <rPr>
        <b/>
        <sz val="11"/>
        <color theme="1"/>
        <rFont val="Calibri"/>
        <family val="2"/>
        <scheme val="minor"/>
      </rPr>
      <t>02751</t>
    </r>
    <r>
      <rPr>
        <sz val="11"/>
        <color theme="1"/>
        <rFont val="Calibri"/>
        <family val="2"/>
        <scheme val="minor"/>
      </rPr>
      <t xml:space="preserve"> - Staff work room
</t>
    </r>
    <r>
      <rPr>
        <b/>
        <sz val="11"/>
        <color theme="1"/>
        <rFont val="Calibri"/>
        <family val="2"/>
        <scheme val="minor"/>
      </rPr>
      <t>02759</t>
    </r>
    <r>
      <rPr>
        <sz val="11"/>
        <color theme="1"/>
        <rFont val="Calibri"/>
        <family val="2"/>
        <scheme val="minor"/>
      </rPr>
      <t xml:space="preserve"> - Storage - instructional equipment
</t>
    </r>
    <r>
      <rPr>
        <b/>
        <sz val="11"/>
        <color theme="1"/>
        <rFont val="Calibri"/>
        <family val="2"/>
        <scheme val="minor"/>
      </rPr>
      <t>02758</t>
    </r>
    <r>
      <rPr>
        <sz val="11"/>
        <color theme="1"/>
        <rFont val="Calibri"/>
        <family val="2"/>
        <scheme val="minor"/>
      </rPr>
      <t xml:space="preserve"> - Storage - resource materials
</t>
    </r>
    <r>
      <rPr>
        <b/>
        <sz val="11"/>
        <color theme="1"/>
        <rFont val="Calibri"/>
        <family val="2"/>
        <scheme val="minor"/>
      </rPr>
      <t>02757</t>
    </r>
    <r>
      <rPr>
        <sz val="11"/>
        <color theme="1"/>
        <rFont val="Calibri"/>
        <family val="2"/>
        <scheme val="minor"/>
      </rPr>
      <t xml:space="preserve"> - Storage - textbook
</t>
    </r>
    <r>
      <rPr>
        <b/>
        <sz val="11"/>
        <color theme="1"/>
        <rFont val="Calibri"/>
        <family val="2"/>
        <scheme val="minor"/>
      </rPr>
      <t>02743</t>
    </r>
    <r>
      <rPr>
        <sz val="11"/>
        <color theme="1"/>
        <rFont val="Calibri"/>
        <family val="2"/>
        <scheme val="minor"/>
      </rPr>
      <t xml:space="preserve"> - Vice-principal/assistant principal's office
</t>
    </r>
    <r>
      <rPr>
        <b/>
        <sz val="11"/>
        <color theme="1"/>
        <rFont val="Calibri"/>
        <family val="2"/>
        <scheme val="minor"/>
      </rPr>
      <t>09999</t>
    </r>
    <r>
      <rPr>
        <sz val="11"/>
        <color theme="1"/>
        <rFont val="Calibri"/>
        <family val="2"/>
        <scheme val="minor"/>
      </rPr>
      <t xml:space="preserve"> - Other
</t>
    </r>
  </si>
  <si>
    <r>
      <t>02497</t>
    </r>
    <r>
      <rPr>
        <sz val="11"/>
        <color theme="1"/>
        <rFont val="Calibri"/>
        <family val="2"/>
        <scheme val="minor"/>
      </rPr>
      <t xml:space="preserve"> - Air handler units
</t>
    </r>
    <r>
      <rPr>
        <b/>
        <sz val="11"/>
        <color theme="1"/>
        <rFont val="Calibri"/>
        <family val="2"/>
        <scheme val="minor"/>
      </rPr>
      <t>02496</t>
    </r>
    <r>
      <rPr>
        <sz val="11"/>
        <color theme="1"/>
        <rFont val="Calibri"/>
        <family val="2"/>
        <scheme val="minor"/>
      </rPr>
      <t xml:space="preserve"> - Both mechanical exhaust and supply units
</t>
    </r>
    <r>
      <rPr>
        <b/>
        <sz val="11"/>
        <color theme="1"/>
        <rFont val="Calibri"/>
        <family val="2"/>
        <scheme val="minor"/>
      </rPr>
      <t>02493</t>
    </r>
    <r>
      <rPr>
        <sz val="11"/>
        <color theme="1"/>
        <rFont val="Calibri"/>
        <family val="2"/>
        <scheme val="minor"/>
      </rPr>
      <t xml:space="preserve"> - Gravity ventilation units
</t>
    </r>
    <r>
      <rPr>
        <b/>
        <sz val="11"/>
        <color theme="1"/>
        <rFont val="Calibri"/>
        <family val="2"/>
        <scheme val="minor"/>
      </rPr>
      <t>02494</t>
    </r>
    <r>
      <rPr>
        <sz val="11"/>
        <color theme="1"/>
        <rFont val="Calibri"/>
        <family val="2"/>
        <scheme val="minor"/>
      </rPr>
      <t xml:space="preserve"> - Mechanical exhaust units
</t>
    </r>
    <r>
      <rPr>
        <b/>
        <sz val="11"/>
        <color theme="1"/>
        <rFont val="Calibri"/>
        <family val="2"/>
        <scheme val="minor"/>
      </rPr>
      <t>02495</t>
    </r>
    <r>
      <rPr>
        <sz val="11"/>
        <color theme="1"/>
        <rFont val="Calibri"/>
        <family val="2"/>
        <scheme val="minor"/>
      </rPr>
      <t xml:space="preserve"> - Mechanical supply units
</t>
    </r>
    <r>
      <rPr>
        <b/>
        <sz val="11"/>
        <color theme="1"/>
        <rFont val="Calibri"/>
        <family val="2"/>
        <scheme val="minor"/>
      </rPr>
      <t>09999</t>
    </r>
    <r>
      <rPr>
        <sz val="11"/>
        <color theme="1"/>
        <rFont val="Calibri"/>
        <family val="2"/>
        <scheme val="minor"/>
      </rPr>
      <t xml:space="preserve"> - Other units
</t>
    </r>
    <r>
      <rPr>
        <b/>
        <sz val="11"/>
        <color theme="1"/>
        <rFont val="Calibri"/>
        <family val="2"/>
        <scheme val="minor"/>
      </rPr>
      <t>02492</t>
    </r>
    <r>
      <rPr>
        <sz val="11"/>
        <color theme="1"/>
        <rFont val="Calibri"/>
        <family val="2"/>
        <scheme val="minor"/>
      </rPr>
      <t xml:space="preserve"> - Window ventilation units
</t>
    </r>
  </si>
  <si>
    <r>
      <t>02644</t>
    </r>
    <r>
      <rPr>
        <sz val="11"/>
        <color theme="1"/>
        <rFont val="Calibri"/>
        <family val="2"/>
        <scheme val="minor"/>
      </rPr>
      <t xml:space="preserve"> - 2-dimensional art classroom
</t>
    </r>
    <r>
      <rPr>
        <b/>
        <sz val="11"/>
        <color theme="1"/>
        <rFont val="Calibri"/>
        <family val="2"/>
        <scheme val="minor"/>
      </rPr>
      <t>02645</t>
    </r>
    <r>
      <rPr>
        <sz val="11"/>
        <color theme="1"/>
        <rFont val="Calibri"/>
        <family val="2"/>
        <scheme val="minor"/>
      </rPr>
      <t xml:space="preserve"> - 3-dimensional art classroom
</t>
    </r>
    <r>
      <rPr>
        <b/>
        <sz val="11"/>
        <color theme="1"/>
        <rFont val="Calibri"/>
        <family val="2"/>
        <scheme val="minor"/>
      </rPr>
      <t>02647</t>
    </r>
    <r>
      <rPr>
        <sz val="11"/>
        <color theme="1"/>
        <rFont val="Calibri"/>
        <family val="2"/>
        <scheme val="minor"/>
      </rPr>
      <t xml:space="preserve"> - Ceramic studio
</t>
    </r>
    <r>
      <rPr>
        <b/>
        <sz val="11"/>
        <color theme="1"/>
        <rFont val="Calibri"/>
        <family val="2"/>
        <scheme val="minor"/>
      </rPr>
      <t>02646</t>
    </r>
    <r>
      <rPr>
        <sz val="11"/>
        <color theme="1"/>
        <rFont val="Calibri"/>
        <family val="2"/>
        <scheme val="minor"/>
      </rPr>
      <t xml:space="preserve"> - Darkroom
</t>
    </r>
    <r>
      <rPr>
        <b/>
        <sz val="11"/>
        <color theme="1"/>
        <rFont val="Calibri"/>
        <family val="2"/>
        <scheme val="minor"/>
      </rPr>
      <t>02649</t>
    </r>
    <r>
      <rPr>
        <sz val="11"/>
        <color theme="1"/>
        <rFont val="Calibri"/>
        <family val="2"/>
        <scheme val="minor"/>
      </rPr>
      <t xml:space="preserve"> - Kiln room
</t>
    </r>
    <r>
      <rPr>
        <b/>
        <sz val="11"/>
        <color theme="1"/>
        <rFont val="Calibri"/>
        <family val="2"/>
        <scheme val="minor"/>
      </rPr>
      <t>02648</t>
    </r>
    <r>
      <rPr>
        <sz val="11"/>
        <color theme="1"/>
        <rFont val="Calibri"/>
        <family val="2"/>
        <scheme val="minor"/>
      </rPr>
      <t xml:space="preserve"> - Photography studio/graphic arts
</t>
    </r>
    <r>
      <rPr>
        <b/>
        <sz val="11"/>
        <color theme="1"/>
        <rFont val="Calibri"/>
        <family val="2"/>
        <scheme val="minor"/>
      </rPr>
      <t>09999</t>
    </r>
    <r>
      <rPr>
        <sz val="11"/>
        <color theme="1"/>
        <rFont val="Calibri"/>
        <family val="2"/>
        <scheme val="minor"/>
      </rPr>
      <t xml:space="preserve"> - Other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</si>
  <si>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03108</t>
    </r>
    <r>
      <rPr>
        <sz val="11"/>
        <color theme="1"/>
        <rFont val="Calibri"/>
        <family val="2"/>
        <scheme val="minor"/>
      </rPr>
      <t xml:space="preserve"> - Disaster shelter area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09999</t>
    </r>
    <r>
      <rPr>
        <sz val="11"/>
        <color theme="1"/>
        <rFont val="Calibri"/>
        <family val="2"/>
        <scheme val="minor"/>
      </rPr>
      <t xml:space="preserve"> - Other
</t>
    </r>
  </si>
  <si>
    <r>
      <t>01304</t>
    </r>
    <r>
      <rPr>
        <sz val="11"/>
        <color theme="1"/>
        <rFont val="Calibri"/>
        <family val="2"/>
        <scheme val="minor"/>
      </rPr>
      <t xml:space="preserve"> - Elementary
</t>
    </r>
    <r>
      <rPr>
        <b/>
        <sz val="11"/>
        <color theme="1"/>
        <rFont val="Calibri"/>
        <family val="2"/>
        <scheme val="minor"/>
      </rPr>
      <t>01981</t>
    </r>
    <r>
      <rPr>
        <sz val="11"/>
        <color theme="1"/>
        <rFont val="Calibri"/>
        <family val="2"/>
        <scheme val="minor"/>
      </rPr>
      <t xml:space="preserve"> - Preschool/early childhood
</t>
    </r>
    <r>
      <rPr>
        <b/>
        <sz val="11"/>
        <color theme="1"/>
        <rFont val="Calibri"/>
        <family val="2"/>
        <scheme val="minor"/>
      </rPr>
      <t>03495</t>
    </r>
    <r>
      <rPr>
        <sz val="11"/>
        <color theme="1"/>
        <rFont val="Calibri"/>
        <family val="2"/>
        <scheme val="minor"/>
      </rPr>
      <t xml:space="preserve"> - Resource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14906</t>
    </r>
    <r>
      <rPr>
        <sz val="11"/>
        <color theme="1"/>
        <rFont val="Calibri"/>
        <family val="2"/>
        <scheme val="minor"/>
      </rPr>
      <t xml:space="preserve"> - Skills center
</t>
    </r>
    <r>
      <rPr>
        <b/>
        <sz val="11"/>
        <color theme="1"/>
        <rFont val="Calibri"/>
        <family val="2"/>
        <scheme val="minor"/>
      </rPr>
      <t>09999</t>
    </r>
    <r>
      <rPr>
        <sz val="11"/>
        <color theme="1"/>
        <rFont val="Calibri"/>
        <family val="2"/>
        <scheme val="minor"/>
      </rPr>
      <t xml:space="preserve"> - Other
</t>
    </r>
  </si>
  <si>
    <r>
      <t>02691</t>
    </r>
    <r>
      <rPr>
        <sz val="11"/>
        <color theme="1"/>
        <rFont val="Calibri"/>
        <family val="2"/>
        <scheme val="minor"/>
      </rPr>
      <t xml:space="preserve"> - Aeronautical technology classroom
</t>
    </r>
    <r>
      <rPr>
        <b/>
        <sz val="11"/>
        <color theme="1"/>
        <rFont val="Calibri"/>
        <family val="2"/>
        <scheme val="minor"/>
      </rPr>
      <t>02685</t>
    </r>
    <r>
      <rPr>
        <sz val="11"/>
        <color theme="1"/>
        <rFont val="Calibri"/>
        <family val="2"/>
        <scheme val="minor"/>
      </rPr>
      <t xml:space="preserve"> - Agricultural/natural resources shop
</t>
    </r>
    <r>
      <rPr>
        <b/>
        <sz val="11"/>
        <color theme="1"/>
        <rFont val="Calibri"/>
        <family val="2"/>
        <scheme val="minor"/>
      </rPr>
      <t>02682</t>
    </r>
    <r>
      <rPr>
        <sz val="11"/>
        <color theme="1"/>
        <rFont val="Calibri"/>
        <family val="2"/>
        <scheme val="minor"/>
      </rPr>
      <t xml:space="preserve"> - Automotive/avionics technology shop
</t>
    </r>
    <r>
      <rPr>
        <b/>
        <sz val="11"/>
        <color theme="1"/>
        <rFont val="Calibri"/>
        <family val="2"/>
        <scheme val="minor"/>
      </rPr>
      <t>02687</t>
    </r>
    <r>
      <rPr>
        <sz val="11"/>
        <color theme="1"/>
        <rFont val="Calibri"/>
        <family val="2"/>
        <scheme val="minor"/>
      </rPr>
      <t xml:space="preserve"> - Barbering and cosmetology shop
</t>
    </r>
    <r>
      <rPr>
        <b/>
        <sz val="11"/>
        <color theme="1"/>
        <rFont val="Calibri"/>
        <family val="2"/>
        <scheme val="minor"/>
      </rPr>
      <t>02702</t>
    </r>
    <r>
      <rPr>
        <sz val="11"/>
        <color theme="1"/>
        <rFont val="Calibri"/>
        <family val="2"/>
        <scheme val="minor"/>
      </rPr>
      <t xml:space="preserve"> - Biotechnology laboratory
</t>
    </r>
    <r>
      <rPr>
        <b/>
        <sz val="11"/>
        <color theme="1"/>
        <rFont val="Calibri"/>
        <family val="2"/>
        <scheme val="minor"/>
      </rPr>
      <t>02692</t>
    </r>
    <r>
      <rPr>
        <sz val="11"/>
        <color theme="1"/>
        <rFont val="Calibri"/>
        <family val="2"/>
        <scheme val="minor"/>
      </rPr>
      <t xml:space="preserve"> - Building construction technology shop
</t>
    </r>
    <r>
      <rPr>
        <b/>
        <sz val="11"/>
        <color theme="1"/>
        <rFont val="Calibri"/>
        <family val="2"/>
        <scheme val="minor"/>
      </rPr>
      <t>02697</t>
    </r>
    <r>
      <rPr>
        <sz val="11"/>
        <color theme="1"/>
        <rFont val="Calibri"/>
        <family val="2"/>
        <scheme val="minor"/>
      </rPr>
      <t xml:space="preserve"> - Business and administrative services/office management laboratory
</t>
    </r>
    <r>
      <rPr>
        <b/>
        <sz val="11"/>
        <color theme="1"/>
        <rFont val="Calibri"/>
        <family val="2"/>
        <scheme val="minor"/>
      </rPr>
      <t>02678</t>
    </r>
    <r>
      <rPr>
        <sz val="11"/>
        <color theme="1"/>
        <rFont val="Calibri"/>
        <family val="2"/>
        <scheme val="minor"/>
      </rPr>
      <t xml:space="preserve"> - Computer/information technology laboratory
</t>
    </r>
    <r>
      <rPr>
        <b/>
        <sz val="11"/>
        <color theme="1"/>
        <rFont val="Calibri"/>
        <family val="2"/>
        <scheme val="minor"/>
      </rPr>
      <t>02680</t>
    </r>
    <r>
      <rPr>
        <sz val="11"/>
        <color theme="1"/>
        <rFont val="Calibri"/>
        <family val="2"/>
        <scheme val="minor"/>
      </rPr>
      <t xml:space="preserve"> - Consumer science - clothing classroom
</t>
    </r>
    <r>
      <rPr>
        <b/>
        <sz val="11"/>
        <color theme="1"/>
        <rFont val="Calibri"/>
        <family val="2"/>
        <scheme val="minor"/>
      </rPr>
      <t>02679</t>
    </r>
    <r>
      <rPr>
        <sz val="11"/>
        <color theme="1"/>
        <rFont val="Calibri"/>
        <family val="2"/>
        <scheme val="minor"/>
      </rPr>
      <t xml:space="preserve"> - Consumer science - food classroom
</t>
    </r>
    <r>
      <rPr>
        <b/>
        <sz val="11"/>
        <color theme="1"/>
        <rFont val="Calibri"/>
        <family val="2"/>
        <scheme val="minor"/>
      </rPr>
      <t>02690</t>
    </r>
    <r>
      <rPr>
        <sz val="11"/>
        <color theme="1"/>
        <rFont val="Calibri"/>
        <family val="2"/>
        <scheme val="minor"/>
      </rPr>
      <t xml:space="preserve"> - Dental science classroom
</t>
    </r>
    <r>
      <rPr>
        <b/>
        <sz val="11"/>
        <color theme="1"/>
        <rFont val="Calibri"/>
        <family val="2"/>
        <scheme val="minor"/>
      </rPr>
      <t>02684</t>
    </r>
    <r>
      <rPr>
        <sz val="11"/>
        <color theme="1"/>
        <rFont val="Calibri"/>
        <family val="2"/>
        <scheme val="minor"/>
      </rPr>
      <t xml:space="preserve"> - Drafting room/CAD/CAM
</t>
    </r>
    <r>
      <rPr>
        <b/>
        <sz val="11"/>
        <color theme="1"/>
        <rFont val="Calibri"/>
        <family val="2"/>
        <scheme val="minor"/>
      </rPr>
      <t>02699</t>
    </r>
    <r>
      <rPr>
        <sz val="11"/>
        <color theme="1"/>
        <rFont val="Calibri"/>
        <family val="2"/>
        <scheme val="minor"/>
      </rPr>
      <t xml:space="preserve"> - Early childhood laboratory/child care center
</t>
    </r>
    <r>
      <rPr>
        <b/>
        <sz val="11"/>
        <color theme="1"/>
        <rFont val="Calibri"/>
        <family val="2"/>
        <scheme val="minor"/>
      </rPr>
      <t>02683</t>
    </r>
    <r>
      <rPr>
        <sz val="11"/>
        <color theme="1"/>
        <rFont val="Calibri"/>
        <family val="2"/>
        <scheme val="minor"/>
      </rPr>
      <t xml:space="preserve"> - Electronics/engineering technology laboratory
</t>
    </r>
    <r>
      <rPr>
        <b/>
        <sz val="11"/>
        <color theme="1"/>
        <rFont val="Calibri"/>
        <family val="2"/>
        <scheme val="minor"/>
      </rPr>
      <t>02681</t>
    </r>
    <r>
      <rPr>
        <sz val="11"/>
        <color theme="1"/>
        <rFont val="Calibri"/>
        <family val="2"/>
        <scheme val="minor"/>
      </rPr>
      <t xml:space="preserve"> - Family and consumer science
</t>
    </r>
    <r>
      <rPr>
        <b/>
        <sz val="11"/>
        <color theme="1"/>
        <rFont val="Calibri"/>
        <family val="2"/>
        <scheme val="minor"/>
      </rPr>
      <t>02695</t>
    </r>
    <r>
      <rPr>
        <sz val="11"/>
        <color theme="1"/>
        <rFont val="Calibri"/>
        <family val="2"/>
        <scheme val="minor"/>
      </rPr>
      <t xml:space="preserve"> - Financial services center/bank
</t>
    </r>
    <r>
      <rPr>
        <b/>
        <sz val="11"/>
        <color theme="1"/>
        <rFont val="Calibri"/>
        <family val="2"/>
        <scheme val="minor"/>
      </rPr>
      <t>02696</t>
    </r>
    <r>
      <rPr>
        <sz val="11"/>
        <color theme="1"/>
        <rFont val="Calibri"/>
        <family val="2"/>
        <scheme val="minor"/>
      </rPr>
      <t xml:space="preserve"> - Food services/hospitality laboratory
</t>
    </r>
    <r>
      <rPr>
        <b/>
        <sz val="11"/>
        <color theme="1"/>
        <rFont val="Calibri"/>
        <family val="2"/>
        <scheme val="minor"/>
      </rPr>
      <t>02700</t>
    </r>
    <r>
      <rPr>
        <sz val="11"/>
        <color theme="1"/>
        <rFont val="Calibri"/>
        <family val="2"/>
        <scheme val="minor"/>
      </rPr>
      <t xml:space="preserve"> - Graphic/digital arts and design studio
</t>
    </r>
    <r>
      <rPr>
        <b/>
        <sz val="11"/>
        <color theme="1"/>
        <rFont val="Calibri"/>
        <family val="2"/>
        <scheme val="minor"/>
      </rPr>
      <t>02686</t>
    </r>
    <r>
      <rPr>
        <sz val="11"/>
        <color theme="1"/>
        <rFont val="Calibri"/>
        <family val="2"/>
        <scheme val="minor"/>
      </rPr>
      <t xml:space="preserve"> - Greenhouse
</t>
    </r>
    <r>
      <rPr>
        <b/>
        <sz val="11"/>
        <color theme="1"/>
        <rFont val="Calibri"/>
        <family val="2"/>
        <scheme val="minor"/>
      </rPr>
      <t>02698</t>
    </r>
    <r>
      <rPr>
        <sz val="11"/>
        <color theme="1"/>
        <rFont val="Calibri"/>
        <family val="2"/>
        <scheme val="minor"/>
      </rPr>
      <t xml:space="preserve"> - Health occupations laboratory
</t>
    </r>
    <r>
      <rPr>
        <b/>
        <sz val="11"/>
        <color theme="1"/>
        <rFont val="Calibri"/>
        <family val="2"/>
        <scheme val="minor"/>
      </rPr>
      <t>02701</t>
    </r>
    <r>
      <rPr>
        <sz val="11"/>
        <color theme="1"/>
        <rFont val="Calibri"/>
        <family val="2"/>
        <scheme val="minor"/>
      </rPr>
      <t xml:space="preserve"> - Law enforcement/fire technology/protective services laboratory
</t>
    </r>
    <r>
      <rPr>
        <b/>
        <sz val="11"/>
        <color theme="1"/>
        <rFont val="Calibri"/>
        <family val="2"/>
        <scheme val="minor"/>
      </rPr>
      <t>02688</t>
    </r>
    <r>
      <rPr>
        <sz val="11"/>
        <color theme="1"/>
        <rFont val="Calibri"/>
        <family val="2"/>
        <scheme val="minor"/>
      </rPr>
      <t xml:space="preserve"> - Multimedia production studio/communications
</t>
    </r>
    <r>
      <rPr>
        <b/>
        <sz val="11"/>
        <color theme="1"/>
        <rFont val="Calibri"/>
        <family val="2"/>
        <scheme val="minor"/>
      </rPr>
      <t>02693</t>
    </r>
    <r>
      <rPr>
        <sz val="11"/>
        <color theme="1"/>
        <rFont val="Calibri"/>
        <family val="2"/>
        <scheme val="minor"/>
      </rPr>
      <t xml:space="preserve"> - Precision manufacturing laboratory/metalworking shop
</t>
    </r>
    <r>
      <rPr>
        <b/>
        <sz val="11"/>
        <color theme="1"/>
        <rFont val="Calibri"/>
        <family val="2"/>
        <scheme val="minor"/>
      </rPr>
      <t>02694</t>
    </r>
    <r>
      <rPr>
        <sz val="11"/>
        <color theme="1"/>
        <rFont val="Calibri"/>
        <family val="2"/>
        <scheme val="minor"/>
      </rPr>
      <t xml:space="preserve"> - Retail store/entrepreneurship laboratory
</t>
    </r>
    <r>
      <rPr>
        <b/>
        <sz val="11"/>
        <color theme="1"/>
        <rFont val="Calibri"/>
        <family val="2"/>
        <scheme val="minor"/>
      </rPr>
      <t>02689</t>
    </r>
    <r>
      <rPr>
        <sz val="11"/>
        <color theme="1"/>
        <rFont val="Calibri"/>
        <family val="2"/>
        <scheme val="minor"/>
      </rPr>
      <t xml:space="preserve"> - Wood shop
</t>
    </r>
    <r>
      <rPr>
        <b/>
        <sz val="11"/>
        <color theme="1"/>
        <rFont val="Calibri"/>
        <family val="2"/>
        <scheme val="minor"/>
      </rPr>
      <t>09999</t>
    </r>
    <r>
      <rPr>
        <sz val="11"/>
        <color theme="1"/>
        <rFont val="Calibri"/>
        <family val="2"/>
        <scheme val="minor"/>
      </rPr>
      <t xml:space="preserve"> - Other
</t>
    </r>
  </si>
  <si>
    <r>
      <t>13691</t>
    </r>
    <r>
      <rPr>
        <sz val="11"/>
        <color theme="1"/>
        <rFont val="Calibri"/>
        <family val="2"/>
        <scheme val="minor"/>
      </rPr>
      <t xml:space="preserve"> - Leasehold
</t>
    </r>
    <r>
      <rPr>
        <b/>
        <sz val="11"/>
        <color theme="1"/>
        <rFont val="Calibri"/>
        <family val="2"/>
        <scheme val="minor"/>
      </rPr>
      <t>13692</t>
    </r>
    <r>
      <rPr>
        <sz val="11"/>
        <color theme="1"/>
        <rFont val="Calibri"/>
        <family val="2"/>
        <scheme val="minor"/>
      </rPr>
      <t xml:space="preserve"> - Ownership by Charter Non-Profit Corporation
</t>
    </r>
    <r>
      <rPr>
        <b/>
        <sz val="11"/>
        <color theme="1"/>
        <rFont val="Calibri"/>
        <family val="2"/>
        <scheme val="minor"/>
      </rPr>
      <t>13693</t>
    </r>
    <r>
      <rPr>
        <sz val="11"/>
        <color theme="1"/>
        <rFont val="Calibri"/>
        <family val="2"/>
        <scheme val="minor"/>
      </rPr>
      <t xml:space="preserve"> - Third Party Non-Profit Ownership
</t>
    </r>
    <r>
      <rPr>
        <b/>
        <sz val="11"/>
        <color theme="1"/>
        <rFont val="Calibri"/>
        <family val="2"/>
        <scheme val="minor"/>
      </rPr>
      <t>14907</t>
    </r>
    <r>
      <rPr>
        <sz val="11"/>
        <color theme="1"/>
        <rFont val="Calibri"/>
        <family val="2"/>
        <scheme val="minor"/>
      </rPr>
      <t xml:space="preserve"> - Third-party public sector ownership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</si>
  <si>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02774</t>
    </r>
    <r>
      <rPr>
        <sz val="11"/>
        <color theme="1"/>
        <rFont val="Calibri"/>
        <family val="2"/>
        <scheme val="minor"/>
      </rPr>
      <t xml:space="preserve"> - Hallway
</t>
    </r>
    <r>
      <rPr>
        <b/>
        <sz val="11"/>
        <color theme="1"/>
        <rFont val="Calibri"/>
        <family val="2"/>
        <scheme val="minor"/>
      </rPr>
      <t>13619</t>
    </r>
    <r>
      <rPr>
        <sz val="11"/>
        <color theme="1"/>
        <rFont val="Calibri"/>
        <family val="2"/>
        <scheme val="minor"/>
      </rPr>
      <t xml:space="preserve"> - Handicap Access Ramp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02776</t>
    </r>
    <r>
      <rPr>
        <sz val="11"/>
        <color theme="1"/>
        <rFont val="Calibri"/>
        <family val="2"/>
        <scheme val="minor"/>
      </rPr>
      <t xml:space="preserve"> - Lobby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02775</t>
    </r>
    <r>
      <rPr>
        <sz val="11"/>
        <color theme="1"/>
        <rFont val="Calibri"/>
        <family val="2"/>
        <scheme val="minor"/>
      </rPr>
      <t xml:space="preserve"> - Stairway
</t>
    </r>
    <r>
      <rPr>
        <b/>
        <sz val="11"/>
        <color theme="1"/>
        <rFont val="Calibri"/>
        <family val="2"/>
        <scheme val="minor"/>
      </rPr>
      <t>09999</t>
    </r>
    <r>
      <rPr>
        <sz val="11"/>
        <color theme="1"/>
        <rFont val="Calibri"/>
        <family val="2"/>
        <scheme val="minor"/>
      </rPr>
      <t xml:space="preserve"> - Other
</t>
    </r>
  </si>
  <si>
    <r>
      <t>02831</t>
    </r>
    <r>
      <rPr>
        <sz val="11"/>
        <color theme="1"/>
        <rFont val="Calibri"/>
        <family val="2"/>
        <scheme val="minor"/>
      </rPr>
      <t xml:space="preserve"> - Level 1 cleaning
</t>
    </r>
    <r>
      <rPr>
        <b/>
        <sz val="11"/>
        <color theme="1"/>
        <rFont val="Calibri"/>
        <family val="2"/>
        <scheme val="minor"/>
      </rPr>
      <t>02832</t>
    </r>
    <r>
      <rPr>
        <sz val="11"/>
        <color theme="1"/>
        <rFont val="Calibri"/>
        <family val="2"/>
        <scheme val="minor"/>
      </rPr>
      <t xml:space="preserve"> - Level 2 cleaning
</t>
    </r>
    <r>
      <rPr>
        <b/>
        <sz val="11"/>
        <color theme="1"/>
        <rFont val="Calibri"/>
        <family val="2"/>
        <scheme val="minor"/>
      </rPr>
      <t>02833</t>
    </r>
    <r>
      <rPr>
        <sz val="11"/>
        <color theme="1"/>
        <rFont val="Calibri"/>
        <family val="2"/>
        <scheme val="minor"/>
      </rPr>
      <t xml:space="preserve"> - Level 3 cleaning
</t>
    </r>
    <r>
      <rPr>
        <b/>
        <sz val="11"/>
        <color theme="1"/>
        <rFont val="Calibri"/>
        <family val="2"/>
        <scheme val="minor"/>
      </rPr>
      <t>02834</t>
    </r>
    <r>
      <rPr>
        <sz val="11"/>
        <color theme="1"/>
        <rFont val="Calibri"/>
        <family val="2"/>
        <scheme val="minor"/>
      </rPr>
      <t xml:space="preserve"> - Level 4 cleaning
</t>
    </r>
    <r>
      <rPr>
        <b/>
        <sz val="11"/>
        <color theme="1"/>
        <rFont val="Calibri"/>
        <family val="2"/>
        <scheme val="minor"/>
      </rPr>
      <t>02835</t>
    </r>
    <r>
      <rPr>
        <sz val="11"/>
        <color theme="1"/>
        <rFont val="Calibri"/>
        <family val="2"/>
        <scheme val="minor"/>
      </rPr>
      <t xml:space="preserve"> - Level 5 cleaning
</t>
    </r>
  </si>
  <si>
    <r>
      <t>02500</t>
    </r>
    <r>
      <rPr>
        <sz val="11"/>
        <color theme="1"/>
        <rFont val="Calibri"/>
        <family val="2"/>
        <scheme val="minor"/>
      </rPr>
      <t xml:space="preserve"> - Data
</t>
    </r>
    <r>
      <rPr>
        <b/>
        <sz val="11"/>
        <color theme="1"/>
        <rFont val="Calibri"/>
        <family val="2"/>
        <scheme val="minor"/>
      </rPr>
      <t>14905</t>
    </r>
    <r>
      <rPr>
        <sz val="11"/>
        <color theme="1"/>
        <rFont val="Calibri"/>
        <family val="2"/>
        <scheme val="minor"/>
      </rPr>
      <t xml:space="preserve"> - Integrated (voice, data, video, etc.)
</t>
    </r>
    <r>
      <rPr>
        <b/>
        <sz val="11"/>
        <color theme="1"/>
        <rFont val="Calibri"/>
        <family val="2"/>
        <scheme val="minor"/>
      </rPr>
      <t>02501</t>
    </r>
    <r>
      <rPr>
        <sz val="11"/>
        <color theme="1"/>
        <rFont val="Calibri"/>
        <family val="2"/>
        <scheme val="minor"/>
      </rPr>
      <t xml:space="preserve"> - Public address system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02498</t>
    </r>
    <r>
      <rPr>
        <sz val="11"/>
        <color theme="1"/>
        <rFont val="Calibri"/>
        <family val="2"/>
        <scheme val="minor"/>
      </rPr>
      <t xml:space="preserve"> - Voice
</t>
    </r>
    <r>
      <rPr>
        <b/>
        <sz val="11"/>
        <color theme="1"/>
        <rFont val="Calibri"/>
        <family val="2"/>
        <scheme val="minor"/>
      </rPr>
      <t>09999</t>
    </r>
    <r>
      <rPr>
        <sz val="11"/>
        <color theme="1"/>
        <rFont val="Calibri"/>
        <family val="2"/>
        <scheme val="minor"/>
      </rPr>
      <t xml:space="preserve"> - Other
</t>
    </r>
  </si>
  <si>
    <r>
      <t>02764</t>
    </r>
    <r>
      <rPr>
        <sz val="11"/>
        <color theme="1"/>
        <rFont val="Calibri"/>
        <family val="2"/>
        <scheme val="minor"/>
      </rPr>
      <t xml:space="preserve"> - Before- and after-school care
</t>
    </r>
    <r>
      <rPr>
        <b/>
        <sz val="11"/>
        <color theme="1"/>
        <rFont val="Calibri"/>
        <family val="2"/>
        <scheme val="minor"/>
      </rPr>
      <t>02760</t>
    </r>
    <r>
      <rPr>
        <sz val="11"/>
        <color theme="1"/>
        <rFont val="Calibri"/>
        <family val="2"/>
        <scheme val="minor"/>
      </rPr>
      <t xml:space="preserve"> - Before- and after-school office
</t>
    </r>
    <r>
      <rPr>
        <b/>
        <sz val="11"/>
        <color theme="1"/>
        <rFont val="Calibri"/>
        <family val="2"/>
        <scheme val="minor"/>
      </rPr>
      <t>02761</t>
    </r>
    <r>
      <rPr>
        <sz val="11"/>
        <color theme="1"/>
        <rFont val="Calibri"/>
        <family val="2"/>
        <scheme val="minor"/>
      </rPr>
      <t xml:space="preserve"> - Child care and development space
</t>
    </r>
    <r>
      <rPr>
        <b/>
        <sz val="11"/>
        <color theme="1"/>
        <rFont val="Calibri"/>
        <family val="2"/>
        <scheme val="minor"/>
      </rPr>
      <t>02765</t>
    </r>
    <r>
      <rPr>
        <sz val="11"/>
        <color theme="1"/>
        <rFont val="Calibri"/>
        <family val="2"/>
        <scheme val="minor"/>
      </rPr>
      <t xml:space="preserve"> - Community room
</t>
    </r>
    <r>
      <rPr>
        <b/>
        <sz val="11"/>
        <color theme="1"/>
        <rFont val="Calibri"/>
        <family val="2"/>
        <scheme val="minor"/>
      </rPr>
      <t>02767</t>
    </r>
    <r>
      <rPr>
        <sz val="11"/>
        <color theme="1"/>
        <rFont val="Calibri"/>
        <family val="2"/>
        <scheme val="minor"/>
      </rPr>
      <t xml:space="preserve"> - Family resource center
</t>
    </r>
    <r>
      <rPr>
        <b/>
        <sz val="11"/>
        <color theme="1"/>
        <rFont val="Calibri"/>
        <family val="2"/>
        <scheme val="minor"/>
      </rPr>
      <t>02766</t>
    </r>
    <r>
      <rPr>
        <sz val="11"/>
        <color theme="1"/>
        <rFont val="Calibri"/>
        <family val="2"/>
        <scheme val="minor"/>
      </rPr>
      <t xml:space="preserve"> - Full-service health clinic
</t>
    </r>
    <r>
      <rPr>
        <b/>
        <sz val="11"/>
        <color theme="1"/>
        <rFont val="Calibri"/>
        <family val="2"/>
        <scheme val="minor"/>
      </rPr>
      <t>02987</t>
    </r>
    <r>
      <rPr>
        <sz val="11"/>
        <color theme="1"/>
        <rFont val="Calibri"/>
        <family val="2"/>
        <scheme val="minor"/>
      </rPr>
      <t xml:space="preserve"> - Head Start space
</t>
    </r>
    <r>
      <rPr>
        <b/>
        <sz val="11"/>
        <color theme="1"/>
        <rFont val="Calibri"/>
        <family val="2"/>
        <scheme val="minor"/>
      </rPr>
      <t>02762</t>
    </r>
    <r>
      <rPr>
        <sz val="11"/>
        <color theme="1"/>
        <rFont val="Calibri"/>
        <family val="2"/>
        <scheme val="minor"/>
      </rPr>
      <t xml:space="preserve"> - Health clinic
</t>
    </r>
    <r>
      <rPr>
        <b/>
        <sz val="11"/>
        <color theme="1"/>
        <rFont val="Calibri"/>
        <family val="2"/>
        <scheme val="minor"/>
      </rPr>
      <t>02763</t>
    </r>
    <r>
      <rPr>
        <sz val="11"/>
        <color theme="1"/>
        <rFont val="Calibri"/>
        <family val="2"/>
        <scheme val="minor"/>
      </rPr>
      <t xml:space="preserve"> - Parent room
</t>
    </r>
    <r>
      <rPr>
        <b/>
        <sz val="11"/>
        <color theme="1"/>
        <rFont val="Calibri"/>
        <family val="2"/>
        <scheme val="minor"/>
      </rPr>
      <t>09999</t>
    </r>
    <r>
      <rPr>
        <sz val="11"/>
        <color theme="1"/>
        <rFont val="Calibri"/>
        <family val="2"/>
        <scheme val="minor"/>
      </rPr>
      <t xml:space="preserve"> - Other
</t>
    </r>
  </si>
  <si>
    <r>
      <t>02490</t>
    </r>
    <r>
      <rPr>
        <sz val="11"/>
        <color theme="1"/>
        <rFont val="Calibri"/>
        <family val="2"/>
        <scheme val="minor"/>
      </rPr>
      <t xml:space="preserve"> - Ceiling fans or ventilation fans
</t>
    </r>
    <r>
      <rPr>
        <b/>
        <sz val="11"/>
        <color theme="1"/>
        <rFont val="Calibri"/>
        <family val="2"/>
        <scheme val="minor"/>
      </rPr>
      <t>02486</t>
    </r>
    <r>
      <rPr>
        <sz val="11"/>
        <color theme="1"/>
        <rFont val="Calibri"/>
        <family val="2"/>
        <scheme val="minor"/>
      </rPr>
      <t xml:space="preserve"> - Central cooling system
</t>
    </r>
    <r>
      <rPr>
        <b/>
        <sz val="11"/>
        <color theme="1"/>
        <rFont val="Calibri"/>
        <family val="2"/>
        <scheme val="minor"/>
      </rPr>
      <t>02489</t>
    </r>
    <r>
      <rPr>
        <sz val="11"/>
        <color theme="1"/>
        <rFont val="Calibri"/>
        <family val="2"/>
        <scheme val="minor"/>
      </rPr>
      <t xml:space="preserve"> - Combination cooling systems
</t>
    </r>
    <r>
      <rPr>
        <b/>
        <sz val="11"/>
        <color theme="1"/>
        <rFont val="Calibri"/>
        <family val="2"/>
        <scheme val="minor"/>
      </rPr>
      <t>02488</t>
    </r>
    <r>
      <rPr>
        <sz val="11"/>
        <color theme="1"/>
        <rFont val="Calibri"/>
        <family val="2"/>
        <scheme val="minor"/>
      </rPr>
      <t xml:space="preserve"> - Individual (room) unit cooling system
</t>
    </r>
    <r>
      <rPr>
        <b/>
        <sz val="11"/>
        <color theme="1"/>
        <rFont val="Calibri"/>
        <family val="2"/>
        <scheme val="minor"/>
      </rPr>
      <t>02487</t>
    </r>
    <r>
      <rPr>
        <sz val="11"/>
        <color theme="1"/>
        <rFont val="Calibri"/>
        <family val="2"/>
        <scheme val="minor"/>
      </rPr>
      <t xml:space="preserve"> - Local zone cooling system
</t>
    </r>
    <r>
      <rPr>
        <b/>
        <sz val="11"/>
        <color theme="1"/>
        <rFont val="Calibri"/>
        <family val="2"/>
        <scheme val="minor"/>
      </rPr>
      <t>02491</t>
    </r>
    <r>
      <rPr>
        <sz val="11"/>
        <color theme="1"/>
        <rFont val="Calibri"/>
        <family val="2"/>
        <scheme val="minor"/>
      </rPr>
      <t xml:space="preserve"> - Natural systems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</si>
  <si>
    <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</si>
  <si>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02476</t>
    </r>
    <r>
      <rPr>
        <sz val="11"/>
        <color theme="1"/>
        <rFont val="Calibri"/>
        <family val="2"/>
        <scheme val="minor"/>
      </rPr>
      <t xml:space="preserve"> - Circuit breakers
</t>
    </r>
    <r>
      <rPr>
        <b/>
        <sz val="11"/>
        <color theme="1"/>
        <rFont val="Calibri"/>
        <family val="2"/>
        <scheme val="minor"/>
      </rPr>
      <t>13570</t>
    </r>
    <r>
      <rPr>
        <sz val="11"/>
        <color theme="1"/>
        <rFont val="Calibri"/>
        <family val="2"/>
        <scheme val="minor"/>
      </rPr>
      <t xml:space="preserve"> - Communications and security
</t>
    </r>
    <r>
      <rPr>
        <b/>
        <sz val="11"/>
        <color theme="1"/>
        <rFont val="Calibri"/>
        <family val="2"/>
        <scheme val="minor"/>
      </rPr>
      <t>02473</t>
    </r>
    <r>
      <rPr>
        <sz val="11"/>
        <color theme="1"/>
        <rFont val="Calibri"/>
        <family val="2"/>
        <scheme val="minor"/>
      </rPr>
      <t xml:space="preserve"> - Electrical distribution
</t>
    </r>
    <r>
      <rPr>
        <b/>
        <sz val="11"/>
        <color theme="1"/>
        <rFont val="Calibri"/>
        <family val="2"/>
        <scheme val="minor"/>
      </rPr>
      <t>02475</t>
    </r>
    <r>
      <rPr>
        <sz val="11"/>
        <color theme="1"/>
        <rFont val="Calibri"/>
        <family val="2"/>
        <scheme val="minor"/>
      </rPr>
      <t xml:space="preserve"> - Electrical interface
</t>
    </r>
    <r>
      <rPr>
        <b/>
        <sz val="11"/>
        <color theme="1"/>
        <rFont val="Calibri"/>
        <family val="2"/>
        <scheme val="minor"/>
      </rPr>
      <t>13571</t>
    </r>
    <r>
      <rPr>
        <sz val="11"/>
        <color theme="1"/>
        <rFont val="Calibri"/>
        <family val="2"/>
        <scheme val="minor"/>
      </rPr>
      <t xml:space="preserve"> - Electrical service and distribution
</t>
    </r>
    <r>
      <rPr>
        <b/>
        <sz val="11"/>
        <color theme="1"/>
        <rFont val="Calibri"/>
        <family val="2"/>
        <scheme val="minor"/>
      </rPr>
      <t>02472</t>
    </r>
    <r>
      <rPr>
        <sz val="11"/>
        <color theme="1"/>
        <rFont val="Calibri"/>
        <family val="2"/>
        <scheme val="minor"/>
      </rPr>
      <t xml:space="preserve"> - Electrical supply
</t>
    </r>
    <r>
      <rPr>
        <b/>
        <sz val="11"/>
        <color theme="1"/>
        <rFont val="Calibri"/>
        <family val="2"/>
        <scheme val="minor"/>
      </rPr>
      <t>02474</t>
    </r>
    <r>
      <rPr>
        <sz val="11"/>
        <color theme="1"/>
        <rFont val="Calibri"/>
        <family val="2"/>
        <scheme val="minor"/>
      </rPr>
      <t xml:space="preserve"> - Emergency generator
</t>
    </r>
    <r>
      <rPr>
        <b/>
        <sz val="11"/>
        <color theme="1"/>
        <rFont val="Calibri"/>
        <family val="2"/>
        <scheme val="minor"/>
      </rPr>
      <t>13572</t>
    </r>
    <r>
      <rPr>
        <sz val="11"/>
        <color theme="1"/>
        <rFont val="Calibri"/>
        <family val="2"/>
        <scheme val="minor"/>
      </rPr>
      <t xml:space="preserve"> - Lighting and branch wiring
</t>
    </r>
    <r>
      <rPr>
        <b/>
        <sz val="11"/>
        <color theme="1"/>
        <rFont val="Calibri"/>
        <family val="2"/>
        <scheme val="minor"/>
      </rPr>
      <t>09999</t>
    </r>
    <r>
      <rPr>
        <sz val="11"/>
        <color theme="1"/>
        <rFont val="Calibri"/>
        <family val="2"/>
        <scheme val="minor"/>
      </rPr>
      <t xml:space="preserve"> - Other
</t>
    </r>
  </si>
  <si>
    <r>
      <t>13653</t>
    </r>
    <r>
      <rPr>
        <sz val="11"/>
        <color theme="1"/>
        <rFont val="Calibri"/>
        <family val="2"/>
        <scheme val="minor"/>
      </rPr>
      <t xml:space="preserve"> - Daylighting
</t>
    </r>
    <r>
      <rPr>
        <b/>
        <sz val="11"/>
        <color theme="1"/>
        <rFont val="Calibri"/>
        <family val="2"/>
        <scheme val="minor"/>
      </rPr>
      <t>13654</t>
    </r>
    <r>
      <rPr>
        <sz val="11"/>
        <color theme="1"/>
        <rFont val="Calibri"/>
        <family val="2"/>
        <scheme val="minor"/>
      </rPr>
      <t xml:space="preserve"> - Delamping
</t>
    </r>
    <r>
      <rPr>
        <b/>
        <sz val="11"/>
        <color theme="1"/>
        <rFont val="Calibri"/>
        <family val="2"/>
        <scheme val="minor"/>
      </rPr>
      <t>02848</t>
    </r>
    <r>
      <rPr>
        <sz val="11"/>
        <color theme="1"/>
        <rFont val="Calibri"/>
        <family val="2"/>
        <scheme val="minor"/>
      </rPr>
      <t xml:space="preserve"> - HVAC replacement
</t>
    </r>
    <r>
      <rPr>
        <b/>
        <sz val="11"/>
        <color theme="1"/>
        <rFont val="Calibri"/>
        <family val="2"/>
        <scheme val="minor"/>
      </rPr>
      <t>02847</t>
    </r>
    <r>
      <rPr>
        <sz val="11"/>
        <color theme="1"/>
        <rFont val="Calibri"/>
        <family val="2"/>
        <scheme val="minor"/>
      </rPr>
      <t xml:space="preserve"> - Installation of energy controls
</t>
    </r>
    <r>
      <rPr>
        <b/>
        <sz val="11"/>
        <color theme="1"/>
        <rFont val="Calibri"/>
        <family val="2"/>
        <scheme val="minor"/>
      </rPr>
      <t>14904</t>
    </r>
    <r>
      <rPr>
        <sz val="11"/>
        <color theme="1"/>
        <rFont val="Calibri"/>
        <family val="2"/>
        <scheme val="minor"/>
      </rPr>
      <t xml:space="preserve"> - Installation of solar equipment
</t>
    </r>
    <r>
      <rPr>
        <b/>
        <sz val="11"/>
        <color theme="1"/>
        <rFont val="Calibri"/>
        <family val="2"/>
        <scheme val="minor"/>
      </rPr>
      <t>02850</t>
    </r>
    <r>
      <rPr>
        <sz val="11"/>
        <color theme="1"/>
        <rFont val="Calibri"/>
        <family val="2"/>
        <scheme val="minor"/>
      </rPr>
      <t xml:space="preserve"> - Insulation improvements
</t>
    </r>
    <r>
      <rPr>
        <b/>
        <sz val="11"/>
        <color theme="1"/>
        <rFont val="Calibri"/>
        <family val="2"/>
        <scheme val="minor"/>
      </rPr>
      <t>02849</t>
    </r>
    <r>
      <rPr>
        <sz val="11"/>
        <color theme="1"/>
        <rFont val="Calibri"/>
        <family val="2"/>
        <scheme val="minor"/>
      </rPr>
      <t xml:space="preserve"> - Lighting replacement
</t>
    </r>
    <r>
      <rPr>
        <b/>
        <sz val="11"/>
        <color theme="1"/>
        <rFont val="Calibri"/>
        <family val="2"/>
        <scheme val="minor"/>
      </rPr>
      <t>14903</t>
    </r>
    <r>
      <rPr>
        <sz val="11"/>
        <color theme="1"/>
        <rFont val="Calibri"/>
        <family val="2"/>
        <scheme val="minor"/>
      </rPr>
      <t xml:space="preserve"> - Relamping
</t>
    </r>
    <r>
      <rPr>
        <b/>
        <sz val="11"/>
        <color theme="1"/>
        <rFont val="Calibri"/>
        <family val="2"/>
        <scheme val="minor"/>
      </rPr>
      <t>02846</t>
    </r>
    <r>
      <rPr>
        <sz val="11"/>
        <color theme="1"/>
        <rFont val="Calibri"/>
        <family val="2"/>
        <scheme val="minor"/>
      </rPr>
      <t xml:space="preserve"> - Window replacement
</t>
    </r>
    <r>
      <rPr>
        <b/>
        <sz val="11"/>
        <color theme="1"/>
        <rFont val="Calibri"/>
        <family val="2"/>
        <scheme val="minor"/>
      </rPr>
      <t>09999</t>
    </r>
    <r>
      <rPr>
        <sz val="11"/>
        <color theme="1"/>
        <rFont val="Calibri"/>
        <family val="2"/>
        <scheme val="minor"/>
      </rPr>
      <t xml:space="preserve"> - Other
</t>
    </r>
  </si>
  <si>
    <r>
      <t>13655</t>
    </r>
    <r>
      <rPr>
        <sz val="11"/>
        <color theme="1"/>
        <rFont val="Calibri"/>
        <family val="2"/>
        <scheme val="minor"/>
      </rPr>
      <t xml:space="preserve"> - Biomass
</t>
    </r>
    <r>
      <rPr>
        <b/>
        <sz val="11"/>
        <color theme="1"/>
        <rFont val="Calibri"/>
        <family val="2"/>
        <scheme val="minor"/>
      </rPr>
      <t>02858</t>
    </r>
    <r>
      <rPr>
        <sz val="11"/>
        <color theme="1"/>
        <rFont val="Calibri"/>
        <family val="2"/>
        <scheme val="minor"/>
      </rPr>
      <t xml:space="preserve"> - Coal
</t>
    </r>
    <r>
      <rPr>
        <b/>
        <sz val="11"/>
        <color theme="1"/>
        <rFont val="Calibri"/>
        <family val="2"/>
        <scheme val="minor"/>
      </rPr>
      <t>02854</t>
    </r>
    <r>
      <rPr>
        <sz val="11"/>
        <color theme="1"/>
        <rFont val="Calibri"/>
        <family val="2"/>
        <scheme val="minor"/>
      </rPr>
      <t xml:space="preserve"> - Electric
</t>
    </r>
    <r>
      <rPr>
        <b/>
        <sz val="11"/>
        <color theme="1"/>
        <rFont val="Calibri"/>
        <family val="2"/>
        <scheme val="minor"/>
      </rPr>
      <t>02853</t>
    </r>
    <r>
      <rPr>
        <sz val="11"/>
        <color theme="1"/>
        <rFont val="Calibri"/>
        <family val="2"/>
        <scheme val="minor"/>
      </rPr>
      <t xml:space="preserve"> - Gas
</t>
    </r>
    <r>
      <rPr>
        <b/>
        <sz val="11"/>
        <color theme="1"/>
        <rFont val="Calibri"/>
        <family val="2"/>
        <scheme val="minor"/>
      </rPr>
      <t>02857</t>
    </r>
    <r>
      <rPr>
        <sz val="11"/>
        <color theme="1"/>
        <rFont val="Calibri"/>
        <family val="2"/>
        <scheme val="minor"/>
      </rPr>
      <t xml:space="preserve"> - Geothermal
</t>
    </r>
    <r>
      <rPr>
        <b/>
        <sz val="11"/>
        <color theme="1"/>
        <rFont val="Calibri"/>
        <family val="2"/>
        <scheme val="minor"/>
      </rPr>
      <t>02859</t>
    </r>
    <r>
      <rPr>
        <sz val="11"/>
        <color theme="1"/>
        <rFont val="Calibri"/>
        <family val="2"/>
        <scheme val="minor"/>
      </rPr>
      <t xml:space="preserve"> - Nuclear
</t>
    </r>
    <r>
      <rPr>
        <b/>
        <sz val="11"/>
        <color theme="1"/>
        <rFont val="Calibri"/>
        <family val="2"/>
        <scheme val="minor"/>
      </rPr>
      <t>02842</t>
    </r>
    <r>
      <rPr>
        <sz val="11"/>
        <color theme="1"/>
        <rFont val="Calibri"/>
        <family val="2"/>
        <scheme val="minor"/>
      </rPr>
      <t xml:space="preserve"> - Oil
</t>
    </r>
    <r>
      <rPr>
        <b/>
        <sz val="11"/>
        <color theme="1"/>
        <rFont val="Calibri"/>
        <family val="2"/>
        <scheme val="minor"/>
      </rPr>
      <t>02855</t>
    </r>
    <r>
      <rPr>
        <sz val="11"/>
        <color theme="1"/>
        <rFont val="Calibri"/>
        <family val="2"/>
        <scheme val="minor"/>
      </rPr>
      <t xml:space="preserve"> - Solar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02856</t>
    </r>
    <r>
      <rPr>
        <sz val="11"/>
        <color theme="1"/>
        <rFont val="Calibri"/>
        <family val="2"/>
        <scheme val="minor"/>
      </rPr>
      <t xml:space="preserve"> - Wind
</t>
    </r>
    <r>
      <rPr>
        <b/>
        <sz val="11"/>
        <color theme="1"/>
        <rFont val="Calibri"/>
        <family val="2"/>
        <scheme val="minor"/>
      </rPr>
      <t>09999</t>
    </r>
    <r>
      <rPr>
        <sz val="11"/>
        <color theme="1"/>
        <rFont val="Calibri"/>
        <family val="2"/>
        <scheme val="minor"/>
      </rPr>
      <t xml:space="preserve"> - Other
</t>
    </r>
  </si>
  <si>
    <r>
      <t>13620</t>
    </r>
    <r>
      <rPr>
        <sz val="11"/>
        <color theme="1"/>
        <rFont val="Calibri"/>
        <family val="2"/>
        <scheme val="minor"/>
      </rPr>
      <t xml:space="preserve"> - Climate/Emissions
</t>
    </r>
    <r>
      <rPr>
        <b/>
        <sz val="11"/>
        <color theme="1"/>
        <rFont val="Calibri"/>
        <family val="2"/>
        <scheme val="minor"/>
      </rPr>
      <t>13621</t>
    </r>
    <r>
      <rPr>
        <sz val="11"/>
        <color theme="1"/>
        <rFont val="Calibri"/>
        <family val="2"/>
        <scheme val="minor"/>
      </rPr>
      <t xml:space="preserve"> - Energy
</t>
    </r>
    <r>
      <rPr>
        <b/>
        <sz val="11"/>
        <color theme="1"/>
        <rFont val="Calibri"/>
        <family val="2"/>
        <scheme val="minor"/>
      </rPr>
      <t>13622</t>
    </r>
    <r>
      <rPr>
        <sz val="11"/>
        <color theme="1"/>
        <rFont val="Calibri"/>
        <family val="2"/>
        <scheme val="minor"/>
      </rPr>
      <t xml:space="preserve"> - Indoor Environmental Quality
</t>
    </r>
    <r>
      <rPr>
        <b/>
        <sz val="11"/>
        <color theme="1"/>
        <rFont val="Calibri"/>
        <family val="2"/>
        <scheme val="minor"/>
      </rPr>
      <t>13623</t>
    </r>
    <r>
      <rPr>
        <sz val="11"/>
        <color theme="1"/>
        <rFont val="Calibri"/>
        <family val="2"/>
        <scheme val="minor"/>
      </rPr>
      <t xml:space="preserve"> - Innovations in Operations/ Project/ Environmental Management
</t>
    </r>
    <r>
      <rPr>
        <b/>
        <sz val="11"/>
        <color theme="1"/>
        <rFont val="Calibri"/>
        <family val="2"/>
        <scheme val="minor"/>
      </rPr>
      <t>13624</t>
    </r>
    <r>
      <rPr>
        <sz val="11"/>
        <color theme="1"/>
        <rFont val="Calibri"/>
        <family val="2"/>
        <scheme val="minor"/>
      </rPr>
      <t xml:space="preserve"> - Leadership, Education and Innovation
</t>
    </r>
    <r>
      <rPr>
        <b/>
        <sz val="11"/>
        <color theme="1"/>
        <rFont val="Calibri"/>
        <family val="2"/>
        <scheme val="minor"/>
      </rPr>
      <t>13625</t>
    </r>
    <r>
      <rPr>
        <sz val="11"/>
        <color theme="1"/>
        <rFont val="Calibri"/>
        <family val="2"/>
        <scheme val="minor"/>
      </rPr>
      <t xml:space="preserve"> - Materials and Resources
</t>
    </r>
    <r>
      <rPr>
        <b/>
        <sz val="11"/>
        <color theme="1"/>
        <rFont val="Calibri"/>
        <family val="2"/>
        <scheme val="minor"/>
      </rPr>
      <t>13626</t>
    </r>
    <r>
      <rPr>
        <sz val="11"/>
        <color theme="1"/>
        <rFont val="Calibri"/>
        <family val="2"/>
        <scheme val="minor"/>
      </rPr>
      <t xml:space="preserve"> - Regional Priority
</t>
    </r>
    <r>
      <rPr>
        <b/>
        <sz val="11"/>
        <color theme="1"/>
        <rFont val="Calibri"/>
        <family val="2"/>
        <scheme val="minor"/>
      </rPr>
      <t>13627</t>
    </r>
    <r>
      <rPr>
        <sz val="11"/>
        <color theme="1"/>
        <rFont val="Calibri"/>
        <family val="2"/>
        <scheme val="minor"/>
      </rPr>
      <t xml:space="preserve"> - Sustainable Sites
</t>
    </r>
  </si>
  <si>
    <r>
      <t>02513</t>
    </r>
    <r>
      <rPr>
        <sz val="11"/>
        <color theme="1"/>
        <rFont val="Calibri"/>
        <family val="2"/>
        <scheme val="minor"/>
      </rPr>
      <t xml:space="preserve"> - Alarms
</t>
    </r>
    <r>
      <rPr>
        <b/>
        <sz val="11"/>
        <color theme="1"/>
        <rFont val="Calibri"/>
        <family val="2"/>
        <scheme val="minor"/>
      </rPr>
      <t>02511</t>
    </r>
    <r>
      <rPr>
        <sz val="11"/>
        <color theme="1"/>
        <rFont val="Calibri"/>
        <family val="2"/>
        <scheme val="minor"/>
      </rPr>
      <t xml:space="preserve"> - Automatic sprinkler
</t>
    </r>
    <r>
      <rPr>
        <b/>
        <sz val="11"/>
        <color theme="1"/>
        <rFont val="Calibri"/>
        <family val="2"/>
        <scheme val="minor"/>
      </rPr>
      <t>13579</t>
    </r>
    <r>
      <rPr>
        <sz val="11"/>
        <color theme="1"/>
        <rFont val="Calibri"/>
        <family val="2"/>
        <scheme val="minor"/>
      </rPr>
      <t xml:space="preserve"> - Fire protection specialists
</t>
    </r>
    <r>
      <rPr>
        <b/>
        <sz val="11"/>
        <color theme="1"/>
        <rFont val="Calibri"/>
        <family val="2"/>
        <scheme val="minor"/>
      </rPr>
      <t>02512</t>
    </r>
    <r>
      <rPr>
        <sz val="11"/>
        <color theme="1"/>
        <rFont val="Calibri"/>
        <family val="2"/>
        <scheme val="minor"/>
      </rPr>
      <t xml:space="preserve"> - Fire pump/extinguishers
</t>
    </r>
    <r>
      <rPr>
        <b/>
        <sz val="11"/>
        <color theme="1"/>
        <rFont val="Calibri"/>
        <family val="2"/>
        <scheme val="minor"/>
      </rPr>
      <t>02514</t>
    </r>
    <r>
      <rPr>
        <sz val="11"/>
        <color theme="1"/>
        <rFont val="Calibri"/>
        <family val="2"/>
        <scheme val="minor"/>
      </rPr>
      <t xml:space="preserve"> - Kitchen fire suppressor system
</t>
    </r>
    <r>
      <rPr>
        <b/>
        <sz val="11"/>
        <color theme="1"/>
        <rFont val="Calibri"/>
        <family val="2"/>
        <scheme val="minor"/>
      </rPr>
      <t>13580</t>
    </r>
    <r>
      <rPr>
        <sz val="11"/>
        <color theme="1"/>
        <rFont val="Calibri"/>
        <family val="2"/>
        <scheme val="minor"/>
      </rPr>
      <t xml:space="preserve"> - Other fire protection systems
</t>
    </r>
    <r>
      <rPr>
        <b/>
        <sz val="11"/>
        <color theme="1"/>
        <rFont val="Calibri"/>
        <family val="2"/>
        <scheme val="minor"/>
      </rPr>
      <t>13581</t>
    </r>
    <r>
      <rPr>
        <sz val="11"/>
        <color theme="1"/>
        <rFont val="Calibri"/>
        <family val="2"/>
        <scheme val="minor"/>
      </rPr>
      <t xml:space="preserve"> - Standpipes
</t>
    </r>
    <r>
      <rPr>
        <b/>
        <sz val="11"/>
        <color theme="1"/>
        <rFont val="Calibri"/>
        <family val="2"/>
        <scheme val="minor"/>
      </rPr>
      <t>09999</t>
    </r>
    <r>
      <rPr>
        <sz val="11"/>
        <color theme="1"/>
        <rFont val="Calibri"/>
        <family val="2"/>
        <scheme val="minor"/>
      </rPr>
      <t xml:space="preserve"> - Other
</t>
    </r>
  </si>
  <si>
    <r>
      <t>02792</t>
    </r>
    <r>
      <rPr>
        <sz val="11"/>
        <color theme="1"/>
        <rFont val="Calibri"/>
        <family val="2"/>
        <scheme val="minor"/>
      </rPr>
      <t xml:space="preserve"> - Cafeteria
</t>
    </r>
    <r>
      <rPr>
        <b/>
        <sz val="11"/>
        <color theme="1"/>
        <rFont val="Calibri"/>
        <family val="2"/>
        <scheme val="minor"/>
      </rPr>
      <t>02793</t>
    </r>
    <r>
      <rPr>
        <sz val="11"/>
        <color theme="1"/>
        <rFont val="Calibri"/>
        <family val="2"/>
        <scheme val="minor"/>
      </rPr>
      <t xml:space="preserve"> - Cafetorium
</t>
    </r>
    <r>
      <rPr>
        <b/>
        <sz val="11"/>
        <color theme="1"/>
        <rFont val="Calibri"/>
        <family val="2"/>
        <scheme val="minor"/>
      </rPr>
      <t>02797</t>
    </r>
    <r>
      <rPr>
        <sz val="11"/>
        <color theme="1"/>
        <rFont val="Calibri"/>
        <family val="2"/>
        <scheme val="minor"/>
      </rPr>
      <t xml:space="preserve"> - Convenience kitchen
</t>
    </r>
    <r>
      <rPr>
        <b/>
        <sz val="11"/>
        <color theme="1"/>
        <rFont val="Calibri"/>
        <family val="2"/>
        <scheme val="minor"/>
      </rPr>
      <t>03251</t>
    </r>
    <r>
      <rPr>
        <sz val="11"/>
        <color theme="1"/>
        <rFont val="Calibri"/>
        <family val="2"/>
        <scheme val="minor"/>
      </rPr>
      <t xml:space="preserve"> - Dish return area
</t>
    </r>
    <r>
      <rPr>
        <b/>
        <sz val="11"/>
        <color theme="1"/>
        <rFont val="Calibri"/>
        <family val="2"/>
        <scheme val="minor"/>
      </rPr>
      <t>02799</t>
    </r>
    <r>
      <rPr>
        <sz val="11"/>
        <color theme="1"/>
        <rFont val="Calibri"/>
        <family val="2"/>
        <scheme val="minor"/>
      </rPr>
      <t xml:space="preserve"> - Dry food/non-hazardous supplies storage area
</t>
    </r>
    <r>
      <rPr>
        <b/>
        <sz val="11"/>
        <color theme="1"/>
        <rFont val="Calibri"/>
        <family val="2"/>
        <scheme val="minor"/>
      </rPr>
      <t>02794</t>
    </r>
    <r>
      <rPr>
        <sz val="11"/>
        <color theme="1"/>
        <rFont val="Calibri"/>
        <family val="2"/>
        <scheme val="minor"/>
      </rPr>
      <t xml:space="preserve"> - Faculty dining room
</t>
    </r>
    <r>
      <rPr>
        <b/>
        <sz val="11"/>
        <color theme="1"/>
        <rFont val="Calibri"/>
        <family val="2"/>
        <scheme val="minor"/>
      </rPr>
      <t>02798</t>
    </r>
    <r>
      <rPr>
        <sz val="11"/>
        <color theme="1"/>
        <rFont val="Calibri"/>
        <family val="2"/>
        <scheme val="minor"/>
      </rPr>
      <t xml:space="preserve"> - Finishing/satellite kitchen
</t>
    </r>
    <r>
      <rPr>
        <b/>
        <sz val="11"/>
        <color theme="1"/>
        <rFont val="Calibri"/>
        <family val="2"/>
        <scheme val="minor"/>
      </rPr>
      <t>03254</t>
    </r>
    <r>
      <rPr>
        <sz val="11"/>
        <color theme="1"/>
        <rFont val="Calibri"/>
        <family val="2"/>
        <scheme val="minor"/>
      </rPr>
      <t xml:space="preserve"> - Food receiving area
</t>
    </r>
    <r>
      <rPr>
        <b/>
        <sz val="11"/>
        <color theme="1"/>
        <rFont val="Calibri"/>
        <family val="2"/>
        <scheme val="minor"/>
      </rPr>
      <t>02800</t>
    </r>
    <r>
      <rPr>
        <sz val="11"/>
        <color theme="1"/>
        <rFont val="Calibri"/>
        <family val="2"/>
        <scheme val="minor"/>
      </rPr>
      <t xml:space="preserve"> - Food serving area
</t>
    </r>
    <r>
      <rPr>
        <b/>
        <sz val="11"/>
        <color theme="1"/>
        <rFont val="Calibri"/>
        <family val="2"/>
        <scheme val="minor"/>
      </rPr>
      <t>02796</t>
    </r>
    <r>
      <rPr>
        <sz val="11"/>
        <color theme="1"/>
        <rFont val="Calibri"/>
        <family val="2"/>
        <scheme val="minor"/>
      </rPr>
      <t xml:space="preserve"> - Full-service kitchen
</t>
    </r>
    <r>
      <rPr>
        <b/>
        <sz val="11"/>
        <color theme="1"/>
        <rFont val="Calibri"/>
        <family val="2"/>
        <scheme val="minor"/>
      </rPr>
      <t>13629</t>
    </r>
    <r>
      <rPr>
        <sz val="11"/>
        <color theme="1"/>
        <rFont val="Calibri"/>
        <family val="2"/>
        <scheme val="minor"/>
      </rPr>
      <t xml:space="preserve"> - Kitchen garden
</t>
    </r>
    <r>
      <rPr>
        <b/>
        <sz val="11"/>
        <color theme="1"/>
        <rFont val="Calibri"/>
        <family val="2"/>
        <scheme val="minor"/>
      </rPr>
      <t>02988</t>
    </r>
    <r>
      <rPr>
        <sz val="11"/>
        <color theme="1"/>
        <rFont val="Calibri"/>
        <family val="2"/>
        <scheme val="minor"/>
      </rPr>
      <t xml:space="preserve"> - Multipurpose room
</t>
    </r>
    <r>
      <rPr>
        <b/>
        <sz val="11"/>
        <color theme="1"/>
        <rFont val="Calibri"/>
        <family val="2"/>
        <scheme val="minor"/>
      </rPr>
      <t>03253</t>
    </r>
    <r>
      <rPr>
        <sz val="11"/>
        <color theme="1"/>
        <rFont val="Calibri"/>
        <family val="2"/>
        <scheme val="minor"/>
      </rPr>
      <t xml:space="preserve"> - Recyclable materials area
</t>
    </r>
    <r>
      <rPr>
        <b/>
        <sz val="11"/>
        <color theme="1"/>
        <rFont val="Calibri"/>
        <family val="2"/>
        <scheme val="minor"/>
      </rPr>
      <t>03109</t>
    </r>
    <r>
      <rPr>
        <sz val="11"/>
        <color theme="1"/>
        <rFont val="Calibri"/>
        <family val="2"/>
        <scheme val="minor"/>
      </rPr>
      <t xml:space="preserve"> - Refrigerated/freezer storage area
</t>
    </r>
    <r>
      <rPr>
        <b/>
        <sz val="11"/>
        <color theme="1"/>
        <rFont val="Calibri"/>
        <family val="2"/>
        <scheme val="minor"/>
      </rPr>
      <t>02801</t>
    </r>
    <r>
      <rPr>
        <sz val="11"/>
        <color theme="1"/>
        <rFont val="Calibri"/>
        <family val="2"/>
        <scheme val="minor"/>
      </rPr>
      <t xml:space="preserve"> - Storage of tables and chairs
</t>
    </r>
    <r>
      <rPr>
        <b/>
        <sz val="11"/>
        <color theme="1"/>
        <rFont val="Calibri"/>
        <family val="2"/>
        <scheme val="minor"/>
      </rPr>
      <t>02795</t>
    </r>
    <r>
      <rPr>
        <sz val="11"/>
        <color theme="1"/>
        <rFont val="Calibri"/>
        <family val="2"/>
        <scheme val="minor"/>
      </rPr>
      <t xml:space="preserve"> - Student dining room
</t>
    </r>
    <r>
      <rPr>
        <b/>
        <sz val="11"/>
        <color theme="1"/>
        <rFont val="Calibri"/>
        <family val="2"/>
        <scheme val="minor"/>
      </rPr>
      <t>03252</t>
    </r>
    <r>
      <rPr>
        <sz val="11"/>
        <color theme="1"/>
        <rFont val="Calibri"/>
        <family val="2"/>
        <scheme val="minor"/>
      </rPr>
      <t xml:space="preserve"> - Trash disposal area
</t>
    </r>
    <r>
      <rPr>
        <b/>
        <sz val="11"/>
        <color theme="1"/>
        <rFont val="Calibri"/>
        <family val="2"/>
        <scheme val="minor"/>
      </rPr>
      <t>09999</t>
    </r>
    <r>
      <rPr>
        <sz val="11"/>
        <color theme="1"/>
        <rFont val="Calibri"/>
        <family val="2"/>
        <scheme val="minor"/>
      </rPr>
      <t xml:space="preserve"> - Other
</t>
    </r>
  </si>
  <si>
    <r>
      <t>03247</t>
    </r>
    <r>
      <rPr>
        <sz val="11"/>
        <color theme="1"/>
        <rFont val="Calibri"/>
        <family val="2"/>
        <scheme val="minor"/>
      </rPr>
      <t xml:space="preserve"> - Central kitchen
</t>
    </r>
    <r>
      <rPr>
        <b/>
        <sz val="11"/>
        <color theme="1"/>
        <rFont val="Calibri"/>
        <family val="2"/>
        <scheme val="minor"/>
      </rPr>
      <t>03250</t>
    </r>
    <r>
      <rPr>
        <sz val="11"/>
        <color theme="1"/>
        <rFont val="Calibri"/>
        <family val="2"/>
        <scheme val="minor"/>
      </rPr>
      <t xml:space="preserve"> - Non-production kitchen
</t>
    </r>
    <r>
      <rPr>
        <b/>
        <sz val="11"/>
        <color theme="1"/>
        <rFont val="Calibri"/>
        <family val="2"/>
        <scheme val="minor"/>
      </rPr>
      <t>03248</t>
    </r>
    <r>
      <rPr>
        <sz val="11"/>
        <color theme="1"/>
        <rFont val="Calibri"/>
        <family val="2"/>
        <scheme val="minor"/>
      </rPr>
      <t xml:space="preserve"> - Production kitchen
</t>
    </r>
    <r>
      <rPr>
        <b/>
        <sz val="11"/>
        <color theme="1"/>
        <rFont val="Calibri"/>
        <family val="2"/>
        <scheme val="minor"/>
      </rPr>
      <t>03249</t>
    </r>
    <r>
      <rPr>
        <sz val="11"/>
        <color theme="1"/>
        <rFont val="Calibri"/>
        <family val="2"/>
        <scheme val="minor"/>
      </rPr>
      <t xml:space="preserve"> - Self-contained kitchen
</t>
    </r>
  </si>
  <si>
    <r>
      <t>02482</t>
    </r>
    <r>
      <rPr>
        <sz val="11"/>
        <color theme="1"/>
        <rFont val="Calibri"/>
        <family val="2"/>
        <scheme val="minor"/>
      </rPr>
      <t xml:space="preserve"> - Central duct system
</t>
    </r>
    <r>
      <rPr>
        <b/>
        <sz val="11"/>
        <color theme="1"/>
        <rFont val="Calibri"/>
        <family val="2"/>
        <scheme val="minor"/>
      </rPr>
      <t>02485</t>
    </r>
    <r>
      <rPr>
        <sz val="11"/>
        <color theme="1"/>
        <rFont val="Calibri"/>
        <family val="2"/>
        <scheme val="minor"/>
      </rPr>
      <t xml:space="preserve"> - Displacement ventilation
</t>
    </r>
    <r>
      <rPr>
        <b/>
        <sz val="11"/>
        <color theme="1"/>
        <rFont val="Calibri"/>
        <family val="2"/>
        <scheme val="minor"/>
      </rPr>
      <t>02484</t>
    </r>
    <r>
      <rPr>
        <sz val="11"/>
        <color theme="1"/>
        <rFont val="Calibri"/>
        <family val="2"/>
        <scheme val="minor"/>
      </rPr>
      <t xml:space="preserve"> - Forced air
</t>
    </r>
    <r>
      <rPr>
        <b/>
        <sz val="11"/>
        <color theme="1"/>
        <rFont val="Calibri"/>
        <family val="2"/>
        <scheme val="minor"/>
      </rPr>
      <t>02479</t>
    </r>
    <r>
      <rPr>
        <sz val="11"/>
        <color theme="1"/>
        <rFont val="Calibri"/>
        <family val="2"/>
        <scheme val="minor"/>
      </rPr>
      <t xml:space="preserve"> - Heat pump
</t>
    </r>
    <r>
      <rPr>
        <b/>
        <sz val="11"/>
        <color theme="1"/>
        <rFont val="Calibri"/>
        <family val="2"/>
        <scheme val="minor"/>
      </rPr>
      <t>02478</t>
    </r>
    <r>
      <rPr>
        <sz val="11"/>
        <color theme="1"/>
        <rFont val="Calibri"/>
        <family val="2"/>
        <scheme val="minor"/>
      </rPr>
      <t xml:space="preserve"> - Hot water radiator
</t>
    </r>
    <r>
      <rPr>
        <b/>
        <sz val="11"/>
        <color theme="1"/>
        <rFont val="Calibri"/>
        <family val="2"/>
        <scheme val="minor"/>
      </rPr>
      <t>02483</t>
    </r>
    <r>
      <rPr>
        <sz val="11"/>
        <color theme="1"/>
        <rFont val="Calibri"/>
        <family val="2"/>
        <scheme val="minor"/>
      </rPr>
      <t xml:space="preserve"> - Open plenum system
</t>
    </r>
    <r>
      <rPr>
        <b/>
        <sz val="11"/>
        <color theme="1"/>
        <rFont val="Calibri"/>
        <family val="2"/>
        <scheme val="minor"/>
      </rPr>
      <t>02477</t>
    </r>
    <r>
      <rPr>
        <sz val="11"/>
        <color theme="1"/>
        <rFont val="Calibri"/>
        <family val="2"/>
        <scheme val="minor"/>
      </rPr>
      <t xml:space="preserve"> - Steam radiator
</t>
    </r>
    <r>
      <rPr>
        <b/>
        <sz val="11"/>
        <color theme="1"/>
        <rFont val="Calibri"/>
        <family val="2"/>
        <scheme val="minor"/>
      </rPr>
      <t>02481</t>
    </r>
    <r>
      <rPr>
        <sz val="11"/>
        <color theme="1"/>
        <rFont val="Calibri"/>
        <family val="2"/>
        <scheme val="minor"/>
      </rPr>
      <t xml:space="preserve"> - Unit heaters/baseboard heaters
</t>
    </r>
    <r>
      <rPr>
        <b/>
        <sz val="11"/>
        <color theme="1"/>
        <rFont val="Calibri"/>
        <family val="2"/>
        <scheme val="minor"/>
      </rPr>
      <t>02480</t>
    </r>
    <r>
      <rPr>
        <sz val="11"/>
        <color theme="1"/>
        <rFont val="Calibri"/>
        <family val="2"/>
        <scheme val="minor"/>
      </rPr>
      <t xml:space="preserve"> - Unit ventilators
</t>
    </r>
    <r>
      <rPr>
        <b/>
        <sz val="11"/>
        <color theme="1"/>
        <rFont val="Calibri"/>
        <family val="2"/>
        <scheme val="minor"/>
      </rPr>
      <t>09999</t>
    </r>
    <r>
      <rPr>
        <sz val="11"/>
        <color theme="1"/>
        <rFont val="Calibri"/>
        <family val="2"/>
        <scheme val="minor"/>
      </rPr>
      <t xml:space="preserve"> - Other
</t>
    </r>
  </si>
  <si>
    <r>
      <t>02415</t>
    </r>
    <r>
      <rPr>
        <sz val="11"/>
        <color theme="1"/>
        <rFont val="Calibri"/>
        <family val="2"/>
        <scheme val="minor"/>
      </rPr>
      <t xml:space="preserve"> - Ineligible
</t>
    </r>
    <r>
      <rPr>
        <b/>
        <sz val="11"/>
        <color theme="1"/>
        <rFont val="Calibri"/>
        <family val="2"/>
        <scheme val="minor"/>
      </rPr>
      <t>02417</t>
    </r>
    <r>
      <rPr>
        <sz val="11"/>
        <color theme="1"/>
        <rFont val="Calibri"/>
        <family val="2"/>
        <scheme val="minor"/>
      </rPr>
      <t xml:space="preserve"> - Locally designated
</t>
    </r>
    <r>
      <rPr>
        <b/>
        <sz val="11"/>
        <color theme="1"/>
        <rFont val="Calibri"/>
        <family val="2"/>
        <scheme val="minor"/>
      </rPr>
      <t>02412</t>
    </r>
    <r>
      <rPr>
        <sz val="11"/>
        <color theme="1"/>
        <rFont val="Calibri"/>
        <family val="2"/>
        <scheme val="minor"/>
      </rPr>
      <t xml:space="preserve"> - Locally eligible, not yet designated
</t>
    </r>
    <r>
      <rPr>
        <b/>
        <sz val="11"/>
        <color theme="1"/>
        <rFont val="Calibri"/>
        <family val="2"/>
        <scheme val="minor"/>
      </rPr>
      <t>75020</t>
    </r>
    <r>
      <rPr>
        <sz val="11"/>
        <color theme="1"/>
        <rFont val="Calibri"/>
        <family val="2"/>
        <scheme val="minor"/>
      </rPr>
      <t xml:space="preserve"> - Located in historic district
</t>
    </r>
    <r>
      <rPr>
        <b/>
        <sz val="11"/>
        <color theme="1"/>
        <rFont val="Calibri"/>
        <family val="2"/>
        <scheme val="minor"/>
      </rPr>
      <t>02419</t>
    </r>
    <r>
      <rPr>
        <sz val="11"/>
        <color theme="1"/>
        <rFont val="Calibri"/>
        <family val="2"/>
        <scheme val="minor"/>
      </rPr>
      <t xml:space="preserve"> - Nationally designated
</t>
    </r>
    <r>
      <rPr>
        <b/>
        <sz val="11"/>
        <color theme="1"/>
        <rFont val="Calibri"/>
        <family val="2"/>
        <scheme val="minor"/>
      </rPr>
      <t>02414</t>
    </r>
    <r>
      <rPr>
        <sz val="11"/>
        <color theme="1"/>
        <rFont val="Calibri"/>
        <family val="2"/>
        <scheme val="minor"/>
      </rPr>
      <t xml:space="preserve"> - Nationally eligible, not yet designated
</t>
    </r>
    <r>
      <rPr>
        <b/>
        <sz val="11"/>
        <color theme="1"/>
        <rFont val="Calibri"/>
        <family val="2"/>
        <scheme val="minor"/>
      </rPr>
      <t>02416</t>
    </r>
    <r>
      <rPr>
        <sz val="11"/>
        <color theme="1"/>
        <rFont val="Calibri"/>
        <family val="2"/>
        <scheme val="minor"/>
      </rPr>
      <t xml:space="preserve"> - Not evaluated
</t>
    </r>
    <r>
      <rPr>
        <b/>
        <sz val="11"/>
        <color theme="1"/>
        <rFont val="Calibri"/>
        <family val="2"/>
        <scheme val="minor"/>
      </rPr>
      <t>02418</t>
    </r>
    <r>
      <rPr>
        <sz val="11"/>
        <color theme="1"/>
        <rFont val="Calibri"/>
        <family val="2"/>
        <scheme val="minor"/>
      </rPr>
      <t xml:space="preserve"> - State designated
</t>
    </r>
    <r>
      <rPr>
        <b/>
        <sz val="11"/>
        <color theme="1"/>
        <rFont val="Calibri"/>
        <family val="2"/>
        <scheme val="minor"/>
      </rPr>
      <t>02413</t>
    </r>
    <r>
      <rPr>
        <sz val="11"/>
        <color theme="1"/>
        <rFont val="Calibri"/>
        <family val="2"/>
        <scheme val="minor"/>
      </rPr>
      <t xml:space="preserve"> - State eligible, not yet designated
</t>
    </r>
  </si>
  <si>
    <r>
      <t>13585</t>
    </r>
    <r>
      <rPr>
        <sz val="11"/>
        <color theme="1"/>
        <rFont val="Calibri"/>
        <family val="2"/>
        <scheme val="minor"/>
      </rPr>
      <t xml:space="preserve"> - Air distribution system
</t>
    </r>
    <r>
      <rPr>
        <b/>
        <sz val="11"/>
        <color theme="1"/>
        <rFont val="Calibri"/>
        <family val="2"/>
        <scheme val="minor"/>
      </rPr>
      <t>13586</t>
    </r>
    <r>
      <rPr>
        <sz val="11"/>
        <color theme="1"/>
        <rFont val="Calibri"/>
        <family val="2"/>
        <scheme val="minor"/>
      </rPr>
      <t xml:space="preserve"> - Controls and instrumentation
</t>
    </r>
    <r>
      <rPr>
        <b/>
        <sz val="11"/>
        <color theme="1"/>
        <rFont val="Calibri"/>
        <family val="2"/>
        <scheme val="minor"/>
      </rPr>
      <t>13587</t>
    </r>
    <r>
      <rPr>
        <sz val="11"/>
        <color theme="1"/>
        <rFont val="Calibri"/>
        <family val="2"/>
        <scheme val="minor"/>
      </rPr>
      <t xml:space="preserve"> - Cooling generation systems
</t>
    </r>
    <r>
      <rPr>
        <b/>
        <sz val="11"/>
        <color theme="1"/>
        <rFont val="Calibri"/>
        <family val="2"/>
        <scheme val="minor"/>
      </rPr>
      <t>13588</t>
    </r>
    <r>
      <rPr>
        <sz val="11"/>
        <color theme="1"/>
        <rFont val="Calibri"/>
        <family val="2"/>
        <scheme val="minor"/>
      </rPr>
      <t xml:space="preserve"> - Energy supply
</t>
    </r>
    <r>
      <rPr>
        <b/>
        <sz val="11"/>
        <color theme="1"/>
        <rFont val="Calibri"/>
        <family val="2"/>
        <scheme val="minor"/>
      </rPr>
      <t>13589</t>
    </r>
    <r>
      <rPr>
        <sz val="11"/>
        <color theme="1"/>
        <rFont val="Calibri"/>
        <family val="2"/>
        <scheme val="minor"/>
      </rPr>
      <t xml:space="preserve"> - Heat generating system
</t>
    </r>
    <r>
      <rPr>
        <b/>
        <sz val="11"/>
        <color theme="1"/>
        <rFont val="Calibri"/>
        <family val="2"/>
        <scheme val="minor"/>
      </rPr>
      <t>13590</t>
    </r>
    <r>
      <rPr>
        <sz val="11"/>
        <color theme="1"/>
        <rFont val="Calibri"/>
        <family val="2"/>
        <scheme val="minor"/>
      </rPr>
      <t xml:space="preserve"> - Other HVAC systems and equipment
</t>
    </r>
    <r>
      <rPr>
        <b/>
        <sz val="11"/>
        <color theme="1"/>
        <rFont val="Calibri"/>
        <family val="2"/>
        <scheme val="minor"/>
      </rPr>
      <t>13591</t>
    </r>
    <r>
      <rPr>
        <sz val="11"/>
        <color theme="1"/>
        <rFont val="Calibri"/>
        <family val="2"/>
        <scheme val="minor"/>
      </rPr>
      <t xml:space="preserve"> - Systems testing and balancing
</t>
    </r>
    <r>
      <rPr>
        <b/>
        <sz val="11"/>
        <color theme="1"/>
        <rFont val="Calibri"/>
        <family val="2"/>
        <scheme val="minor"/>
      </rPr>
      <t>13592</t>
    </r>
    <r>
      <rPr>
        <sz val="11"/>
        <color theme="1"/>
        <rFont val="Calibri"/>
        <family val="2"/>
        <scheme val="minor"/>
      </rPr>
      <t xml:space="preserve"> - Terminal and package units
</t>
    </r>
  </si>
  <si>
    <r>
      <t>02709</t>
    </r>
    <r>
      <rPr>
        <sz val="11"/>
        <color theme="1"/>
        <rFont val="Calibri"/>
        <family val="2"/>
        <scheme val="minor"/>
      </rPr>
      <t xml:space="preserve"> - Auxiliary gymnasium
</t>
    </r>
    <r>
      <rPr>
        <b/>
        <sz val="11"/>
        <color theme="1"/>
        <rFont val="Calibri"/>
        <family val="2"/>
        <scheme val="minor"/>
      </rPr>
      <t>02712</t>
    </r>
    <r>
      <rPr>
        <sz val="11"/>
        <color theme="1"/>
        <rFont val="Calibri"/>
        <family val="2"/>
        <scheme val="minor"/>
      </rPr>
      <t xml:space="preserve"> - Dance studio
</t>
    </r>
    <r>
      <rPr>
        <b/>
        <sz val="11"/>
        <color theme="1"/>
        <rFont val="Calibri"/>
        <family val="2"/>
        <scheme val="minor"/>
      </rPr>
      <t>02716</t>
    </r>
    <r>
      <rPr>
        <sz val="11"/>
        <color theme="1"/>
        <rFont val="Calibri"/>
        <family val="2"/>
        <scheme val="minor"/>
      </rPr>
      <t xml:space="preserve"> - Equipment storage
</t>
    </r>
    <r>
      <rPr>
        <b/>
        <sz val="11"/>
        <color theme="1"/>
        <rFont val="Calibri"/>
        <family val="2"/>
        <scheme val="minor"/>
      </rPr>
      <t>02984</t>
    </r>
    <r>
      <rPr>
        <sz val="11"/>
        <color theme="1"/>
        <rFont val="Calibri"/>
        <family val="2"/>
        <scheme val="minor"/>
      </rPr>
      <t xml:space="preserve"> - Gymnasium
</t>
    </r>
    <r>
      <rPr>
        <b/>
        <sz val="11"/>
        <color theme="1"/>
        <rFont val="Calibri"/>
        <family val="2"/>
        <scheme val="minor"/>
      </rPr>
      <t>02719</t>
    </r>
    <r>
      <rPr>
        <sz val="11"/>
        <color theme="1"/>
        <rFont val="Calibri"/>
        <family val="2"/>
        <scheme val="minor"/>
      </rPr>
      <t xml:space="preserve"> - Health classroom
</t>
    </r>
    <r>
      <rPr>
        <b/>
        <sz val="11"/>
        <color theme="1"/>
        <rFont val="Calibri"/>
        <family val="2"/>
        <scheme val="minor"/>
      </rPr>
      <t>02715</t>
    </r>
    <r>
      <rPr>
        <sz val="11"/>
        <color theme="1"/>
        <rFont val="Calibri"/>
        <family val="2"/>
        <scheme val="minor"/>
      </rPr>
      <t xml:space="preserve"> - Locker room
</t>
    </r>
    <r>
      <rPr>
        <b/>
        <sz val="11"/>
        <color theme="1"/>
        <rFont val="Calibri"/>
        <family val="2"/>
        <scheme val="minor"/>
      </rPr>
      <t>02718</t>
    </r>
    <r>
      <rPr>
        <sz val="11"/>
        <color theme="1"/>
        <rFont val="Calibri"/>
        <family val="2"/>
        <scheme val="minor"/>
      </rPr>
      <t xml:space="preserve"> - Multipurpose space
</t>
    </r>
    <r>
      <rPr>
        <b/>
        <sz val="11"/>
        <color theme="1"/>
        <rFont val="Calibri"/>
        <family val="2"/>
        <scheme val="minor"/>
      </rPr>
      <t>02720</t>
    </r>
    <r>
      <rPr>
        <sz val="11"/>
        <color theme="1"/>
        <rFont val="Calibri"/>
        <family val="2"/>
        <scheme val="minor"/>
      </rPr>
      <t xml:space="preserve"> - Playtorium (auditorium/gymnasium)
</t>
    </r>
    <r>
      <rPr>
        <b/>
        <sz val="11"/>
        <color theme="1"/>
        <rFont val="Calibri"/>
        <family val="2"/>
        <scheme val="minor"/>
      </rPr>
      <t>02714</t>
    </r>
    <r>
      <rPr>
        <sz val="11"/>
        <color theme="1"/>
        <rFont val="Calibri"/>
        <family val="2"/>
        <scheme val="minor"/>
      </rPr>
      <t xml:space="preserve"> - Pool/natatorium
</t>
    </r>
    <r>
      <rPr>
        <b/>
        <sz val="11"/>
        <color theme="1"/>
        <rFont val="Calibri"/>
        <family val="2"/>
        <scheme val="minor"/>
      </rPr>
      <t>02717</t>
    </r>
    <r>
      <rPr>
        <sz val="11"/>
        <color theme="1"/>
        <rFont val="Calibri"/>
        <family val="2"/>
        <scheme val="minor"/>
      </rPr>
      <t xml:space="preserve"> - Press box
</t>
    </r>
    <r>
      <rPr>
        <b/>
        <sz val="11"/>
        <color theme="1"/>
        <rFont val="Calibri"/>
        <family val="2"/>
        <scheme val="minor"/>
      </rPr>
      <t>02713</t>
    </r>
    <r>
      <rPr>
        <sz val="11"/>
        <color theme="1"/>
        <rFont val="Calibri"/>
        <family val="2"/>
        <scheme val="minor"/>
      </rPr>
      <t xml:space="preserve"> - Team room
</t>
    </r>
    <r>
      <rPr>
        <b/>
        <sz val="11"/>
        <color theme="1"/>
        <rFont val="Calibri"/>
        <family val="2"/>
        <scheme val="minor"/>
      </rPr>
      <t>02710</t>
    </r>
    <r>
      <rPr>
        <sz val="11"/>
        <color theme="1"/>
        <rFont val="Calibri"/>
        <family val="2"/>
        <scheme val="minor"/>
      </rPr>
      <t xml:space="preserve"> - Weight training room
</t>
    </r>
    <r>
      <rPr>
        <b/>
        <sz val="11"/>
        <color theme="1"/>
        <rFont val="Calibri"/>
        <family val="2"/>
        <scheme val="minor"/>
      </rPr>
      <t>02711</t>
    </r>
    <r>
      <rPr>
        <sz val="11"/>
        <color theme="1"/>
        <rFont val="Calibri"/>
        <family val="2"/>
        <scheme val="minor"/>
      </rPr>
      <t xml:space="preserve"> - Wrestling room
</t>
    </r>
    <r>
      <rPr>
        <b/>
        <sz val="11"/>
        <color theme="1"/>
        <rFont val="Calibri"/>
        <family val="2"/>
        <scheme val="minor"/>
      </rPr>
      <t>09999</t>
    </r>
    <r>
      <rPr>
        <sz val="11"/>
        <color theme="1"/>
        <rFont val="Calibri"/>
        <family val="2"/>
        <scheme val="minor"/>
      </rPr>
      <t xml:space="preserve"> - Other
</t>
    </r>
  </si>
  <si>
    <r>
      <t>02811</t>
    </r>
    <r>
      <rPr>
        <sz val="11"/>
        <color theme="1"/>
        <rFont val="Calibri"/>
        <family val="2"/>
        <scheme val="minor"/>
      </rPr>
      <t xml:space="preserve"> - Instructional space
</t>
    </r>
    <r>
      <rPr>
        <b/>
        <sz val="11"/>
        <color theme="1"/>
        <rFont val="Calibri"/>
        <family val="2"/>
        <scheme val="minor"/>
      </rPr>
      <t>02812</t>
    </r>
    <r>
      <rPr>
        <sz val="11"/>
        <color theme="1"/>
        <rFont val="Calibri"/>
        <family val="2"/>
        <scheme val="minor"/>
      </rPr>
      <t xml:space="preserve"> - Noninstructional space
</t>
    </r>
  </si>
  <si>
    <r>
      <t>13710</t>
    </r>
    <r>
      <rPr>
        <sz val="11"/>
        <color theme="1"/>
        <rFont val="Calibri"/>
        <family val="2"/>
        <scheme val="minor"/>
      </rPr>
      <t xml:space="preserve"> - Increase programs and services for students
</t>
    </r>
    <r>
      <rPr>
        <b/>
        <sz val="11"/>
        <color theme="1"/>
        <rFont val="Calibri"/>
        <family val="2"/>
        <scheme val="minor"/>
      </rPr>
      <t>13711</t>
    </r>
    <r>
      <rPr>
        <sz val="11"/>
        <color theme="1"/>
        <rFont val="Calibri"/>
        <family val="2"/>
        <scheme val="minor"/>
      </rPr>
      <t xml:space="preserve"> - Increase programs and services for the community
</t>
    </r>
    <r>
      <rPr>
        <b/>
        <sz val="11"/>
        <color theme="1"/>
        <rFont val="Calibri"/>
        <family val="2"/>
        <scheme val="minor"/>
      </rPr>
      <t>13712</t>
    </r>
    <r>
      <rPr>
        <sz val="11"/>
        <color theme="1"/>
        <rFont val="Calibri"/>
        <family val="2"/>
        <scheme val="minor"/>
      </rPr>
      <t xml:space="preserve"> - Increase utilization of under used space
</t>
    </r>
    <r>
      <rPr>
        <b/>
        <sz val="11"/>
        <color theme="1"/>
        <rFont val="Calibri"/>
        <family val="2"/>
        <scheme val="minor"/>
      </rPr>
      <t>13709</t>
    </r>
    <r>
      <rPr>
        <sz val="11"/>
        <color theme="1"/>
        <rFont val="Calibri"/>
        <family val="2"/>
        <scheme val="minor"/>
      </rPr>
      <t xml:space="preserve"> - Raise revenue
</t>
    </r>
  </si>
  <si>
    <r>
      <t>13694</t>
    </r>
    <r>
      <rPr>
        <sz val="11"/>
        <color theme="1"/>
        <rFont val="Calibri"/>
        <family val="2"/>
        <scheme val="minor"/>
      </rPr>
      <t xml:space="preserve"> - Drop-in use
</t>
    </r>
    <r>
      <rPr>
        <b/>
        <sz val="11"/>
        <color theme="1"/>
        <rFont val="Calibri"/>
        <family val="2"/>
        <scheme val="minor"/>
      </rPr>
      <t>13697</t>
    </r>
    <r>
      <rPr>
        <sz val="11"/>
        <color theme="1"/>
        <rFont val="Calibri"/>
        <family val="2"/>
        <scheme val="minor"/>
      </rPr>
      <t xml:space="preserve"> - Long term lease
</t>
    </r>
    <r>
      <rPr>
        <b/>
        <sz val="11"/>
        <color theme="1"/>
        <rFont val="Calibri"/>
        <family val="2"/>
        <scheme val="minor"/>
      </rPr>
      <t>13695</t>
    </r>
    <r>
      <rPr>
        <sz val="11"/>
        <color theme="1"/>
        <rFont val="Calibri"/>
        <family val="2"/>
        <scheme val="minor"/>
      </rPr>
      <t xml:space="preserve"> - One-time event use
</t>
    </r>
    <r>
      <rPr>
        <b/>
        <sz val="11"/>
        <color theme="1"/>
        <rFont val="Calibri"/>
        <family val="2"/>
        <scheme val="minor"/>
      </rPr>
      <t>13696</t>
    </r>
    <r>
      <rPr>
        <sz val="11"/>
        <color theme="1"/>
        <rFont val="Calibri"/>
        <family val="2"/>
        <scheme val="minor"/>
      </rPr>
      <t xml:space="preserve"> - Short-term lease
</t>
    </r>
  </si>
  <si>
    <r>
      <t>13705</t>
    </r>
    <r>
      <rPr>
        <sz val="11"/>
        <color theme="1"/>
        <rFont val="Calibri"/>
        <family val="2"/>
        <scheme val="minor"/>
      </rPr>
      <t xml:space="preserve"> - Civic groups
</t>
    </r>
    <r>
      <rPr>
        <b/>
        <sz val="11"/>
        <color theme="1"/>
        <rFont val="Calibri"/>
        <family val="2"/>
        <scheme val="minor"/>
      </rPr>
      <t>13704</t>
    </r>
    <r>
      <rPr>
        <sz val="11"/>
        <color theme="1"/>
        <rFont val="Calibri"/>
        <family val="2"/>
        <scheme val="minor"/>
      </rPr>
      <t xml:space="preserve"> - Individuals
</t>
    </r>
    <r>
      <rPr>
        <b/>
        <sz val="11"/>
        <color theme="1"/>
        <rFont val="Calibri"/>
        <family val="2"/>
        <scheme val="minor"/>
      </rPr>
      <t>13706</t>
    </r>
    <r>
      <rPr>
        <sz val="11"/>
        <color theme="1"/>
        <rFont val="Calibri"/>
        <family val="2"/>
        <scheme val="minor"/>
      </rPr>
      <t xml:space="preserve"> - Other public agencies
</t>
    </r>
    <r>
      <rPr>
        <b/>
        <sz val="11"/>
        <color theme="1"/>
        <rFont val="Calibri"/>
        <family val="2"/>
        <scheme val="minor"/>
      </rPr>
      <t>13708</t>
    </r>
    <r>
      <rPr>
        <sz val="11"/>
        <color theme="1"/>
        <rFont val="Calibri"/>
        <family val="2"/>
        <scheme val="minor"/>
      </rPr>
      <t xml:space="preserve"> - Private for-profit corporations
</t>
    </r>
    <r>
      <rPr>
        <b/>
        <sz val="11"/>
        <color theme="1"/>
        <rFont val="Calibri"/>
        <family val="2"/>
        <scheme val="minor"/>
      </rPr>
      <t>13707</t>
    </r>
    <r>
      <rPr>
        <sz val="11"/>
        <color theme="1"/>
        <rFont val="Calibri"/>
        <family val="2"/>
        <scheme val="minor"/>
      </rPr>
      <t xml:space="preserve"> - Private non-profit organizations
</t>
    </r>
  </si>
  <si>
    <r>
      <t>02703</t>
    </r>
    <r>
      <rPr>
        <sz val="11"/>
        <color theme="1"/>
        <rFont val="Calibri"/>
        <family val="2"/>
        <scheme val="minor"/>
      </rPr>
      <t xml:space="preserve"> - Collections room
</t>
    </r>
    <r>
      <rPr>
        <b/>
        <sz val="11"/>
        <color theme="1"/>
        <rFont val="Calibri"/>
        <family val="2"/>
        <scheme val="minor"/>
      </rPr>
      <t>02706</t>
    </r>
    <r>
      <rPr>
        <sz val="11"/>
        <color theme="1"/>
        <rFont val="Calibri"/>
        <family val="2"/>
        <scheme val="minor"/>
      </rPr>
      <t xml:space="preserve"> - Copy center
</t>
    </r>
    <r>
      <rPr>
        <b/>
        <sz val="11"/>
        <color theme="1"/>
        <rFont val="Calibri"/>
        <family val="2"/>
        <scheme val="minor"/>
      </rPr>
      <t>02705</t>
    </r>
    <r>
      <rPr>
        <sz val="11"/>
        <color theme="1"/>
        <rFont val="Calibri"/>
        <family val="2"/>
        <scheme val="minor"/>
      </rPr>
      <t xml:space="preserve"> - Distance learning lab
</t>
    </r>
    <r>
      <rPr>
        <b/>
        <sz val="11"/>
        <color theme="1"/>
        <rFont val="Calibri"/>
        <family val="2"/>
        <scheme val="minor"/>
      </rPr>
      <t>02704</t>
    </r>
    <r>
      <rPr>
        <sz val="11"/>
        <color theme="1"/>
        <rFont val="Calibri"/>
        <family val="2"/>
        <scheme val="minor"/>
      </rPr>
      <t xml:space="preserve"> - Reading room
</t>
    </r>
    <r>
      <rPr>
        <b/>
        <sz val="11"/>
        <color theme="1"/>
        <rFont val="Calibri"/>
        <family val="2"/>
        <scheme val="minor"/>
      </rPr>
      <t>13632</t>
    </r>
    <r>
      <rPr>
        <sz val="11"/>
        <color theme="1"/>
        <rFont val="Calibri"/>
        <family val="2"/>
        <scheme val="minor"/>
      </rPr>
      <t xml:space="preserve"> - Reception/checkout desk
</t>
    </r>
    <r>
      <rPr>
        <b/>
        <sz val="11"/>
        <color theme="1"/>
        <rFont val="Calibri"/>
        <family val="2"/>
        <scheme val="minor"/>
      </rPr>
      <t>02707</t>
    </r>
    <r>
      <rPr>
        <sz val="11"/>
        <color theme="1"/>
        <rFont val="Calibri"/>
        <family val="2"/>
        <scheme val="minor"/>
      </rPr>
      <t xml:space="preserve"> - Study room
</t>
    </r>
    <r>
      <rPr>
        <b/>
        <sz val="11"/>
        <color theme="1"/>
        <rFont val="Calibri"/>
        <family val="2"/>
        <scheme val="minor"/>
      </rPr>
      <t>02708</t>
    </r>
    <r>
      <rPr>
        <sz val="11"/>
        <color theme="1"/>
        <rFont val="Calibri"/>
        <family val="2"/>
        <scheme val="minor"/>
      </rPr>
      <t xml:space="preserve"> - Workroom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</si>
  <si>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13595</t>
    </r>
    <r>
      <rPr>
        <sz val="11"/>
        <color theme="1"/>
        <rFont val="Calibri"/>
        <family val="2"/>
        <scheme val="minor"/>
      </rPr>
      <t xml:space="preserve"> - Other conveying system
</t>
    </r>
  </si>
  <si>
    <r>
      <t>02455</t>
    </r>
    <r>
      <rPr>
        <sz val="11"/>
        <color theme="1"/>
        <rFont val="Calibri"/>
        <family val="2"/>
        <scheme val="minor"/>
      </rPr>
      <t xml:space="preserve"> - Air distribution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09999</t>
    </r>
    <r>
      <rPr>
        <sz val="11"/>
        <color theme="1"/>
        <rFont val="Calibri"/>
        <family val="2"/>
        <scheme val="minor"/>
      </rPr>
      <t xml:space="preserve"> - Other
</t>
    </r>
  </si>
  <si>
    <r>
      <t>02780</t>
    </r>
    <r>
      <rPr>
        <sz val="11"/>
        <color theme="1"/>
        <rFont val="Calibri"/>
        <family val="2"/>
        <scheme val="minor"/>
      </rPr>
      <t xml:space="preserve"> - Boiler room
</t>
    </r>
    <r>
      <rPr>
        <b/>
        <sz val="11"/>
        <color theme="1"/>
        <rFont val="Calibri"/>
        <family val="2"/>
        <scheme val="minor"/>
      </rPr>
      <t>02784</t>
    </r>
    <r>
      <rPr>
        <sz val="11"/>
        <color theme="1"/>
        <rFont val="Calibri"/>
        <family val="2"/>
        <scheme val="minor"/>
      </rPr>
      <t xml:space="preserve"> - Communications closet
</t>
    </r>
    <r>
      <rPr>
        <b/>
        <sz val="11"/>
        <color theme="1"/>
        <rFont val="Calibri"/>
        <family val="2"/>
        <scheme val="minor"/>
      </rPr>
      <t>02778</t>
    </r>
    <r>
      <rPr>
        <sz val="11"/>
        <color theme="1"/>
        <rFont val="Calibri"/>
        <family val="2"/>
        <scheme val="minor"/>
      </rPr>
      <t xml:space="preserve"> - Custodial closet
</t>
    </r>
    <r>
      <rPr>
        <b/>
        <sz val="11"/>
        <color theme="1"/>
        <rFont val="Calibri"/>
        <family val="2"/>
        <scheme val="minor"/>
      </rPr>
      <t>02777</t>
    </r>
    <r>
      <rPr>
        <sz val="11"/>
        <color theme="1"/>
        <rFont val="Calibri"/>
        <family val="2"/>
        <scheme val="minor"/>
      </rPr>
      <t xml:space="preserve"> - Custodian office
</t>
    </r>
    <r>
      <rPr>
        <b/>
        <sz val="11"/>
        <color theme="1"/>
        <rFont val="Calibri"/>
        <family val="2"/>
        <scheme val="minor"/>
      </rPr>
      <t>02783</t>
    </r>
    <r>
      <rPr>
        <sz val="11"/>
        <color theme="1"/>
        <rFont val="Calibri"/>
        <family val="2"/>
        <scheme val="minor"/>
      </rPr>
      <t xml:space="preserve"> - Electrical closet
</t>
    </r>
    <r>
      <rPr>
        <b/>
        <sz val="11"/>
        <color theme="1"/>
        <rFont val="Calibri"/>
        <family val="2"/>
        <scheme val="minor"/>
      </rPr>
      <t>02781</t>
    </r>
    <r>
      <rPr>
        <sz val="11"/>
        <color theme="1"/>
        <rFont val="Calibri"/>
        <family val="2"/>
        <scheme val="minor"/>
      </rPr>
      <t xml:space="preserve"> - Fan room
</t>
    </r>
    <r>
      <rPr>
        <b/>
        <sz val="11"/>
        <color theme="1"/>
        <rFont val="Calibri"/>
        <family val="2"/>
        <scheme val="minor"/>
      </rPr>
      <t>02779</t>
    </r>
    <r>
      <rPr>
        <sz val="11"/>
        <color theme="1"/>
        <rFont val="Calibri"/>
        <family val="2"/>
        <scheme val="minor"/>
      </rPr>
      <t xml:space="preserve"> - Mechanical room
</t>
    </r>
    <r>
      <rPr>
        <b/>
        <sz val="11"/>
        <color theme="1"/>
        <rFont val="Calibri"/>
        <family val="2"/>
        <scheme val="minor"/>
      </rPr>
      <t>02790</t>
    </r>
    <r>
      <rPr>
        <sz val="11"/>
        <color theme="1"/>
        <rFont val="Calibri"/>
        <family val="2"/>
        <scheme val="minor"/>
      </rPr>
      <t xml:space="preserve"> - Public toilet
</t>
    </r>
    <r>
      <rPr>
        <b/>
        <sz val="11"/>
        <color theme="1"/>
        <rFont val="Calibri"/>
        <family val="2"/>
        <scheme val="minor"/>
      </rPr>
      <t>02785</t>
    </r>
    <r>
      <rPr>
        <sz val="11"/>
        <color theme="1"/>
        <rFont val="Calibri"/>
        <family val="2"/>
        <scheme val="minor"/>
      </rPr>
      <t xml:space="preserve"> - Server room
</t>
    </r>
    <r>
      <rPr>
        <b/>
        <sz val="11"/>
        <color theme="1"/>
        <rFont val="Calibri"/>
        <family val="2"/>
        <scheme val="minor"/>
      </rPr>
      <t>02791</t>
    </r>
    <r>
      <rPr>
        <sz val="11"/>
        <color theme="1"/>
        <rFont val="Calibri"/>
        <family val="2"/>
        <scheme val="minor"/>
      </rPr>
      <t xml:space="preserve"> - Staff toilet
</t>
    </r>
    <r>
      <rPr>
        <b/>
        <sz val="11"/>
        <color theme="1"/>
        <rFont val="Calibri"/>
        <family val="2"/>
        <scheme val="minor"/>
      </rPr>
      <t>02786</t>
    </r>
    <r>
      <rPr>
        <sz val="11"/>
        <color theme="1"/>
        <rFont val="Calibri"/>
        <family val="2"/>
        <scheme val="minor"/>
      </rPr>
      <t xml:space="preserve"> - Storage - flammable materials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02787</t>
    </r>
    <r>
      <rPr>
        <sz val="11"/>
        <color theme="1"/>
        <rFont val="Calibri"/>
        <family val="2"/>
        <scheme val="minor"/>
      </rPr>
      <t xml:space="preserve"> - Storage - maintenance equipment
</t>
    </r>
    <r>
      <rPr>
        <b/>
        <sz val="11"/>
        <color theme="1"/>
        <rFont val="Calibri"/>
        <family val="2"/>
        <scheme val="minor"/>
      </rPr>
      <t>02789</t>
    </r>
    <r>
      <rPr>
        <sz val="11"/>
        <color theme="1"/>
        <rFont val="Calibri"/>
        <family val="2"/>
        <scheme val="minor"/>
      </rPr>
      <t xml:space="preserve"> - Student toilet
</t>
    </r>
    <r>
      <rPr>
        <b/>
        <sz val="11"/>
        <color theme="1"/>
        <rFont val="Calibri"/>
        <family val="2"/>
        <scheme val="minor"/>
      </rPr>
      <t>02782</t>
    </r>
    <r>
      <rPr>
        <sz val="11"/>
        <color theme="1"/>
        <rFont val="Calibri"/>
        <family val="2"/>
        <scheme val="minor"/>
      </rPr>
      <t xml:space="preserve"> - Systems control room
</t>
    </r>
    <r>
      <rPr>
        <b/>
        <sz val="11"/>
        <color theme="1"/>
        <rFont val="Calibri"/>
        <family val="2"/>
        <scheme val="minor"/>
      </rPr>
      <t>09999</t>
    </r>
    <r>
      <rPr>
        <sz val="11"/>
        <color theme="1"/>
        <rFont val="Calibri"/>
        <family val="2"/>
        <scheme val="minor"/>
      </rPr>
      <t xml:space="preserve"> - Other
</t>
    </r>
  </si>
  <si>
    <r>
      <t>02728</t>
    </r>
    <r>
      <rPr>
        <sz val="11"/>
        <color theme="1"/>
        <rFont val="Calibri"/>
        <family val="2"/>
        <scheme val="minor"/>
      </rPr>
      <t xml:space="preserve"> - Baseball field
</t>
    </r>
    <r>
      <rPr>
        <b/>
        <sz val="11"/>
        <color theme="1"/>
        <rFont val="Calibri"/>
        <family val="2"/>
        <scheme val="minor"/>
      </rPr>
      <t>02724</t>
    </r>
    <r>
      <rPr>
        <sz val="11"/>
        <color theme="1"/>
        <rFont val="Calibri"/>
        <family val="2"/>
        <scheme val="minor"/>
      </rPr>
      <t xml:space="preserve"> - Bleacher seating
</t>
    </r>
    <r>
      <rPr>
        <b/>
        <sz val="11"/>
        <color theme="1"/>
        <rFont val="Calibri"/>
        <family val="2"/>
        <scheme val="minor"/>
      </rPr>
      <t>02722</t>
    </r>
    <r>
      <rPr>
        <sz val="11"/>
        <color theme="1"/>
        <rFont val="Calibri"/>
        <family val="2"/>
        <scheme val="minor"/>
      </rPr>
      <t xml:space="preserve"> - Concessions/restrooms
</t>
    </r>
    <r>
      <rPr>
        <b/>
        <sz val="11"/>
        <color theme="1"/>
        <rFont val="Calibri"/>
        <family val="2"/>
        <scheme val="minor"/>
      </rPr>
      <t>02985</t>
    </r>
    <r>
      <rPr>
        <sz val="11"/>
        <color theme="1"/>
        <rFont val="Calibri"/>
        <family val="2"/>
        <scheme val="minor"/>
      </rPr>
      <t xml:space="preserve"> - Field house
</t>
    </r>
    <r>
      <rPr>
        <b/>
        <sz val="11"/>
        <color theme="1"/>
        <rFont val="Calibri"/>
        <family val="2"/>
        <scheme val="minor"/>
      </rPr>
      <t>02727</t>
    </r>
    <r>
      <rPr>
        <sz val="11"/>
        <color theme="1"/>
        <rFont val="Calibri"/>
        <family val="2"/>
        <scheme val="minor"/>
      </rPr>
      <t xml:space="preserve"> - Fitness trail
</t>
    </r>
    <r>
      <rPr>
        <b/>
        <sz val="11"/>
        <color theme="1"/>
        <rFont val="Calibri"/>
        <family val="2"/>
        <scheme val="minor"/>
      </rPr>
      <t>02730</t>
    </r>
    <r>
      <rPr>
        <sz val="11"/>
        <color theme="1"/>
        <rFont val="Calibri"/>
        <family val="2"/>
        <scheme val="minor"/>
      </rPr>
      <t xml:space="preserve"> - Football field
</t>
    </r>
    <r>
      <rPr>
        <b/>
        <sz val="11"/>
        <color theme="1"/>
        <rFont val="Calibri"/>
        <family val="2"/>
        <scheme val="minor"/>
      </rPr>
      <t>02721</t>
    </r>
    <r>
      <rPr>
        <sz val="11"/>
        <color theme="1"/>
        <rFont val="Calibri"/>
        <family val="2"/>
        <scheme val="minor"/>
      </rPr>
      <t xml:space="preserve"> - Multipurpose grassy play field
</t>
    </r>
    <r>
      <rPr>
        <b/>
        <sz val="11"/>
        <color theme="1"/>
        <rFont val="Calibri"/>
        <family val="2"/>
        <scheme val="minor"/>
      </rPr>
      <t>02732</t>
    </r>
    <r>
      <rPr>
        <sz val="11"/>
        <color theme="1"/>
        <rFont val="Calibri"/>
        <family val="2"/>
        <scheme val="minor"/>
      </rPr>
      <t xml:space="preserve"> - Other sports field
</t>
    </r>
    <r>
      <rPr>
        <b/>
        <sz val="11"/>
        <color theme="1"/>
        <rFont val="Calibri"/>
        <family val="2"/>
        <scheme val="minor"/>
      </rPr>
      <t>02726</t>
    </r>
    <r>
      <rPr>
        <sz val="11"/>
        <color theme="1"/>
        <rFont val="Calibri"/>
        <family val="2"/>
        <scheme val="minor"/>
      </rPr>
      <t xml:space="preserve"> - Paved outdoor basketball courts
</t>
    </r>
    <r>
      <rPr>
        <b/>
        <sz val="11"/>
        <color theme="1"/>
        <rFont val="Calibri"/>
        <family val="2"/>
        <scheme val="minor"/>
      </rPr>
      <t>02731</t>
    </r>
    <r>
      <rPr>
        <sz val="11"/>
        <color theme="1"/>
        <rFont val="Calibri"/>
        <family val="2"/>
        <scheme val="minor"/>
      </rPr>
      <t xml:space="preserve"> - Soccer field
</t>
    </r>
    <r>
      <rPr>
        <b/>
        <sz val="11"/>
        <color theme="1"/>
        <rFont val="Calibri"/>
        <family val="2"/>
        <scheme val="minor"/>
      </rPr>
      <t>02729</t>
    </r>
    <r>
      <rPr>
        <sz val="11"/>
        <color theme="1"/>
        <rFont val="Calibri"/>
        <family val="2"/>
        <scheme val="minor"/>
      </rPr>
      <t xml:space="preserve"> - Softball field
</t>
    </r>
    <r>
      <rPr>
        <b/>
        <sz val="11"/>
        <color theme="1"/>
        <rFont val="Calibri"/>
        <family val="2"/>
        <scheme val="minor"/>
      </rPr>
      <t>02725</t>
    </r>
    <r>
      <rPr>
        <sz val="11"/>
        <color theme="1"/>
        <rFont val="Calibri"/>
        <family val="2"/>
        <scheme val="minor"/>
      </rPr>
      <t xml:space="preserve"> - Tennis courts
</t>
    </r>
    <r>
      <rPr>
        <b/>
        <sz val="11"/>
        <color theme="1"/>
        <rFont val="Calibri"/>
        <family val="2"/>
        <scheme val="minor"/>
      </rPr>
      <t>02723</t>
    </r>
    <r>
      <rPr>
        <sz val="11"/>
        <color theme="1"/>
        <rFont val="Calibri"/>
        <family val="2"/>
        <scheme val="minor"/>
      </rPr>
      <t xml:space="preserve"> - Track/fields
</t>
    </r>
    <r>
      <rPr>
        <b/>
        <sz val="11"/>
        <color theme="1"/>
        <rFont val="Calibri"/>
        <family val="2"/>
        <scheme val="minor"/>
      </rPr>
      <t>09999</t>
    </r>
    <r>
      <rPr>
        <sz val="11"/>
        <color theme="1"/>
        <rFont val="Calibri"/>
        <family val="2"/>
        <scheme val="minor"/>
      </rPr>
      <t xml:space="preserve"> - Other
</t>
    </r>
  </si>
  <si>
    <r>
      <t>13629</t>
    </r>
    <r>
      <rPr>
        <sz val="11"/>
        <color theme="1"/>
        <rFont val="Calibri"/>
        <family val="2"/>
        <scheme val="minor"/>
      </rPr>
      <t xml:space="preserve"> - Kitchen garden
</t>
    </r>
    <r>
      <rPr>
        <b/>
        <sz val="11"/>
        <color theme="1"/>
        <rFont val="Calibri"/>
        <family val="2"/>
        <scheme val="minor"/>
      </rPr>
      <t>13635</t>
    </r>
    <r>
      <rPr>
        <sz val="11"/>
        <color theme="1"/>
        <rFont val="Calibri"/>
        <family val="2"/>
        <scheme val="minor"/>
      </rPr>
      <t xml:space="preserve"> - Natural habitat area
</t>
    </r>
    <r>
      <rPr>
        <b/>
        <sz val="11"/>
        <color theme="1"/>
        <rFont val="Calibri"/>
        <family val="2"/>
        <scheme val="minor"/>
      </rPr>
      <t>13633</t>
    </r>
    <r>
      <rPr>
        <sz val="11"/>
        <color theme="1"/>
        <rFont val="Calibri"/>
        <family val="2"/>
        <scheme val="minor"/>
      </rPr>
      <t xml:space="preserve"> - Outdoor classroom
</t>
    </r>
    <r>
      <rPr>
        <b/>
        <sz val="11"/>
        <color theme="1"/>
        <rFont val="Calibri"/>
        <family val="2"/>
        <scheme val="minor"/>
      </rPr>
      <t>13634</t>
    </r>
    <r>
      <rPr>
        <sz val="11"/>
        <color theme="1"/>
        <rFont val="Calibri"/>
        <family val="2"/>
        <scheme val="minor"/>
      </rPr>
      <t xml:space="preserve"> - Outdoor seating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03409</t>
    </r>
    <r>
      <rPr>
        <sz val="11"/>
        <color theme="1"/>
        <rFont val="Calibri"/>
        <family val="2"/>
        <scheme val="minor"/>
      </rPr>
      <t xml:space="preserve"> - Sandbox
</t>
    </r>
    <r>
      <rPr>
        <b/>
        <sz val="11"/>
        <color theme="1"/>
        <rFont val="Calibri"/>
        <family val="2"/>
        <scheme val="minor"/>
      </rPr>
      <t>03407</t>
    </r>
    <r>
      <rPr>
        <sz val="11"/>
        <color theme="1"/>
        <rFont val="Calibri"/>
        <family val="2"/>
        <scheme val="minor"/>
      </rPr>
      <t xml:space="preserve"> - Schoolyard Garden
</t>
    </r>
    <r>
      <rPr>
        <b/>
        <sz val="11"/>
        <color theme="1"/>
        <rFont val="Calibri"/>
        <family val="2"/>
        <scheme val="minor"/>
      </rPr>
      <t>13636</t>
    </r>
    <r>
      <rPr>
        <sz val="11"/>
        <color theme="1"/>
        <rFont val="Calibri"/>
        <family val="2"/>
        <scheme val="minor"/>
      </rPr>
      <t xml:space="preserve"> - Splash play area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</si>
  <si>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13637</t>
    </r>
    <r>
      <rPr>
        <sz val="11"/>
        <color theme="1"/>
        <rFont val="Calibri"/>
        <family val="2"/>
        <scheme val="minor"/>
      </rPr>
      <t xml:space="preserve"> - Balcony
</t>
    </r>
    <r>
      <rPr>
        <b/>
        <sz val="11"/>
        <color theme="1"/>
        <rFont val="Calibri"/>
        <family val="2"/>
        <scheme val="minor"/>
      </rPr>
      <t>02650</t>
    </r>
    <r>
      <rPr>
        <sz val="11"/>
        <color theme="1"/>
        <rFont val="Calibri"/>
        <family val="2"/>
        <scheme val="minor"/>
      </rPr>
      <t xml:space="preserve"> - Band room
</t>
    </r>
    <r>
      <rPr>
        <b/>
        <sz val="11"/>
        <color theme="1"/>
        <rFont val="Calibri"/>
        <family val="2"/>
        <scheme val="minor"/>
      </rPr>
      <t>02654</t>
    </r>
    <r>
      <rPr>
        <sz val="11"/>
        <color theme="1"/>
        <rFont val="Calibri"/>
        <family val="2"/>
        <scheme val="minor"/>
      </rPr>
      <t xml:space="preserve"> - Blackbox theater
</t>
    </r>
    <r>
      <rPr>
        <b/>
        <sz val="11"/>
        <color theme="1"/>
        <rFont val="Calibri"/>
        <family val="2"/>
        <scheme val="minor"/>
      </rPr>
      <t>02652</t>
    </r>
    <r>
      <rPr>
        <sz val="11"/>
        <color theme="1"/>
        <rFont val="Calibri"/>
        <family val="2"/>
        <scheme val="minor"/>
      </rPr>
      <t xml:space="preserve"> - Choral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02653</t>
    </r>
    <r>
      <rPr>
        <sz val="11"/>
        <color theme="1"/>
        <rFont val="Calibri"/>
        <family val="2"/>
        <scheme val="minor"/>
      </rPr>
      <t xml:space="preserve"> - Drama classroom
</t>
    </r>
    <r>
      <rPr>
        <b/>
        <sz val="11"/>
        <color theme="1"/>
        <rFont val="Calibri"/>
        <family val="2"/>
        <scheme val="minor"/>
      </rPr>
      <t>02655</t>
    </r>
    <r>
      <rPr>
        <sz val="11"/>
        <color theme="1"/>
        <rFont val="Calibri"/>
        <family val="2"/>
        <scheme val="minor"/>
      </rPr>
      <t xml:space="preserve"> - Instrument storage
</t>
    </r>
    <r>
      <rPr>
        <b/>
        <sz val="11"/>
        <color theme="1"/>
        <rFont val="Calibri"/>
        <family val="2"/>
        <scheme val="minor"/>
      </rPr>
      <t>02656</t>
    </r>
    <r>
      <rPr>
        <sz val="11"/>
        <color theme="1"/>
        <rFont val="Calibri"/>
        <family val="2"/>
        <scheme val="minor"/>
      </rPr>
      <t xml:space="preserve"> - Keyboard laboratory
</t>
    </r>
    <r>
      <rPr>
        <b/>
        <sz val="11"/>
        <color theme="1"/>
        <rFont val="Calibri"/>
        <family val="2"/>
        <scheme val="minor"/>
      </rPr>
      <t>02659</t>
    </r>
    <r>
      <rPr>
        <sz val="11"/>
        <color theme="1"/>
        <rFont val="Calibri"/>
        <family val="2"/>
        <scheme val="minor"/>
      </rPr>
      <t xml:space="preserve"> - Multimedia production center
</t>
    </r>
    <r>
      <rPr>
        <b/>
        <sz val="11"/>
        <color theme="1"/>
        <rFont val="Calibri"/>
        <family val="2"/>
        <scheme val="minor"/>
      </rPr>
      <t>02658</t>
    </r>
    <r>
      <rPr>
        <sz val="11"/>
        <color theme="1"/>
        <rFont val="Calibri"/>
        <family val="2"/>
        <scheme val="minor"/>
      </rPr>
      <t xml:space="preserve"> - Multipurpose music room
</t>
    </r>
    <r>
      <rPr>
        <b/>
        <sz val="11"/>
        <color theme="1"/>
        <rFont val="Calibri"/>
        <family val="2"/>
        <scheme val="minor"/>
      </rPr>
      <t>02651</t>
    </r>
    <r>
      <rPr>
        <sz val="11"/>
        <color theme="1"/>
        <rFont val="Calibri"/>
        <family val="2"/>
        <scheme val="minor"/>
      </rPr>
      <t xml:space="preserve"> - Practice room
</t>
    </r>
    <r>
      <rPr>
        <b/>
        <sz val="11"/>
        <color theme="1"/>
        <rFont val="Calibri"/>
        <family val="2"/>
        <scheme val="minor"/>
      </rPr>
      <t>02660</t>
    </r>
    <r>
      <rPr>
        <sz val="11"/>
        <color theme="1"/>
        <rFont val="Calibri"/>
        <family val="2"/>
        <scheme val="minor"/>
      </rPr>
      <t xml:space="preserve"> - Radio/television broadcast studios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02657</t>
    </r>
    <r>
      <rPr>
        <sz val="11"/>
        <color theme="1"/>
        <rFont val="Calibri"/>
        <family val="2"/>
        <scheme val="minor"/>
      </rPr>
      <t xml:space="preserve"> - Television studio
</t>
    </r>
    <r>
      <rPr>
        <b/>
        <sz val="11"/>
        <color theme="1"/>
        <rFont val="Calibri"/>
        <family val="2"/>
        <scheme val="minor"/>
      </rPr>
      <t>09999</t>
    </r>
    <r>
      <rPr>
        <sz val="11"/>
        <color theme="1"/>
        <rFont val="Calibri"/>
        <family val="2"/>
        <scheme val="minor"/>
      </rPr>
      <t xml:space="preserve"> - Other
</t>
    </r>
  </si>
  <si>
    <r>
      <t>02470</t>
    </r>
    <r>
      <rPr>
        <sz val="11"/>
        <color theme="1"/>
        <rFont val="Calibri"/>
        <family val="2"/>
        <scheme val="minor"/>
      </rPr>
      <t xml:space="preserve"> - Detention ponds
</t>
    </r>
    <r>
      <rPr>
        <b/>
        <sz val="11"/>
        <color theme="1"/>
        <rFont val="Calibri"/>
        <family val="2"/>
        <scheme val="minor"/>
      </rPr>
      <t>13596</t>
    </r>
    <r>
      <rPr>
        <sz val="11"/>
        <color theme="1"/>
        <rFont val="Calibri"/>
        <family val="2"/>
        <scheme val="minor"/>
      </rPr>
      <t xml:space="preserve"> - Domestic water distribution
</t>
    </r>
    <r>
      <rPr>
        <b/>
        <sz val="11"/>
        <color theme="1"/>
        <rFont val="Calibri"/>
        <family val="2"/>
        <scheme val="minor"/>
      </rPr>
      <t>02463</t>
    </r>
    <r>
      <rPr>
        <sz val="11"/>
        <color theme="1"/>
        <rFont val="Calibri"/>
        <family val="2"/>
        <scheme val="minor"/>
      </rPr>
      <t xml:space="preserve"> - Drains
</t>
    </r>
    <r>
      <rPr>
        <b/>
        <sz val="11"/>
        <color theme="1"/>
        <rFont val="Calibri"/>
        <family val="2"/>
        <scheme val="minor"/>
      </rPr>
      <t>02471</t>
    </r>
    <r>
      <rPr>
        <sz val="11"/>
        <color theme="1"/>
        <rFont val="Calibri"/>
        <family val="2"/>
        <scheme val="minor"/>
      </rPr>
      <t xml:space="preserve"> - Filtration system
</t>
    </r>
    <r>
      <rPr>
        <b/>
        <sz val="11"/>
        <color theme="1"/>
        <rFont val="Calibri"/>
        <family val="2"/>
        <scheme val="minor"/>
      </rPr>
      <t>02467</t>
    </r>
    <r>
      <rPr>
        <sz val="11"/>
        <color theme="1"/>
        <rFont val="Calibri"/>
        <family val="2"/>
        <scheme val="minor"/>
      </rPr>
      <t xml:space="preserve"> - Parcel drainage
</t>
    </r>
    <r>
      <rPr>
        <b/>
        <sz val="11"/>
        <color theme="1"/>
        <rFont val="Calibri"/>
        <family val="2"/>
        <scheme val="minor"/>
      </rPr>
      <t>02468</t>
    </r>
    <r>
      <rPr>
        <sz val="11"/>
        <color theme="1"/>
        <rFont val="Calibri"/>
        <family val="2"/>
        <scheme val="minor"/>
      </rPr>
      <t xml:space="preserve"> - Piping
</t>
    </r>
    <r>
      <rPr>
        <b/>
        <sz val="11"/>
        <color theme="1"/>
        <rFont val="Calibri"/>
        <family val="2"/>
        <scheme val="minor"/>
      </rPr>
      <t>13597</t>
    </r>
    <r>
      <rPr>
        <sz val="11"/>
        <color theme="1"/>
        <rFont val="Calibri"/>
        <family val="2"/>
        <scheme val="minor"/>
      </rPr>
      <t xml:space="preserve"> - Plumbing fixtures
</t>
    </r>
    <r>
      <rPr>
        <b/>
        <sz val="11"/>
        <color theme="1"/>
        <rFont val="Calibri"/>
        <family val="2"/>
        <scheme val="minor"/>
      </rPr>
      <t>13598</t>
    </r>
    <r>
      <rPr>
        <sz val="11"/>
        <color theme="1"/>
        <rFont val="Calibri"/>
        <family val="2"/>
        <scheme val="minor"/>
      </rPr>
      <t xml:space="preserve"> - Rain water drainage
</t>
    </r>
    <r>
      <rPr>
        <b/>
        <sz val="11"/>
        <color theme="1"/>
        <rFont val="Calibri"/>
        <family val="2"/>
        <scheme val="minor"/>
      </rPr>
      <t>13599</t>
    </r>
    <r>
      <rPr>
        <sz val="11"/>
        <color theme="1"/>
        <rFont val="Calibri"/>
        <family val="2"/>
        <scheme val="minor"/>
      </rPr>
      <t xml:space="preserve"> - Sanitary waste
</t>
    </r>
    <r>
      <rPr>
        <b/>
        <sz val="11"/>
        <color theme="1"/>
        <rFont val="Calibri"/>
        <family val="2"/>
        <scheme val="minor"/>
      </rPr>
      <t>02465</t>
    </r>
    <r>
      <rPr>
        <sz val="11"/>
        <color theme="1"/>
        <rFont val="Calibri"/>
        <family val="2"/>
        <scheme val="minor"/>
      </rPr>
      <t xml:space="preserve"> - Sewage treatment
</t>
    </r>
    <r>
      <rPr>
        <b/>
        <sz val="11"/>
        <color theme="1"/>
        <rFont val="Calibri"/>
        <family val="2"/>
        <scheme val="minor"/>
      </rPr>
      <t>02464</t>
    </r>
    <r>
      <rPr>
        <sz val="11"/>
        <color theme="1"/>
        <rFont val="Calibri"/>
        <family val="2"/>
        <scheme val="minor"/>
      </rPr>
      <t xml:space="preserve"> - Vents
</t>
    </r>
    <r>
      <rPr>
        <b/>
        <sz val="11"/>
        <color theme="1"/>
        <rFont val="Calibri"/>
        <family val="2"/>
        <scheme val="minor"/>
      </rPr>
      <t>02469</t>
    </r>
    <r>
      <rPr>
        <sz val="11"/>
        <color theme="1"/>
        <rFont val="Calibri"/>
        <family val="2"/>
        <scheme val="minor"/>
      </rPr>
      <t xml:space="preserve"> - Water softeners
</t>
    </r>
    <r>
      <rPr>
        <b/>
        <sz val="11"/>
        <color theme="1"/>
        <rFont val="Calibri"/>
        <family val="2"/>
        <scheme val="minor"/>
      </rPr>
      <t>02466</t>
    </r>
    <r>
      <rPr>
        <sz val="11"/>
        <color theme="1"/>
        <rFont val="Calibri"/>
        <family val="2"/>
        <scheme val="minor"/>
      </rPr>
      <t xml:space="preserve"> - Water source
</t>
    </r>
    <r>
      <rPr>
        <b/>
        <sz val="11"/>
        <color theme="1"/>
        <rFont val="Calibri"/>
        <family val="2"/>
        <scheme val="minor"/>
      </rPr>
      <t>02462</t>
    </r>
    <r>
      <rPr>
        <sz val="11"/>
        <color theme="1"/>
        <rFont val="Calibri"/>
        <family val="2"/>
        <scheme val="minor"/>
      </rPr>
      <t xml:space="preserve"> - Water supply
</t>
    </r>
    <r>
      <rPr>
        <b/>
        <sz val="11"/>
        <color theme="1"/>
        <rFont val="Calibri"/>
        <family val="2"/>
        <scheme val="minor"/>
      </rPr>
      <t>09999</t>
    </r>
    <r>
      <rPr>
        <sz val="11"/>
        <color theme="1"/>
        <rFont val="Calibri"/>
        <family val="2"/>
        <scheme val="minor"/>
      </rPr>
      <t xml:space="preserve"> - Other
</t>
    </r>
  </si>
  <si>
    <r>
      <t>13561</t>
    </r>
    <r>
      <rPr>
        <sz val="11"/>
        <color theme="1"/>
        <rFont val="Calibri"/>
        <family val="2"/>
        <scheme val="minor"/>
      </rPr>
      <t xml:space="preserve"> - Church
</t>
    </r>
    <r>
      <rPr>
        <b/>
        <sz val="11"/>
        <color theme="1"/>
        <rFont val="Calibri"/>
        <family val="2"/>
        <scheme val="minor"/>
      </rPr>
      <t>13562</t>
    </r>
    <r>
      <rPr>
        <sz val="11"/>
        <color theme="1"/>
        <rFont val="Calibri"/>
        <family val="2"/>
        <scheme val="minor"/>
      </rPr>
      <t xml:space="preserve"> - Commercial office building
</t>
    </r>
    <r>
      <rPr>
        <b/>
        <sz val="11"/>
        <color theme="1"/>
        <rFont val="Calibri"/>
        <family val="2"/>
        <scheme val="minor"/>
      </rPr>
      <t>13563</t>
    </r>
    <r>
      <rPr>
        <sz val="11"/>
        <color theme="1"/>
        <rFont val="Calibri"/>
        <family val="2"/>
        <scheme val="minor"/>
      </rPr>
      <t xml:space="preserve"> - Commercial warehouse
</t>
    </r>
    <r>
      <rPr>
        <b/>
        <sz val="11"/>
        <color theme="1"/>
        <rFont val="Calibri"/>
        <family val="2"/>
        <scheme val="minor"/>
      </rPr>
      <t>13564</t>
    </r>
    <r>
      <rPr>
        <sz val="11"/>
        <color theme="1"/>
        <rFont val="Calibri"/>
        <family val="2"/>
        <scheme val="minor"/>
      </rPr>
      <t xml:space="preserve"> - Community center
</t>
    </r>
    <r>
      <rPr>
        <b/>
        <sz val="11"/>
        <color theme="1"/>
        <rFont val="Calibri"/>
        <family val="2"/>
        <scheme val="minor"/>
      </rPr>
      <t>13565</t>
    </r>
    <r>
      <rPr>
        <sz val="11"/>
        <color theme="1"/>
        <rFont val="Calibri"/>
        <family val="2"/>
        <scheme val="minor"/>
      </rPr>
      <t xml:space="preserve"> - Public school building
</t>
    </r>
  </si>
  <si>
    <r>
      <t>02608</t>
    </r>
    <r>
      <rPr>
        <sz val="11"/>
        <color theme="1"/>
        <rFont val="Calibri"/>
        <family val="2"/>
        <scheme val="minor"/>
      </rPr>
      <t xml:space="preserve"> - 6-12 school
</t>
    </r>
    <r>
      <rPr>
        <b/>
        <sz val="11"/>
        <color theme="1"/>
        <rFont val="Calibri"/>
        <family val="2"/>
        <scheme val="minor"/>
      </rPr>
      <t>02605</t>
    </r>
    <r>
      <rPr>
        <sz val="11"/>
        <color theme="1"/>
        <rFont val="Calibri"/>
        <family val="2"/>
        <scheme val="minor"/>
      </rPr>
      <t xml:space="preserve"> - Adult education school
</t>
    </r>
    <r>
      <rPr>
        <b/>
        <sz val="11"/>
        <color theme="1"/>
        <rFont val="Calibri"/>
        <family val="2"/>
        <scheme val="minor"/>
      </rPr>
      <t>02609</t>
    </r>
    <r>
      <rPr>
        <sz val="11"/>
        <color theme="1"/>
        <rFont val="Calibri"/>
        <family val="2"/>
        <scheme val="minor"/>
      </rPr>
      <t xml:space="preserve"> - Alternative school
</t>
    </r>
    <r>
      <rPr>
        <b/>
        <sz val="11"/>
        <color theme="1"/>
        <rFont val="Calibri"/>
        <family val="2"/>
        <scheme val="minor"/>
      </rPr>
      <t>02604</t>
    </r>
    <r>
      <rPr>
        <sz val="11"/>
        <color theme="1"/>
        <rFont val="Calibri"/>
        <family val="2"/>
        <scheme val="minor"/>
      </rPr>
      <t xml:space="preserve"> - Career-technology education center
</t>
    </r>
    <r>
      <rPr>
        <b/>
        <sz val="11"/>
        <color theme="1"/>
        <rFont val="Calibri"/>
        <family val="2"/>
        <scheme val="minor"/>
      </rPr>
      <t>02599</t>
    </r>
    <r>
      <rPr>
        <sz val="11"/>
        <color theme="1"/>
        <rFont val="Calibri"/>
        <family val="2"/>
        <scheme val="minor"/>
      </rPr>
      <t xml:space="preserve"> - Early childhood center
</t>
    </r>
    <r>
      <rPr>
        <b/>
        <sz val="11"/>
        <color theme="1"/>
        <rFont val="Calibri"/>
        <family val="2"/>
        <scheme val="minor"/>
      </rPr>
      <t>02600</t>
    </r>
    <r>
      <rPr>
        <sz val="11"/>
        <color theme="1"/>
        <rFont val="Calibri"/>
        <family val="2"/>
        <scheme val="minor"/>
      </rPr>
      <t xml:space="preserve"> - Elementary school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02607</t>
    </r>
    <r>
      <rPr>
        <sz val="11"/>
        <color theme="1"/>
        <rFont val="Calibri"/>
        <family val="2"/>
        <scheme val="minor"/>
      </rPr>
      <t xml:space="preserve"> - K-8 school
</t>
    </r>
    <r>
      <rPr>
        <b/>
        <sz val="11"/>
        <color theme="1"/>
        <rFont val="Calibri"/>
        <family val="2"/>
        <scheme val="minor"/>
      </rPr>
      <t>02601</t>
    </r>
    <r>
      <rPr>
        <sz val="11"/>
        <color theme="1"/>
        <rFont val="Calibri"/>
        <family val="2"/>
        <scheme val="minor"/>
      </rPr>
      <t xml:space="preserve"> - Middle school
</t>
    </r>
    <r>
      <rPr>
        <b/>
        <sz val="11"/>
        <color theme="1"/>
        <rFont val="Calibri"/>
        <family val="2"/>
        <scheme val="minor"/>
      </rPr>
      <t>13638</t>
    </r>
    <r>
      <rPr>
        <sz val="11"/>
        <color theme="1"/>
        <rFont val="Calibri"/>
        <family val="2"/>
        <scheme val="minor"/>
      </rPr>
      <t xml:space="preserve"> - Performing arts school
</t>
    </r>
    <r>
      <rPr>
        <b/>
        <sz val="11"/>
        <color theme="1"/>
        <rFont val="Calibri"/>
        <family val="2"/>
        <scheme val="minor"/>
      </rPr>
      <t>13639</t>
    </r>
    <r>
      <rPr>
        <sz val="11"/>
        <color theme="1"/>
        <rFont val="Calibri"/>
        <family val="2"/>
        <scheme val="minor"/>
      </rPr>
      <t xml:space="preserve"> - Science, technology, engineering and math (STEM) school
</t>
    </r>
    <r>
      <rPr>
        <b/>
        <sz val="11"/>
        <color theme="1"/>
        <rFont val="Calibri"/>
        <family val="2"/>
        <scheme val="minor"/>
      </rPr>
      <t>02603</t>
    </r>
    <r>
      <rPr>
        <sz val="11"/>
        <color theme="1"/>
        <rFont val="Calibri"/>
        <family val="2"/>
        <scheme val="minor"/>
      </rPr>
      <t xml:space="preserve"> - Senior high school
</t>
    </r>
    <r>
      <rPr>
        <b/>
        <sz val="11"/>
        <color theme="1"/>
        <rFont val="Calibri"/>
        <family val="2"/>
        <scheme val="minor"/>
      </rPr>
      <t>02606</t>
    </r>
    <r>
      <rPr>
        <sz val="11"/>
        <color theme="1"/>
        <rFont val="Calibri"/>
        <family val="2"/>
        <scheme val="minor"/>
      </rPr>
      <t xml:space="preserve"> - Special education school
</t>
    </r>
    <r>
      <rPr>
        <b/>
        <sz val="11"/>
        <color theme="1"/>
        <rFont val="Calibri"/>
        <family val="2"/>
        <scheme val="minor"/>
      </rPr>
      <t>09999</t>
    </r>
    <r>
      <rPr>
        <sz val="11"/>
        <color theme="1"/>
        <rFont val="Calibri"/>
        <family val="2"/>
        <scheme val="minor"/>
      </rPr>
      <t xml:space="preserve"> - Other
</t>
    </r>
  </si>
  <si>
    <r>
      <t>02661</t>
    </r>
    <r>
      <rPr>
        <sz val="11"/>
        <color theme="1"/>
        <rFont val="Calibri"/>
        <family val="2"/>
        <scheme val="minor"/>
      </rPr>
      <t xml:space="preserve"> - Biology laboratory
</t>
    </r>
    <r>
      <rPr>
        <b/>
        <sz val="11"/>
        <color theme="1"/>
        <rFont val="Calibri"/>
        <family val="2"/>
        <scheme val="minor"/>
      </rPr>
      <t>02668</t>
    </r>
    <r>
      <rPr>
        <sz val="11"/>
        <color theme="1"/>
        <rFont val="Calibri"/>
        <family val="2"/>
        <scheme val="minor"/>
      </rPr>
      <t xml:space="preserve"> - Chemical storage room
</t>
    </r>
    <r>
      <rPr>
        <b/>
        <sz val="11"/>
        <color theme="1"/>
        <rFont val="Calibri"/>
        <family val="2"/>
        <scheme val="minor"/>
      </rPr>
      <t>02662</t>
    </r>
    <r>
      <rPr>
        <sz val="11"/>
        <color theme="1"/>
        <rFont val="Calibri"/>
        <family val="2"/>
        <scheme val="minor"/>
      </rPr>
      <t xml:space="preserve"> - Chemistry laboratory
</t>
    </r>
    <r>
      <rPr>
        <b/>
        <sz val="11"/>
        <color theme="1"/>
        <rFont val="Calibri"/>
        <family val="2"/>
        <scheme val="minor"/>
      </rPr>
      <t>02663</t>
    </r>
    <r>
      <rPr>
        <sz val="11"/>
        <color theme="1"/>
        <rFont val="Calibri"/>
        <family val="2"/>
        <scheme val="minor"/>
      </rPr>
      <t xml:space="preserve"> - Environmental science laboratory
</t>
    </r>
    <r>
      <rPr>
        <b/>
        <sz val="11"/>
        <color theme="1"/>
        <rFont val="Calibri"/>
        <family val="2"/>
        <scheme val="minor"/>
      </rPr>
      <t>02670</t>
    </r>
    <r>
      <rPr>
        <sz val="11"/>
        <color theme="1"/>
        <rFont val="Calibri"/>
        <family val="2"/>
        <scheme val="minor"/>
      </rPr>
      <t xml:space="preserve"> - General science laboratory
</t>
    </r>
    <r>
      <rPr>
        <b/>
        <sz val="11"/>
        <color theme="1"/>
        <rFont val="Calibri"/>
        <family val="2"/>
        <scheme val="minor"/>
      </rPr>
      <t>02669</t>
    </r>
    <r>
      <rPr>
        <sz val="11"/>
        <color theme="1"/>
        <rFont val="Calibri"/>
        <family val="2"/>
        <scheme val="minor"/>
      </rPr>
      <t xml:space="preserve"> - Miscellaneous storage room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02664</t>
    </r>
    <r>
      <rPr>
        <sz val="11"/>
        <color theme="1"/>
        <rFont val="Calibri"/>
        <family val="2"/>
        <scheme val="minor"/>
      </rPr>
      <t xml:space="preserve"> - Physics laboratory
</t>
    </r>
    <r>
      <rPr>
        <b/>
        <sz val="11"/>
        <color theme="1"/>
        <rFont val="Calibri"/>
        <family val="2"/>
        <scheme val="minor"/>
      </rPr>
      <t>02665</t>
    </r>
    <r>
      <rPr>
        <sz val="11"/>
        <color theme="1"/>
        <rFont val="Calibri"/>
        <family val="2"/>
        <scheme val="minor"/>
      </rPr>
      <t xml:space="preserve"> - Planetarium
</t>
    </r>
    <r>
      <rPr>
        <b/>
        <sz val="11"/>
        <color theme="1"/>
        <rFont val="Calibri"/>
        <family val="2"/>
        <scheme val="minor"/>
      </rPr>
      <t>02666</t>
    </r>
    <r>
      <rPr>
        <sz val="11"/>
        <color theme="1"/>
        <rFont val="Calibri"/>
        <family val="2"/>
        <scheme val="minor"/>
      </rPr>
      <t xml:space="preserve"> - Prep room
</t>
    </r>
    <r>
      <rPr>
        <b/>
        <sz val="11"/>
        <color theme="1"/>
        <rFont val="Calibri"/>
        <family val="2"/>
        <scheme val="minor"/>
      </rPr>
      <t>02667</t>
    </r>
    <r>
      <rPr>
        <sz val="11"/>
        <color theme="1"/>
        <rFont val="Calibri"/>
        <family val="2"/>
        <scheme val="minor"/>
      </rPr>
      <t xml:space="preserve"> - Science lecture room
</t>
    </r>
    <r>
      <rPr>
        <b/>
        <sz val="11"/>
        <color theme="1"/>
        <rFont val="Calibri"/>
        <family val="2"/>
        <scheme val="minor"/>
      </rPr>
      <t>09999</t>
    </r>
    <r>
      <rPr>
        <sz val="11"/>
        <color theme="1"/>
        <rFont val="Calibri"/>
        <family val="2"/>
        <scheme val="minor"/>
      </rPr>
      <t xml:space="preserve"> - Other
</t>
    </r>
  </si>
  <si>
    <r>
      <t>02508</t>
    </r>
    <r>
      <rPr>
        <sz val="11"/>
        <color theme="1"/>
        <rFont val="Calibri"/>
        <family val="2"/>
        <scheme val="minor"/>
      </rPr>
      <t xml:space="preserve"> - Card access control system
</t>
    </r>
    <r>
      <rPr>
        <b/>
        <sz val="11"/>
        <color theme="1"/>
        <rFont val="Calibri"/>
        <family val="2"/>
        <scheme val="minor"/>
      </rPr>
      <t>02507</t>
    </r>
    <r>
      <rPr>
        <sz val="11"/>
        <color theme="1"/>
        <rFont val="Calibri"/>
        <family val="2"/>
        <scheme val="minor"/>
      </rPr>
      <t xml:space="preserve"> - Intrusion detection system
</t>
    </r>
    <r>
      <rPr>
        <b/>
        <sz val="11"/>
        <color theme="1"/>
        <rFont val="Calibri"/>
        <family val="2"/>
        <scheme val="minor"/>
      </rPr>
      <t>02509</t>
    </r>
    <r>
      <rPr>
        <sz val="11"/>
        <color theme="1"/>
        <rFont val="Calibri"/>
        <family val="2"/>
        <scheme val="minor"/>
      </rPr>
      <t xml:space="preserve"> - Keypad access control system
</t>
    </r>
    <r>
      <rPr>
        <b/>
        <sz val="11"/>
        <color theme="1"/>
        <rFont val="Calibri"/>
        <family val="2"/>
        <scheme val="minor"/>
      </rPr>
      <t>02510</t>
    </r>
    <r>
      <rPr>
        <sz val="11"/>
        <color theme="1"/>
        <rFont val="Calibri"/>
        <family val="2"/>
        <scheme val="minor"/>
      </rPr>
      <t xml:space="preserve"> - Metal detector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09999</t>
    </r>
    <r>
      <rPr>
        <sz val="11"/>
        <color theme="1"/>
        <rFont val="Calibri"/>
        <family val="2"/>
        <scheme val="minor"/>
      </rPr>
      <t xml:space="preserve"> - Other
</t>
    </r>
  </si>
  <si>
    <r>
      <t>02446</t>
    </r>
    <r>
      <rPr>
        <sz val="11"/>
        <color theme="1"/>
        <rFont val="Calibri"/>
        <family val="2"/>
        <scheme val="minor"/>
      </rPr>
      <t xml:space="preserve"> - Enterprise zone
</t>
    </r>
    <r>
      <rPr>
        <b/>
        <sz val="11"/>
        <color theme="1"/>
        <rFont val="Calibri"/>
        <family val="2"/>
        <scheme val="minor"/>
      </rPr>
      <t>02449</t>
    </r>
    <r>
      <rPr>
        <sz val="11"/>
        <color theme="1"/>
        <rFont val="Calibri"/>
        <family val="2"/>
        <scheme val="minor"/>
      </rPr>
      <t xml:space="preserve"> - Environmental contamination
</t>
    </r>
    <r>
      <rPr>
        <b/>
        <sz val="11"/>
        <color theme="1"/>
        <rFont val="Calibri"/>
        <family val="2"/>
        <scheme val="minor"/>
      </rPr>
      <t>02448</t>
    </r>
    <r>
      <rPr>
        <sz val="11"/>
        <color theme="1"/>
        <rFont val="Calibri"/>
        <family val="2"/>
        <scheme val="minor"/>
      </rPr>
      <t xml:space="preserve"> - Environmental protection
</t>
    </r>
    <r>
      <rPr>
        <b/>
        <sz val="11"/>
        <color theme="1"/>
        <rFont val="Calibri"/>
        <family val="2"/>
        <scheme val="minor"/>
      </rPr>
      <t>02447</t>
    </r>
    <r>
      <rPr>
        <sz val="11"/>
        <color theme="1"/>
        <rFont val="Calibri"/>
        <family val="2"/>
        <scheme val="minor"/>
      </rPr>
      <t xml:space="preserve"> - Historic district
</t>
    </r>
    <r>
      <rPr>
        <b/>
        <sz val="11"/>
        <color theme="1"/>
        <rFont val="Calibri"/>
        <family val="2"/>
        <scheme val="minor"/>
      </rPr>
      <t>02445</t>
    </r>
    <r>
      <rPr>
        <sz val="11"/>
        <color theme="1"/>
        <rFont val="Calibri"/>
        <family val="2"/>
        <scheme val="minor"/>
      </rPr>
      <t xml:space="preserve"> - Land use
</t>
    </r>
    <r>
      <rPr>
        <b/>
        <sz val="11"/>
        <color theme="1"/>
        <rFont val="Calibri"/>
        <family val="2"/>
        <scheme val="minor"/>
      </rPr>
      <t>02450</t>
    </r>
    <r>
      <rPr>
        <sz val="11"/>
        <color theme="1"/>
        <rFont val="Calibri"/>
        <family val="2"/>
        <scheme val="minor"/>
      </rPr>
      <t xml:space="preserve"> - Site easements
</t>
    </r>
    <r>
      <rPr>
        <b/>
        <sz val="11"/>
        <color theme="1"/>
        <rFont val="Calibri"/>
        <family val="2"/>
        <scheme val="minor"/>
      </rPr>
      <t>09999</t>
    </r>
    <r>
      <rPr>
        <sz val="11"/>
        <color theme="1"/>
        <rFont val="Calibri"/>
        <family val="2"/>
        <scheme val="minor"/>
      </rPr>
      <t xml:space="preserve"> - Other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</si>
  <si>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</si>
  <si>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02674</t>
    </r>
    <r>
      <rPr>
        <sz val="11"/>
        <color theme="1"/>
        <rFont val="Calibri"/>
        <family val="2"/>
        <scheme val="minor"/>
      </rPr>
      <t xml:space="preserve"> - IEP conference room
</t>
    </r>
    <r>
      <rPr>
        <b/>
        <sz val="11"/>
        <color theme="1"/>
        <rFont val="Calibri"/>
        <family val="2"/>
        <scheme val="minor"/>
      </rPr>
      <t>02675</t>
    </r>
    <r>
      <rPr>
        <sz val="11"/>
        <color theme="1"/>
        <rFont val="Calibri"/>
        <family val="2"/>
        <scheme val="minor"/>
      </rPr>
      <t xml:space="preserve"> - Itinerant staff room
</t>
    </r>
    <r>
      <rPr>
        <b/>
        <sz val="11"/>
        <color theme="1"/>
        <rFont val="Calibri"/>
        <family val="2"/>
        <scheme val="minor"/>
      </rPr>
      <t>02671</t>
    </r>
    <r>
      <rPr>
        <sz val="11"/>
        <color theme="1"/>
        <rFont val="Calibri"/>
        <family val="2"/>
        <scheme val="minor"/>
      </rPr>
      <t xml:space="preserve"> - Occupational therapy room
</t>
    </r>
    <r>
      <rPr>
        <b/>
        <sz val="11"/>
        <color theme="1"/>
        <rFont val="Calibri"/>
        <family val="2"/>
        <scheme val="minor"/>
      </rPr>
      <t>02673</t>
    </r>
    <r>
      <rPr>
        <sz val="11"/>
        <color theme="1"/>
        <rFont val="Calibri"/>
        <family val="2"/>
        <scheme val="minor"/>
      </rPr>
      <t xml:space="preserve"> - Physical therapy room
</t>
    </r>
    <r>
      <rPr>
        <b/>
        <sz val="11"/>
        <color theme="1"/>
        <rFont val="Calibri"/>
        <family val="2"/>
        <scheme val="minor"/>
      </rPr>
      <t>03107</t>
    </r>
    <r>
      <rPr>
        <sz val="11"/>
        <color theme="1"/>
        <rFont val="Calibri"/>
        <family val="2"/>
        <scheme val="minor"/>
      </rPr>
      <t xml:space="preserve"> - Resource room
</t>
    </r>
    <r>
      <rPr>
        <b/>
        <sz val="11"/>
        <color theme="1"/>
        <rFont val="Calibri"/>
        <family val="2"/>
        <scheme val="minor"/>
      </rPr>
      <t>02676</t>
    </r>
    <r>
      <rPr>
        <sz val="11"/>
        <color theme="1"/>
        <rFont val="Calibri"/>
        <family val="2"/>
        <scheme val="minor"/>
      </rPr>
      <t xml:space="preserve"> - Self-contained classroom
</t>
    </r>
    <r>
      <rPr>
        <b/>
        <sz val="11"/>
        <color theme="1"/>
        <rFont val="Calibri"/>
        <family val="2"/>
        <scheme val="minor"/>
      </rPr>
      <t>02672</t>
    </r>
    <r>
      <rPr>
        <sz val="11"/>
        <color theme="1"/>
        <rFont val="Calibri"/>
        <family val="2"/>
        <scheme val="minor"/>
      </rPr>
      <t xml:space="preserve"> - Speech and hearing room
</t>
    </r>
    <r>
      <rPr>
        <b/>
        <sz val="11"/>
        <color theme="1"/>
        <rFont val="Calibri"/>
        <family val="2"/>
        <scheme val="minor"/>
      </rPr>
      <t>09999</t>
    </r>
    <r>
      <rPr>
        <sz val="11"/>
        <color theme="1"/>
        <rFont val="Calibri"/>
        <family val="2"/>
        <scheme val="minor"/>
      </rPr>
      <t xml:space="preserve"> - Other
</t>
    </r>
  </si>
  <si>
    <r>
      <t>02738</t>
    </r>
    <r>
      <rPr>
        <sz val="11"/>
        <color theme="1"/>
        <rFont val="Calibri"/>
        <family val="2"/>
        <scheme val="minor"/>
      </rPr>
      <t xml:space="preserve"> - Career center
</t>
    </r>
    <r>
      <rPr>
        <b/>
        <sz val="11"/>
        <color theme="1"/>
        <rFont val="Calibri"/>
        <family val="2"/>
        <scheme val="minor"/>
      </rPr>
      <t>02739</t>
    </r>
    <r>
      <rPr>
        <sz val="11"/>
        <color theme="1"/>
        <rFont val="Calibri"/>
        <family val="2"/>
        <scheme val="minor"/>
      </rPr>
      <t xml:space="preserve"> - College center
</t>
    </r>
    <r>
      <rPr>
        <b/>
        <sz val="11"/>
        <color theme="1"/>
        <rFont val="Calibri"/>
        <family val="2"/>
        <scheme val="minor"/>
      </rPr>
      <t>02737</t>
    </r>
    <r>
      <rPr>
        <sz val="11"/>
        <color theme="1"/>
        <rFont val="Calibri"/>
        <family val="2"/>
        <scheme val="minor"/>
      </rPr>
      <t xml:space="preserve"> - Guidance/counseling room
</t>
    </r>
    <r>
      <rPr>
        <b/>
        <sz val="11"/>
        <color theme="1"/>
        <rFont val="Calibri"/>
        <family val="2"/>
        <scheme val="minor"/>
      </rPr>
      <t>02736</t>
    </r>
    <r>
      <rPr>
        <sz val="11"/>
        <color theme="1"/>
        <rFont val="Calibri"/>
        <family val="2"/>
        <scheme val="minor"/>
      </rPr>
      <t xml:space="preserve"> - Health room lavatory
</t>
    </r>
    <r>
      <rPr>
        <b/>
        <sz val="11"/>
        <color theme="1"/>
        <rFont val="Calibri"/>
        <family val="2"/>
        <scheme val="minor"/>
      </rPr>
      <t>02735</t>
    </r>
    <r>
      <rPr>
        <sz val="11"/>
        <color theme="1"/>
        <rFont val="Calibri"/>
        <family val="2"/>
        <scheme val="minor"/>
      </rPr>
      <t xml:space="preserve"> - Health suite
</t>
    </r>
    <r>
      <rPr>
        <b/>
        <sz val="11"/>
        <color theme="1"/>
        <rFont val="Calibri"/>
        <family val="2"/>
        <scheme val="minor"/>
      </rPr>
      <t>02733</t>
    </r>
    <r>
      <rPr>
        <sz val="11"/>
        <color theme="1"/>
        <rFont val="Calibri"/>
        <family val="2"/>
        <scheme val="minor"/>
      </rPr>
      <t xml:space="preserve"> - In-school suspension room
</t>
    </r>
    <r>
      <rPr>
        <b/>
        <sz val="11"/>
        <color theme="1"/>
        <rFont val="Calibri"/>
        <family val="2"/>
        <scheme val="minor"/>
      </rPr>
      <t>02740</t>
    </r>
    <r>
      <rPr>
        <sz val="11"/>
        <color theme="1"/>
        <rFont val="Calibri"/>
        <family val="2"/>
        <scheme val="minor"/>
      </rPr>
      <t xml:space="preserve"> - Internship center
</t>
    </r>
    <r>
      <rPr>
        <b/>
        <sz val="11"/>
        <color theme="1"/>
        <rFont val="Calibri"/>
        <family val="2"/>
        <scheme val="minor"/>
      </rPr>
      <t>02734</t>
    </r>
    <r>
      <rPr>
        <sz val="11"/>
        <color theme="1"/>
        <rFont val="Calibri"/>
        <family val="2"/>
        <scheme val="minor"/>
      </rPr>
      <t xml:space="preserve"> - Nurse's station
</t>
    </r>
    <r>
      <rPr>
        <b/>
        <sz val="11"/>
        <color theme="1"/>
        <rFont val="Calibri"/>
        <family val="2"/>
        <scheme val="minor"/>
      </rPr>
      <t>02741</t>
    </r>
    <r>
      <rPr>
        <sz val="11"/>
        <color theme="1"/>
        <rFont val="Calibri"/>
        <family val="2"/>
        <scheme val="minor"/>
      </rPr>
      <t xml:space="preserve"> - Student club space
</t>
    </r>
    <r>
      <rPr>
        <b/>
        <sz val="11"/>
        <color theme="1"/>
        <rFont val="Calibri"/>
        <family val="2"/>
        <scheme val="minor"/>
      </rPr>
      <t>09999</t>
    </r>
    <r>
      <rPr>
        <sz val="11"/>
        <color theme="1"/>
        <rFont val="Calibri"/>
        <family val="2"/>
        <scheme val="minor"/>
      </rPr>
      <t xml:space="preserve"> - Other
</t>
    </r>
  </si>
  <si>
    <r>
      <t>02455</t>
    </r>
    <r>
      <rPr>
        <sz val="11"/>
        <color theme="1"/>
        <rFont val="Calibri"/>
        <family val="2"/>
        <scheme val="minor"/>
      </rPr>
      <t xml:space="preserve"> - Air distribution system
</t>
    </r>
    <r>
      <rPr>
        <b/>
        <sz val="11"/>
        <color theme="1"/>
        <rFont val="Calibri"/>
        <family val="2"/>
        <scheme val="minor"/>
      </rPr>
      <t>02456</t>
    </r>
    <r>
      <rPr>
        <sz val="11"/>
        <color theme="1"/>
        <rFont val="Calibri"/>
        <family val="2"/>
        <scheme val="minor"/>
      </rPr>
      <t xml:space="preserve"> - Communications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02452</t>
    </r>
    <r>
      <rPr>
        <sz val="11"/>
        <color theme="1"/>
        <rFont val="Calibri"/>
        <family val="2"/>
        <scheme val="minor"/>
      </rPr>
      <t xml:space="preserve"> - Electrical system
</t>
    </r>
    <r>
      <rPr>
        <b/>
        <sz val="11"/>
        <color theme="1"/>
        <rFont val="Calibri"/>
        <family val="2"/>
        <scheme val="minor"/>
      </rPr>
      <t>02459</t>
    </r>
    <r>
      <rPr>
        <sz val="11"/>
        <color theme="1"/>
        <rFont val="Calibri"/>
        <family val="2"/>
        <scheme val="minor"/>
      </rPr>
      <t xml:space="preserve"> - Fire protection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02460</t>
    </r>
    <r>
      <rPr>
        <sz val="11"/>
        <color theme="1"/>
        <rFont val="Calibri"/>
        <family val="2"/>
        <scheme val="minor"/>
      </rPr>
      <t xml:space="preserve"> - Mechanical system
</t>
    </r>
    <r>
      <rPr>
        <b/>
        <sz val="11"/>
        <color theme="1"/>
        <rFont val="Calibri"/>
        <family val="2"/>
        <scheme val="minor"/>
      </rPr>
      <t>02451</t>
    </r>
    <r>
      <rPr>
        <sz val="11"/>
        <color theme="1"/>
        <rFont val="Calibri"/>
        <family val="2"/>
        <scheme val="minor"/>
      </rPr>
      <t xml:space="preserve"> - Plumbing system
</t>
    </r>
    <r>
      <rPr>
        <b/>
        <sz val="11"/>
        <color theme="1"/>
        <rFont val="Calibri"/>
        <family val="2"/>
        <scheme val="minor"/>
      </rPr>
      <t>02458</t>
    </r>
    <r>
      <rPr>
        <sz val="11"/>
        <color theme="1"/>
        <rFont val="Calibri"/>
        <family val="2"/>
        <scheme val="minor"/>
      </rPr>
      <t xml:space="preserve"> - Security system
</t>
    </r>
    <r>
      <rPr>
        <b/>
        <sz val="11"/>
        <color theme="1"/>
        <rFont val="Calibri"/>
        <family val="2"/>
        <scheme val="minor"/>
      </rPr>
      <t>02457</t>
    </r>
    <r>
      <rPr>
        <sz val="11"/>
        <color theme="1"/>
        <rFont val="Calibri"/>
        <family val="2"/>
        <scheme val="minor"/>
      </rPr>
      <t xml:space="preserve"> - Technology wiring
</t>
    </r>
    <r>
      <rPr>
        <b/>
        <sz val="11"/>
        <color theme="1"/>
        <rFont val="Calibri"/>
        <family val="2"/>
        <scheme val="minor"/>
      </rPr>
      <t>02461</t>
    </r>
    <r>
      <rPr>
        <sz val="11"/>
        <color theme="1"/>
        <rFont val="Calibri"/>
        <family val="2"/>
        <scheme val="minor"/>
      </rPr>
      <t xml:space="preserve"> - Vertical transportation
</t>
    </r>
  </si>
  <si>
    <r>
      <t>02504</t>
    </r>
    <r>
      <rPr>
        <sz val="11"/>
        <color theme="1"/>
        <rFont val="Calibri"/>
        <family val="2"/>
        <scheme val="minor"/>
      </rPr>
      <t xml:space="preserve"> - Coaxial cable
</t>
    </r>
    <r>
      <rPr>
        <b/>
        <sz val="11"/>
        <color theme="1"/>
        <rFont val="Calibri"/>
        <family val="2"/>
        <scheme val="minor"/>
      </rPr>
      <t>02503</t>
    </r>
    <r>
      <rPr>
        <sz val="11"/>
        <color theme="1"/>
        <rFont val="Calibri"/>
        <family val="2"/>
        <scheme val="minor"/>
      </rPr>
      <t xml:space="preserve"> - Fiber optic cable
</t>
    </r>
    <r>
      <rPr>
        <b/>
        <sz val="11"/>
        <color theme="1"/>
        <rFont val="Calibri"/>
        <family val="2"/>
        <scheme val="minor"/>
      </rPr>
      <t>02506</t>
    </r>
    <r>
      <rPr>
        <sz val="11"/>
        <color theme="1"/>
        <rFont val="Calibri"/>
        <family val="2"/>
        <scheme val="minor"/>
      </rPr>
      <t xml:space="preserve"> - Twisted pair
</t>
    </r>
    <r>
      <rPr>
        <b/>
        <sz val="11"/>
        <color theme="1"/>
        <rFont val="Calibri"/>
        <family val="2"/>
        <scheme val="minor"/>
      </rPr>
      <t>02502</t>
    </r>
    <r>
      <rPr>
        <sz val="11"/>
        <color theme="1"/>
        <rFont val="Calibri"/>
        <family val="2"/>
        <scheme val="minor"/>
      </rPr>
      <t xml:space="preserve"> - Wire cable
</t>
    </r>
    <r>
      <rPr>
        <b/>
        <sz val="11"/>
        <color theme="1"/>
        <rFont val="Calibri"/>
        <family val="2"/>
        <scheme val="minor"/>
      </rPr>
      <t>02505</t>
    </r>
    <r>
      <rPr>
        <sz val="11"/>
        <color theme="1"/>
        <rFont val="Calibri"/>
        <family val="2"/>
        <scheme val="minor"/>
      </rPr>
      <t xml:space="preserve"> - Wireless
</t>
    </r>
    <r>
      <rPr>
        <b/>
        <sz val="11"/>
        <color theme="1"/>
        <rFont val="Calibri"/>
        <family val="2"/>
        <scheme val="minor"/>
      </rPr>
      <t>09999</t>
    </r>
    <r>
      <rPr>
        <sz val="11"/>
        <color theme="1"/>
        <rFont val="Calibri"/>
        <family val="2"/>
        <scheme val="minor"/>
      </rPr>
      <t xml:space="preserve"> - Other
</t>
    </r>
  </si>
  <si>
    <r>
      <t>13700</t>
    </r>
    <r>
      <rPr>
        <sz val="11"/>
        <color theme="1"/>
        <rFont val="Calibri"/>
        <family val="2"/>
        <scheme val="minor"/>
      </rPr>
      <t xml:space="preserve"> - Administration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</si>
  <si>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02515</t>
    </r>
    <r>
      <rPr>
        <sz val="11"/>
        <color theme="1"/>
        <rFont val="Calibri"/>
        <family val="2"/>
        <scheme val="minor"/>
      </rPr>
      <t xml:space="preserve"> - Stairs
</t>
    </r>
    <r>
      <rPr>
        <b/>
        <sz val="11"/>
        <color theme="1"/>
        <rFont val="Calibri"/>
        <family val="2"/>
        <scheme val="minor"/>
      </rPr>
      <t>09999</t>
    </r>
    <r>
      <rPr>
        <sz val="11"/>
        <color theme="1"/>
        <rFont val="Calibri"/>
        <family val="2"/>
        <scheme val="minor"/>
      </rPr>
      <t xml:space="preserve"> - Other
</t>
    </r>
  </si>
  <si>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InstructionalDay</t>
    </r>
    <r>
      <rPr>
        <sz val="11"/>
        <color theme="1"/>
        <rFont val="Calibri"/>
        <family val="2"/>
        <scheme val="minor"/>
      </rPr>
      <t xml:space="preserve"> - Instructional 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</si>
  <si>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r>
      <t>75021</t>
    </r>
    <r>
      <rPr>
        <sz val="11"/>
        <color theme="1"/>
        <rFont val="Calibri"/>
        <family val="2"/>
        <scheme val="minor"/>
      </rPr>
      <t xml:space="preserve"> - In district use
</t>
    </r>
    <r>
      <rPr>
        <b/>
        <sz val="11"/>
        <color theme="1"/>
        <rFont val="Calibri"/>
        <family val="2"/>
        <scheme val="minor"/>
      </rPr>
      <t>75022</t>
    </r>
    <r>
      <rPr>
        <sz val="11"/>
        <color theme="1"/>
        <rFont val="Calibri"/>
        <family val="2"/>
        <scheme val="minor"/>
      </rPr>
      <t xml:space="preserve"> - Leased
</t>
    </r>
    <r>
      <rPr>
        <b/>
        <sz val="11"/>
        <color theme="1"/>
        <rFont val="Calibri"/>
        <family val="2"/>
        <scheme val="minor"/>
      </rPr>
      <t>75023</t>
    </r>
    <r>
      <rPr>
        <sz val="11"/>
        <color theme="1"/>
        <rFont val="Calibri"/>
        <family val="2"/>
        <scheme val="minor"/>
      </rPr>
      <t xml:space="preserve"> - Inactive
</t>
    </r>
    <r>
      <rPr>
        <b/>
        <sz val="11"/>
        <color theme="1"/>
        <rFont val="Calibri"/>
        <family val="2"/>
        <scheme val="minor"/>
      </rPr>
      <t>75024</t>
    </r>
    <r>
      <rPr>
        <sz val="11"/>
        <color theme="1"/>
        <rFont val="Calibri"/>
        <family val="2"/>
        <scheme val="minor"/>
      </rPr>
      <t xml:space="preserve"> - Decommissioned
</t>
    </r>
    <r>
      <rPr>
        <b/>
        <sz val="11"/>
        <color theme="1"/>
        <rFont val="Calibri"/>
        <family val="2"/>
        <scheme val="minor"/>
      </rPr>
      <t>75025</t>
    </r>
    <r>
      <rPr>
        <sz val="11"/>
        <color theme="1"/>
        <rFont val="Calibri"/>
        <family val="2"/>
        <scheme val="minor"/>
      </rPr>
      <t xml:space="preserve"> - Sold
</t>
    </r>
  </si>
  <si>
    <r>
      <t>Administration</t>
    </r>
    <r>
      <rPr>
        <sz val="11"/>
        <color theme="1"/>
        <rFont val="Calibri"/>
        <family val="2"/>
        <scheme val="minor"/>
      </rPr>
      <t xml:space="preserve"> - Administration
</t>
    </r>
    <r>
      <rPr>
        <b/>
        <sz val="11"/>
        <color theme="1"/>
        <rFont val="Calibri"/>
        <family val="2"/>
        <scheme val="minor"/>
      </rPr>
      <t>Education</t>
    </r>
    <r>
      <rPr>
        <sz val="11"/>
        <color theme="1"/>
        <rFont val="Calibri"/>
        <family val="2"/>
        <scheme val="minor"/>
      </rPr>
      <t xml:space="preserve"> - Education
</t>
    </r>
    <r>
      <rPr>
        <b/>
        <sz val="11"/>
        <color theme="1"/>
        <rFont val="Calibri"/>
        <family val="2"/>
        <scheme val="minor"/>
      </rPr>
      <t>Operations</t>
    </r>
    <r>
      <rPr>
        <sz val="11"/>
        <color theme="1"/>
        <rFont val="Calibri"/>
        <family val="2"/>
        <scheme val="minor"/>
      </rPr>
      <t xml:space="preserve"> - Operations
</t>
    </r>
    <r>
      <rPr>
        <b/>
        <sz val="11"/>
        <color theme="1"/>
        <rFont val="Calibri"/>
        <family val="2"/>
        <scheme val="minor"/>
      </rPr>
      <t>Residential</t>
    </r>
    <r>
      <rPr>
        <sz val="11"/>
        <color theme="1"/>
        <rFont val="Calibri"/>
        <family val="2"/>
        <scheme val="minor"/>
      </rPr>
      <t xml:space="preserve"> - Residential
</t>
    </r>
    <r>
      <rPr>
        <b/>
        <sz val="11"/>
        <color theme="1"/>
        <rFont val="Calibri"/>
        <family val="2"/>
        <scheme val="minor"/>
      </rPr>
      <t>Other</t>
    </r>
    <r>
      <rPr>
        <sz val="11"/>
        <color theme="1"/>
        <rFont val="Calibri"/>
        <family val="2"/>
        <scheme val="minor"/>
      </rPr>
      <t xml:space="preserve"> - Other
</t>
    </r>
  </si>
  <si>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CZECHIA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</si>
  <si>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Learner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73045</t>
    </r>
    <r>
      <rPr>
        <sz val="11"/>
        <color theme="1"/>
        <rFont val="Calibri"/>
        <family val="2"/>
        <scheme val="minor"/>
      </rPr>
      <t xml:space="preserve"> - Career and technical education dual-credit course
</t>
    </r>
  </si>
  <si>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K12</t>
    </r>
    <r>
      <rPr>
        <sz val="11"/>
        <color theme="1"/>
        <rFont val="Calibri"/>
        <family val="2"/>
        <scheme val="minor"/>
      </rPr>
      <t xml:space="preserve"> - K12
</t>
    </r>
  </si>
  <si>
    <r>
      <t>Artifact</t>
    </r>
    <r>
      <rPr>
        <sz val="11"/>
        <color theme="1"/>
        <rFont val="Calibri"/>
        <family val="2"/>
        <scheme val="minor"/>
      </rPr>
      <t xml:space="preserve"> - Artifact
</t>
    </r>
    <r>
      <rPr>
        <b/>
        <sz val="11"/>
        <color theme="1"/>
        <rFont val="Calibri"/>
        <family val="2"/>
        <scheme val="minor"/>
      </rPr>
      <t>Exam</t>
    </r>
    <r>
      <rPr>
        <sz val="11"/>
        <color theme="1"/>
        <rFont val="Calibri"/>
        <family val="2"/>
        <scheme val="minor"/>
      </rPr>
      <t xml:space="preserve"> - Exam
</t>
    </r>
    <r>
      <rPr>
        <b/>
        <sz val="11"/>
        <color theme="1"/>
        <rFont val="Calibri"/>
        <family val="2"/>
        <scheme val="minor"/>
      </rPr>
      <t>Performance</t>
    </r>
    <r>
      <rPr>
        <sz val="11"/>
        <color theme="1"/>
        <rFont val="Calibri"/>
        <family val="2"/>
        <scheme val="minor"/>
      </rPr>
      <t xml:space="preserve"> - Performance
</t>
    </r>
  </si>
  <si>
    <r>
      <t>CTID</t>
    </r>
    <r>
      <rPr>
        <sz val="11"/>
        <color theme="1"/>
        <rFont val="Calibri"/>
        <family val="2"/>
        <scheme val="minor"/>
      </rPr>
      <t xml:space="preserve"> - Credential Transparency Identifier
</t>
    </r>
    <r>
      <rPr>
        <b/>
        <sz val="11"/>
        <color theme="1"/>
        <rFont val="Calibri"/>
        <family val="2"/>
        <scheme val="minor"/>
      </rPr>
      <t>URI</t>
    </r>
    <r>
      <rPr>
        <sz val="11"/>
        <color theme="1"/>
        <rFont val="Calibri"/>
        <family val="2"/>
        <scheme val="minor"/>
      </rPr>
      <t xml:space="preserve"> - Uniform Resource Identifier
</t>
    </r>
    <r>
      <rPr>
        <b/>
        <sz val="11"/>
        <color theme="1"/>
        <rFont val="Calibri"/>
        <family val="2"/>
        <scheme val="minor"/>
      </rPr>
      <t>URL</t>
    </r>
    <r>
      <rPr>
        <sz val="11"/>
        <color theme="1"/>
        <rFont val="Calibri"/>
        <family val="2"/>
        <scheme val="minor"/>
      </rPr>
      <t xml:space="preserve"> - Uniform Resource Locator
</t>
    </r>
    <r>
      <rPr>
        <b/>
        <sz val="11"/>
        <color theme="1"/>
        <rFont val="Calibri"/>
        <family val="2"/>
        <scheme val="minor"/>
      </rPr>
      <t>URN</t>
    </r>
    <r>
      <rPr>
        <sz val="11"/>
        <color theme="1"/>
        <rFont val="Calibri"/>
        <family val="2"/>
        <scheme val="minor"/>
      </rPr>
      <t xml:space="preserve"> - Uniform Resource Name
</t>
    </r>
    <r>
      <rPr>
        <b/>
        <sz val="11"/>
        <color theme="1"/>
        <rFont val="Calibri"/>
        <family val="2"/>
        <scheme val="minor"/>
      </rPr>
      <t>UUID</t>
    </r>
    <r>
      <rPr>
        <sz val="11"/>
        <color theme="1"/>
        <rFont val="Calibri"/>
        <family val="2"/>
        <scheme val="minor"/>
      </rPr>
      <t xml:space="preserve"> - Universally Unique Identifier
</t>
    </r>
    <r>
      <rPr>
        <b/>
        <sz val="11"/>
        <color theme="1"/>
        <rFont val="Calibri"/>
        <family val="2"/>
        <scheme val="minor"/>
      </rPr>
      <t>ARK</t>
    </r>
    <r>
      <rPr>
        <sz val="11"/>
        <color theme="1"/>
        <rFont val="Calibri"/>
        <family val="2"/>
        <scheme val="minor"/>
      </rPr>
      <t xml:space="preserve"> - Archival Resource Key
</t>
    </r>
    <r>
      <rPr>
        <b/>
        <sz val="11"/>
        <color theme="1"/>
        <rFont val="Calibri"/>
        <family val="2"/>
        <scheme val="minor"/>
      </rPr>
      <t>DOI</t>
    </r>
    <r>
      <rPr>
        <sz val="11"/>
        <color theme="1"/>
        <rFont val="Calibri"/>
        <family val="2"/>
        <scheme val="minor"/>
      </rPr>
      <t xml:space="preserve"> - Digital Document Identifier
</t>
    </r>
    <r>
      <rPr>
        <b/>
        <sz val="11"/>
        <color theme="1"/>
        <rFont val="Calibri"/>
        <family val="2"/>
        <scheme val="minor"/>
      </rPr>
      <t>INFO</t>
    </r>
    <r>
      <rPr>
        <sz val="11"/>
        <color theme="1"/>
        <rFont val="Calibri"/>
        <family val="2"/>
        <scheme val="minor"/>
      </rPr>
      <t xml:space="preserve"> - INFO URI Scheme
</t>
    </r>
  </si>
  <si>
    <r>
      <t>GeneralEducation</t>
    </r>
    <r>
      <rPr>
        <sz val="11"/>
        <color theme="1"/>
        <rFont val="Calibri"/>
        <family val="2"/>
        <scheme val="minor"/>
      </rPr>
      <t xml:space="preserve"> - General Education
</t>
    </r>
    <r>
      <rPr>
        <b/>
        <sz val="11"/>
        <color theme="1"/>
        <rFont val="Calibri"/>
        <family val="2"/>
        <scheme val="minor"/>
      </rPr>
      <t>JobOrCareerPreparation</t>
    </r>
    <r>
      <rPr>
        <sz val="11"/>
        <color theme="1"/>
        <rFont val="Calibri"/>
        <family val="2"/>
        <scheme val="minor"/>
      </rPr>
      <t xml:space="preserve"> - Job/Career Preparation
</t>
    </r>
    <r>
      <rPr>
        <b/>
        <sz val="11"/>
        <color theme="1"/>
        <rFont val="Calibri"/>
        <family val="2"/>
        <scheme val="minor"/>
      </rPr>
      <t>MidCareer</t>
    </r>
    <r>
      <rPr>
        <sz val="11"/>
        <color theme="1"/>
        <rFont val="Calibri"/>
        <family val="2"/>
        <scheme val="minor"/>
      </rPr>
      <t xml:space="preserve"> - Mid-Career Level
</t>
    </r>
    <r>
      <rPr>
        <b/>
        <sz val="11"/>
        <color theme="1"/>
        <rFont val="Calibri"/>
        <family val="2"/>
        <scheme val="minor"/>
      </rPr>
      <t>PriorExperience</t>
    </r>
    <r>
      <rPr>
        <sz val="11"/>
        <color theme="1"/>
        <rFont val="Calibri"/>
        <family val="2"/>
        <scheme val="minor"/>
      </rPr>
      <t xml:space="preserve"> - Prior Learning Experience
</t>
    </r>
  </si>
  <si>
    <r>
      <t>Active</t>
    </r>
    <r>
      <rPr>
        <sz val="11"/>
        <color theme="1"/>
        <rFont val="Calibri"/>
        <family val="2"/>
        <scheme val="minor"/>
      </rPr>
      <t xml:space="preserve"> - Active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Probationary</t>
    </r>
    <r>
      <rPr>
        <sz val="11"/>
        <color theme="1"/>
        <rFont val="Calibri"/>
        <family val="2"/>
        <scheme val="minor"/>
      </rPr>
      <t xml:space="preserve"> - Probationary
</t>
    </r>
    <r>
      <rPr>
        <b/>
        <sz val="11"/>
        <color theme="1"/>
        <rFont val="Calibri"/>
        <family val="2"/>
        <scheme val="minor"/>
      </rPr>
      <t>Superseded</t>
    </r>
    <r>
      <rPr>
        <sz val="11"/>
        <color theme="1"/>
        <rFont val="Calibri"/>
        <family val="2"/>
        <scheme val="minor"/>
      </rPr>
      <t xml:space="preserve"> - Superseded
</t>
    </r>
  </si>
  <si>
    <r>
      <t>BadgeClaim</t>
    </r>
    <r>
      <rPr>
        <sz val="11"/>
        <color theme="1"/>
        <rFont val="Calibri"/>
        <family val="2"/>
        <scheme val="minor"/>
      </rPr>
      <t xml:space="preserve"> - Badge Claim
</t>
    </r>
    <r>
      <rPr>
        <b/>
        <sz val="11"/>
        <color theme="1"/>
        <rFont val="Calibri"/>
        <family val="2"/>
        <scheme val="minor"/>
      </rPr>
      <t>TranscriptClaim</t>
    </r>
    <r>
      <rPr>
        <sz val="11"/>
        <color theme="1"/>
        <rFont val="Calibri"/>
        <family val="2"/>
        <scheme val="minor"/>
      </rPr>
      <t xml:space="preserve"> - Transcript Claim
</t>
    </r>
    <r>
      <rPr>
        <b/>
        <sz val="11"/>
        <color theme="1"/>
        <rFont val="Calibri"/>
        <family val="2"/>
        <scheme val="minor"/>
      </rPr>
      <t>VerifiedClaim</t>
    </r>
    <r>
      <rPr>
        <sz val="11"/>
        <color theme="1"/>
        <rFont val="Calibri"/>
        <family val="2"/>
        <scheme val="minor"/>
      </rPr>
      <t xml:space="preserve"> - Verified Claim
</t>
    </r>
  </si>
  <si>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75001</t>
    </r>
    <r>
      <rPr>
        <sz val="11"/>
        <color theme="1"/>
        <rFont val="Calibri"/>
        <family val="2"/>
        <scheme val="minor"/>
      </rPr>
      <t xml:space="preserve"> - Certificate credit
</t>
    </r>
    <r>
      <rPr>
        <b/>
        <sz val="11"/>
        <color theme="1"/>
        <rFont val="Calibri"/>
        <family val="2"/>
        <scheme val="minor"/>
      </rPr>
      <t>75002</t>
    </r>
    <r>
      <rPr>
        <sz val="11"/>
        <color theme="1"/>
        <rFont val="Calibri"/>
        <family val="2"/>
        <scheme val="minor"/>
      </rPr>
      <t xml:space="preserve"> - Degree credit
</t>
    </r>
    <r>
      <rPr>
        <b/>
        <sz val="11"/>
        <color theme="1"/>
        <rFont val="Calibri"/>
        <family val="2"/>
        <scheme val="minor"/>
      </rPr>
      <t>75003</t>
    </r>
    <r>
      <rPr>
        <sz val="11"/>
        <color theme="1"/>
        <rFont val="Calibri"/>
        <family val="2"/>
        <scheme val="minor"/>
      </rPr>
      <t xml:space="preserve"> - Continuing education credit
</t>
    </r>
    <r>
      <rPr>
        <b/>
        <sz val="11"/>
        <color theme="1"/>
        <rFont val="Calibri"/>
        <family val="2"/>
        <scheme val="minor"/>
      </rPr>
      <t>75004</t>
    </r>
    <r>
      <rPr>
        <sz val="11"/>
        <color theme="1"/>
        <rFont val="Calibri"/>
        <family val="2"/>
        <scheme val="minor"/>
      </rPr>
      <t xml:space="preserve"> - Professional development hours
</t>
    </r>
  </si>
  <si>
    <r>
      <t>AssessmentBody</t>
    </r>
    <r>
      <rPr>
        <sz val="11"/>
        <color theme="1"/>
        <rFont val="Calibri"/>
        <family val="2"/>
        <scheme val="minor"/>
      </rPr>
      <t xml:space="preserve"> - Assessment Body
</t>
    </r>
    <r>
      <rPr>
        <b/>
        <sz val="11"/>
        <color theme="1"/>
        <rFont val="Calibri"/>
        <family val="2"/>
        <scheme val="minor"/>
      </rPr>
      <t>Business</t>
    </r>
    <r>
      <rPr>
        <sz val="11"/>
        <color theme="1"/>
        <rFont val="Calibri"/>
        <family val="2"/>
        <scheme val="minor"/>
      </rPr>
      <t xml:space="preserve"> - Business
</t>
    </r>
    <r>
      <rPr>
        <b/>
        <sz val="11"/>
        <color theme="1"/>
        <rFont val="Calibri"/>
        <family val="2"/>
        <scheme val="minor"/>
      </rPr>
      <t>BusinessAssociation</t>
    </r>
    <r>
      <rPr>
        <sz val="11"/>
        <color theme="1"/>
        <rFont val="Calibri"/>
        <family val="2"/>
        <scheme val="minor"/>
      </rPr>
      <t xml:space="preserve"> - Business or Industry Association
</t>
    </r>
    <r>
      <rPr>
        <b/>
        <sz val="11"/>
        <color theme="1"/>
        <rFont val="Calibri"/>
        <family val="2"/>
        <scheme val="minor"/>
      </rPr>
      <t>CertificationBody</t>
    </r>
    <r>
      <rPr>
        <sz val="11"/>
        <color theme="1"/>
        <rFont val="Calibri"/>
        <family val="2"/>
        <scheme val="minor"/>
      </rPr>
      <t xml:space="preserve"> - Certification Body
</t>
    </r>
    <r>
      <rPr>
        <b/>
        <sz val="11"/>
        <color theme="1"/>
        <rFont val="Calibri"/>
        <family val="2"/>
        <scheme val="minor"/>
      </rPr>
      <t>FourYear</t>
    </r>
    <r>
      <rPr>
        <sz val="11"/>
        <color theme="1"/>
        <rFont val="Calibri"/>
        <family val="2"/>
        <scheme val="minor"/>
      </rPr>
      <t xml:space="preserve"> - Four-Year College
</t>
    </r>
    <r>
      <rPr>
        <b/>
        <sz val="11"/>
        <color theme="1"/>
        <rFont val="Calibri"/>
        <family val="2"/>
        <scheme val="minor"/>
      </rPr>
      <t>Government</t>
    </r>
    <r>
      <rPr>
        <sz val="11"/>
        <color theme="1"/>
        <rFont val="Calibri"/>
        <family val="2"/>
        <scheme val="minor"/>
      </rPr>
      <t xml:space="preserve"> - Government Agency
</t>
    </r>
    <r>
      <rPr>
        <b/>
        <sz val="11"/>
        <color theme="1"/>
        <rFont val="Calibri"/>
        <family val="2"/>
        <scheme val="minor"/>
      </rPr>
      <t>HighSchool</t>
    </r>
    <r>
      <rPr>
        <sz val="11"/>
        <color theme="1"/>
        <rFont val="Calibri"/>
        <family val="2"/>
        <scheme val="minor"/>
      </rPr>
      <t xml:space="preserve"> - High School
</t>
    </r>
    <r>
      <rPr>
        <b/>
        <sz val="11"/>
        <color theme="1"/>
        <rFont val="Calibri"/>
        <family val="2"/>
        <scheme val="minor"/>
      </rPr>
      <t>LaborUnion</t>
    </r>
    <r>
      <rPr>
        <sz val="11"/>
        <color theme="1"/>
        <rFont val="Calibri"/>
        <family val="2"/>
        <scheme val="minor"/>
      </rPr>
      <t xml:space="preserve"> - Labor Union
</t>
    </r>
    <r>
      <rPr>
        <b/>
        <sz val="11"/>
        <color theme="1"/>
        <rFont val="Calibri"/>
        <family val="2"/>
        <scheme val="minor"/>
      </rPr>
      <t>Magnet</t>
    </r>
    <r>
      <rPr>
        <sz val="11"/>
        <color theme="1"/>
        <rFont val="Calibri"/>
        <family val="2"/>
        <scheme val="minor"/>
      </rPr>
      <t xml:space="preserve"> - Magnet/Competitive Admissions School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NonTraditional</t>
    </r>
    <r>
      <rPr>
        <sz val="11"/>
        <color theme="1"/>
        <rFont val="Calibri"/>
        <family val="2"/>
        <scheme val="minor"/>
      </rPr>
      <t xml:space="preserve"> - Alternative/Non-Traditional School
</t>
    </r>
    <r>
      <rPr>
        <b/>
        <sz val="11"/>
        <color theme="1"/>
        <rFont val="Calibri"/>
        <family val="2"/>
        <scheme val="minor"/>
      </rPr>
      <t>Postsecondary</t>
    </r>
    <r>
      <rPr>
        <sz val="11"/>
        <color theme="1"/>
        <rFont val="Calibri"/>
        <family val="2"/>
        <scheme val="minor"/>
      </rPr>
      <t xml:space="preserve"> - Postsecondary Educational Institution
</t>
    </r>
    <r>
      <rPr>
        <b/>
        <sz val="11"/>
        <color theme="1"/>
        <rFont val="Calibri"/>
        <family val="2"/>
        <scheme val="minor"/>
      </rPr>
      <t>PrimarilyOnline</t>
    </r>
    <r>
      <rPr>
        <sz val="11"/>
        <color theme="1"/>
        <rFont val="Calibri"/>
        <family val="2"/>
        <scheme val="minor"/>
      </rPr>
      <t xml:space="preserve"> - Primarily Online
</t>
    </r>
    <r>
      <rPr>
        <b/>
        <sz val="11"/>
        <color theme="1"/>
        <rFont val="Calibri"/>
        <family val="2"/>
        <scheme val="minor"/>
      </rPr>
      <t>ProfessionalAssociation</t>
    </r>
    <r>
      <rPr>
        <sz val="11"/>
        <color theme="1"/>
        <rFont val="Calibri"/>
        <family val="2"/>
        <scheme val="minor"/>
      </rPr>
      <t xml:space="preserve"> - Professional Association
</t>
    </r>
    <r>
      <rPr>
        <b/>
        <sz val="11"/>
        <color theme="1"/>
        <rFont val="Calibri"/>
        <family val="2"/>
        <scheme val="minor"/>
      </rPr>
      <t>QualityAssurance</t>
    </r>
    <r>
      <rPr>
        <sz val="11"/>
        <color theme="1"/>
        <rFont val="Calibri"/>
        <family val="2"/>
        <scheme val="minor"/>
      </rPr>
      <t xml:space="preserve"> - Quality Assurance Body
</t>
    </r>
    <r>
      <rPr>
        <b/>
        <sz val="11"/>
        <color theme="1"/>
        <rFont val="Calibri"/>
        <family val="2"/>
        <scheme val="minor"/>
      </rPr>
      <t>SecondarySchool</t>
    </r>
    <r>
      <rPr>
        <sz val="11"/>
        <color theme="1"/>
        <rFont val="Calibri"/>
        <family val="2"/>
        <scheme val="minor"/>
      </rPr>
      <t xml:space="preserve"> - Secondary School
</t>
    </r>
    <r>
      <rPr>
        <b/>
        <sz val="11"/>
        <color theme="1"/>
        <rFont val="Calibri"/>
        <family val="2"/>
        <scheme val="minor"/>
      </rPr>
      <t>Technical</t>
    </r>
    <r>
      <rPr>
        <sz val="11"/>
        <color theme="1"/>
        <rFont val="Calibri"/>
        <family val="2"/>
        <scheme val="minor"/>
      </rPr>
      <t xml:space="preserve"> - Career and Technical School
</t>
    </r>
    <r>
      <rPr>
        <b/>
        <sz val="11"/>
        <color theme="1"/>
        <rFont val="Calibri"/>
        <family val="2"/>
        <scheme val="minor"/>
      </rPr>
      <t>TrainingProvider</t>
    </r>
    <r>
      <rPr>
        <sz val="11"/>
        <color theme="1"/>
        <rFont val="Calibri"/>
        <family val="2"/>
        <scheme val="minor"/>
      </rPr>
      <t xml:space="preserve"> - Education and Training Provider
</t>
    </r>
    <r>
      <rPr>
        <b/>
        <sz val="11"/>
        <color theme="1"/>
        <rFont val="Calibri"/>
        <family val="2"/>
        <scheme val="minor"/>
      </rPr>
      <t>TwoYear</t>
    </r>
    <r>
      <rPr>
        <sz val="11"/>
        <color theme="1"/>
        <rFont val="Calibri"/>
        <family val="2"/>
        <scheme val="minor"/>
      </rPr>
      <t xml:space="preserve"> - Two-Year College
</t>
    </r>
    <r>
      <rPr>
        <b/>
        <sz val="11"/>
        <color theme="1"/>
        <rFont val="Calibri"/>
        <family val="2"/>
        <scheme val="minor"/>
      </rPr>
      <t>Vendor</t>
    </r>
    <r>
      <rPr>
        <sz val="11"/>
        <color theme="1"/>
        <rFont val="Calibri"/>
        <family val="2"/>
        <scheme val="minor"/>
      </rPr>
      <t xml:space="preserve"> - Vendor
</t>
    </r>
  </si>
  <si>
    <r>
      <t>02882</t>
    </r>
    <r>
      <rPr>
        <sz val="11"/>
        <color theme="1"/>
        <rFont val="Calibri"/>
        <family val="2"/>
        <scheme val="minor"/>
      </rPr>
      <t xml:space="preserve"> - Act of violence
</t>
    </r>
    <r>
      <rPr>
        <b/>
        <sz val="11"/>
        <color theme="1"/>
        <rFont val="Calibri"/>
        <family val="2"/>
        <scheme val="minor"/>
      </rPr>
      <t>02880</t>
    </r>
    <r>
      <rPr>
        <sz val="11"/>
        <color theme="1"/>
        <rFont val="Calibri"/>
        <family val="2"/>
        <scheme val="minor"/>
      </rPr>
      <t xml:space="preserve"> - Bomb threat
</t>
    </r>
    <r>
      <rPr>
        <b/>
        <sz val="11"/>
        <color theme="1"/>
        <rFont val="Calibri"/>
        <family val="2"/>
        <scheme val="minor"/>
      </rPr>
      <t>02888</t>
    </r>
    <r>
      <rPr>
        <sz val="11"/>
        <color theme="1"/>
        <rFont val="Calibri"/>
        <family val="2"/>
        <scheme val="minor"/>
      </rPr>
      <t xml:space="preserve"> - Debris flows or mudslide
</t>
    </r>
    <r>
      <rPr>
        <b/>
        <sz val="11"/>
        <color theme="1"/>
        <rFont val="Calibri"/>
        <family val="2"/>
        <scheme val="minor"/>
      </rPr>
      <t>02886</t>
    </r>
    <r>
      <rPr>
        <sz val="11"/>
        <color theme="1"/>
        <rFont val="Calibri"/>
        <family val="2"/>
        <scheme val="minor"/>
      </rPr>
      <t xml:space="preserve"> - Earthquake
</t>
    </r>
    <r>
      <rPr>
        <b/>
        <sz val="11"/>
        <color theme="1"/>
        <rFont val="Calibri"/>
        <family val="2"/>
        <scheme val="minor"/>
      </rPr>
      <t>02895</t>
    </r>
    <r>
      <rPr>
        <sz val="11"/>
        <color theme="1"/>
        <rFont val="Calibri"/>
        <family val="2"/>
        <scheme val="minor"/>
      </rPr>
      <t xml:space="preserve"> - Emergency shelter need
</t>
    </r>
    <r>
      <rPr>
        <b/>
        <sz val="11"/>
        <color theme="1"/>
        <rFont val="Calibri"/>
        <family val="2"/>
        <scheme val="minor"/>
      </rPr>
      <t>02892</t>
    </r>
    <r>
      <rPr>
        <sz val="11"/>
        <color theme="1"/>
        <rFont val="Calibri"/>
        <family val="2"/>
        <scheme val="minor"/>
      </rPr>
      <t xml:space="preserve"> - Extreme heat
</t>
    </r>
    <r>
      <rPr>
        <b/>
        <sz val="11"/>
        <color theme="1"/>
        <rFont val="Calibri"/>
        <family val="2"/>
        <scheme val="minor"/>
      </rPr>
      <t>02878</t>
    </r>
    <r>
      <rPr>
        <sz val="11"/>
        <color theme="1"/>
        <rFont val="Calibri"/>
        <family val="2"/>
        <scheme val="minor"/>
      </rPr>
      <t xml:space="preserve"> - Fire
</t>
    </r>
    <r>
      <rPr>
        <b/>
        <sz val="11"/>
        <color theme="1"/>
        <rFont val="Calibri"/>
        <family val="2"/>
        <scheme val="minor"/>
      </rPr>
      <t>02897</t>
    </r>
    <r>
      <rPr>
        <sz val="11"/>
        <color theme="1"/>
        <rFont val="Calibri"/>
        <family val="2"/>
        <scheme val="minor"/>
      </rPr>
      <t xml:space="preserve"> - Flood
</t>
    </r>
    <r>
      <rPr>
        <b/>
        <sz val="11"/>
        <color theme="1"/>
        <rFont val="Calibri"/>
        <family val="2"/>
        <scheme val="minor"/>
      </rPr>
      <t>02894</t>
    </r>
    <r>
      <rPr>
        <sz val="11"/>
        <color theme="1"/>
        <rFont val="Calibri"/>
        <family val="2"/>
        <scheme val="minor"/>
      </rPr>
      <t xml:space="preserve"> - Gas leak
</t>
    </r>
    <r>
      <rPr>
        <b/>
        <sz val="11"/>
        <color theme="1"/>
        <rFont val="Calibri"/>
        <family val="2"/>
        <scheme val="minor"/>
      </rPr>
      <t>02883</t>
    </r>
    <r>
      <rPr>
        <sz val="11"/>
        <color theme="1"/>
        <rFont val="Calibri"/>
        <family val="2"/>
        <scheme val="minor"/>
      </rPr>
      <t xml:space="preserve"> - Hostage
</t>
    </r>
    <r>
      <rPr>
        <b/>
        <sz val="11"/>
        <color theme="1"/>
        <rFont val="Calibri"/>
        <family val="2"/>
        <scheme val="minor"/>
      </rPr>
      <t>02884</t>
    </r>
    <r>
      <rPr>
        <sz val="11"/>
        <color theme="1"/>
        <rFont val="Calibri"/>
        <family val="2"/>
        <scheme val="minor"/>
      </rPr>
      <t xml:space="preserve"> - Hurricane and tropical storm
</t>
    </r>
    <r>
      <rPr>
        <b/>
        <sz val="11"/>
        <color theme="1"/>
        <rFont val="Calibri"/>
        <family val="2"/>
        <scheme val="minor"/>
      </rPr>
      <t>02893</t>
    </r>
    <r>
      <rPr>
        <sz val="11"/>
        <color theme="1"/>
        <rFont val="Calibri"/>
        <family val="2"/>
        <scheme val="minor"/>
      </rPr>
      <t xml:space="preserve"> - Major chemical emergency
</t>
    </r>
    <r>
      <rPr>
        <b/>
        <sz val="11"/>
        <color theme="1"/>
        <rFont val="Calibri"/>
        <family val="2"/>
        <scheme val="minor"/>
      </rPr>
      <t>02881</t>
    </r>
    <r>
      <rPr>
        <sz val="11"/>
        <color theme="1"/>
        <rFont val="Calibri"/>
        <family val="2"/>
        <scheme val="minor"/>
      </rPr>
      <t xml:space="preserve"> - Terrorism
</t>
    </r>
    <r>
      <rPr>
        <b/>
        <sz val="11"/>
        <color theme="1"/>
        <rFont val="Calibri"/>
        <family val="2"/>
        <scheme val="minor"/>
      </rPr>
      <t>02879</t>
    </r>
    <r>
      <rPr>
        <sz val="11"/>
        <color theme="1"/>
        <rFont val="Calibri"/>
        <family val="2"/>
        <scheme val="minor"/>
      </rPr>
      <t xml:space="preserve"> - Theft
</t>
    </r>
    <r>
      <rPr>
        <b/>
        <sz val="11"/>
        <color theme="1"/>
        <rFont val="Calibri"/>
        <family val="2"/>
        <scheme val="minor"/>
      </rPr>
      <t>02885</t>
    </r>
    <r>
      <rPr>
        <sz val="11"/>
        <color theme="1"/>
        <rFont val="Calibri"/>
        <family val="2"/>
        <scheme val="minor"/>
      </rPr>
      <t xml:space="preserve"> - Thunderstorm - severe
</t>
    </r>
    <r>
      <rPr>
        <b/>
        <sz val="11"/>
        <color theme="1"/>
        <rFont val="Calibri"/>
        <family val="2"/>
        <scheme val="minor"/>
      </rPr>
      <t>02896</t>
    </r>
    <r>
      <rPr>
        <sz val="11"/>
        <color theme="1"/>
        <rFont val="Calibri"/>
        <family val="2"/>
        <scheme val="minor"/>
      </rPr>
      <t xml:space="preserve"> - Tornado
</t>
    </r>
    <r>
      <rPr>
        <b/>
        <sz val="11"/>
        <color theme="1"/>
        <rFont val="Calibri"/>
        <family val="2"/>
        <scheme val="minor"/>
      </rPr>
      <t>02889</t>
    </r>
    <r>
      <rPr>
        <sz val="11"/>
        <color theme="1"/>
        <rFont val="Calibri"/>
        <family val="2"/>
        <scheme val="minor"/>
      </rPr>
      <t xml:space="preserve"> - Tsunami
</t>
    </r>
    <r>
      <rPr>
        <b/>
        <sz val="11"/>
        <color theme="1"/>
        <rFont val="Calibri"/>
        <family val="2"/>
        <scheme val="minor"/>
      </rPr>
      <t>02890</t>
    </r>
    <r>
      <rPr>
        <sz val="11"/>
        <color theme="1"/>
        <rFont val="Calibri"/>
        <family val="2"/>
        <scheme val="minor"/>
      </rPr>
      <t xml:space="preserve"> - Volcano
</t>
    </r>
    <r>
      <rPr>
        <b/>
        <sz val="11"/>
        <color theme="1"/>
        <rFont val="Calibri"/>
        <family val="2"/>
        <scheme val="minor"/>
      </rPr>
      <t>02891</t>
    </r>
    <r>
      <rPr>
        <sz val="11"/>
        <color theme="1"/>
        <rFont val="Calibri"/>
        <family val="2"/>
        <scheme val="minor"/>
      </rPr>
      <t xml:space="preserve"> - Wildfire - surface, ground, or crown fire
</t>
    </r>
    <r>
      <rPr>
        <b/>
        <sz val="11"/>
        <color theme="1"/>
        <rFont val="Calibri"/>
        <family val="2"/>
        <scheme val="minor"/>
      </rPr>
      <t>02887</t>
    </r>
    <r>
      <rPr>
        <sz val="11"/>
        <color theme="1"/>
        <rFont val="Calibri"/>
        <family val="2"/>
        <scheme val="minor"/>
      </rPr>
      <t xml:space="preserve"> - Winter storm
</t>
    </r>
    <r>
      <rPr>
        <b/>
        <sz val="11"/>
        <color theme="1"/>
        <rFont val="Calibri"/>
        <family val="2"/>
        <scheme val="minor"/>
      </rPr>
      <t>09999</t>
    </r>
    <r>
      <rPr>
        <sz val="11"/>
        <color theme="1"/>
        <rFont val="Calibri"/>
        <family val="2"/>
        <scheme val="minor"/>
      </rPr>
      <t xml:space="preserve"> - Other
</t>
    </r>
  </si>
  <si>
    <r>
      <t>13390</t>
    </r>
    <r>
      <rPr>
        <sz val="11"/>
        <color theme="1"/>
        <rFont val="Calibri"/>
        <family val="2"/>
        <scheme val="minor"/>
      </rPr>
      <t xml:space="preserve"> - District/Local
</t>
    </r>
    <r>
      <rPr>
        <b/>
        <sz val="11"/>
        <color theme="1"/>
        <rFont val="Calibri"/>
        <family val="2"/>
        <scheme val="minor"/>
      </rPr>
      <t>00859</t>
    </r>
    <r>
      <rPr>
        <sz val="11"/>
        <color theme="1"/>
        <rFont val="Calibri"/>
        <family val="2"/>
        <scheme val="minor"/>
      </rPr>
      <t xml:space="preserve"> - Federal
</t>
    </r>
    <r>
      <rPr>
        <b/>
        <sz val="11"/>
        <color theme="1"/>
        <rFont val="Calibri"/>
        <family val="2"/>
        <scheme val="minor"/>
      </rPr>
      <t>00391</t>
    </r>
    <r>
      <rPr>
        <sz val="11"/>
        <color theme="1"/>
        <rFont val="Calibri"/>
        <family val="2"/>
        <scheme val="minor"/>
      </rPr>
      <t xml:space="preserve"> - State
</t>
    </r>
  </si>
  <si>
    <r>
      <t>02828</t>
    </r>
    <r>
      <rPr>
        <sz val="11"/>
        <color theme="1"/>
        <rFont val="Calibri"/>
        <family val="2"/>
        <scheme val="minor"/>
      </rPr>
      <t xml:space="preserve"> - Capital improvement plan
</t>
    </r>
    <r>
      <rPr>
        <b/>
        <sz val="11"/>
        <color theme="1"/>
        <rFont val="Calibri"/>
        <family val="2"/>
        <scheme val="minor"/>
      </rPr>
      <t>02827</t>
    </r>
    <r>
      <rPr>
        <sz val="11"/>
        <color theme="1"/>
        <rFont val="Calibri"/>
        <family val="2"/>
        <scheme val="minor"/>
      </rPr>
      <t xml:space="preserve"> - Educational facilities master plan
</t>
    </r>
    <r>
      <rPr>
        <b/>
        <sz val="11"/>
        <color theme="1"/>
        <rFont val="Calibri"/>
        <family val="2"/>
        <scheme val="minor"/>
      </rPr>
      <t>02825</t>
    </r>
    <r>
      <rPr>
        <sz val="11"/>
        <color theme="1"/>
        <rFont val="Calibri"/>
        <family val="2"/>
        <scheme val="minor"/>
      </rPr>
      <t xml:space="preserve"> - Emergency response plan
</t>
    </r>
    <r>
      <rPr>
        <b/>
        <sz val="11"/>
        <color theme="1"/>
        <rFont val="Calibri"/>
        <family val="2"/>
        <scheme val="minor"/>
      </rPr>
      <t>02829</t>
    </r>
    <r>
      <rPr>
        <sz val="11"/>
        <color theme="1"/>
        <rFont val="Calibri"/>
        <family val="2"/>
        <scheme val="minor"/>
      </rPr>
      <t xml:space="preserve"> - Energy management plan
</t>
    </r>
    <r>
      <rPr>
        <b/>
        <sz val="11"/>
        <color theme="1"/>
        <rFont val="Calibri"/>
        <family val="2"/>
        <scheme val="minor"/>
      </rPr>
      <t>02830</t>
    </r>
    <r>
      <rPr>
        <sz val="11"/>
        <color theme="1"/>
        <rFont val="Calibri"/>
        <family val="2"/>
        <scheme val="minor"/>
      </rPr>
      <t xml:space="preserve"> - Hazardous materials management plan
</t>
    </r>
    <r>
      <rPr>
        <b/>
        <sz val="11"/>
        <color theme="1"/>
        <rFont val="Calibri"/>
        <family val="2"/>
        <scheme val="minor"/>
      </rPr>
      <t>02826</t>
    </r>
    <r>
      <rPr>
        <sz val="11"/>
        <color theme="1"/>
        <rFont val="Calibri"/>
        <family val="2"/>
        <scheme val="minor"/>
      </rPr>
      <t xml:space="preserve"> - Maintenance plan
</t>
    </r>
    <r>
      <rPr>
        <b/>
        <sz val="11"/>
        <color theme="1"/>
        <rFont val="Calibri"/>
        <family val="2"/>
        <scheme val="minor"/>
      </rPr>
      <t>09999</t>
    </r>
    <r>
      <rPr>
        <sz val="11"/>
        <color theme="1"/>
        <rFont val="Calibri"/>
        <family val="2"/>
        <scheme val="minor"/>
      </rPr>
      <t xml:space="preserve"> - Other
</t>
    </r>
  </si>
  <si>
    <r>
      <t>02584</t>
    </r>
    <r>
      <rPr>
        <sz val="11"/>
        <color theme="1"/>
        <rFont val="Calibri"/>
        <family val="2"/>
        <scheme val="minor"/>
      </rPr>
      <t xml:space="preserve"> - Americans with Disabilities Act (ADA)
</t>
    </r>
    <r>
      <rPr>
        <b/>
        <sz val="11"/>
        <color theme="1"/>
        <rFont val="Calibri"/>
        <family val="2"/>
        <scheme val="minor"/>
      </rPr>
      <t>02588</t>
    </r>
    <r>
      <rPr>
        <sz val="11"/>
        <color theme="1"/>
        <rFont val="Calibri"/>
        <family val="2"/>
        <scheme val="minor"/>
      </rPr>
      <t xml:space="preserve"> - Asbestos Hazardous Emergency Response Act (AHERA)
</t>
    </r>
    <r>
      <rPr>
        <b/>
        <sz val="11"/>
        <color theme="1"/>
        <rFont val="Calibri"/>
        <family val="2"/>
        <scheme val="minor"/>
      </rPr>
      <t>02585</t>
    </r>
    <r>
      <rPr>
        <sz val="11"/>
        <color theme="1"/>
        <rFont val="Calibri"/>
        <family val="2"/>
        <scheme val="minor"/>
      </rPr>
      <t xml:space="preserve"> - Individuals with Disabilities Education Act (IDEA)
</t>
    </r>
    <r>
      <rPr>
        <b/>
        <sz val="11"/>
        <color theme="1"/>
        <rFont val="Calibri"/>
        <family val="2"/>
        <scheme val="minor"/>
      </rPr>
      <t>02587</t>
    </r>
    <r>
      <rPr>
        <sz val="11"/>
        <color theme="1"/>
        <rFont val="Calibri"/>
        <family val="2"/>
        <scheme val="minor"/>
      </rPr>
      <t xml:space="preserve"> - Lead Contamination Control Act
</t>
    </r>
    <r>
      <rPr>
        <b/>
        <sz val="11"/>
        <color theme="1"/>
        <rFont val="Calibri"/>
        <family val="2"/>
        <scheme val="minor"/>
      </rPr>
      <t>02586</t>
    </r>
    <r>
      <rPr>
        <sz val="11"/>
        <color theme="1"/>
        <rFont val="Calibri"/>
        <family val="2"/>
        <scheme val="minor"/>
      </rPr>
      <t xml:space="preserve"> - Safe Drinking Water Act
</t>
    </r>
    <r>
      <rPr>
        <b/>
        <sz val="11"/>
        <color theme="1"/>
        <rFont val="Calibri"/>
        <family val="2"/>
        <scheme val="minor"/>
      </rPr>
      <t>09999</t>
    </r>
    <r>
      <rPr>
        <sz val="11"/>
        <color theme="1"/>
        <rFont val="Calibri"/>
        <family val="2"/>
        <scheme val="minor"/>
      </rPr>
      <t xml:space="preserve"> - Other
</t>
    </r>
  </si>
  <si>
    <r>
      <t>02979</t>
    </r>
    <r>
      <rPr>
        <sz val="11"/>
        <color theme="1"/>
        <rFont val="Calibri"/>
        <family val="2"/>
        <scheme val="minor"/>
      </rPr>
      <t xml:space="preserve"> - Building commissioning
</t>
    </r>
    <r>
      <rPr>
        <b/>
        <sz val="11"/>
        <color theme="1"/>
        <rFont val="Calibri"/>
        <family val="2"/>
        <scheme val="minor"/>
      </rPr>
      <t>02977</t>
    </r>
    <r>
      <rPr>
        <sz val="11"/>
        <color theme="1"/>
        <rFont val="Calibri"/>
        <family val="2"/>
        <scheme val="minor"/>
      </rPr>
      <t xml:space="preserve"> - Financial audit
</t>
    </r>
    <r>
      <rPr>
        <b/>
        <sz val="11"/>
        <color theme="1"/>
        <rFont val="Calibri"/>
        <family val="2"/>
        <scheme val="minor"/>
      </rPr>
      <t>02980</t>
    </r>
    <r>
      <rPr>
        <sz val="11"/>
        <color theme="1"/>
        <rFont val="Calibri"/>
        <family val="2"/>
        <scheme val="minor"/>
      </rPr>
      <t xml:space="preserve"> - Fiscal audit
</t>
    </r>
    <r>
      <rPr>
        <b/>
        <sz val="11"/>
        <color theme="1"/>
        <rFont val="Calibri"/>
        <family val="2"/>
        <scheme val="minor"/>
      </rPr>
      <t>02976</t>
    </r>
    <r>
      <rPr>
        <sz val="11"/>
        <color theme="1"/>
        <rFont val="Calibri"/>
        <family val="2"/>
        <scheme val="minor"/>
      </rPr>
      <t xml:space="preserve"> - Management audit
</t>
    </r>
    <r>
      <rPr>
        <b/>
        <sz val="11"/>
        <color theme="1"/>
        <rFont val="Calibri"/>
        <family val="2"/>
        <scheme val="minor"/>
      </rPr>
      <t>02978</t>
    </r>
    <r>
      <rPr>
        <sz val="11"/>
        <color theme="1"/>
        <rFont val="Calibri"/>
        <family val="2"/>
        <scheme val="minor"/>
      </rPr>
      <t xml:space="preserve"> - Performance audit
</t>
    </r>
    <r>
      <rPr>
        <b/>
        <sz val="11"/>
        <color theme="1"/>
        <rFont val="Calibri"/>
        <family val="2"/>
        <scheme val="minor"/>
      </rPr>
      <t>13688</t>
    </r>
    <r>
      <rPr>
        <sz val="11"/>
        <color theme="1"/>
        <rFont val="Calibri"/>
        <family val="2"/>
        <scheme val="minor"/>
      </rPr>
      <t xml:space="preserve"> - Post Occupancy Evaluation
</t>
    </r>
    <r>
      <rPr>
        <b/>
        <sz val="11"/>
        <color theme="1"/>
        <rFont val="Calibri"/>
        <family val="2"/>
        <scheme val="minor"/>
      </rPr>
      <t>02981</t>
    </r>
    <r>
      <rPr>
        <sz val="11"/>
        <color theme="1"/>
        <rFont val="Calibri"/>
        <family val="2"/>
        <scheme val="minor"/>
      </rPr>
      <t xml:space="preserve"> - Process audit
</t>
    </r>
    <r>
      <rPr>
        <b/>
        <sz val="11"/>
        <color theme="1"/>
        <rFont val="Calibri"/>
        <family val="2"/>
        <scheme val="minor"/>
      </rPr>
      <t>13687</t>
    </r>
    <r>
      <rPr>
        <sz val="11"/>
        <color theme="1"/>
        <rFont val="Calibri"/>
        <family val="2"/>
        <scheme val="minor"/>
      </rPr>
      <t xml:space="preserve"> - Retro-commissioning
</t>
    </r>
    <r>
      <rPr>
        <b/>
        <sz val="11"/>
        <color theme="1"/>
        <rFont val="Calibri"/>
        <family val="2"/>
        <scheme val="minor"/>
      </rPr>
      <t>09999</t>
    </r>
    <r>
      <rPr>
        <sz val="11"/>
        <color theme="1"/>
        <rFont val="Calibri"/>
        <family val="2"/>
        <scheme val="minor"/>
      </rPr>
      <t xml:space="preserve"> - Other
</t>
    </r>
  </si>
  <si>
    <r>
      <t>02432</t>
    </r>
    <r>
      <rPr>
        <sz val="11"/>
        <color theme="1"/>
        <rFont val="Calibri"/>
        <family val="2"/>
        <scheme val="minor"/>
      </rPr>
      <t xml:space="preserve"> - Nonpermanent building
</t>
    </r>
    <r>
      <rPr>
        <b/>
        <sz val="11"/>
        <color theme="1"/>
        <rFont val="Calibri"/>
        <family val="2"/>
        <scheme val="minor"/>
      </rPr>
      <t>02431</t>
    </r>
    <r>
      <rPr>
        <sz val="11"/>
        <color theme="1"/>
        <rFont val="Calibri"/>
        <family val="2"/>
        <scheme val="minor"/>
      </rPr>
      <t xml:space="preserve"> - Permanent building
</t>
    </r>
  </si>
  <si>
    <r>
      <t>02913</t>
    </r>
    <r>
      <rPr>
        <sz val="11"/>
        <color theme="1"/>
        <rFont val="Calibri"/>
        <family val="2"/>
        <scheme val="minor"/>
      </rPr>
      <t xml:space="preserve"> - District management
</t>
    </r>
    <r>
      <rPr>
        <b/>
        <sz val="11"/>
        <color theme="1"/>
        <rFont val="Calibri"/>
        <family val="2"/>
        <scheme val="minor"/>
      </rPr>
      <t>02824</t>
    </r>
    <r>
      <rPr>
        <sz val="11"/>
        <color theme="1"/>
        <rFont val="Calibri"/>
        <family val="2"/>
        <scheme val="minor"/>
      </rPr>
      <t xml:space="preserve"> - Nonschool public agency management
</t>
    </r>
    <r>
      <rPr>
        <b/>
        <sz val="11"/>
        <color theme="1"/>
        <rFont val="Calibri"/>
        <family val="2"/>
        <scheme val="minor"/>
      </rPr>
      <t>02823</t>
    </r>
    <r>
      <rPr>
        <sz val="11"/>
        <color theme="1"/>
        <rFont val="Calibri"/>
        <family val="2"/>
        <scheme val="minor"/>
      </rPr>
      <t xml:space="preserve"> - Private management
</t>
    </r>
    <r>
      <rPr>
        <b/>
        <sz val="11"/>
        <color theme="1"/>
        <rFont val="Calibri"/>
        <family val="2"/>
        <scheme val="minor"/>
      </rPr>
      <t>09999</t>
    </r>
    <r>
      <rPr>
        <sz val="11"/>
        <color theme="1"/>
        <rFont val="Calibri"/>
        <family val="2"/>
        <scheme val="minor"/>
      </rPr>
      <t xml:space="preserve"> - Other
</t>
    </r>
  </si>
  <si>
    <r>
      <t>00865</t>
    </r>
    <r>
      <rPr>
        <sz val="11"/>
        <color theme="1"/>
        <rFont val="Calibri"/>
        <family val="2"/>
        <scheme val="minor"/>
      </rPr>
      <t xml:space="preserve"> - Charter board
</t>
    </r>
    <r>
      <rPr>
        <b/>
        <sz val="11"/>
        <color theme="1"/>
        <rFont val="Calibri"/>
        <family val="2"/>
        <scheme val="minor"/>
      </rPr>
      <t>13652</t>
    </r>
    <r>
      <rPr>
        <sz val="11"/>
        <color theme="1"/>
        <rFont val="Calibri"/>
        <family val="2"/>
        <scheme val="minor"/>
      </rPr>
      <t xml:space="preserve"> - Federal Agency
</t>
    </r>
    <r>
      <rPr>
        <b/>
        <sz val="11"/>
        <color theme="1"/>
        <rFont val="Calibri"/>
        <family val="2"/>
        <scheme val="minor"/>
      </rPr>
      <t>00862</t>
    </r>
    <r>
      <rPr>
        <sz val="11"/>
        <color theme="1"/>
        <rFont val="Calibri"/>
        <family val="2"/>
        <scheme val="minor"/>
      </rPr>
      <t xml:space="preserve"> - Local (e.g., school board, city council, municipal board)
</t>
    </r>
    <r>
      <rPr>
        <b/>
        <sz val="11"/>
        <color theme="1"/>
        <rFont val="Calibri"/>
        <family val="2"/>
        <scheme val="minor"/>
      </rPr>
      <t>00864</t>
    </r>
    <r>
      <rPr>
        <sz val="11"/>
        <color theme="1"/>
        <rFont val="Calibri"/>
        <family val="2"/>
        <scheme val="minor"/>
      </rPr>
      <t xml:space="preserve"> - Private/Religious
</t>
    </r>
    <r>
      <rPr>
        <b/>
        <sz val="11"/>
        <color theme="1"/>
        <rFont val="Calibri"/>
        <family val="2"/>
        <scheme val="minor"/>
      </rPr>
      <t>00214</t>
    </r>
    <r>
      <rPr>
        <sz val="11"/>
        <color theme="1"/>
        <rFont val="Calibri"/>
        <family val="2"/>
        <scheme val="minor"/>
      </rPr>
      <t xml:space="preserve"> - Regional or intermediate educational agency
</t>
    </r>
    <r>
      <rPr>
        <b/>
        <sz val="11"/>
        <color theme="1"/>
        <rFont val="Calibri"/>
        <family val="2"/>
        <scheme val="minor"/>
      </rPr>
      <t>00860</t>
    </r>
    <r>
      <rPr>
        <sz val="11"/>
        <color theme="1"/>
        <rFont val="Calibri"/>
        <family val="2"/>
        <scheme val="minor"/>
      </rPr>
      <t xml:space="preserve"> - State agency
</t>
    </r>
  </si>
  <si>
    <r>
      <t>02570</t>
    </r>
    <r>
      <rPr>
        <sz val="11"/>
        <color theme="1"/>
        <rFont val="Calibri"/>
        <family val="2"/>
        <scheme val="minor"/>
      </rPr>
      <t xml:space="preserve"> - In compliance
</t>
    </r>
    <r>
      <rPr>
        <b/>
        <sz val="11"/>
        <color theme="1"/>
        <rFont val="Calibri"/>
        <family val="2"/>
        <scheme val="minor"/>
      </rPr>
      <t>02571</t>
    </r>
    <r>
      <rPr>
        <sz val="11"/>
        <color theme="1"/>
        <rFont val="Calibri"/>
        <family val="2"/>
        <scheme val="minor"/>
      </rPr>
      <t xml:space="preserve"> - Not in compliance
</t>
    </r>
    <r>
      <rPr>
        <b/>
        <sz val="11"/>
        <color theme="1"/>
        <rFont val="Calibri"/>
        <family val="2"/>
        <scheme val="minor"/>
      </rPr>
      <t>02572</t>
    </r>
    <r>
      <rPr>
        <sz val="11"/>
        <color theme="1"/>
        <rFont val="Calibri"/>
        <family val="2"/>
        <scheme val="minor"/>
      </rPr>
      <t xml:space="preserve"> - Planned compliance
</t>
    </r>
    <r>
      <rPr>
        <b/>
        <sz val="11"/>
        <color theme="1"/>
        <rFont val="Calibri"/>
        <family val="2"/>
        <scheme val="minor"/>
      </rPr>
      <t>02573</t>
    </r>
    <r>
      <rPr>
        <sz val="11"/>
        <color theme="1"/>
        <rFont val="Calibri"/>
        <family val="2"/>
        <scheme val="minor"/>
      </rPr>
      <t xml:space="preserve"> - Waived compliance
</t>
    </r>
  </si>
  <si>
    <r>
      <t>02420</t>
    </r>
    <r>
      <rPr>
        <sz val="11"/>
        <color theme="1"/>
        <rFont val="Calibri"/>
        <family val="2"/>
        <scheme val="minor"/>
      </rPr>
      <t xml:space="preserve"> - Actual
</t>
    </r>
    <r>
      <rPr>
        <b/>
        <sz val="11"/>
        <color theme="1"/>
        <rFont val="Calibri"/>
        <family val="2"/>
        <scheme val="minor"/>
      </rPr>
      <t>02421</t>
    </r>
    <r>
      <rPr>
        <sz val="11"/>
        <color theme="1"/>
        <rFont val="Calibri"/>
        <family val="2"/>
        <scheme val="minor"/>
      </rPr>
      <t xml:space="preserve"> - Estimated
</t>
    </r>
  </si>
  <si>
    <r>
      <t>02430</t>
    </r>
    <r>
      <rPr>
        <sz val="11"/>
        <color theme="1"/>
        <rFont val="Calibri"/>
        <family val="2"/>
        <scheme val="minor"/>
      </rPr>
      <t xml:space="preserve"> - Adobe
</t>
    </r>
    <r>
      <rPr>
        <b/>
        <sz val="11"/>
        <color theme="1"/>
        <rFont val="Calibri"/>
        <family val="2"/>
        <scheme val="minor"/>
      </rPr>
      <t>02428</t>
    </r>
    <r>
      <rPr>
        <sz val="11"/>
        <color theme="1"/>
        <rFont val="Calibri"/>
        <family val="2"/>
        <scheme val="minor"/>
      </rPr>
      <t xml:space="preserve"> - Aluminum
</t>
    </r>
    <r>
      <rPr>
        <b/>
        <sz val="11"/>
        <color theme="1"/>
        <rFont val="Calibri"/>
        <family val="2"/>
        <scheme val="minor"/>
      </rPr>
      <t>02424</t>
    </r>
    <r>
      <rPr>
        <sz val="11"/>
        <color theme="1"/>
        <rFont val="Calibri"/>
        <family val="2"/>
        <scheme val="minor"/>
      </rPr>
      <t xml:space="preserve"> - Block
</t>
    </r>
    <r>
      <rPr>
        <b/>
        <sz val="11"/>
        <color theme="1"/>
        <rFont val="Calibri"/>
        <family val="2"/>
        <scheme val="minor"/>
      </rPr>
      <t>02422</t>
    </r>
    <r>
      <rPr>
        <sz val="11"/>
        <color theme="1"/>
        <rFont val="Calibri"/>
        <family val="2"/>
        <scheme val="minor"/>
      </rPr>
      <t xml:space="preserve"> - Brick
</t>
    </r>
    <r>
      <rPr>
        <b/>
        <sz val="11"/>
        <color theme="1"/>
        <rFont val="Calibri"/>
        <family val="2"/>
        <scheme val="minor"/>
      </rPr>
      <t>02423</t>
    </r>
    <r>
      <rPr>
        <sz val="11"/>
        <color theme="1"/>
        <rFont val="Calibri"/>
        <family val="2"/>
        <scheme val="minor"/>
      </rPr>
      <t xml:space="preserve"> - Brick veneer
</t>
    </r>
    <r>
      <rPr>
        <b/>
        <sz val="11"/>
        <color theme="1"/>
        <rFont val="Calibri"/>
        <family val="2"/>
        <scheme val="minor"/>
      </rPr>
      <t>02426</t>
    </r>
    <r>
      <rPr>
        <sz val="11"/>
        <color theme="1"/>
        <rFont val="Calibri"/>
        <family val="2"/>
        <scheme val="minor"/>
      </rPr>
      <t xml:space="preserve"> - Concrete
</t>
    </r>
    <r>
      <rPr>
        <b/>
        <sz val="11"/>
        <color theme="1"/>
        <rFont val="Calibri"/>
        <family val="2"/>
        <scheme val="minor"/>
      </rPr>
      <t>02427</t>
    </r>
    <r>
      <rPr>
        <sz val="11"/>
        <color theme="1"/>
        <rFont val="Calibri"/>
        <family val="2"/>
        <scheme val="minor"/>
      </rPr>
      <t xml:space="preserve"> - Prefabricated
</t>
    </r>
    <r>
      <rPr>
        <b/>
        <sz val="11"/>
        <color theme="1"/>
        <rFont val="Calibri"/>
        <family val="2"/>
        <scheme val="minor"/>
      </rPr>
      <t>02429</t>
    </r>
    <r>
      <rPr>
        <sz val="11"/>
        <color theme="1"/>
        <rFont val="Calibri"/>
        <family val="2"/>
        <scheme val="minor"/>
      </rPr>
      <t xml:space="preserve"> - Steel
</t>
    </r>
    <r>
      <rPr>
        <b/>
        <sz val="11"/>
        <color theme="1"/>
        <rFont val="Calibri"/>
        <family val="2"/>
        <scheme val="minor"/>
      </rPr>
      <t>02425</t>
    </r>
    <r>
      <rPr>
        <sz val="11"/>
        <color theme="1"/>
        <rFont val="Calibri"/>
        <family val="2"/>
        <scheme val="minor"/>
      </rPr>
      <t xml:space="preserve"> - Wood frame
</t>
    </r>
    <r>
      <rPr>
        <b/>
        <sz val="11"/>
        <color theme="1"/>
        <rFont val="Calibri"/>
        <family val="2"/>
        <scheme val="minor"/>
      </rPr>
      <t>09999</t>
    </r>
    <r>
      <rPr>
        <sz val="11"/>
        <color theme="1"/>
        <rFont val="Calibri"/>
        <family val="2"/>
        <scheme val="minor"/>
      </rPr>
      <t xml:space="preserve"> - Other
</t>
    </r>
  </si>
  <si>
    <r>
      <t>02579</t>
    </r>
    <r>
      <rPr>
        <sz val="11"/>
        <color theme="1"/>
        <rFont val="Calibri"/>
        <family val="2"/>
        <scheme val="minor"/>
      </rPr>
      <t xml:space="preserve"> - Asbestos contamination
</t>
    </r>
    <r>
      <rPr>
        <b/>
        <sz val="11"/>
        <color theme="1"/>
        <rFont val="Calibri"/>
        <family val="2"/>
        <scheme val="minor"/>
      </rPr>
      <t>75026</t>
    </r>
    <r>
      <rPr>
        <sz val="11"/>
        <color theme="1"/>
        <rFont val="Calibri"/>
        <family val="2"/>
        <scheme val="minor"/>
      </rPr>
      <t xml:space="preserve"> - Child nutrition
</t>
    </r>
    <r>
      <rPr>
        <b/>
        <sz val="11"/>
        <color theme="1"/>
        <rFont val="Calibri"/>
        <family val="2"/>
        <scheme val="minor"/>
      </rPr>
      <t>02577</t>
    </r>
    <r>
      <rPr>
        <sz val="11"/>
        <color theme="1"/>
        <rFont val="Calibri"/>
        <family val="2"/>
        <scheme val="minor"/>
      </rPr>
      <t xml:space="preserve"> - Drinking water safety
</t>
    </r>
    <r>
      <rPr>
        <b/>
        <sz val="11"/>
        <color theme="1"/>
        <rFont val="Calibri"/>
        <family val="2"/>
        <scheme val="minor"/>
      </rPr>
      <t>02574</t>
    </r>
    <r>
      <rPr>
        <sz val="11"/>
        <color theme="1"/>
        <rFont val="Calibri"/>
        <family val="2"/>
        <scheme val="minor"/>
      </rPr>
      <t xml:space="preserve"> - Facility accessibility and usability for individuals with disabilities
</t>
    </r>
    <r>
      <rPr>
        <b/>
        <sz val="11"/>
        <color theme="1"/>
        <rFont val="Calibri"/>
        <family val="2"/>
        <scheme val="minor"/>
      </rPr>
      <t>02580</t>
    </r>
    <r>
      <rPr>
        <sz val="11"/>
        <color theme="1"/>
        <rFont val="Calibri"/>
        <family val="2"/>
        <scheme val="minor"/>
      </rPr>
      <t xml:space="preserve"> - Hazardous materials
</t>
    </r>
    <r>
      <rPr>
        <b/>
        <sz val="11"/>
        <color theme="1"/>
        <rFont val="Calibri"/>
        <family val="2"/>
        <scheme val="minor"/>
      </rPr>
      <t>02575</t>
    </r>
    <r>
      <rPr>
        <sz val="11"/>
        <color theme="1"/>
        <rFont val="Calibri"/>
        <family val="2"/>
        <scheme val="minor"/>
      </rPr>
      <t xml:space="preserve"> - Indoor air quality
</t>
    </r>
    <r>
      <rPr>
        <b/>
        <sz val="11"/>
        <color theme="1"/>
        <rFont val="Calibri"/>
        <family val="2"/>
        <scheme val="minor"/>
      </rPr>
      <t>02583</t>
    </r>
    <r>
      <rPr>
        <sz val="11"/>
        <color theme="1"/>
        <rFont val="Calibri"/>
        <family val="2"/>
        <scheme val="minor"/>
      </rPr>
      <t xml:space="preserve"> - Integrated pest control
</t>
    </r>
    <r>
      <rPr>
        <b/>
        <sz val="11"/>
        <color theme="1"/>
        <rFont val="Calibri"/>
        <family val="2"/>
        <scheme val="minor"/>
      </rPr>
      <t>02578</t>
    </r>
    <r>
      <rPr>
        <sz val="11"/>
        <color theme="1"/>
        <rFont val="Calibri"/>
        <family val="2"/>
        <scheme val="minor"/>
      </rPr>
      <t xml:space="preserve"> - Lead contamination
</t>
    </r>
    <r>
      <rPr>
        <b/>
        <sz val="11"/>
        <color theme="1"/>
        <rFont val="Calibri"/>
        <family val="2"/>
        <scheme val="minor"/>
      </rPr>
      <t>02582</t>
    </r>
    <r>
      <rPr>
        <sz val="11"/>
        <color theme="1"/>
        <rFont val="Calibri"/>
        <family val="2"/>
        <scheme val="minor"/>
      </rPr>
      <t xml:space="preserve"> - Material Safety Data Sheet (MSDS)
</t>
    </r>
    <r>
      <rPr>
        <b/>
        <sz val="11"/>
        <color theme="1"/>
        <rFont val="Calibri"/>
        <family val="2"/>
        <scheme val="minor"/>
      </rPr>
      <t>03264</t>
    </r>
    <r>
      <rPr>
        <sz val="11"/>
        <color theme="1"/>
        <rFont val="Calibri"/>
        <family val="2"/>
        <scheme val="minor"/>
      </rPr>
      <t xml:space="preserve"> - National School Lunch Act
</t>
    </r>
    <r>
      <rPr>
        <b/>
        <sz val="11"/>
        <color theme="1"/>
        <rFont val="Calibri"/>
        <family val="2"/>
        <scheme val="minor"/>
      </rPr>
      <t>02576</t>
    </r>
    <r>
      <rPr>
        <sz val="11"/>
        <color theme="1"/>
        <rFont val="Calibri"/>
        <family val="2"/>
        <scheme val="minor"/>
      </rPr>
      <t xml:space="preserve"> - Radon contamination
</t>
    </r>
    <r>
      <rPr>
        <b/>
        <sz val="11"/>
        <color theme="1"/>
        <rFont val="Calibri"/>
        <family val="2"/>
        <scheme val="minor"/>
      </rPr>
      <t>02581</t>
    </r>
    <r>
      <rPr>
        <sz val="11"/>
        <color theme="1"/>
        <rFont val="Calibri"/>
        <family val="2"/>
        <scheme val="minor"/>
      </rPr>
      <t xml:space="preserve"> - Underground storage tank
</t>
    </r>
    <r>
      <rPr>
        <b/>
        <sz val="11"/>
        <color theme="1"/>
        <rFont val="Calibri"/>
        <family val="2"/>
        <scheme val="minor"/>
      </rPr>
      <t>09999</t>
    </r>
    <r>
      <rPr>
        <sz val="11"/>
        <color theme="1"/>
        <rFont val="Calibri"/>
        <family val="2"/>
        <scheme val="minor"/>
      </rPr>
      <t xml:space="preserve"> - Other
</t>
    </r>
  </si>
  <si>
    <r>
      <t>13717</t>
    </r>
    <r>
      <rPr>
        <sz val="11"/>
        <color theme="1"/>
        <rFont val="Calibri"/>
        <family val="2"/>
        <scheme val="minor"/>
      </rPr>
      <t xml:space="preserve"> - Application fee
</t>
    </r>
    <r>
      <rPr>
        <b/>
        <sz val="11"/>
        <color theme="1"/>
        <rFont val="Calibri"/>
        <family val="2"/>
        <scheme val="minor"/>
      </rPr>
      <t>13718</t>
    </r>
    <r>
      <rPr>
        <sz val="11"/>
        <color theme="1"/>
        <rFont val="Calibri"/>
        <family val="2"/>
        <scheme val="minor"/>
      </rPr>
      <t xml:space="preserve"> - Legal fee
</t>
    </r>
    <r>
      <rPr>
        <b/>
        <sz val="11"/>
        <color theme="1"/>
        <rFont val="Calibri"/>
        <family val="2"/>
        <scheme val="minor"/>
      </rPr>
      <t>13719</t>
    </r>
    <r>
      <rPr>
        <sz val="11"/>
        <color theme="1"/>
        <rFont val="Calibri"/>
        <family val="2"/>
        <scheme val="minor"/>
      </rPr>
      <t xml:space="preserve"> - Origination fee
</t>
    </r>
  </si>
  <si>
    <r>
      <t>00103</t>
    </r>
    <r>
      <rPr>
        <sz val="11"/>
        <color theme="1"/>
        <rFont val="Calibri"/>
        <family val="2"/>
        <scheme val="minor"/>
      </rPr>
      <t xml:space="preserve"> - Administrative office
</t>
    </r>
    <r>
      <rPr>
        <b/>
        <sz val="11"/>
        <color theme="1"/>
        <rFont val="Calibri"/>
        <family val="2"/>
        <scheme val="minor"/>
      </rPr>
      <t>02792</t>
    </r>
    <r>
      <rPr>
        <sz val="11"/>
        <color theme="1"/>
        <rFont val="Calibri"/>
        <family val="2"/>
        <scheme val="minor"/>
      </rPr>
      <t xml:space="preserve"> - Cafeteria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00559</t>
    </r>
    <r>
      <rPr>
        <sz val="11"/>
        <color theme="1"/>
        <rFont val="Calibri"/>
        <family val="2"/>
        <scheme val="minor"/>
      </rPr>
      <t xml:space="preserve"> - Physical education
</t>
    </r>
    <r>
      <rPr>
        <b/>
        <sz val="11"/>
        <color theme="1"/>
        <rFont val="Calibri"/>
        <family val="2"/>
        <scheme val="minor"/>
      </rPr>
      <t>00313</t>
    </r>
    <r>
      <rPr>
        <sz val="11"/>
        <color theme="1"/>
        <rFont val="Calibri"/>
        <family val="2"/>
        <scheme val="minor"/>
      </rPr>
      <t xml:space="preserve"> - Physical therapy
</t>
    </r>
  </si>
  <si>
    <r>
      <t>02898</t>
    </r>
    <r>
      <rPr>
        <sz val="11"/>
        <color theme="1"/>
        <rFont val="Calibri"/>
        <family val="2"/>
        <scheme val="minor"/>
      </rPr>
      <t xml:space="preserve"> - Asbestos
</t>
    </r>
    <r>
      <rPr>
        <b/>
        <sz val="11"/>
        <color theme="1"/>
        <rFont val="Calibri"/>
        <family val="2"/>
        <scheme val="minor"/>
      </rPr>
      <t>13656</t>
    </r>
    <r>
      <rPr>
        <sz val="11"/>
        <color theme="1"/>
        <rFont val="Calibri"/>
        <family val="2"/>
        <scheme val="minor"/>
      </rPr>
      <t xml:space="preserve"> - Carbon Monoxide
</t>
    </r>
    <r>
      <rPr>
        <b/>
        <sz val="11"/>
        <color theme="1"/>
        <rFont val="Calibri"/>
        <family val="2"/>
        <scheme val="minor"/>
      </rPr>
      <t>13657</t>
    </r>
    <r>
      <rPr>
        <sz val="11"/>
        <color theme="1"/>
        <rFont val="Calibri"/>
        <family val="2"/>
        <scheme val="minor"/>
      </rPr>
      <t xml:space="preserve"> - Chlorofluorocarbons
</t>
    </r>
    <r>
      <rPr>
        <b/>
        <sz val="11"/>
        <color theme="1"/>
        <rFont val="Calibri"/>
        <family val="2"/>
        <scheme val="minor"/>
      </rPr>
      <t>13658</t>
    </r>
    <r>
      <rPr>
        <sz val="11"/>
        <color theme="1"/>
        <rFont val="Calibri"/>
        <family val="2"/>
        <scheme val="minor"/>
      </rPr>
      <t xml:space="preserve"> - Concentrated animal feeding operations (CAFOs)
</t>
    </r>
    <r>
      <rPr>
        <b/>
        <sz val="11"/>
        <color theme="1"/>
        <rFont val="Calibri"/>
        <family val="2"/>
        <scheme val="minor"/>
      </rPr>
      <t>13659</t>
    </r>
    <r>
      <rPr>
        <sz val="11"/>
        <color theme="1"/>
        <rFont val="Calibri"/>
        <family val="2"/>
        <scheme val="minor"/>
      </rPr>
      <t xml:space="preserve"> - Criteria Air Pollutants
</t>
    </r>
    <r>
      <rPr>
        <b/>
        <sz val="11"/>
        <color theme="1"/>
        <rFont val="Calibri"/>
        <family val="2"/>
        <scheme val="minor"/>
      </rPr>
      <t>13660</t>
    </r>
    <r>
      <rPr>
        <sz val="11"/>
        <color theme="1"/>
        <rFont val="Calibri"/>
        <family val="2"/>
        <scheme val="minor"/>
      </rPr>
      <t xml:space="preserve"> - Drip Lines
</t>
    </r>
    <r>
      <rPr>
        <b/>
        <sz val="11"/>
        <color theme="1"/>
        <rFont val="Calibri"/>
        <family val="2"/>
        <scheme val="minor"/>
      </rPr>
      <t>13661</t>
    </r>
    <r>
      <rPr>
        <sz val="11"/>
        <color theme="1"/>
        <rFont val="Calibri"/>
        <family val="2"/>
        <scheme val="minor"/>
      </rPr>
      <t xml:space="preserve"> - Ground Level Ozone
</t>
    </r>
    <r>
      <rPr>
        <b/>
        <sz val="11"/>
        <color theme="1"/>
        <rFont val="Calibri"/>
        <family val="2"/>
        <scheme val="minor"/>
      </rPr>
      <t>13662</t>
    </r>
    <r>
      <rPr>
        <sz val="11"/>
        <color theme="1"/>
        <rFont val="Calibri"/>
        <family val="2"/>
        <scheme val="minor"/>
      </rPr>
      <t xml:space="preserve"> - Hazardous Air Pollutants
</t>
    </r>
    <r>
      <rPr>
        <b/>
        <sz val="11"/>
        <color theme="1"/>
        <rFont val="Calibri"/>
        <family val="2"/>
        <scheme val="minor"/>
      </rPr>
      <t>13663</t>
    </r>
    <r>
      <rPr>
        <sz val="11"/>
        <color theme="1"/>
        <rFont val="Calibri"/>
        <family val="2"/>
        <scheme val="minor"/>
      </rPr>
      <t xml:space="preserve"> - Hazardous, industrial, or municipal waste sites
</t>
    </r>
    <r>
      <rPr>
        <b/>
        <sz val="11"/>
        <color theme="1"/>
        <rFont val="Calibri"/>
        <family val="2"/>
        <scheme val="minor"/>
      </rPr>
      <t>13664</t>
    </r>
    <r>
      <rPr>
        <sz val="11"/>
        <color theme="1"/>
        <rFont val="Calibri"/>
        <family val="2"/>
        <scheme val="minor"/>
      </rPr>
      <t xml:space="preserve"> - Hydrochlorofluorocarbons
</t>
    </r>
    <r>
      <rPr>
        <b/>
        <sz val="11"/>
        <color theme="1"/>
        <rFont val="Calibri"/>
        <family val="2"/>
        <scheme val="minor"/>
      </rPr>
      <t>02899</t>
    </r>
    <r>
      <rPr>
        <sz val="11"/>
        <color theme="1"/>
        <rFont val="Calibri"/>
        <family val="2"/>
        <scheme val="minor"/>
      </rPr>
      <t xml:space="preserve"> - Lead
</t>
    </r>
    <r>
      <rPr>
        <b/>
        <sz val="11"/>
        <color theme="1"/>
        <rFont val="Calibri"/>
        <family val="2"/>
        <scheme val="minor"/>
      </rPr>
      <t>13665</t>
    </r>
    <r>
      <rPr>
        <sz val="11"/>
        <color theme="1"/>
        <rFont val="Calibri"/>
        <family val="2"/>
        <scheme val="minor"/>
      </rPr>
      <t xml:space="preserve"> - Mercury
</t>
    </r>
    <r>
      <rPr>
        <b/>
        <sz val="11"/>
        <color theme="1"/>
        <rFont val="Calibri"/>
        <family val="2"/>
        <scheme val="minor"/>
      </rPr>
      <t>13666</t>
    </r>
    <r>
      <rPr>
        <sz val="11"/>
        <color theme="1"/>
        <rFont val="Calibri"/>
        <family val="2"/>
        <scheme val="minor"/>
      </rPr>
      <t xml:space="preserve"> - Methane
</t>
    </r>
    <r>
      <rPr>
        <b/>
        <sz val="11"/>
        <color theme="1"/>
        <rFont val="Calibri"/>
        <family val="2"/>
        <scheme val="minor"/>
      </rPr>
      <t>02900</t>
    </r>
    <r>
      <rPr>
        <sz val="11"/>
        <color theme="1"/>
        <rFont val="Calibri"/>
        <family val="2"/>
        <scheme val="minor"/>
      </rPr>
      <t xml:space="preserve"> - Mold
</t>
    </r>
    <r>
      <rPr>
        <b/>
        <sz val="11"/>
        <color theme="1"/>
        <rFont val="Calibri"/>
        <family val="2"/>
        <scheme val="minor"/>
      </rPr>
      <t>13667</t>
    </r>
    <r>
      <rPr>
        <sz val="11"/>
        <color theme="1"/>
        <rFont val="Calibri"/>
        <family val="2"/>
        <scheme val="minor"/>
      </rPr>
      <t xml:space="preserve"> - Nitrogen Oxides
</t>
    </r>
    <r>
      <rPr>
        <b/>
        <sz val="11"/>
        <color theme="1"/>
        <rFont val="Calibri"/>
        <family val="2"/>
        <scheme val="minor"/>
      </rPr>
      <t>13668</t>
    </r>
    <r>
      <rPr>
        <sz val="11"/>
        <color theme="1"/>
        <rFont val="Calibri"/>
        <family val="2"/>
        <scheme val="minor"/>
      </rPr>
      <t xml:space="preserve"> - Particulate Matter
</t>
    </r>
    <r>
      <rPr>
        <b/>
        <sz val="11"/>
        <color theme="1"/>
        <rFont val="Calibri"/>
        <family val="2"/>
        <scheme val="minor"/>
      </rPr>
      <t>02903</t>
    </r>
    <r>
      <rPr>
        <sz val="11"/>
        <color theme="1"/>
        <rFont val="Calibri"/>
        <family val="2"/>
        <scheme val="minor"/>
      </rPr>
      <t xml:space="preserve"> - Pesticides
</t>
    </r>
    <r>
      <rPr>
        <b/>
        <sz val="11"/>
        <color theme="1"/>
        <rFont val="Calibri"/>
        <family val="2"/>
        <scheme val="minor"/>
      </rPr>
      <t>13669</t>
    </r>
    <r>
      <rPr>
        <sz val="11"/>
        <color theme="1"/>
        <rFont val="Calibri"/>
        <family val="2"/>
        <scheme val="minor"/>
      </rPr>
      <t xml:space="preserve"> - Polychlorinated biphenyls (PCBs)
</t>
    </r>
    <r>
      <rPr>
        <b/>
        <sz val="11"/>
        <color theme="1"/>
        <rFont val="Calibri"/>
        <family val="2"/>
        <scheme val="minor"/>
      </rPr>
      <t>13670</t>
    </r>
    <r>
      <rPr>
        <sz val="11"/>
        <color theme="1"/>
        <rFont val="Calibri"/>
        <family val="2"/>
        <scheme val="minor"/>
      </rPr>
      <t xml:space="preserve"> - Propellants
</t>
    </r>
    <r>
      <rPr>
        <b/>
        <sz val="11"/>
        <color theme="1"/>
        <rFont val="Calibri"/>
        <family val="2"/>
        <scheme val="minor"/>
      </rPr>
      <t>02902</t>
    </r>
    <r>
      <rPr>
        <sz val="11"/>
        <color theme="1"/>
        <rFont val="Calibri"/>
        <family val="2"/>
        <scheme val="minor"/>
      </rPr>
      <t xml:space="preserve"> - Radon
</t>
    </r>
    <r>
      <rPr>
        <b/>
        <sz val="11"/>
        <color theme="1"/>
        <rFont val="Calibri"/>
        <family val="2"/>
        <scheme val="minor"/>
      </rPr>
      <t>13671</t>
    </r>
    <r>
      <rPr>
        <sz val="11"/>
        <color theme="1"/>
        <rFont val="Calibri"/>
        <family val="2"/>
        <scheme val="minor"/>
      </rPr>
      <t xml:space="preserve"> - Refrigerants
</t>
    </r>
    <r>
      <rPr>
        <b/>
        <sz val="11"/>
        <color theme="1"/>
        <rFont val="Calibri"/>
        <family val="2"/>
        <scheme val="minor"/>
      </rPr>
      <t>13672</t>
    </r>
    <r>
      <rPr>
        <sz val="11"/>
        <color theme="1"/>
        <rFont val="Calibri"/>
        <family val="2"/>
        <scheme val="minor"/>
      </rPr>
      <t xml:space="preserve"> - Sediment, sludge, reuse material
</t>
    </r>
    <r>
      <rPr>
        <b/>
        <sz val="11"/>
        <color theme="1"/>
        <rFont val="Calibri"/>
        <family val="2"/>
        <scheme val="minor"/>
      </rPr>
      <t>13673</t>
    </r>
    <r>
      <rPr>
        <sz val="11"/>
        <color theme="1"/>
        <rFont val="Calibri"/>
        <family val="2"/>
        <scheme val="minor"/>
      </rPr>
      <t xml:space="preserve"> - Sulfur dioxide
</t>
    </r>
    <r>
      <rPr>
        <b/>
        <sz val="11"/>
        <color theme="1"/>
        <rFont val="Calibri"/>
        <family val="2"/>
        <scheme val="minor"/>
      </rPr>
      <t>02901</t>
    </r>
    <r>
      <rPr>
        <sz val="11"/>
        <color theme="1"/>
        <rFont val="Calibri"/>
        <family val="2"/>
        <scheme val="minor"/>
      </rPr>
      <t xml:space="preserve"> - Underground storage tanks (USTs)
</t>
    </r>
    <r>
      <rPr>
        <b/>
        <sz val="11"/>
        <color theme="1"/>
        <rFont val="Calibri"/>
        <family val="2"/>
        <scheme val="minor"/>
      </rPr>
      <t>13674</t>
    </r>
    <r>
      <rPr>
        <sz val="11"/>
        <color theme="1"/>
        <rFont val="Calibri"/>
        <family val="2"/>
        <scheme val="minor"/>
      </rPr>
      <t xml:space="preserve"> - Vapor intrusion
</t>
    </r>
    <r>
      <rPr>
        <b/>
        <sz val="11"/>
        <color theme="1"/>
        <rFont val="Calibri"/>
        <family val="2"/>
        <scheme val="minor"/>
      </rPr>
      <t>13675</t>
    </r>
    <r>
      <rPr>
        <sz val="11"/>
        <color theme="1"/>
        <rFont val="Calibri"/>
        <family val="2"/>
        <scheme val="minor"/>
      </rPr>
      <t xml:space="preserve"> - Volatile organic compounds
</t>
    </r>
    <r>
      <rPr>
        <b/>
        <sz val="11"/>
        <color theme="1"/>
        <rFont val="Calibri"/>
        <family val="2"/>
        <scheme val="minor"/>
      </rPr>
      <t>09999</t>
    </r>
    <r>
      <rPr>
        <sz val="11"/>
        <color theme="1"/>
        <rFont val="Calibri"/>
        <family val="2"/>
        <scheme val="minor"/>
      </rPr>
      <t xml:space="preserve"> - Other
</t>
    </r>
  </si>
  <si>
    <r>
      <t>13690</t>
    </r>
    <r>
      <rPr>
        <sz val="11"/>
        <color theme="1"/>
        <rFont val="Calibri"/>
        <family val="2"/>
        <scheme val="minor"/>
      </rPr>
      <t xml:space="preserve"> - Dedicated
</t>
    </r>
    <r>
      <rPr>
        <b/>
        <sz val="11"/>
        <color theme="1"/>
        <rFont val="Calibri"/>
        <family val="2"/>
        <scheme val="minor"/>
      </rPr>
      <t>13689</t>
    </r>
    <r>
      <rPr>
        <sz val="11"/>
        <color theme="1"/>
        <rFont val="Calibri"/>
        <family val="2"/>
        <scheme val="minor"/>
      </rPr>
      <t xml:space="preserve"> - Shared
</t>
    </r>
  </si>
  <si>
    <r>
      <t>13720</t>
    </r>
    <r>
      <rPr>
        <sz val="11"/>
        <color theme="1"/>
        <rFont val="Calibri"/>
        <family val="2"/>
        <scheme val="minor"/>
      </rPr>
      <t xml:space="preserve"> - Base rent
</t>
    </r>
    <r>
      <rPr>
        <b/>
        <sz val="11"/>
        <color theme="1"/>
        <rFont val="Calibri"/>
        <family val="2"/>
        <scheme val="minor"/>
      </rPr>
      <t>13721</t>
    </r>
    <r>
      <rPr>
        <sz val="11"/>
        <color theme="1"/>
        <rFont val="Calibri"/>
        <family val="2"/>
        <scheme val="minor"/>
      </rPr>
      <t xml:space="preserve"> - Credit
</t>
    </r>
    <r>
      <rPr>
        <b/>
        <sz val="11"/>
        <color theme="1"/>
        <rFont val="Calibri"/>
        <family val="2"/>
        <scheme val="minor"/>
      </rPr>
      <t>13722</t>
    </r>
    <r>
      <rPr>
        <sz val="11"/>
        <color theme="1"/>
        <rFont val="Calibri"/>
        <family val="2"/>
        <scheme val="minor"/>
      </rPr>
      <t xml:space="preserve"> - Escalator
</t>
    </r>
  </si>
  <si>
    <r>
      <t>13723</t>
    </r>
    <r>
      <rPr>
        <sz val="11"/>
        <color theme="1"/>
        <rFont val="Calibri"/>
        <family val="2"/>
        <scheme val="minor"/>
      </rPr>
      <t xml:space="preserve"> - Building lease
</t>
    </r>
    <r>
      <rPr>
        <b/>
        <sz val="11"/>
        <color theme="1"/>
        <rFont val="Calibri"/>
        <family val="2"/>
        <scheme val="minor"/>
      </rPr>
      <t>13724</t>
    </r>
    <r>
      <rPr>
        <sz val="11"/>
        <color theme="1"/>
        <rFont val="Calibri"/>
        <family val="2"/>
        <scheme val="minor"/>
      </rPr>
      <t xml:space="preserve"> - Ground lease
</t>
    </r>
    <r>
      <rPr>
        <b/>
        <sz val="11"/>
        <color theme="1"/>
        <rFont val="Calibri"/>
        <family val="2"/>
        <scheme val="minor"/>
      </rPr>
      <t>13725</t>
    </r>
    <r>
      <rPr>
        <sz val="11"/>
        <color theme="1"/>
        <rFont val="Calibri"/>
        <family val="2"/>
        <scheme val="minor"/>
      </rPr>
      <t xml:space="preserve"> - Lease build to suit
</t>
    </r>
    <r>
      <rPr>
        <b/>
        <sz val="11"/>
        <color theme="1"/>
        <rFont val="Calibri"/>
        <family val="2"/>
        <scheme val="minor"/>
      </rPr>
      <t>13726</t>
    </r>
    <r>
      <rPr>
        <sz val="11"/>
        <color theme="1"/>
        <rFont val="Calibri"/>
        <family val="2"/>
        <scheme val="minor"/>
      </rPr>
      <t xml:space="preserve"> - Lease shell with significant leasehold improvements
</t>
    </r>
    <r>
      <rPr>
        <b/>
        <sz val="11"/>
        <color theme="1"/>
        <rFont val="Calibri"/>
        <family val="2"/>
        <scheme val="minor"/>
      </rPr>
      <t>13727</t>
    </r>
    <r>
      <rPr>
        <sz val="11"/>
        <color theme="1"/>
        <rFont val="Calibri"/>
        <family val="2"/>
        <scheme val="minor"/>
      </rPr>
      <t xml:space="preserve"> - Triple-net lease
</t>
    </r>
  </si>
  <si>
    <r>
      <t>02989</t>
    </r>
    <r>
      <rPr>
        <sz val="11"/>
        <color theme="1"/>
        <rFont val="Calibri"/>
        <family val="2"/>
        <scheme val="minor"/>
      </rPr>
      <t xml:space="preserve"> - Emergency maintenance repair
</t>
    </r>
    <r>
      <rPr>
        <b/>
        <sz val="11"/>
        <color theme="1"/>
        <rFont val="Calibri"/>
        <family val="2"/>
        <scheme val="minor"/>
      </rPr>
      <t>02839</t>
    </r>
    <r>
      <rPr>
        <sz val="11"/>
        <color theme="1"/>
        <rFont val="Calibri"/>
        <family val="2"/>
        <scheme val="minor"/>
      </rPr>
      <t xml:space="preserve"> - Predictive
</t>
    </r>
    <r>
      <rPr>
        <b/>
        <sz val="11"/>
        <color theme="1"/>
        <rFont val="Calibri"/>
        <family val="2"/>
        <scheme val="minor"/>
      </rPr>
      <t>02838</t>
    </r>
    <r>
      <rPr>
        <sz val="11"/>
        <color theme="1"/>
        <rFont val="Calibri"/>
        <family val="2"/>
        <scheme val="minor"/>
      </rPr>
      <t xml:space="preserve"> - Preventive
</t>
    </r>
    <r>
      <rPr>
        <b/>
        <sz val="11"/>
        <color theme="1"/>
        <rFont val="Calibri"/>
        <family val="2"/>
        <scheme val="minor"/>
      </rPr>
      <t>02837</t>
    </r>
    <r>
      <rPr>
        <sz val="11"/>
        <color theme="1"/>
        <rFont val="Calibri"/>
        <family val="2"/>
        <scheme val="minor"/>
      </rPr>
      <t xml:space="preserve"> - Routine
</t>
    </r>
    <r>
      <rPr>
        <b/>
        <sz val="11"/>
        <color theme="1"/>
        <rFont val="Calibri"/>
        <family val="2"/>
        <scheme val="minor"/>
      </rPr>
      <t>02836</t>
    </r>
    <r>
      <rPr>
        <sz val="11"/>
        <color theme="1"/>
        <rFont val="Calibri"/>
        <family val="2"/>
        <scheme val="minor"/>
      </rPr>
      <t xml:space="preserve"> - Run to fail
</t>
    </r>
  </si>
  <si>
    <r>
      <t>13730</t>
    </r>
    <r>
      <rPr>
        <sz val="11"/>
        <color theme="1"/>
        <rFont val="Calibri"/>
        <family val="2"/>
        <scheme val="minor"/>
      </rPr>
      <t xml:space="preserve"> - Add-on interest
</t>
    </r>
    <r>
      <rPr>
        <b/>
        <sz val="11"/>
        <color theme="1"/>
        <rFont val="Calibri"/>
        <family val="2"/>
        <scheme val="minor"/>
      </rPr>
      <t>13731</t>
    </r>
    <r>
      <rPr>
        <sz val="11"/>
        <color theme="1"/>
        <rFont val="Calibri"/>
        <family val="2"/>
        <scheme val="minor"/>
      </rPr>
      <t xml:space="preserve"> - Adjustable-Rate Mortgage (ARM)
</t>
    </r>
    <r>
      <rPr>
        <b/>
        <sz val="11"/>
        <color theme="1"/>
        <rFont val="Calibri"/>
        <family val="2"/>
        <scheme val="minor"/>
      </rPr>
      <t>13732</t>
    </r>
    <r>
      <rPr>
        <sz val="11"/>
        <color theme="1"/>
        <rFont val="Calibri"/>
        <family val="2"/>
        <scheme val="minor"/>
      </rPr>
      <t xml:space="preserve"> - Balloon Mortgage
</t>
    </r>
    <r>
      <rPr>
        <b/>
        <sz val="11"/>
        <color theme="1"/>
        <rFont val="Calibri"/>
        <family val="2"/>
        <scheme val="minor"/>
      </rPr>
      <t>13733</t>
    </r>
    <r>
      <rPr>
        <sz val="11"/>
        <color theme="1"/>
        <rFont val="Calibri"/>
        <family val="2"/>
        <scheme val="minor"/>
      </rPr>
      <t xml:space="preserve"> - Deferred Interest
</t>
    </r>
    <r>
      <rPr>
        <b/>
        <sz val="11"/>
        <color theme="1"/>
        <rFont val="Calibri"/>
        <family val="2"/>
        <scheme val="minor"/>
      </rPr>
      <t>13734</t>
    </r>
    <r>
      <rPr>
        <sz val="11"/>
        <color theme="1"/>
        <rFont val="Calibri"/>
        <family val="2"/>
        <scheme val="minor"/>
      </rPr>
      <t xml:space="preserve"> - Fixed Payment Mortgage
</t>
    </r>
    <r>
      <rPr>
        <b/>
        <sz val="11"/>
        <color theme="1"/>
        <rFont val="Calibri"/>
        <family val="2"/>
        <scheme val="minor"/>
      </rPr>
      <t>13735</t>
    </r>
    <r>
      <rPr>
        <sz val="11"/>
        <color theme="1"/>
        <rFont val="Calibri"/>
        <family val="2"/>
        <scheme val="minor"/>
      </rPr>
      <t xml:space="preserve"> - Fixed-rate Mortgage
</t>
    </r>
    <r>
      <rPr>
        <b/>
        <sz val="11"/>
        <color theme="1"/>
        <rFont val="Calibri"/>
        <family val="2"/>
        <scheme val="minor"/>
      </rPr>
      <t>13736</t>
    </r>
    <r>
      <rPr>
        <sz val="11"/>
        <color theme="1"/>
        <rFont val="Calibri"/>
        <family val="2"/>
        <scheme val="minor"/>
      </rPr>
      <t xml:space="preserve"> - Floating Rate
</t>
    </r>
    <r>
      <rPr>
        <b/>
        <sz val="11"/>
        <color theme="1"/>
        <rFont val="Calibri"/>
        <family val="2"/>
        <scheme val="minor"/>
      </rPr>
      <t>13737</t>
    </r>
    <r>
      <rPr>
        <sz val="11"/>
        <color theme="1"/>
        <rFont val="Calibri"/>
        <family val="2"/>
        <scheme val="minor"/>
      </rPr>
      <t xml:space="preserve"> - Fully Amortizing Mortgage
</t>
    </r>
    <r>
      <rPr>
        <b/>
        <sz val="11"/>
        <color theme="1"/>
        <rFont val="Calibri"/>
        <family val="2"/>
        <scheme val="minor"/>
      </rPr>
      <t>13738</t>
    </r>
    <r>
      <rPr>
        <sz val="11"/>
        <color theme="1"/>
        <rFont val="Calibri"/>
        <family val="2"/>
        <scheme val="minor"/>
      </rPr>
      <t xml:space="preserve"> - Graduated-payment Mortgage (GPM)
</t>
    </r>
    <r>
      <rPr>
        <b/>
        <sz val="11"/>
        <color theme="1"/>
        <rFont val="Calibri"/>
        <family val="2"/>
        <scheme val="minor"/>
      </rPr>
      <t>13739</t>
    </r>
    <r>
      <rPr>
        <sz val="11"/>
        <color theme="1"/>
        <rFont val="Calibri"/>
        <family val="2"/>
        <scheme val="minor"/>
      </rPr>
      <t xml:space="preserve"> - Interest-only loan
</t>
    </r>
    <r>
      <rPr>
        <b/>
        <sz val="11"/>
        <color theme="1"/>
        <rFont val="Calibri"/>
        <family val="2"/>
        <scheme val="minor"/>
      </rPr>
      <t>13740</t>
    </r>
    <r>
      <rPr>
        <sz val="11"/>
        <color theme="1"/>
        <rFont val="Calibri"/>
        <family val="2"/>
        <scheme val="minor"/>
      </rPr>
      <t xml:space="preserve"> - Open-end Mortgage
</t>
    </r>
  </si>
  <si>
    <r>
      <t>13741</t>
    </r>
    <r>
      <rPr>
        <sz val="11"/>
        <color theme="1"/>
        <rFont val="Calibri"/>
        <family val="2"/>
        <scheme val="minor"/>
      </rPr>
      <t xml:space="preserve"> - Junior Mortgage
</t>
    </r>
    <r>
      <rPr>
        <b/>
        <sz val="11"/>
        <color theme="1"/>
        <rFont val="Calibri"/>
        <family val="2"/>
        <scheme val="minor"/>
      </rPr>
      <t>13742</t>
    </r>
    <r>
      <rPr>
        <sz val="11"/>
        <color theme="1"/>
        <rFont val="Calibri"/>
        <family val="2"/>
        <scheme val="minor"/>
      </rPr>
      <t xml:space="preserve"> - Multiple
</t>
    </r>
    <r>
      <rPr>
        <b/>
        <sz val="11"/>
        <color theme="1"/>
        <rFont val="Calibri"/>
        <family val="2"/>
        <scheme val="minor"/>
      </rPr>
      <t>13743</t>
    </r>
    <r>
      <rPr>
        <sz val="11"/>
        <color theme="1"/>
        <rFont val="Calibri"/>
        <family val="2"/>
        <scheme val="minor"/>
      </rPr>
      <t xml:space="preserve"> - Senior or first mortgage
</t>
    </r>
  </si>
  <si>
    <r>
      <t>13678</t>
    </r>
    <r>
      <rPr>
        <sz val="11"/>
        <color theme="1"/>
        <rFont val="Calibri"/>
        <family val="2"/>
        <scheme val="minor"/>
      </rPr>
      <t xml:space="preserve"> - Arsenic
</t>
    </r>
    <r>
      <rPr>
        <b/>
        <sz val="11"/>
        <color theme="1"/>
        <rFont val="Calibri"/>
        <family val="2"/>
        <scheme val="minor"/>
      </rPr>
      <t>13679</t>
    </r>
    <r>
      <rPr>
        <sz val="11"/>
        <color theme="1"/>
        <rFont val="Calibri"/>
        <family val="2"/>
        <scheme val="minor"/>
      </rPr>
      <t xml:space="preserve"> - Earthquake prone area
</t>
    </r>
    <r>
      <rPr>
        <b/>
        <sz val="11"/>
        <color theme="1"/>
        <rFont val="Calibri"/>
        <family val="2"/>
        <scheme val="minor"/>
      </rPr>
      <t>13680</t>
    </r>
    <r>
      <rPr>
        <sz val="11"/>
        <color theme="1"/>
        <rFont val="Calibri"/>
        <family val="2"/>
        <scheme val="minor"/>
      </rPr>
      <t xml:space="preserve"> - Floodplain
</t>
    </r>
    <r>
      <rPr>
        <b/>
        <sz val="11"/>
        <color theme="1"/>
        <rFont val="Calibri"/>
        <family val="2"/>
        <scheme val="minor"/>
      </rPr>
      <t>13681</t>
    </r>
    <r>
      <rPr>
        <sz val="11"/>
        <color theme="1"/>
        <rFont val="Calibri"/>
        <family val="2"/>
        <scheme val="minor"/>
      </rPr>
      <t xml:space="preserve"> - Liquefaction, landslide areas
</t>
    </r>
    <r>
      <rPr>
        <b/>
        <sz val="11"/>
        <color theme="1"/>
        <rFont val="Calibri"/>
        <family val="2"/>
        <scheme val="minor"/>
      </rPr>
      <t>13682</t>
    </r>
    <r>
      <rPr>
        <sz val="11"/>
        <color theme="1"/>
        <rFont val="Calibri"/>
        <family val="2"/>
        <scheme val="minor"/>
      </rPr>
      <t xml:space="preserve"> - Naturally Occurring Asbestos (NOA)
</t>
    </r>
    <r>
      <rPr>
        <b/>
        <sz val="11"/>
        <color theme="1"/>
        <rFont val="Calibri"/>
        <family val="2"/>
        <scheme val="minor"/>
      </rPr>
      <t>13683</t>
    </r>
    <r>
      <rPr>
        <sz val="11"/>
        <color theme="1"/>
        <rFont val="Calibri"/>
        <family val="2"/>
        <scheme val="minor"/>
      </rPr>
      <t xml:space="preserve"> - Sinkholes, Karst terrain
</t>
    </r>
  </si>
  <si>
    <r>
      <t>02821</t>
    </r>
    <r>
      <rPr>
        <sz val="11"/>
        <color theme="1"/>
        <rFont val="Calibri"/>
        <family val="2"/>
        <scheme val="minor"/>
      </rPr>
      <t xml:space="preserve"> - District and private sector management
</t>
    </r>
    <r>
      <rPr>
        <b/>
        <sz val="11"/>
        <color theme="1"/>
        <rFont val="Calibri"/>
        <family val="2"/>
        <scheme val="minor"/>
      </rPr>
      <t>02822</t>
    </r>
    <r>
      <rPr>
        <sz val="11"/>
        <color theme="1"/>
        <rFont val="Calibri"/>
        <family val="2"/>
        <scheme val="minor"/>
      </rPr>
      <t xml:space="preserve"> - Nonschool public sector management
</t>
    </r>
    <r>
      <rPr>
        <b/>
        <sz val="11"/>
        <color theme="1"/>
        <rFont val="Calibri"/>
        <family val="2"/>
        <scheme val="minor"/>
      </rPr>
      <t>02820</t>
    </r>
    <r>
      <rPr>
        <sz val="11"/>
        <color theme="1"/>
        <rFont val="Calibri"/>
        <family val="2"/>
        <scheme val="minor"/>
      </rPr>
      <t xml:space="preserve"> - Private sector management
</t>
    </r>
    <r>
      <rPr>
        <b/>
        <sz val="11"/>
        <color theme="1"/>
        <rFont val="Calibri"/>
        <family val="2"/>
        <scheme val="minor"/>
      </rPr>
      <t>02819</t>
    </r>
    <r>
      <rPr>
        <sz val="11"/>
        <color theme="1"/>
        <rFont val="Calibri"/>
        <family val="2"/>
        <scheme val="minor"/>
      </rPr>
      <t xml:space="preserve"> - School district management
</t>
    </r>
    <r>
      <rPr>
        <b/>
        <sz val="11"/>
        <color theme="1"/>
        <rFont val="Calibri"/>
        <family val="2"/>
        <scheme val="minor"/>
      </rPr>
      <t>09999</t>
    </r>
    <r>
      <rPr>
        <sz val="11"/>
        <color theme="1"/>
        <rFont val="Calibri"/>
        <family val="2"/>
        <scheme val="minor"/>
      </rPr>
      <t xml:space="preserve"> - Other
</t>
    </r>
  </si>
  <si>
    <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r>
      <rPr>
        <b/>
        <sz val="11"/>
        <color theme="1"/>
        <rFont val="Calibri"/>
        <family val="2"/>
        <scheme val="minor"/>
      </rPr>
      <t>09999</t>
    </r>
    <r>
      <rPr>
        <sz val="11"/>
        <color theme="1"/>
        <rFont val="Calibri"/>
        <family val="2"/>
        <scheme val="minor"/>
      </rPr>
      <t xml:space="preserve"> - Other
</t>
    </r>
  </si>
  <si>
    <r>
      <t>13566</t>
    </r>
    <r>
      <rPr>
        <sz val="11"/>
        <color theme="1"/>
        <rFont val="Calibri"/>
        <family val="2"/>
        <scheme val="minor"/>
      </rPr>
      <t xml:space="preserve"> - Athletic field - Artificial
</t>
    </r>
    <r>
      <rPr>
        <b/>
        <sz val="11"/>
        <color theme="1"/>
        <rFont val="Calibri"/>
        <family val="2"/>
        <scheme val="minor"/>
      </rP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13567</t>
    </r>
    <r>
      <rPr>
        <sz val="11"/>
        <color theme="1"/>
        <rFont val="Calibri"/>
        <family val="2"/>
        <scheme val="minor"/>
      </rPr>
      <t xml:space="preserve"> - Semi-permeable game area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13568</t>
    </r>
    <r>
      <rPr>
        <sz val="11"/>
        <color theme="1"/>
        <rFont val="Calibri"/>
        <family val="2"/>
        <scheme val="minor"/>
      </rPr>
      <t xml:space="preserve"> - Softscape game area
</t>
    </r>
    <r>
      <rPr>
        <b/>
        <sz val="11"/>
        <color theme="1"/>
        <rFont val="Calibri"/>
        <family val="2"/>
        <scheme val="minor"/>
      </rPr>
      <t>13569</t>
    </r>
    <r>
      <rPr>
        <sz val="11"/>
        <color theme="1"/>
        <rFont val="Calibri"/>
        <family val="2"/>
        <scheme val="minor"/>
      </rPr>
      <t xml:space="preserve"> - Softscape play area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</si>
  <si>
    <r>
      <t>02622</t>
    </r>
    <r>
      <rPr>
        <sz val="11"/>
        <color theme="1"/>
        <rFont val="Calibri"/>
        <family val="2"/>
        <scheme val="minor"/>
      </rPr>
      <t xml:space="preserve"> - Design guidelines
</t>
    </r>
    <r>
      <rPr>
        <b/>
        <sz val="11"/>
        <color theme="1"/>
        <rFont val="Calibri"/>
        <family val="2"/>
        <scheme val="minor"/>
      </rPr>
      <t>02626</t>
    </r>
    <r>
      <rPr>
        <sz val="11"/>
        <color theme="1"/>
        <rFont val="Calibri"/>
        <family val="2"/>
        <scheme val="minor"/>
      </rPr>
      <t xml:space="preserve"> - Energy performance standards
</t>
    </r>
    <r>
      <rPr>
        <b/>
        <sz val="11"/>
        <color theme="1"/>
        <rFont val="Calibri"/>
        <family val="2"/>
        <scheme val="minor"/>
      </rPr>
      <t>13628</t>
    </r>
    <r>
      <rPr>
        <sz val="11"/>
        <color theme="1"/>
        <rFont val="Calibri"/>
        <family val="2"/>
        <scheme val="minor"/>
      </rPr>
      <t xml:space="preserve"> - Environmental Standards
</t>
    </r>
    <r>
      <rPr>
        <b/>
        <sz val="11"/>
        <color theme="1"/>
        <rFont val="Calibri"/>
        <family val="2"/>
        <scheme val="minor"/>
      </rPr>
      <t>02625</t>
    </r>
    <r>
      <rPr>
        <sz val="11"/>
        <color theme="1"/>
        <rFont val="Calibri"/>
        <family val="2"/>
        <scheme val="minor"/>
      </rPr>
      <t xml:space="preserve"> - Health and safety standards
</t>
    </r>
    <r>
      <rPr>
        <b/>
        <sz val="11"/>
        <color theme="1"/>
        <rFont val="Calibri"/>
        <family val="2"/>
        <scheme val="minor"/>
      </rPr>
      <t>02624</t>
    </r>
    <r>
      <rPr>
        <sz val="11"/>
        <color theme="1"/>
        <rFont val="Calibri"/>
        <family val="2"/>
        <scheme val="minor"/>
      </rPr>
      <t xml:space="preserve"> - Master construction specifications
</t>
    </r>
    <r>
      <rPr>
        <b/>
        <sz val="11"/>
        <color theme="1"/>
        <rFont val="Calibri"/>
        <family val="2"/>
        <scheme val="minor"/>
      </rPr>
      <t>02627</t>
    </r>
    <r>
      <rPr>
        <sz val="11"/>
        <color theme="1"/>
        <rFont val="Calibri"/>
        <family val="2"/>
        <scheme val="minor"/>
      </rPr>
      <t xml:space="preserve"> - Site selection guidelines
</t>
    </r>
    <r>
      <rPr>
        <b/>
        <sz val="11"/>
        <color theme="1"/>
        <rFont val="Calibri"/>
        <family val="2"/>
        <scheme val="minor"/>
      </rPr>
      <t>02623</t>
    </r>
    <r>
      <rPr>
        <sz val="11"/>
        <color theme="1"/>
        <rFont val="Calibri"/>
        <family val="2"/>
        <scheme val="minor"/>
      </rPr>
      <t xml:space="preserve"> - Space standards
</t>
    </r>
    <r>
      <rPr>
        <b/>
        <sz val="11"/>
        <color theme="1"/>
        <rFont val="Calibri"/>
        <family val="2"/>
        <scheme val="minor"/>
      </rPr>
      <t>09999</t>
    </r>
    <r>
      <rPr>
        <sz val="11"/>
        <color theme="1"/>
        <rFont val="Calibri"/>
        <family val="2"/>
        <scheme val="minor"/>
      </rPr>
      <t xml:space="preserve"> - Other
</t>
    </r>
  </si>
  <si>
    <r>
      <t>02594</t>
    </r>
    <r>
      <rPr>
        <sz val="11"/>
        <color theme="1"/>
        <rFont val="Calibri"/>
        <family val="2"/>
        <scheme val="minor"/>
      </rPr>
      <t xml:space="preserve"> - Acreage standards
</t>
    </r>
    <r>
      <rPr>
        <b/>
        <sz val="11"/>
        <color theme="1"/>
        <rFont val="Calibri"/>
        <family val="2"/>
        <scheme val="minor"/>
      </rPr>
      <t>02589</t>
    </r>
    <r>
      <rPr>
        <sz val="11"/>
        <color theme="1"/>
        <rFont val="Calibri"/>
        <family val="2"/>
        <scheme val="minor"/>
      </rPr>
      <t xml:space="preserve"> - Building code
</t>
    </r>
    <r>
      <rPr>
        <b/>
        <sz val="11"/>
        <color theme="1"/>
        <rFont val="Calibri"/>
        <family val="2"/>
        <scheme val="minor"/>
      </rPr>
      <t>02593</t>
    </r>
    <r>
      <rPr>
        <sz val="11"/>
        <color theme="1"/>
        <rFont val="Calibri"/>
        <family val="2"/>
        <scheme val="minor"/>
      </rPr>
      <t xml:space="preserve"> - Design standards
</t>
    </r>
    <r>
      <rPr>
        <b/>
        <sz val="11"/>
        <color theme="1"/>
        <rFont val="Calibri"/>
        <family val="2"/>
        <scheme val="minor"/>
      </rPr>
      <t>02598</t>
    </r>
    <r>
      <rPr>
        <sz val="11"/>
        <color theme="1"/>
        <rFont val="Calibri"/>
        <family val="2"/>
        <scheme val="minor"/>
      </rPr>
      <t xml:space="preserve"> - Earthquake standards
</t>
    </r>
    <r>
      <rPr>
        <b/>
        <sz val="11"/>
        <color theme="1"/>
        <rFont val="Calibri"/>
        <family val="2"/>
        <scheme val="minor"/>
      </rPr>
      <t>02590</t>
    </r>
    <r>
      <rPr>
        <sz val="11"/>
        <color theme="1"/>
        <rFont val="Calibri"/>
        <family val="2"/>
        <scheme val="minor"/>
      </rPr>
      <t xml:space="preserve"> - Fire code
</t>
    </r>
    <r>
      <rPr>
        <b/>
        <sz val="11"/>
        <color theme="1"/>
        <rFont val="Calibri"/>
        <family val="2"/>
        <scheme val="minor"/>
      </rPr>
      <t>02592</t>
    </r>
    <r>
      <rPr>
        <sz val="11"/>
        <color theme="1"/>
        <rFont val="Calibri"/>
        <family val="2"/>
        <scheme val="minor"/>
      </rPr>
      <t xml:space="preserve"> - Flood control
</t>
    </r>
    <r>
      <rPr>
        <b/>
        <sz val="11"/>
        <color theme="1"/>
        <rFont val="Calibri"/>
        <family val="2"/>
        <scheme val="minor"/>
      </rPr>
      <t>03265</t>
    </r>
    <r>
      <rPr>
        <sz val="11"/>
        <color theme="1"/>
        <rFont val="Calibri"/>
        <family val="2"/>
        <scheme val="minor"/>
      </rPr>
      <t xml:space="preserve"> - Food safety standards
</t>
    </r>
    <r>
      <rPr>
        <b/>
        <sz val="11"/>
        <color theme="1"/>
        <rFont val="Calibri"/>
        <family val="2"/>
        <scheme val="minor"/>
      </rPr>
      <t>02591</t>
    </r>
    <r>
      <rPr>
        <sz val="11"/>
        <color theme="1"/>
        <rFont val="Calibri"/>
        <family val="2"/>
        <scheme val="minor"/>
      </rPr>
      <t xml:space="preserve"> - Health code
</t>
    </r>
    <r>
      <rPr>
        <b/>
        <sz val="11"/>
        <color theme="1"/>
        <rFont val="Calibri"/>
        <family val="2"/>
        <scheme val="minor"/>
      </rPr>
      <t>02596</t>
    </r>
    <r>
      <rPr>
        <sz val="11"/>
        <color theme="1"/>
        <rFont val="Calibri"/>
        <family val="2"/>
        <scheme val="minor"/>
      </rPr>
      <t xml:space="preserve"> - Historic preservation requirements
</t>
    </r>
    <r>
      <rPr>
        <b/>
        <sz val="11"/>
        <color theme="1"/>
        <rFont val="Calibri"/>
        <family val="2"/>
        <scheme val="minor"/>
      </rPr>
      <t>02597</t>
    </r>
    <r>
      <rPr>
        <sz val="11"/>
        <color theme="1"/>
        <rFont val="Calibri"/>
        <family val="2"/>
        <scheme val="minor"/>
      </rPr>
      <t xml:space="preserve"> - Occupational health and safety code
</t>
    </r>
    <r>
      <rPr>
        <b/>
        <sz val="11"/>
        <color theme="1"/>
        <rFont val="Calibri"/>
        <family val="2"/>
        <scheme val="minor"/>
      </rPr>
      <t>02595</t>
    </r>
    <r>
      <rPr>
        <sz val="11"/>
        <color theme="1"/>
        <rFont val="Calibri"/>
        <family val="2"/>
        <scheme val="minor"/>
      </rPr>
      <t xml:space="preserve"> - Standard educational specifications
</t>
    </r>
    <r>
      <rPr>
        <b/>
        <sz val="11"/>
        <color theme="1"/>
        <rFont val="Calibri"/>
        <family val="2"/>
        <scheme val="minor"/>
      </rPr>
      <t>09999</t>
    </r>
    <r>
      <rPr>
        <sz val="11"/>
        <color theme="1"/>
        <rFont val="Calibri"/>
        <family val="2"/>
        <scheme val="minor"/>
      </rPr>
      <t xml:space="preserve"> - Other
</t>
    </r>
  </si>
  <si>
    <r>
      <t>02563</t>
    </r>
    <r>
      <rPr>
        <sz val="11"/>
        <color theme="1"/>
        <rFont val="Calibri"/>
        <family val="2"/>
        <scheme val="minor"/>
      </rPr>
      <t xml:space="preserve"> - Adequate system or component condition
</t>
    </r>
    <r>
      <rPr>
        <b/>
        <sz val="11"/>
        <color theme="1"/>
        <rFont val="Calibri"/>
        <family val="2"/>
        <scheme val="minor"/>
      </rPr>
      <t>02567</t>
    </r>
    <r>
      <rPr>
        <sz val="11"/>
        <color theme="1"/>
        <rFont val="Calibri"/>
        <family val="2"/>
        <scheme val="minor"/>
      </rPr>
      <t xml:space="preserve"> - Emergency system or component condition
</t>
    </r>
    <r>
      <rPr>
        <b/>
        <sz val="11"/>
        <color theme="1"/>
        <rFont val="Calibri"/>
        <family val="2"/>
        <scheme val="minor"/>
      </rPr>
      <t>02561</t>
    </r>
    <r>
      <rPr>
        <sz val="11"/>
        <color theme="1"/>
        <rFont val="Calibri"/>
        <family val="2"/>
        <scheme val="minor"/>
      </rPr>
      <t xml:space="preserve"> - Excellent System or Component Condition
</t>
    </r>
    <r>
      <rPr>
        <b/>
        <sz val="11"/>
        <color theme="1"/>
        <rFont val="Calibri"/>
        <family val="2"/>
        <scheme val="minor"/>
      </rPr>
      <t>02564</t>
    </r>
    <r>
      <rPr>
        <sz val="11"/>
        <color theme="1"/>
        <rFont val="Calibri"/>
        <family val="2"/>
        <scheme val="minor"/>
      </rPr>
      <t xml:space="preserve"> - Fair System or Component Condition
</t>
    </r>
    <r>
      <rPr>
        <b/>
        <sz val="11"/>
        <color theme="1"/>
        <rFont val="Calibri"/>
        <family val="2"/>
        <scheme val="minor"/>
      </rPr>
      <t>02562</t>
    </r>
    <r>
      <rPr>
        <sz val="11"/>
        <color theme="1"/>
        <rFont val="Calibri"/>
        <family val="2"/>
        <scheme val="minor"/>
      </rPr>
      <t xml:space="preserve"> - Good System or Component Condition
</t>
    </r>
    <r>
      <rPr>
        <b/>
        <sz val="11"/>
        <color theme="1"/>
        <rFont val="Calibri"/>
        <family val="2"/>
        <scheme val="minor"/>
      </rPr>
      <t>02983</t>
    </r>
    <r>
      <rPr>
        <sz val="11"/>
        <color theme="1"/>
        <rFont val="Calibri"/>
        <family val="2"/>
        <scheme val="minor"/>
      </rPr>
      <t xml:space="preserve"> - Nonoperable system or component condition
</t>
    </r>
    <r>
      <rPr>
        <b/>
        <sz val="11"/>
        <color theme="1"/>
        <rFont val="Calibri"/>
        <family val="2"/>
        <scheme val="minor"/>
      </rPr>
      <t>02565</t>
    </r>
    <r>
      <rPr>
        <sz val="11"/>
        <color theme="1"/>
        <rFont val="Calibri"/>
        <family val="2"/>
        <scheme val="minor"/>
      </rPr>
      <t xml:space="preserve"> - Poor System or Component Condition
</t>
    </r>
    <r>
      <rPr>
        <b/>
        <sz val="11"/>
        <color theme="1"/>
        <rFont val="Calibri"/>
        <family val="2"/>
        <scheme val="minor"/>
      </rPr>
      <t>02566</t>
    </r>
    <r>
      <rPr>
        <sz val="11"/>
        <color theme="1"/>
        <rFont val="Calibri"/>
        <family val="2"/>
        <scheme val="minor"/>
      </rPr>
      <t xml:space="preserve"> - Urgent building system or component condition
</t>
    </r>
  </si>
  <si>
    <r>
      <t>02852</t>
    </r>
    <r>
      <rPr>
        <sz val="11"/>
        <color theme="1"/>
        <rFont val="Calibri"/>
        <family val="2"/>
        <scheme val="minor"/>
      </rPr>
      <t xml:space="preserve"> - Purchased
</t>
    </r>
    <r>
      <rPr>
        <b/>
        <sz val="11"/>
        <color theme="1"/>
        <rFont val="Calibri"/>
        <family val="2"/>
        <scheme val="minor"/>
      </rPr>
      <t>02851</t>
    </r>
    <r>
      <rPr>
        <sz val="11"/>
        <color theme="1"/>
        <rFont val="Calibri"/>
        <family val="2"/>
        <scheme val="minor"/>
      </rPr>
      <t xml:space="preserve"> - Self-generated
</t>
    </r>
  </si>
  <si>
    <r>
      <t>02840</t>
    </r>
    <r>
      <rPr>
        <sz val="11"/>
        <color theme="1"/>
        <rFont val="Calibri"/>
        <family val="2"/>
        <scheme val="minor"/>
      </rPr>
      <t xml:space="preserve"> - Electricity
</t>
    </r>
    <r>
      <rPr>
        <b/>
        <sz val="11"/>
        <color theme="1"/>
        <rFont val="Calibri"/>
        <family val="2"/>
        <scheme val="minor"/>
      </rPr>
      <t>02990</t>
    </r>
    <r>
      <rPr>
        <sz val="11"/>
        <color theme="1"/>
        <rFont val="Calibri"/>
        <family val="2"/>
        <scheme val="minor"/>
      </rPr>
      <t xml:space="preserve"> - Internet service
</t>
    </r>
    <r>
      <rPr>
        <b/>
        <sz val="11"/>
        <color theme="1"/>
        <rFont val="Calibri"/>
        <family val="2"/>
        <scheme val="minor"/>
      </rPr>
      <t>02841</t>
    </r>
    <r>
      <rPr>
        <sz val="11"/>
        <color theme="1"/>
        <rFont val="Calibri"/>
        <family val="2"/>
        <scheme val="minor"/>
      </rPr>
      <t xml:space="preserve"> - Natural gas
</t>
    </r>
    <r>
      <rPr>
        <b/>
        <sz val="11"/>
        <color theme="1"/>
        <rFont val="Calibri"/>
        <family val="2"/>
        <scheme val="minor"/>
      </rPr>
      <t>02842</t>
    </r>
    <r>
      <rPr>
        <sz val="11"/>
        <color theme="1"/>
        <rFont val="Calibri"/>
        <family val="2"/>
        <scheme val="minor"/>
      </rPr>
      <t xml:space="preserve"> - Oil
</t>
    </r>
    <r>
      <rPr>
        <b/>
        <sz val="11"/>
        <color theme="1"/>
        <rFont val="Calibri"/>
        <family val="2"/>
        <scheme val="minor"/>
      </rPr>
      <t>13685</t>
    </r>
    <r>
      <rPr>
        <sz val="11"/>
        <color theme="1"/>
        <rFont val="Calibri"/>
        <family val="2"/>
        <scheme val="minor"/>
      </rPr>
      <t xml:space="preserve"> - Recycling
</t>
    </r>
    <r>
      <rPr>
        <b/>
        <sz val="11"/>
        <color theme="1"/>
        <rFont val="Calibri"/>
        <family val="2"/>
        <scheme val="minor"/>
      </rPr>
      <t>02844</t>
    </r>
    <r>
      <rPr>
        <sz val="11"/>
        <color theme="1"/>
        <rFont val="Calibri"/>
        <family val="2"/>
        <scheme val="minor"/>
      </rPr>
      <t xml:space="preserve"> - Sewer
</t>
    </r>
    <r>
      <rPr>
        <b/>
        <sz val="11"/>
        <color theme="1"/>
        <rFont val="Calibri"/>
        <family val="2"/>
        <scheme val="minor"/>
      </rPr>
      <t>02845</t>
    </r>
    <r>
      <rPr>
        <sz val="11"/>
        <color theme="1"/>
        <rFont val="Calibri"/>
        <family val="2"/>
        <scheme val="minor"/>
      </rPr>
      <t xml:space="preserve"> - Telephone
</t>
    </r>
    <r>
      <rPr>
        <b/>
        <sz val="11"/>
        <color theme="1"/>
        <rFont val="Calibri"/>
        <family val="2"/>
        <scheme val="minor"/>
      </rPr>
      <t>13686</t>
    </r>
    <r>
      <rPr>
        <sz val="11"/>
        <color theme="1"/>
        <rFont val="Calibri"/>
        <family val="2"/>
        <scheme val="minor"/>
      </rPr>
      <t xml:space="preserve"> - Waste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09999</t>
    </r>
    <r>
      <rPr>
        <sz val="11"/>
        <color theme="1"/>
        <rFont val="Calibri"/>
        <family val="2"/>
        <scheme val="minor"/>
      </rPr>
      <t xml:space="preserve"> - Other
</t>
    </r>
  </si>
  <si>
    <r>
      <t>Minute</t>
    </r>
    <r>
      <rPr>
        <sz val="11"/>
        <color theme="1"/>
        <rFont val="Calibri"/>
        <family val="2"/>
        <scheme val="minor"/>
      </rPr>
      <t xml:space="preserve"> - Minute
</t>
    </r>
    <r>
      <rPr>
        <b/>
        <sz val="11"/>
        <color theme="1"/>
        <rFont val="Calibri"/>
        <family val="2"/>
        <scheme val="minor"/>
      </rPr>
      <t>Hour</t>
    </r>
    <r>
      <rPr>
        <sz val="11"/>
        <color theme="1"/>
        <rFont val="Calibri"/>
        <family val="2"/>
        <scheme val="minor"/>
      </rPr>
      <t xml:space="preserve"> - Hour
</t>
    </r>
    <r>
      <rPr>
        <b/>
        <sz val="11"/>
        <color theme="1"/>
        <rFont val="Calibri"/>
        <family val="2"/>
        <scheme val="minor"/>
      </rPr>
      <t>Day</t>
    </r>
    <r>
      <rPr>
        <sz val="11"/>
        <color theme="1"/>
        <rFont val="Calibri"/>
        <family val="2"/>
        <scheme val="minor"/>
      </rPr>
      <t xml:space="preserve"> - Day
</t>
    </r>
    <r>
      <rPr>
        <b/>
        <sz val="11"/>
        <color theme="1"/>
        <rFont val="Calibri"/>
        <family val="2"/>
        <scheme val="minor"/>
      </rPr>
      <t>Week</t>
    </r>
    <r>
      <rPr>
        <sz val="11"/>
        <color theme="1"/>
        <rFont val="Calibri"/>
        <family val="2"/>
        <scheme val="minor"/>
      </rPr>
      <t xml:space="preserve"> - Week
</t>
    </r>
    <r>
      <rPr>
        <b/>
        <sz val="11"/>
        <color theme="1"/>
        <rFont val="Calibri"/>
        <family val="2"/>
        <scheme val="minor"/>
      </rPr>
      <t>Month</t>
    </r>
    <r>
      <rPr>
        <sz val="11"/>
        <color theme="1"/>
        <rFont val="Calibri"/>
        <family val="2"/>
        <scheme val="minor"/>
      </rPr>
      <t xml:space="preserve"> - Month
</t>
    </r>
    <r>
      <rPr>
        <b/>
        <sz val="11"/>
        <color theme="1"/>
        <rFont val="Calibri"/>
        <family val="2"/>
        <scheme val="minor"/>
      </rPr>
      <t>Year</t>
    </r>
    <r>
      <rPr>
        <sz val="11"/>
        <color theme="1"/>
        <rFont val="Calibri"/>
        <family val="2"/>
        <scheme val="minor"/>
      </rPr>
      <t xml:space="preserve"> - Year
</t>
    </r>
  </si>
  <si>
    <r>
      <t>Observationlog</t>
    </r>
    <r>
      <rPr>
        <sz val="11"/>
        <color theme="1"/>
        <rFont val="Calibri"/>
        <family val="2"/>
        <scheme val="minor"/>
      </rPr>
      <t xml:space="preserve"> - Observation log
</t>
    </r>
    <r>
      <rPr>
        <b/>
        <sz val="11"/>
        <color theme="1"/>
        <rFont val="Calibri"/>
        <family val="2"/>
        <scheme val="minor"/>
      </rPr>
      <t>Datacharts</t>
    </r>
    <r>
      <rPr>
        <sz val="11"/>
        <color theme="1"/>
        <rFont val="Calibri"/>
        <family val="2"/>
        <scheme val="minor"/>
      </rPr>
      <t xml:space="preserve"> - Data charts
</t>
    </r>
    <r>
      <rPr>
        <b/>
        <sz val="11"/>
        <color theme="1"/>
        <rFont val="Calibri"/>
        <family val="2"/>
        <scheme val="minor"/>
      </rPr>
      <t>Tests</t>
    </r>
    <r>
      <rPr>
        <sz val="11"/>
        <color theme="1"/>
        <rFont val="Calibri"/>
        <family val="2"/>
        <scheme val="minor"/>
      </rPr>
      <t xml:space="preserve"> - Tests
</t>
    </r>
    <r>
      <rPr>
        <b/>
        <sz val="11"/>
        <color theme="1"/>
        <rFont val="Calibri"/>
        <family val="2"/>
        <scheme val="minor"/>
      </rPr>
      <t>Other</t>
    </r>
    <r>
      <rPr>
        <sz val="11"/>
        <color theme="1"/>
        <rFont val="Calibri"/>
        <family val="2"/>
        <scheme val="minor"/>
      </rPr>
      <t xml:space="preserve"> - Other
</t>
    </r>
  </si>
  <si>
    <r>
      <t>SatisfactoryProgress</t>
    </r>
    <r>
      <rPr>
        <sz val="11"/>
        <color theme="1"/>
        <rFont val="Calibri"/>
        <family val="2"/>
        <scheme val="minor"/>
      </rPr>
      <t xml:space="preserve"> - Satisfactory Progress
</t>
    </r>
    <r>
      <rPr>
        <b/>
        <sz val="11"/>
        <color theme="1"/>
        <rFont val="Calibri"/>
        <family val="2"/>
        <scheme val="minor"/>
      </rPr>
      <t>UnsatisfactoryProgress</t>
    </r>
    <r>
      <rPr>
        <sz val="11"/>
        <color theme="1"/>
        <rFont val="Calibri"/>
        <family val="2"/>
        <scheme val="minor"/>
      </rPr>
      <t xml:space="preserve"> - Unsatisfactory Progress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Other</t>
    </r>
    <r>
      <rPr>
        <sz val="11"/>
        <color theme="1"/>
        <rFont val="Calibri"/>
        <family val="2"/>
        <scheme val="minor"/>
      </rPr>
      <t xml:space="preserve"> - Other
</t>
    </r>
  </si>
  <si>
    <r>
      <t>Autism</t>
    </r>
    <r>
      <rPr>
        <sz val="11"/>
        <color theme="1"/>
        <rFont val="Calibri"/>
        <family val="2"/>
        <scheme val="minor"/>
      </rPr>
      <t xml:space="preserve"> - Autism
</t>
    </r>
    <r>
      <rPr>
        <b/>
        <sz val="11"/>
        <color theme="1"/>
        <rFont val="Calibri"/>
        <family val="2"/>
        <scheme val="minor"/>
      </rPr>
      <t>Deafblindness</t>
    </r>
    <r>
      <rPr>
        <sz val="11"/>
        <color theme="1"/>
        <rFont val="Calibri"/>
        <family val="2"/>
        <scheme val="minor"/>
      </rPr>
      <t xml:space="preserve"> - Deaf-blindness
</t>
    </r>
    <r>
      <rPr>
        <b/>
        <sz val="11"/>
        <color theme="1"/>
        <rFont val="Calibri"/>
        <family val="2"/>
        <scheme val="minor"/>
      </rPr>
      <t>Deafness</t>
    </r>
    <r>
      <rPr>
        <sz val="11"/>
        <color theme="1"/>
        <rFont val="Calibri"/>
        <family val="2"/>
        <scheme val="minor"/>
      </rPr>
      <t xml:space="preserve"> - Deafness
</t>
    </r>
    <r>
      <rPr>
        <b/>
        <sz val="11"/>
        <color theme="1"/>
        <rFont val="Calibri"/>
        <family val="2"/>
        <scheme val="minor"/>
      </rPr>
      <t>Developmentaldelay</t>
    </r>
    <r>
      <rPr>
        <sz val="11"/>
        <color theme="1"/>
        <rFont val="Calibri"/>
        <family val="2"/>
        <scheme val="minor"/>
      </rPr>
      <t xml:space="preserve"> - Developmental delay
</t>
    </r>
    <r>
      <rPr>
        <b/>
        <sz val="11"/>
        <color theme="1"/>
        <rFont val="Calibri"/>
        <family val="2"/>
        <scheme val="minor"/>
      </rPr>
      <t>Emotionaldisturbance</t>
    </r>
    <r>
      <rPr>
        <sz val="11"/>
        <color theme="1"/>
        <rFont val="Calibri"/>
        <family val="2"/>
        <scheme val="minor"/>
      </rPr>
      <t xml:space="preserve"> - Emotional disturbance
</t>
    </r>
    <r>
      <rPr>
        <b/>
        <sz val="11"/>
        <color theme="1"/>
        <rFont val="Calibri"/>
        <family val="2"/>
        <scheme val="minor"/>
      </rPr>
      <t>Hearingimpairment</t>
    </r>
    <r>
      <rPr>
        <sz val="11"/>
        <color theme="1"/>
        <rFont val="Calibri"/>
        <family val="2"/>
        <scheme val="minor"/>
      </rPr>
      <t xml:space="preserve"> - Hearing impairment
</t>
    </r>
    <r>
      <rPr>
        <b/>
        <sz val="11"/>
        <color theme="1"/>
        <rFont val="Calibri"/>
        <family val="2"/>
        <scheme val="minor"/>
      </rPr>
      <t>Intellectualdisability</t>
    </r>
    <r>
      <rPr>
        <sz val="11"/>
        <color theme="1"/>
        <rFont val="Calibri"/>
        <family val="2"/>
        <scheme val="minor"/>
      </rPr>
      <t xml:space="preserve"> - Intellectual disability
</t>
    </r>
    <r>
      <rPr>
        <b/>
        <sz val="11"/>
        <color theme="1"/>
        <rFont val="Calibri"/>
        <family val="2"/>
        <scheme val="minor"/>
      </rPr>
      <t>Multipledisabilities</t>
    </r>
    <r>
      <rPr>
        <sz val="11"/>
        <color theme="1"/>
        <rFont val="Calibri"/>
        <family val="2"/>
        <scheme val="minor"/>
      </rPr>
      <t xml:space="preserve"> - Multiple disabilities
</t>
    </r>
    <r>
      <rPr>
        <b/>
        <sz val="11"/>
        <color theme="1"/>
        <rFont val="Calibri"/>
        <family val="2"/>
        <scheme val="minor"/>
      </rPr>
      <t>Orthopedicimpairment</t>
    </r>
    <r>
      <rPr>
        <sz val="11"/>
        <color theme="1"/>
        <rFont val="Calibri"/>
        <family val="2"/>
        <scheme val="minor"/>
      </rPr>
      <t xml:space="preserve"> - Orthopedic impairment
</t>
    </r>
    <r>
      <rPr>
        <b/>
        <sz val="11"/>
        <color theme="1"/>
        <rFont val="Calibri"/>
        <family val="2"/>
        <scheme val="minor"/>
      </rPr>
      <t>Otherhealthimpairment</t>
    </r>
    <r>
      <rPr>
        <sz val="11"/>
        <color theme="1"/>
        <rFont val="Calibri"/>
        <family val="2"/>
        <scheme val="minor"/>
      </rPr>
      <t xml:space="preserve"> - Other health impairment
</t>
    </r>
    <r>
      <rPr>
        <b/>
        <sz val="11"/>
        <color theme="1"/>
        <rFont val="Calibri"/>
        <family val="2"/>
        <scheme val="minor"/>
      </rPr>
      <t>Specificlearningdisability</t>
    </r>
    <r>
      <rPr>
        <sz val="11"/>
        <color theme="1"/>
        <rFont val="Calibri"/>
        <family val="2"/>
        <scheme val="minor"/>
      </rPr>
      <t xml:space="preserve"> - Specific learning disability
</t>
    </r>
    <r>
      <rPr>
        <b/>
        <sz val="11"/>
        <color theme="1"/>
        <rFont val="Calibri"/>
        <family val="2"/>
        <scheme val="minor"/>
      </rPr>
      <t>Speechlanguageimpairment</t>
    </r>
    <r>
      <rPr>
        <sz val="11"/>
        <color theme="1"/>
        <rFont val="Calibri"/>
        <family val="2"/>
        <scheme val="minor"/>
      </rPr>
      <t xml:space="preserve"> - Speech or language impairment
</t>
    </r>
    <r>
      <rPr>
        <b/>
        <sz val="11"/>
        <color theme="1"/>
        <rFont val="Calibri"/>
        <family val="2"/>
        <scheme val="minor"/>
      </rPr>
      <t>Traumaticbraininjury</t>
    </r>
    <r>
      <rPr>
        <sz val="11"/>
        <color theme="1"/>
        <rFont val="Calibri"/>
        <family val="2"/>
        <scheme val="minor"/>
      </rPr>
      <t xml:space="preserve"> - Traumatic brain injury
</t>
    </r>
    <r>
      <rPr>
        <b/>
        <sz val="11"/>
        <color theme="1"/>
        <rFont val="Calibri"/>
        <family val="2"/>
        <scheme val="minor"/>
      </rPr>
      <t>Visualimpairment</t>
    </r>
    <r>
      <rPr>
        <sz val="11"/>
        <color theme="1"/>
        <rFont val="Calibri"/>
        <family val="2"/>
        <scheme val="minor"/>
      </rPr>
      <t xml:space="preserve"> - Visual impairment
</t>
    </r>
  </si>
  <si>
    <r>
      <t>AcademicAchievement</t>
    </r>
    <r>
      <rPr>
        <sz val="11"/>
        <color theme="1"/>
        <rFont val="Calibri"/>
        <family val="2"/>
        <scheme val="minor"/>
      </rPr>
      <t xml:space="preserve"> - Academic Achievement
</t>
    </r>
    <r>
      <rPr>
        <b/>
        <sz val="11"/>
        <color theme="1"/>
        <rFont val="Calibri"/>
        <family val="2"/>
        <scheme val="minor"/>
      </rPr>
      <t>Developmental</t>
    </r>
    <r>
      <rPr>
        <sz val="11"/>
        <color theme="1"/>
        <rFont val="Calibri"/>
        <family val="2"/>
        <scheme val="minor"/>
      </rPr>
      <t xml:space="preserve"> - Developmental
</t>
    </r>
    <r>
      <rPr>
        <b/>
        <sz val="11"/>
        <color theme="1"/>
        <rFont val="Calibri"/>
        <family val="2"/>
        <scheme val="minor"/>
      </rPr>
      <t>Motor</t>
    </r>
    <r>
      <rPr>
        <sz val="11"/>
        <color theme="1"/>
        <rFont val="Calibri"/>
        <family val="2"/>
        <scheme val="minor"/>
      </rPr>
      <t xml:space="preserve"> - Motor
</t>
    </r>
    <r>
      <rPr>
        <b/>
        <sz val="11"/>
        <color theme="1"/>
        <rFont val="Calibri"/>
        <family val="2"/>
        <scheme val="minor"/>
      </rPr>
      <t>FunctionalBehavior</t>
    </r>
    <r>
      <rPr>
        <sz val="11"/>
        <color theme="1"/>
        <rFont val="Calibri"/>
        <family val="2"/>
        <scheme val="minor"/>
      </rPr>
      <t xml:space="preserve"> - Functional Behavior
</t>
    </r>
    <r>
      <rPr>
        <b/>
        <sz val="11"/>
        <color theme="1"/>
        <rFont val="Calibri"/>
        <family val="2"/>
        <scheme val="minor"/>
      </rPr>
      <t>AdaptiveBehavior</t>
    </r>
    <r>
      <rPr>
        <sz val="11"/>
        <color theme="1"/>
        <rFont val="Calibri"/>
        <family val="2"/>
        <scheme val="minor"/>
      </rPr>
      <t xml:space="preserve"> - Adaptive Behavior
</t>
    </r>
    <r>
      <rPr>
        <b/>
        <sz val="11"/>
        <color theme="1"/>
        <rFont val="Calibri"/>
        <family val="2"/>
        <scheme val="minor"/>
      </rPr>
      <t>Transition</t>
    </r>
    <r>
      <rPr>
        <sz val="11"/>
        <color theme="1"/>
        <rFont val="Calibri"/>
        <family val="2"/>
        <scheme val="minor"/>
      </rPr>
      <t xml:space="preserve"> - Transition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Vision</t>
    </r>
    <r>
      <rPr>
        <sz val="11"/>
        <color theme="1"/>
        <rFont val="Calibri"/>
        <family val="2"/>
        <scheme val="minor"/>
      </rPr>
      <t xml:space="preserve"> - Vision
</t>
    </r>
    <r>
      <rPr>
        <b/>
        <sz val="11"/>
        <color theme="1"/>
        <rFont val="Calibri"/>
        <family val="2"/>
        <scheme val="minor"/>
      </rPr>
      <t>O&amp;M</t>
    </r>
    <r>
      <rPr>
        <sz val="11"/>
        <color theme="1"/>
        <rFont val="Calibri"/>
        <family val="2"/>
        <scheme val="minor"/>
      </rPr>
      <t xml:space="preserve"> - Orientation and Mobility
</t>
    </r>
    <r>
      <rPr>
        <b/>
        <sz val="11"/>
        <color theme="1"/>
        <rFont val="Calibri"/>
        <family val="2"/>
        <scheme val="minor"/>
      </rPr>
      <t>Medical</t>
    </r>
    <r>
      <rPr>
        <sz val="11"/>
        <color theme="1"/>
        <rFont val="Calibri"/>
        <family val="2"/>
        <scheme val="minor"/>
      </rPr>
      <t xml:space="preserve"> - Medical
</t>
    </r>
    <r>
      <rPr>
        <b/>
        <sz val="11"/>
        <color theme="1"/>
        <rFont val="Calibri"/>
        <family val="2"/>
        <scheme val="minor"/>
      </rPr>
      <t>Language</t>
    </r>
    <r>
      <rPr>
        <sz val="11"/>
        <color theme="1"/>
        <rFont val="Calibri"/>
        <family val="2"/>
        <scheme val="minor"/>
      </rPr>
      <t xml:space="preserve"> - Language
</t>
    </r>
    <r>
      <rPr>
        <b/>
        <sz val="11"/>
        <color theme="1"/>
        <rFont val="Calibri"/>
        <family val="2"/>
        <scheme val="minor"/>
      </rPr>
      <t>Speech</t>
    </r>
    <r>
      <rPr>
        <sz val="11"/>
        <color theme="1"/>
        <rFont val="Calibri"/>
        <family val="2"/>
        <scheme val="minor"/>
      </rPr>
      <t xml:space="preserve"> - Speech
</t>
    </r>
    <r>
      <rPr>
        <b/>
        <sz val="11"/>
        <color theme="1"/>
        <rFont val="Calibri"/>
        <family val="2"/>
        <scheme val="minor"/>
      </rPr>
      <t>Cognitive</t>
    </r>
    <r>
      <rPr>
        <sz val="11"/>
        <color theme="1"/>
        <rFont val="Calibri"/>
        <family val="2"/>
        <scheme val="minor"/>
      </rPr>
      <t xml:space="preserve"> - Cognitive
</t>
    </r>
    <r>
      <rPr>
        <b/>
        <sz val="11"/>
        <color theme="1"/>
        <rFont val="Calibri"/>
        <family val="2"/>
        <scheme val="minor"/>
      </rPr>
      <t>Social/Emotional</t>
    </r>
    <r>
      <rPr>
        <sz val="11"/>
        <color theme="1"/>
        <rFont val="Calibri"/>
        <family val="2"/>
        <scheme val="minor"/>
      </rPr>
      <t xml:space="preserve"> - Social/Emotional
</t>
    </r>
    <r>
      <rPr>
        <b/>
        <sz val="11"/>
        <color theme="1"/>
        <rFont val="Calibri"/>
        <family val="2"/>
        <scheme val="minor"/>
      </rPr>
      <t>Other</t>
    </r>
    <r>
      <rPr>
        <sz val="11"/>
        <color theme="1"/>
        <rFont val="Calibri"/>
        <family val="2"/>
        <scheme val="minor"/>
      </rPr>
      <t xml:space="preserve"> - Other
</t>
    </r>
  </si>
  <si>
    <r>
      <t>Placement</t>
    </r>
    <r>
      <rPr>
        <sz val="11"/>
        <color theme="1"/>
        <rFont val="Calibri"/>
        <family val="2"/>
        <scheme val="minor"/>
      </rPr>
      <t xml:space="preserve"> - Placement
</t>
    </r>
    <r>
      <rPr>
        <b/>
        <sz val="11"/>
        <color theme="1"/>
        <rFont val="Calibri"/>
        <family val="2"/>
        <scheme val="minor"/>
      </rPr>
      <t>Amendment</t>
    </r>
    <r>
      <rPr>
        <sz val="11"/>
        <color theme="1"/>
        <rFont val="Calibri"/>
        <family val="2"/>
        <scheme val="minor"/>
      </rPr>
      <t xml:space="preserve"> - Amendment
</t>
    </r>
    <r>
      <rPr>
        <b/>
        <sz val="11"/>
        <color theme="1"/>
        <rFont val="Calibri"/>
        <family val="2"/>
        <scheme val="minor"/>
      </rPr>
      <t>AnnualGoal</t>
    </r>
    <r>
      <rPr>
        <sz val="11"/>
        <color theme="1"/>
        <rFont val="Calibri"/>
        <family val="2"/>
        <scheme val="minor"/>
      </rPr>
      <t xml:space="preserve"> - Annual Goal
</t>
    </r>
    <r>
      <rPr>
        <b/>
        <sz val="11"/>
        <color theme="1"/>
        <rFont val="Calibri"/>
        <family val="2"/>
        <scheme val="minor"/>
      </rPr>
      <t>MeasurableObjective</t>
    </r>
    <r>
      <rPr>
        <sz val="11"/>
        <color theme="1"/>
        <rFont val="Calibri"/>
        <family val="2"/>
        <scheme val="minor"/>
      </rPr>
      <t xml:space="preserve"> - Measurable Objective
</t>
    </r>
    <r>
      <rPr>
        <b/>
        <sz val="11"/>
        <color theme="1"/>
        <rFont val="Calibri"/>
        <family val="2"/>
        <scheme val="minor"/>
      </rPr>
      <t>IEP</t>
    </r>
    <r>
      <rPr>
        <sz val="11"/>
        <color theme="1"/>
        <rFont val="Calibri"/>
        <family val="2"/>
        <scheme val="minor"/>
      </rPr>
      <t xml:space="preserve"> - IEP
</t>
    </r>
    <r>
      <rPr>
        <b/>
        <sz val="11"/>
        <color theme="1"/>
        <rFont val="Calibri"/>
        <family val="2"/>
        <scheme val="minor"/>
      </rPr>
      <t>Revoke</t>
    </r>
    <r>
      <rPr>
        <sz val="11"/>
        <color theme="1"/>
        <rFont val="Calibri"/>
        <family val="2"/>
        <scheme val="minor"/>
      </rPr>
      <t xml:space="preserve"> - Revoke
</t>
    </r>
  </si>
  <si>
    <r>
      <t>Initial</t>
    </r>
    <r>
      <rPr>
        <sz val="11"/>
        <color theme="1"/>
        <rFont val="Calibri"/>
        <family val="2"/>
        <scheme val="minor"/>
      </rPr>
      <t xml:space="preserve"> - Initial
</t>
    </r>
    <r>
      <rPr>
        <b/>
        <sz val="11"/>
        <color theme="1"/>
        <rFont val="Calibri"/>
        <family val="2"/>
        <scheme val="minor"/>
      </rPr>
      <t>Reevaluation</t>
    </r>
    <r>
      <rPr>
        <sz val="11"/>
        <color theme="1"/>
        <rFont val="Calibri"/>
        <family val="2"/>
        <scheme val="minor"/>
      </rPr>
      <t xml:space="preserve"> - Reevaluation
</t>
    </r>
  </si>
  <si>
    <r>
      <t>Academic</t>
    </r>
    <r>
      <rPr>
        <sz val="11"/>
        <color theme="1"/>
        <rFont val="Calibri"/>
        <family val="2"/>
        <scheme val="minor"/>
      </rPr>
      <t xml:space="preserve"> - Academic
</t>
    </r>
    <r>
      <rPr>
        <b/>
        <sz val="11"/>
        <color theme="1"/>
        <rFont val="Calibri"/>
        <family val="2"/>
        <scheme val="minor"/>
      </rPr>
      <t>Functional</t>
    </r>
    <r>
      <rPr>
        <sz val="11"/>
        <color theme="1"/>
        <rFont val="Calibri"/>
        <family val="2"/>
        <scheme val="minor"/>
      </rPr>
      <t xml:space="preserve"> - Functional
</t>
    </r>
    <r>
      <rPr>
        <b/>
        <sz val="11"/>
        <color theme="1"/>
        <rFont val="Calibri"/>
        <family val="2"/>
        <scheme val="minor"/>
      </rPr>
      <t>Transitional</t>
    </r>
    <r>
      <rPr>
        <sz val="11"/>
        <color theme="1"/>
        <rFont val="Calibri"/>
        <family val="2"/>
        <scheme val="minor"/>
      </rPr>
      <t xml:space="preserve"> - Transitional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</si>
  <si>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Term</t>
    </r>
    <r>
      <rPr>
        <sz val="11"/>
        <color theme="1"/>
        <rFont val="Calibri"/>
        <family val="2"/>
        <scheme val="minor"/>
      </rPr>
      <t xml:space="preserve"> - Term
</t>
    </r>
    <r>
      <rPr>
        <b/>
        <sz val="11"/>
        <color theme="1"/>
        <rFont val="Calibri"/>
        <family val="2"/>
        <scheme val="minor"/>
      </rPr>
      <t>Other</t>
    </r>
    <r>
      <rPr>
        <sz val="11"/>
        <color theme="1"/>
        <rFont val="Calibri"/>
        <family val="2"/>
        <scheme val="minor"/>
      </rPr>
      <t xml:space="preserve"> - Other
</t>
    </r>
  </si>
  <si>
    <r>
      <t>Reportcard</t>
    </r>
    <r>
      <rPr>
        <sz val="11"/>
        <color theme="1"/>
        <rFont val="Calibri"/>
        <family val="2"/>
        <scheme val="minor"/>
      </rPr>
      <t xml:space="preserve"> - Report card
</t>
    </r>
    <r>
      <rPr>
        <b/>
        <sz val="11"/>
        <color theme="1"/>
        <rFont val="Calibri"/>
        <family val="2"/>
        <scheme val="minor"/>
      </rPr>
      <t>Progressreports</t>
    </r>
    <r>
      <rPr>
        <sz val="11"/>
        <color theme="1"/>
        <rFont val="Calibri"/>
        <family val="2"/>
        <scheme val="minor"/>
      </rPr>
      <t xml:space="preserve"> - Progress reports
</t>
    </r>
    <r>
      <rPr>
        <b/>
        <sz val="11"/>
        <color theme="1"/>
        <rFont val="Calibri"/>
        <family val="2"/>
        <scheme val="minor"/>
      </rPr>
      <t>Parentconference</t>
    </r>
    <r>
      <rPr>
        <sz val="11"/>
        <color theme="1"/>
        <rFont val="Calibri"/>
        <family val="2"/>
        <scheme val="minor"/>
      </rPr>
      <t xml:space="preserve"> - Parent conference
</t>
    </r>
    <r>
      <rPr>
        <b/>
        <sz val="11"/>
        <color theme="1"/>
        <rFont val="Calibri"/>
        <family val="2"/>
        <scheme val="minor"/>
      </rPr>
      <t>Other</t>
    </r>
    <r>
      <rPr>
        <sz val="11"/>
        <color theme="1"/>
        <rFont val="Calibri"/>
        <family val="2"/>
        <scheme val="minor"/>
      </rPr>
      <t xml:space="preserve"> - Other
</t>
    </r>
  </si>
  <si>
    <r>
      <t>05978</t>
    </r>
    <r>
      <rPr>
        <sz val="11"/>
        <color theme="1"/>
        <rFont val="Calibri"/>
        <family val="2"/>
        <scheme val="minor"/>
      </rPr>
      <t xml:space="preserve"> - 504 plan
</t>
    </r>
    <r>
      <rPr>
        <b/>
        <sz val="11"/>
        <color theme="1"/>
        <rFont val="Calibri"/>
        <family val="2"/>
        <scheme val="minor"/>
      </rPr>
      <t>89600</t>
    </r>
    <r>
      <rPr>
        <sz val="11"/>
        <color theme="1"/>
        <rFont val="Calibri"/>
        <family val="2"/>
        <scheme val="minor"/>
      </rPr>
      <t xml:space="preserve"> - College and Career Ready Learning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English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</si>
  <si>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r>
      <t>Longterminvestments</t>
    </r>
    <r>
      <rPr>
        <sz val="11"/>
        <color theme="1"/>
        <rFont val="Calibri"/>
        <family val="2"/>
        <scheme val="minor"/>
      </rPr>
      <t xml:space="preserve"> - Long-term investments
</t>
    </r>
    <r>
      <rPr>
        <b/>
        <sz val="11"/>
        <color theme="1"/>
        <rFont val="Calibri"/>
        <family val="2"/>
        <scheme val="minor"/>
      </rPr>
      <t>PropertyPlantEquipmentnetofaccumulateddepreciation</t>
    </r>
    <r>
      <rPr>
        <sz val="11"/>
        <color theme="1"/>
        <rFont val="Calibri"/>
        <family val="2"/>
        <scheme val="minor"/>
      </rPr>
      <t xml:space="preserve"> - Property, Plant, and Equipment, net of accumulated depreciation
</t>
    </r>
    <r>
      <rPr>
        <b/>
        <sz val="11"/>
        <color theme="1"/>
        <rFont val="Calibri"/>
        <family val="2"/>
        <scheme val="minor"/>
      </rPr>
      <t>IntangibleAssetsnetofaccumulatedamortization</t>
    </r>
    <r>
      <rPr>
        <sz val="11"/>
        <color theme="1"/>
        <rFont val="Calibri"/>
        <family val="2"/>
        <scheme val="minor"/>
      </rPr>
      <t xml:space="preserve"> - Intangible Assets, net of accumulated amortization
</t>
    </r>
    <r>
      <rPr>
        <b/>
        <sz val="11"/>
        <color theme="1"/>
        <rFont val="Calibri"/>
        <family val="2"/>
        <scheme val="minor"/>
      </rPr>
      <t>AssetsCashcashequivalentstemporaryinvestments</t>
    </r>
    <r>
      <rPr>
        <sz val="11"/>
        <color theme="1"/>
        <rFont val="Calibri"/>
        <family val="2"/>
        <scheme val="minor"/>
      </rPr>
      <t xml:space="preserve"> - Assets: Cash, cash equivalents, and temporary investments
</t>
    </r>
    <r>
      <rPr>
        <b/>
        <sz val="11"/>
        <color theme="1"/>
        <rFont val="Calibri"/>
        <family val="2"/>
        <scheme val="minor"/>
      </rPr>
      <t>AssetsReceivablesnetofallowancefor</t>
    </r>
    <r>
      <rPr>
        <sz val="11"/>
        <color theme="1"/>
        <rFont val="Calibri"/>
        <family val="2"/>
        <scheme val="minor"/>
      </rPr>
      <t xml:space="preserve"> - Assets: Receivables (net of allowance for uncollectible amounts)
</t>
    </r>
    <r>
      <rPr>
        <b/>
        <sz val="11"/>
        <color theme="1"/>
        <rFont val="Calibri"/>
        <family val="2"/>
        <scheme val="minor"/>
      </rPr>
      <t>AssetsInventoriesprepaidexpensesdeferredcharges</t>
    </r>
    <r>
      <rPr>
        <sz val="11"/>
        <color theme="1"/>
        <rFont val="Calibri"/>
        <family val="2"/>
        <scheme val="minor"/>
      </rPr>
      <t xml:space="preserve"> - Assets: Inventories, prepaid expenses, and deferred charges
</t>
    </r>
    <r>
      <rPr>
        <b/>
        <sz val="11"/>
        <color theme="1"/>
        <rFont val="Calibri"/>
        <family val="2"/>
        <scheme val="minor"/>
      </rPr>
      <t>AssetsAmountsheldbytrusteesfor</t>
    </r>
    <r>
      <rPr>
        <sz val="11"/>
        <color theme="1"/>
        <rFont val="Calibri"/>
        <family val="2"/>
        <scheme val="minor"/>
      </rPr>
      <t xml:space="preserve"> - Assets: Amounts held by trustees for construction and debt service
</t>
    </r>
    <r>
      <rPr>
        <b/>
        <sz val="11"/>
        <color theme="1"/>
        <rFont val="Calibri"/>
        <family val="2"/>
        <scheme val="minor"/>
      </rPr>
      <t>AssetsOtherassets</t>
    </r>
    <r>
      <rPr>
        <sz val="11"/>
        <color theme="1"/>
        <rFont val="Calibri"/>
        <family val="2"/>
        <scheme val="minor"/>
      </rPr>
      <t xml:space="preserve"> - Assets: Other assets
</t>
    </r>
    <r>
      <rPr>
        <b/>
        <sz val="11"/>
        <color theme="1"/>
        <rFont val="Calibri"/>
        <family val="2"/>
        <scheme val="minor"/>
      </rPr>
      <t>LiabilitiesAccountspayable</t>
    </r>
    <r>
      <rPr>
        <sz val="11"/>
        <color theme="1"/>
        <rFont val="Calibri"/>
        <family val="2"/>
        <scheme val="minor"/>
      </rPr>
      <t xml:space="preserve"> - Liabilities: Accounts payable
</t>
    </r>
    <r>
      <rPr>
        <b/>
        <sz val="11"/>
        <color theme="1"/>
        <rFont val="Calibri"/>
        <family val="2"/>
        <scheme val="minor"/>
      </rPr>
      <t>LiabilitiesDeferredrevenuesrefundableadvances</t>
    </r>
    <r>
      <rPr>
        <sz val="11"/>
        <color theme="1"/>
        <rFont val="Calibri"/>
        <family val="2"/>
        <scheme val="minor"/>
      </rPr>
      <t xml:space="preserve"> - Liabilities: Deferred revenues and refundable advances
</t>
    </r>
    <r>
      <rPr>
        <b/>
        <sz val="11"/>
        <color theme="1"/>
        <rFont val="Calibri"/>
        <family val="2"/>
        <scheme val="minor"/>
      </rPr>
      <t>LiabilitiesPostretirementpostemploymentobligations</t>
    </r>
    <r>
      <rPr>
        <sz val="11"/>
        <color theme="1"/>
        <rFont val="Calibri"/>
        <family val="2"/>
        <scheme val="minor"/>
      </rPr>
      <t xml:space="preserve"> - Liabilities: Post-retirement and post-employment obligations
</t>
    </r>
    <r>
      <rPr>
        <b/>
        <sz val="11"/>
        <color theme="1"/>
        <rFont val="Calibri"/>
        <family val="2"/>
        <scheme val="minor"/>
      </rPr>
      <t>LiabilitiesOtheraccruedliabilities</t>
    </r>
    <r>
      <rPr>
        <sz val="11"/>
        <color theme="1"/>
        <rFont val="Calibri"/>
        <family val="2"/>
        <scheme val="minor"/>
      </rPr>
      <t xml:space="preserve"> - Liabilities: Other accrued liabilities
</t>
    </r>
    <r>
      <rPr>
        <b/>
        <sz val="11"/>
        <color theme="1"/>
        <rFont val="Calibri"/>
        <family val="2"/>
        <scheme val="minor"/>
      </rPr>
      <t>LiabilitiesAnnuitylifeincomeobligationsother</t>
    </r>
    <r>
      <rPr>
        <sz val="11"/>
        <color theme="1"/>
        <rFont val="Calibri"/>
        <family val="2"/>
        <scheme val="minor"/>
      </rPr>
      <t xml:space="preserve"> - Liabilities: Annuity and life income obligations and other amounts held for the benefit of others
</t>
    </r>
    <r>
      <rPr>
        <b/>
        <sz val="11"/>
        <color theme="1"/>
        <rFont val="Calibri"/>
        <family val="2"/>
        <scheme val="minor"/>
      </rPr>
      <t>LiabilitiesBondsnotescapitalleases</t>
    </r>
    <r>
      <rPr>
        <sz val="11"/>
        <color theme="1"/>
        <rFont val="Calibri"/>
        <family val="2"/>
        <scheme val="minor"/>
      </rPr>
      <t xml:space="preserve"> - Liabilities: Bonds, notes, and capital leases payable and other long-term debt, including current portion
</t>
    </r>
    <r>
      <rPr>
        <b/>
        <sz val="11"/>
        <color theme="1"/>
        <rFont val="Calibri"/>
        <family val="2"/>
        <scheme val="minor"/>
      </rPr>
      <t>LiabilitiesGovernmentgrantsrefundableunder</t>
    </r>
    <r>
      <rPr>
        <sz val="11"/>
        <color theme="1"/>
        <rFont val="Calibri"/>
        <family val="2"/>
        <scheme val="minor"/>
      </rPr>
      <t xml:space="preserve"> - Liabilities: Government grants refundable under student loan programs
</t>
    </r>
    <r>
      <rPr>
        <b/>
        <sz val="11"/>
        <color theme="1"/>
        <rFont val="Calibri"/>
        <family val="2"/>
        <scheme val="minor"/>
      </rPr>
      <t>LiabilitiesOtherliabilities</t>
    </r>
    <r>
      <rPr>
        <sz val="11"/>
        <color theme="1"/>
        <rFont val="Calibri"/>
        <family val="2"/>
        <scheme val="minor"/>
      </rPr>
      <t xml:space="preserve"> - Liabilities: Other liabilities
</t>
    </r>
    <r>
      <rPr>
        <b/>
        <sz val="11"/>
        <color theme="1"/>
        <rFont val="Calibri"/>
        <family val="2"/>
        <scheme val="minor"/>
      </rPr>
      <t>DebtrelatedtoPropertyPlantEquipment</t>
    </r>
    <r>
      <rPr>
        <sz val="11"/>
        <color theme="1"/>
        <rFont val="Calibri"/>
        <family val="2"/>
        <scheme val="minor"/>
      </rPr>
      <t xml:space="preserve"> - Debt related to Property, Plant, and Equipment
</t>
    </r>
    <r>
      <rPr>
        <b/>
        <sz val="11"/>
        <color theme="1"/>
        <rFont val="Calibri"/>
        <family val="2"/>
        <scheme val="minor"/>
      </rPr>
      <t>Totalunrestrictednetassets</t>
    </r>
    <r>
      <rPr>
        <sz val="11"/>
        <color theme="1"/>
        <rFont val="Calibri"/>
        <family val="2"/>
        <scheme val="minor"/>
      </rPr>
      <t xml:space="preserve"> - Total unrestricted net assets
</t>
    </r>
    <r>
      <rPr>
        <b/>
        <sz val="11"/>
        <color theme="1"/>
        <rFont val="Calibri"/>
        <family val="2"/>
        <scheme val="minor"/>
      </rPr>
      <t>Permanentlyrestrictednetassets</t>
    </r>
    <r>
      <rPr>
        <sz val="11"/>
        <color theme="1"/>
        <rFont val="Calibri"/>
        <family val="2"/>
        <scheme val="minor"/>
      </rPr>
      <t xml:space="preserve"> - Permanently restricted net assets
</t>
    </r>
    <r>
      <rPr>
        <b/>
        <sz val="11"/>
        <color theme="1"/>
        <rFont val="Calibri"/>
        <family val="2"/>
        <scheme val="minor"/>
      </rPr>
      <t>Temporarilyrestrictednetassets</t>
    </r>
    <r>
      <rPr>
        <sz val="11"/>
        <color theme="1"/>
        <rFont val="Calibri"/>
        <family val="2"/>
        <scheme val="minor"/>
      </rPr>
      <t xml:space="preserve"> - Temporarily restricted net assets
</t>
    </r>
    <r>
      <rPr>
        <b/>
        <sz val="11"/>
        <color theme="1"/>
        <rFont val="Calibri"/>
        <family val="2"/>
        <scheme val="minor"/>
      </rPr>
      <t>GrossPropertyPlantEquipmentLandlandimprovements</t>
    </r>
    <r>
      <rPr>
        <sz val="11"/>
        <color theme="1"/>
        <rFont val="Calibri"/>
        <family val="2"/>
        <scheme val="minor"/>
      </rPr>
      <t xml:space="preserve"> - Gross Property Plant Equipment: Land and land improvements
</t>
    </r>
    <r>
      <rPr>
        <b/>
        <sz val="11"/>
        <color theme="1"/>
        <rFont val="Calibri"/>
        <family val="2"/>
        <scheme val="minor"/>
      </rPr>
      <t>GrossPropertyPlantEquipmentBuildings</t>
    </r>
    <r>
      <rPr>
        <sz val="11"/>
        <color theme="1"/>
        <rFont val="Calibri"/>
        <family val="2"/>
        <scheme val="minor"/>
      </rPr>
      <t xml:space="preserve"> - Gross Property Plant Equipment: Buildings
</t>
    </r>
    <r>
      <rPr>
        <b/>
        <sz val="11"/>
        <color theme="1"/>
        <rFont val="Calibri"/>
        <family val="2"/>
        <scheme val="minor"/>
      </rPr>
      <t>GrossPropertyPlantEquipmentEquipment</t>
    </r>
    <r>
      <rPr>
        <sz val="11"/>
        <color theme="1"/>
        <rFont val="Calibri"/>
        <family val="2"/>
        <scheme val="minor"/>
      </rPr>
      <t xml:space="preserve"> - Gross Property Plant Equipment: Equipment, including art and library collections
</t>
    </r>
    <r>
      <rPr>
        <b/>
        <sz val="11"/>
        <color theme="1"/>
        <rFont val="Calibri"/>
        <family val="2"/>
        <scheme val="minor"/>
      </rPr>
      <t>GrossPropertyPlantEquipmentConstructioninProgress</t>
    </r>
    <r>
      <rPr>
        <sz val="11"/>
        <color theme="1"/>
        <rFont val="Calibri"/>
        <family val="2"/>
        <scheme val="minor"/>
      </rPr>
      <t xml:space="preserve"> - Gross Property Plant Equipment: Construction in Progress
</t>
    </r>
    <r>
      <rPr>
        <b/>
        <sz val="11"/>
        <color theme="1"/>
        <rFont val="Calibri"/>
        <family val="2"/>
        <scheme val="minor"/>
      </rPr>
      <t>GrossPropertyPlantEquipmentOther</t>
    </r>
    <r>
      <rPr>
        <sz val="11"/>
        <color theme="1"/>
        <rFont val="Calibri"/>
        <family val="2"/>
        <scheme val="minor"/>
      </rPr>
      <t xml:space="preserve"> - Gross Property Plant Equipment: Other
</t>
    </r>
    <r>
      <rPr>
        <b/>
        <sz val="11"/>
        <color theme="1"/>
        <rFont val="Calibri"/>
        <family val="2"/>
        <scheme val="minor"/>
      </rPr>
      <t>Accumulateddepreciation</t>
    </r>
    <r>
      <rPr>
        <sz val="11"/>
        <color theme="1"/>
        <rFont val="Calibri"/>
        <family val="2"/>
        <scheme val="minor"/>
      </rPr>
      <t xml:space="preserve"> - Accumulated depreciation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</si>
  <si>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Netgrantaidtostudents</t>
    </r>
    <r>
      <rPr>
        <sz val="11"/>
        <color theme="1"/>
        <rFont val="Calibri"/>
        <family val="2"/>
        <scheme val="minor"/>
      </rPr>
      <t xml:space="preserve"> - Net grant aid to students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</si>
  <si>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Passthrough</t>
    </r>
    <r>
      <rPr>
        <sz val="11"/>
        <color theme="1"/>
        <rFont val="Calibri"/>
        <family val="2"/>
        <scheme val="minor"/>
      </rPr>
      <t xml:space="preserve"> - Pass through
</t>
    </r>
    <r>
      <rPr>
        <b/>
        <sz val="11"/>
        <color theme="1"/>
        <rFont val="Calibri"/>
        <family val="2"/>
        <scheme val="minor"/>
      </rPr>
      <t>Federalgrantrevenue</t>
    </r>
    <r>
      <rPr>
        <sz val="11"/>
        <color theme="1"/>
        <rFont val="Calibri"/>
        <family val="2"/>
        <scheme val="minor"/>
      </rPr>
      <t xml:space="preserve"> - Federal grant revenue
</t>
    </r>
    <r>
      <rPr>
        <b/>
        <sz val="11"/>
        <color theme="1"/>
        <rFont val="Calibri"/>
        <family val="2"/>
        <scheme val="minor"/>
      </rPr>
      <t>DoesnotawardPellgrants</t>
    </r>
    <r>
      <rPr>
        <sz val="11"/>
        <color theme="1"/>
        <rFont val="Calibri"/>
        <family val="2"/>
        <scheme val="minor"/>
      </rPr>
      <t xml:space="preserve"> - Does not award Pell grants
</t>
    </r>
  </si>
  <si>
    <r>
      <t>Tuitionfeesnetofallowance</t>
    </r>
    <r>
      <rPr>
        <sz val="11"/>
        <color theme="1"/>
        <rFont val="Calibri"/>
        <family val="2"/>
        <scheme val="minor"/>
      </rPr>
      <t xml:space="preserve"> - Tuition and fees (net of allowance)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t>
    </r>
    <r>
      <rPr>
        <sz val="11"/>
        <color theme="1"/>
        <rFont val="Calibri"/>
        <family val="2"/>
        <scheme val="minor"/>
      </rPr>
      <t xml:space="preserve"> - Local appropriations
</t>
    </r>
    <r>
      <rPr>
        <b/>
        <sz val="11"/>
        <color theme="1"/>
        <rFont val="Calibri"/>
        <family val="2"/>
        <scheme val="minor"/>
      </rPr>
      <t>Federalgrantscontracts</t>
    </r>
    <r>
      <rPr>
        <sz val="11"/>
        <color theme="1"/>
        <rFont val="Calibri"/>
        <family val="2"/>
        <scheme val="minor"/>
      </rPr>
      <t xml:space="preserve"> - Federal grants and contracts
</t>
    </r>
    <r>
      <rPr>
        <b/>
        <sz val="11"/>
        <color theme="1"/>
        <rFont val="Calibri"/>
        <family val="2"/>
        <scheme val="minor"/>
      </rPr>
      <t>Stategrantscontracts</t>
    </r>
    <r>
      <rPr>
        <sz val="11"/>
        <color theme="1"/>
        <rFont val="Calibri"/>
        <family val="2"/>
        <scheme val="minor"/>
      </rPr>
      <t xml:space="preserve"> - State grants and contracts
</t>
    </r>
    <r>
      <rPr>
        <b/>
        <sz val="11"/>
        <color theme="1"/>
        <rFont val="Calibri"/>
        <family val="2"/>
        <scheme val="minor"/>
      </rPr>
      <t>Localgrantscontracts</t>
    </r>
    <r>
      <rPr>
        <sz val="11"/>
        <color theme="1"/>
        <rFont val="Calibri"/>
        <family val="2"/>
        <scheme val="minor"/>
      </rPr>
      <t xml:space="preserve"> - Local grants and contracts
</t>
    </r>
    <r>
      <rPr>
        <b/>
        <sz val="11"/>
        <color theme="1"/>
        <rFont val="Calibri"/>
        <family val="2"/>
        <scheme val="minor"/>
      </rPr>
      <t>Privategifts</t>
    </r>
    <r>
      <rPr>
        <sz val="11"/>
        <color theme="1"/>
        <rFont val="Calibri"/>
        <family val="2"/>
        <scheme val="minor"/>
      </rPr>
      <t xml:space="preserve"> - Private gifts
</t>
    </r>
    <r>
      <rPr>
        <b/>
        <sz val="11"/>
        <color theme="1"/>
        <rFont val="Calibri"/>
        <family val="2"/>
        <scheme val="minor"/>
      </rPr>
      <t>Privategrantscontracts</t>
    </r>
    <r>
      <rPr>
        <sz val="11"/>
        <color theme="1"/>
        <rFont val="Calibri"/>
        <family val="2"/>
        <scheme val="minor"/>
      </rPr>
      <t xml:space="preserve"> - Private grants and contracts
</t>
    </r>
    <r>
      <rPr>
        <b/>
        <sz val="11"/>
        <color theme="1"/>
        <rFont val="Calibri"/>
        <family val="2"/>
        <scheme val="minor"/>
      </rPr>
      <t>Contributionsfromaffiliatedentities</t>
    </r>
    <r>
      <rPr>
        <sz val="11"/>
        <color theme="1"/>
        <rFont val="Calibri"/>
        <family val="2"/>
        <scheme val="minor"/>
      </rPr>
      <t xml:space="preserve"> - Contributions from affiliated entities
</t>
    </r>
    <r>
      <rPr>
        <b/>
        <sz val="11"/>
        <color theme="1"/>
        <rFont val="Calibri"/>
        <family val="2"/>
        <scheme val="minor"/>
      </rPr>
      <t>Investmentreturn</t>
    </r>
    <r>
      <rPr>
        <sz val="11"/>
        <color theme="1"/>
        <rFont val="Calibri"/>
        <family val="2"/>
        <scheme val="minor"/>
      </rPr>
      <t xml:space="preserve"> - Investment return
</t>
    </r>
    <r>
      <rPr>
        <b/>
        <sz val="11"/>
        <color theme="1"/>
        <rFont val="Calibri"/>
        <family val="2"/>
        <scheme val="minor"/>
      </rPr>
      <t>Salesservicesofeducationalactivities</t>
    </r>
    <r>
      <rPr>
        <sz val="11"/>
        <color theme="1"/>
        <rFont val="Calibri"/>
        <family val="2"/>
        <scheme val="minor"/>
      </rPr>
      <t xml:space="preserve"> - Sales and services of educational activities
</t>
    </r>
    <r>
      <rPr>
        <b/>
        <sz val="11"/>
        <color theme="1"/>
        <rFont val="Calibri"/>
        <family val="2"/>
        <scheme val="minor"/>
      </rPr>
      <t>Salesservicesofauxiliaryenterprisesnetofallowance</t>
    </r>
    <r>
      <rPr>
        <sz val="11"/>
        <color theme="1"/>
        <rFont val="Calibri"/>
        <family val="2"/>
        <scheme val="minor"/>
      </rPr>
      <t xml:space="preserve"> - Sales and services of auxiliary enterprises (net of allowance)
</t>
    </r>
    <r>
      <rPr>
        <b/>
        <sz val="11"/>
        <color theme="1"/>
        <rFont val="Calibri"/>
        <family val="2"/>
        <scheme val="minor"/>
      </rPr>
      <t>Hospitalrevenuenottobereportedby</t>
    </r>
    <r>
      <rPr>
        <sz val="11"/>
        <color theme="1"/>
        <rFont val="Calibri"/>
        <family val="2"/>
        <scheme val="minor"/>
      </rPr>
      <t xml:space="preserve"> - Hospital revenue (not to be reported by less-than-4-year institutions)
</t>
    </r>
    <r>
      <rPr>
        <b/>
        <sz val="11"/>
        <color theme="1"/>
        <rFont val="Calibri"/>
        <family val="2"/>
        <scheme val="minor"/>
      </rPr>
      <t>Independentoperationsrevenuenottobe</t>
    </r>
    <r>
      <rPr>
        <sz val="11"/>
        <color theme="1"/>
        <rFont val="Calibri"/>
        <family val="2"/>
        <scheme val="minor"/>
      </rPr>
      <t xml:space="preserve"> - Independent operations revenue (not to be reported by less-than-4-year institutions)
</t>
    </r>
    <r>
      <rPr>
        <b/>
        <sz val="11"/>
        <color theme="1"/>
        <rFont val="Calibri"/>
        <family val="2"/>
        <scheme val="minor"/>
      </rPr>
      <t>Otherrevenue</t>
    </r>
    <r>
      <rPr>
        <sz val="11"/>
        <color theme="1"/>
        <rFont val="Calibri"/>
        <family val="2"/>
        <scheme val="minor"/>
      </rPr>
      <t xml:space="preserve"> - Other revenue
</t>
    </r>
    <r>
      <rPr>
        <b/>
        <sz val="11"/>
        <color theme="1"/>
        <rFont val="Calibri"/>
        <family val="2"/>
        <scheme val="minor"/>
      </rPr>
      <t>Netassetsreleasedfromrestriction</t>
    </r>
    <r>
      <rPr>
        <sz val="11"/>
        <color theme="1"/>
        <rFont val="Calibri"/>
        <family val="2"/>
        <scheme val="minor"/>
      </rPr>
      <t xml:space="preserve"> - Net assets released from restriction
</t>
    </r>
  </si>
  <si>
    <r>
      <t>Unrestricted</t>
    </r>
    <r>
      <rPr>
        <sz val="11"/>
        <color theme="1"/>
        <rFont val="Calibri"/>
        <family val="2"/>
        <scheme val="minor"/>
      </rPr>
      <t xml:space="preserve"> - Unrestricted
</t>
    </r>
    <r>
      <rPr>
        <b/>
        <sz val="11"/>
        <color theme="1"/>
        <rFont val="Calibri"/>
        <family val="2"/>
        <scheme val="minor"/>
      </rPr>
      <t>TemporarilyRestricted</t>
    </r>
    <r>
      <rPr>
        <sz val="11"/>
        <color theme="1"/>
        <rFont val="Calibri"/>
        <family val="2"/>
        <scheme val="minor"/>
      </rPr>
      <t xml:space="preserve"> - Temporarily Restricted
</t>
    </r>
    <r>
      <rPr>
        <b/>
        <sz val="11"/>
        <color theme="1"/>
        <rFont val="Calibri"/>
        <family val="2"/>
        <scheme val="minor"/>
      </rPr>
      <t>PermanentlyRestricted</t>
    </r>
    <r>
      <rPr>
        <sz val="11"/>
        <color theme="1"/>
        <rFont val="Calibri"/>
        <family val="2"/>
        <scheme val="minor"/>
      </rPr>
      <t xml:space="preserve"> - Permanently Restricted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</si>
  <si>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Institutionalgrantsrestricted</t>
    </r>
    <r>
      <rPr>
        <sz val="11"/>
        <color theme="1"/>
        <rFont val="Calibri"/>
        <family val="2"/>
        <scheme val="minor"/>
      </rPr>
      <t xml:space="preserve"> - Institutional grants (restricted)
</t>
    </r>
    <r>
      <rPr>
        <b/>
        <sz val="11"/>
        <color theme="1"/>
        <rFont val="Calibri"/>
        <family val="2"/>
        <scheme val="minor"/>
      </rPr>
      <t>Institutionalgrantsunrestricted</t>
    </r>
    <r>
      <rPr>
        <sz val="11"/>
        <color theme="1"/>
        <rFont val="Calibri"/>
        <family val="2"/>
        <scheme val="minor"/>
      </rPr>
      <t xml:space="preserve"> - Institutional grants (unrestricted)
</t>
    </r>
    <r>
      <rPr>
        <b/>
        <sz val="11"/>
        <color theme="1"/>
        <rFont val="Calibri"/>
        <family val="2"/>
        <scheme val="minor"/>
      </rPr>
      <t>Discountsallowancesappliedtotuitionfees</t>
    </r>
    <r>
      <rPr>
        <sz val="11"/>
        <color theme="1"/>
        <rFont val="Calibri"/>
        <family val="2"/>
        <scheme val="minor"/>
      </rPr>
      <t xml:space="preserve"> - Discounts and allowances applied to tuition and fees
</t>
    </r>
    <r>
      <rPr>
        <b/>
        <sz val="11"/>
        <color theme="1"/>
        <rFont val="Calibri"/>
        <family val="2"/>
        <scheme val="minor"/>
      </rPr>
      <t>Discountsallowancesappliedtoauxiliary</t>
    </r>
    <r>
      <rPr>
        <sz val="11"/>
        <color theme="1"/>
        <rFont val="Calibri"/>
        <family val="2"/>
        <scheme val="minor"/>
      </rPr>
      <t xml:space="preserve"> - Discounts and allowances applied to auxiliary enterprise revenues
</t>
    </r>
  </si>
  <si>
    <r>
      <t>Totalcurrentassets</t>
    </r>
    <r>
      <rPr>
        <sz val="11"/>
        <color theme="1"/>
        <rFont val="Calibri"/>
        <family val="2"/>
        <scheme val="minor"/>
      </rPr>
      <t xml:space="preserve"> - Total current assets
</t>
    </r>
    <r>
      <rPr>
        <b/>
        <sz val="11"/>
        <color theme="1"/>
        <rFont val="Calibri"/>
        <family val="2"/>
        <scheme val="minor"/>
      </rPr>
      <t>Depreciablecapitalassetsnetofdepreciation</t>
    </r>
    <r>
      <rPr>
        <sz val="11"/>
        <color theme="1"/>
        <rFont val="Calibri"/>
        <family val="2"/>
        <scheme val="minor"/>
      </rPr>
      <t xml:space="preserve"> - Depreciable capital assets, net of depreciation
</t>
    </r>
    <r>
      <rPr>
        <b/>
        <sz val="11"/>
        <color theme="1"/>
        <rFont val="Calibri"/>
        <family val="2"/>
        <scheme val="minor"/>
      </rPr>
      <t>Othernoncurrentassets</t>
    </r>
    <r>
      <rPr>
        <sz val="11"/>
        <color theme="1"/>
        <rFont val="Calibri"/>
        <family val="2"/>
        <scheme val="minor"/>
      </rPr>
      <t xml:space="preserve"> - Other noncurrent assets
</t>
    </r>
    <r>
      <rPr>
        <b/>
        <sz val="11"/>
        <color theme="1"/>
        <rFont val="Calibri"/>
        <family val="2"/>
        <scheme val="minor"/>
      </rPr>
      <t>Deferredoutflowsofresources</t>
    </r>
    <r>
      <rPr>
        <sz val="11"/>
        <color theme="1"/>
        <rFont val="Calibri"/>
        <family val="2"/>
        <scheme val="minor"/>
      </rPr>
      <t xml:space="preserve"> - Deferred outflows of resources
</t>
    </r>
    <r>
      <rPr>
        <b/>
        <sz val="11"/>
        <color theme="1"/>
        <rFont val="Calibri"/>
        <family val="2"/>
        <scheme val="minor"/>
      </rPr>
      <t>Longtermdebtcurrentportion</t>
    </r>
    <r>
      <rPr>
        <sz val="11"/>
        <color theme="1"/>
        <rFont val="Calibri"/>
        <family val="2"/>
        <scheme val="minor"/>
      </rPr>
      <t xml:space="preserve"> - Long-term debt, current portion
</t>
    </r>
    <r>
      <rPr>
        <b/>
        <sz val="11"/>
        <color theme="1"/>
        <rFont val="Calibri"/>
        <family val="2"/>
        <scheme val="minor"/>
      </rPr>
      <t>Othercurrentliabilities</t>
    </r>
    <r>
      <rPr>
        <sz val="11"/>
        <color theme="1"/>
        <rFont val="Calibri"/>
        <family val="2"/>
        <scheme val="minor"/>
      </rPr>
      <t xml:space="preserve"> - Other current liabilities
</t>
    </r>
    <r>
      <rPr>
        <b/>
        <sz val="11"/>
        <color theme="1"/>
        <rFont val="Calibri"/>
        <family val="2"/>
        <scheme val="minor"/>
      </rPr>
      <t>Longtermdebt</t>
    </r>
    <r>
      <rPr>
        <sz val="11"/>
        <color theme="1"/>
        <rFont val="Calibri"/>
        <family val="2"/>
        <scheme val="minor"/>
      </rPr>
      <t xml:space="preserve"> - Long-term debt
</t>
    </r>
    <r>
      <rPr>
        <b/>
        <sz val="11"/>
        <color theme="1"/>
        <rFont val="Calibri"/>
        <family val="2"/>
        <scheme val="minor"/>
      </rPr>
      <t>Othernoncurrentliabilities</t>
    </r>
    <r>
      <rPr>
        <sz val="11"/>
        <color theme="1"/>
        <rFont val="Calibri"/>
        <family val="2"/>
        <scheme val="minor"/>
      </rPr>
      <t xml:space="preserve"> - Other non-current liabilities
</t>
    </r>
    <r>
      <rPr>
        <b/>
        <sz val="11"/>
        <color theme="1"/>
        <rFont val="Calibri"/>
        <family val="2"/>
        <scheme val="minor"/>
      </rPr>
      <t>Deferredinflowsofresources</t>
    </r>
    <r>
      <rPr>
        <sz val="11"/>
        <color theme="1"/>
        <rFont val="Calibri"/>
        <family val="2"/>
        <scheme val="minor"/>
      </rPr>
      <t xml:space="preserve"> - Deferred inflows of resources
</t>
    </r>
    <r>
      <rPr>
        <b/>
        <sz val="11"/>
        <color theme="1"/>
        <rFont val="Calibri"/>
        <family val="2"/>
        <scheme val="minor"/>
      </rPr>
      <t>Netassetsinvestedincapitalassetsnetofrelateddebt</t>
    </r>
    <r>
      <rPr>
        <sz val="11"/>
        <color theme="1"/>
        <rFont val="Calibri"/>
        <family val="2"/>
        <scheme val="minor"/>
      </rPr>
      <t xml:space="preserve"> - Net assets invested in capital assets, net of related debt
</t>
    </r>
    <r>
      <rPr>
        <b/>
        <sz val="11"/>
        <color theme="1"/>
        <rFont val="Calibri"/>
        <family val="2"/>
        <scheme val="minor"/>
      </rPr>
      <t>Restrictedexpendablenetassets</t>
    </r>
    <r>
      <rPr>
        <sz val="11"/>
        <color theme="1"/>
        <rFont val="Calibri"/>
        <family val="2"/>
        <scheme val="minor"/>
      </rPr>
      <t xml:space="preserve"> - Restricted expendable net assets
</t>
    </r>
    <r>
      <rPr>
        <b/>
        <sz val="11"/>
        <color theme="1"/>
        <rFont val="Calibri"/>
        <family val="2"/>
        <scheme val="minor"/>
      </rPr>
      <t>Restrictednonexpendablenetassets</t>
    </r>
    <r>
      <rPr>
        <sz val="11"/>
        <color theme="1"/>
        <rFont val="Calibri"/>
        <family val="2"/>
        <scheme val="minor"/>
      </rPr>
      <t xml:space="preserve"> - Restricted non-expendable net assets
</t>
    </r>
    <r>
      <rPr>
        <b/>
        <sz val="11"/>
        <color theme="1"/>
        <rFont val="Calibri"/>
        <family val="2"/>
        <scheme val="minor"/>
      </rPr>
      <t>Unrestrictednetassets</t>
    </r>
    <r>
      <rPr>
        <sz val="11"/>
        <color theme="1"/>
        <rFont val="Calibri"/>
        <family val="2"/>
        <scheme val="minor"/>
      </rPr>
      <t xml:space="preserve"> - Unrestricted net assets
</t>
    </r>
    <r>
      <rPr>
        <b/>
        <sz val="11"/>
        <color theme="1"/>
        <rFont val="Calibri"/>
        <family val="2"/>
        <scheme val="minor"/>
      </rPr>
      <t>CapitalAssetsLandlandimprovements</t>
    </r>
    <r>
      <rPr>
        <sz val="11"/>
        <color theme="1"/>
        <rFont val="Calibri"/>
        <family val="2"/>
        <scheme val="minor"/>
      </rPr>
      <t xml:space="preserve"> - Capital Assets: Land and land improvements
</t>
    </r>
    <r>
      <rPr>
        <b/>
        <sz val="11"/>
        <color theme="1"/>
        <rFont val="Calibri"/>
        <family val="2"/>
        <scheme val="minor"/>
      </rPr>
      <t>CapitalAssetsInfrastructure</t>
    </r>
    <r>
      <rPr>
        <sz val="11"/>
        <color theme="1"/>
        <rFont val="Calibri"/>
        <family val="2"/>
        <scheme val="minor"/>
      </rPr>
      <t xml:space="preserve"> - Capital Assets: Infrastructure
</t>
    </r>
    <r>
      <rPr>
        <b/>
        <sz val="11"/>
        <color theme="1"/>
        <rFont val="Calibri"/>
        <family val="2"/>
        <scheme val="minor"/>
      </rPr>
      <t>CapitalAssetsBuildings</t>
    </r>
    <r>
      <rPr>
        <sz val="11"/>
        <color theme="1"/>
        <rFont val="Calibri"/>
        <family val="2"/>
        <scheme val="minor"/>
      </rPr>
      <t xml:space="preserve"> - Capital Assets: Buildings
</t>
    </r>
    <r>
      <rPr>
        <b/>
        <sz val="11"/>
        <color theme="1"/>
        <rFont val="Calibri"/>
        <family val="2"/>
        <scheme val="minor"/>
      </rPr>
      <t>CapitalAssetsEquipmentincludingartlibrary</t>
    </r>
    <r>
      <rPr>
        <sz val="11"/>
        <color theme="1"/>
        <rFont val="Calibri"/>
        <family val="2"/>
        <scheme val="minor"/>
      </rPr>
      <t xml:space="preserve"> - Capital Assets: Equipment, including art and library collections
</t>
    </r>
    <r>
      <rPr>
        <b/>
        <sz val="11"/>
        <color theme="1"/>
        <rFont val="Calibri"/>
        <family val="2"/>
        <scheme val="minor"/>
      </rPr>
      <t>CapitalAssetsConstructioninprogress</t>
    </r>
    <r>
      <rPr>
        <sz val="11"/>
        <color theme="1"/>
        <rFont val="Calibri"/>
        <family val="2"/>
        <scheme val="minor"/>
      </rPr>
      <t xml:space="preserve"> - Capital Assets: Construction in progress
</t>
    </r>
    <r>
      <rPr>
        <b/>
        <sz val="11"/>
        <color theme="1"/>
        <rFont val="Calibri"/>
        <family val="2"/>
        <scheme val="minor"/>
      </rPr>
      <t>CapitalAssetsAccumulateddepreciation</t>
    </r>
    <r>
      <rPr>
        <sz val="11"/>
        <color theme="1"/>
        <rFont val="Calibri"/>
        <family val="2"/>
        <scheme val="minor"/>
      </rPr>
      <t xml:space="preserve"> - Capital Assets: Accumulated depreciation
</t>
    </r>
    <r>
      <rPr>
        <b/>
        <sz val="11"/>
        <color theme="1"/>
        <rFont val="Calibri"/>
        <family val="2"/>
        <scheme val="minor"/>
      </rPr>
      <t>CapitalAssetsIntangibleassetsnetof</t>
    </r>
    <r>
      <rPr>
        <sz val="11"/>
        <color theme="1"/>
        <rFont val="Calibri"/>
        <family val="2"/>
        <scheme val="minor"/>
      </rPr>
      <t xml:space="preserve"> - Capital Assets: Intangible assets, net of accumulated amortization
</t>
    </r>
    <r>
      <rPr>
        <b/>
        <sz val="11"/>
        <color theme="1"/>
        <rFont val="Calibri"/>
        <family val="2"/>
        <scheme val="minor"/>
      </rPr>
      <t>CapitalAssetsOthercapitalassets</t>
    </r>
    <r>
      <rPr>
        <sz val="11"/>
        <color theme="1"/>
        <rFont val="Calibri"/>
        <family val="2"/>
        <scheme val="minor"/>
      </rPr>
      <t xml:space="preserve"> - Capital Assets: Other capital assets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</si>
  <si>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Scholarshipsfellowships</t>
    </r>
    <r>
      <rPr>
        <sz val="11"/>
        <color theme="1"/>
        <rFont val="Calibri"/>
        <family val="2"/>
        <scheme val="minor"/>
      </rPr>
      <t xml:space="preserve"> - Scholarships and fellowships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</si>
  <si>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Tuitionfeesnetofdiscountsallowances</t>
    </r>
    <r>
      <rPr>
        <sz val="11"/>
        <color theme="1"/>
        <rFont val="Calibri"/>
        <family val="2"/>
        <scheme val="minor"/>
      </rPr>
      <t xml:space="preserve"> - Tuition and fees (net discounts and allowances)
</t>
    </r>
    <r>
      <rPr>
        <b/>
        <sz val="11"/>
        <color theme="1"/>
        <rFont val="Calibri"/>
        <family val="2"/>
        <scheme val="minor"/>
      </rPr>
      <t>Federaloperatinggrantscontracts</t>
    </r>
    <r>
      <rPr>
        <sz val="11"/>
        <color theme="1"/>
        <rFont val="Calibri"/>
        <family val="2"/>
        <scheme val="minor"/>
      </rPr>
      <t xml:space="preserve"> - Federal operating grants and contracts
</t>
    </r>
    <r>
      <rPr>
        <b/>
        <sz val="11"/>
        <color theme="1"/>
        <rFont val="Calibri"/>
        <family val="2"/>
        <scheme val="minor"/>
      </rPr>
      <t>Stateoperatinggrantscontracts</t>
    </r>
    <r>
      <rPr>
        <sz val="11"/>
        <color theme="1"/>
        <rFont val="Calibri"/>
        <family val="2"/>
        <scheme val="minor"/>
      </rPr>
      <t xml:space="preserve"> - State operating grants and contracts
</t>
    </r>
    <r>
      <rPr>
        <b/>
        <sz val="11"/>
        <color theme="1"/>
        <rFont val="Calibri"/>
        <family val="2"/>
        <scheme val="minor"/>
      </rPr>
      <t>Localgovernmentoperatinggrantscontracts</t>
    </r>
    <r>
      <rPr>
        <sz val="11"/>
        <color theme="1"/>
        <rFont val="Calibri"/>
        <family val="2"/>
        <scheme val="minor"/>
      </rPr>
      <t xml:space="preserve"> - Local government operating grants and contracts
</t>
    </r>
    <r>
      <rPr>
        <b/>
        <sz val="11"/>
        <color theme="1"/>
        <rFont val="Calibri"/>
        <family val="2"/>
        <scheme val="minor"/>
      </rPr>
      <t>Privateoperatinggrantscontracts</t>
    </r>
    <r>
      <rPr>
        <sz val="11"/>
        <color theme="1"/>
        <rFont val="Calibri"/>
        <family val="2"/>
        <scheme val="minor"/>
      </rPr>
      <t xml:space="preserve"> - Private operating grants and contracts
</t>
    </r>
    <r>
      <rPr>
        <b/>
        <sz val="11"/>
        <color theme="1"/>
        <rFont val="Calibri"/>
        <family val="2"/>
        <scheme val="minor"/>
      </rPr>
      <t>Salesservicesofauxiliaryenterprisesnetofdiscounts</t>
    </r>
    <r>
      <rPr>
        <sz val="11"/>
        <color theme="1"/>
        <rFont val="Calibri"/>
        <family val="2"/>
        <scheme val="minor"/>
      </rPr>
      <t xml:space="preserve"> - Sales and services of auxiliary enterprises (net discounts and allowances)
</t>
    </r>
    <r>
      <rPr>
        <b/>
        <sz val="11"/>
        <color theme="1"/>
        <rFont val="Calibri"/>
        <family val="2"/>
        <scheme val="minor"/>
      </rPr>
      <t>Salesservicesofhospitalsafterdeducting</t>
    </r>
    <r>
      <rPr>
        <sz val="11"/>
        <color theme="1"/>
        <rFont val="Calibri"/>
        <family val="2"/>
        <scheme val="minor"/>
      </rPr>
      <t xml:space="preserve"> - Sales and services of hospitals (after deducting patient contractual allowances)
</t>
    </r>
    <r>
      <rPr>
        <b/>
        <sz val="11"/>
        <color theme="1"/>
        <rFont val="Calibri"/>
        <family val="2"/>
        <scheme val="minor"/>
      </rPr>
      <t>Salesservicesofeducationalactivities</t>
    </r>
    <r>
      <rPr>
        <sz val="11"/>
        <color theme="1"/>
        <rFont val="Calibri"/>
        <family val="2"/>
        <scheme val="minor"/>
      </rPr>
      <t xml:space="preserve"> - Sales &amp; services of educational activities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Otheroperatingrevenue</t>
    </r>
    <r>
      <rPr>
        <sz val="11"/>
        <color theme="1"/>
        <rFont val="Calibri"/>
        <family val="2"/>
        <scheme val="minor"/>
      </rPr>
      <t xml:space="preserve"> - Other operating revenue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Localappropriationseducationdistrict</t>
    </r>
    <r>
      <rPr>
        <sz val="11"/>
        <color theme="1"/>
        <rFont val="Calibri"/>
        <family val="2"/>
        <scheme val="minor"/>
      </rPr>
      <t xml:space="preserve"> - Local appropriations, education district taxes, and similar support
</t>
    </r>
    <r>
      <rPr>
        <b/>
        <sz val="11"/>
        <color theme="1"/>
        <rFont val="Calibri"/>
        <family val="2"/>
        <scheme val="minor"/>
      </rPr>
      <t>Federalnonoperatinggrants</t>
    </r>
    <r>
      <rPr>
        <sz val="11"/>
        <color theme="1"/>
        <rFont val="Calibri"/>
        <family val="2"/>
        <scheme val="minor"/>
      </rPr>
      <t xml:space="preserve"> - Federal nonoperating grants
</t>
    </r>
    <r>
      <rPr>
        <b/>
        <sz val="11"/>
        <color theme="1"/>
        <rFont val="Calibri"/>
        <family val="2"/>
        <scheme val="minor"/>
      </rPr>
      <t>Statenonoperatinggrants</t>
    </r>
    <r>
      <rPr>
        <sz val="11"/>
        <color theme="1"/>
        <rFont val="Calibri"/>
        <family val="2"/>
        <scheme val="minor"/>
      </rPr>
      <t xml:space="preserve"> - State nonoperating grants
</t>
    </r>
    <r>
      <rPr>
        <b/>
        <sz val="11"/>
        <color theme="1"/>
        <rFont val="Calibri"/>
        <family val="2"/>
        <scheme val="minor"/>
      </rPr>
      <t>Localgovernmentnonoperatinggrants</t>
    </r>
    <r>
      <rPr>
        <sz val="11"/>
        <color theme="1"/>
        <rFont val="Calibri"/>
        <family val="2"/>
        <scheme val="minor"/>
      </rPr>
      <t xml:space="preserve"> - Local government nonoperating grants
</t>
    </r>
    <r>
      <rPr>
        <b/>
        <sz val="11"/>
        <color theme="1"/>
        <rFont val="Calibri"/>
        <family val="2"/>
        <scheme val="minor"/>
      </rPr>
      <t>Giftsincludingcontributionsfromaffiliated</t>
    </r>
    <r>
      <rPr>
        <sz val="11"/>
        <color theme="1"/>
        <rFont val="Calibri"/>
        <family val="2"/>
        <scheme val="minor"/>
      </rPr>
      <t xml:space="preserve"> - Gifts, including contributions from affiliated organizations
</t>
    </r>
    <r>
      <rPr>
        <b/>
        <sz val="11"/>
        <color theme="1"/>
        <rFont val="Calibri"/>
        <family val="2"/>
        <scheme val="minor"/>
      </rPr>
      <t>Investmentincome</t>
    </r>
    <r>
      <rPr>
        <sz val="11"/>
        <color theme="1"/>
        <rFont val="Calibri"/>
        <family val="2"/>
        <scheme val="minor"/>
      </rPr>
      <t xml:space="preserve"> - Investment income
</t>
    </r>
    <r>
      <rPr>
        <b/>
        <sz val="11"/>
        <color theme="1"/>
        <rFont val="Calibri"/>
        <family val="2"/>
        <scheme val="minor"/>
      </rPr>
      <t>Othernonoperatingrevenues</t>
    </r>
    <r>
      <rPr>
        <sz val="11"/>
        <color theme="1"/>
        <rFont val="Calibri"/>
        <family val="2"/>
        <scheme val="minor"/>
      </rPr>
      <t xml:space="preserve"> - Other nonoperating revenues
</t>
    </r>
    <r>
      <rPr>
        <b/>
        <sz val="11"/>
        <color theme="1"/>
        <rFont val="Calibri"/>
        <family val="2"/>
        <scheme val="minor"/>
      </rPr>
      <t>Capitalappropriations</t>
    </r>
    <r>
      <rPr>
        <sz val="11"/>
        <color theme="1"/>
        <rFont val="Calibri"/>
        <family val="2"/>
        <scheme val="minor"/>
      </rPr>
      <t xml:space="preserve"> - Capital appropriations
</t>
    </r>
    <r>
      <rPr>
        <b/>
        <sz val="11"/>
        <color theme="1"/>
        <rFont val="Calibri"/>
        <family val="2"/>
        <scheme val="minor"/>
      </rPr>
      <t>Capitalgrantsgifts</t>
    </r>
    <r>
      <rPr>
        <sz val="11"/>
        <color theme="1"/>
        <rFont val="Calibri"/>
        <family val="2"/>
        <scheme val="minor"/>
      </rPr>
      <t xml:space="preserve"> - Capital grants and gifts
</t>
    </r>
    <r>
      <rPr>
        <b/>
        <sz val="11"/>
        <color theme="1"/>
        <rFont val="Calibri"/>
        <family val="2"/>
        <scheme val="minor"/>
      </rPr>
      <t>Additionstopermanentendowments</t>
    </r>
    <r>
      <rPr>
        <sz val="11"/>
        <color theme="1"/>
        <rFont val="Calibri"/>
        <family val="2"/>
        <scheme val="minor"/>
      </rPr>
      <t xml:space="preserve"> - Additions to permanent endowments
</t>
    </r>
    <r>
      <rPr>
        <b/>
        <sz val="11"/>
        <color theme="1"/>
        <rFont val="Calibri"/>
        <family val="2"/>
        <scheme val="minor"/>
      </rPr>
      <t>Otherrevenuesadditions</t>
    </r>
    <r>
      <rPr>
        <sz val="11"/>
        <color theme="1"/>
        <rFont val="Calibri"/>
        <family val="2"/>
        <scheme val="minor"/>
      </rPr>
      <t xml:space="preserve"> - Other revenues and additions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</si>
  <si>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Institutionalgrantsfromrestrictedresources</t>
    </r>
    <r>
      <rPr>
        <sz val="11"/>
        <color theme="1"/>
        <rFont val="Calibri"/>
        <family val="2"/>
        <scheme val="minor"/>
      </rPr>
      <t xml:space="preserve"> - Institutional grants from restricted resources
</t>
    </r>
    <r>
      <rPr>
        <b/>
        <sz val="11"/>
        <color theme="1"/>
        <rFont val="Calibri"/>
        <family val="2"/>
        <scheme val="minor"/>
      </rPr>
      <t>Institutionalgrantsfromunrestrictedresources</t>
    </r>
    <r>
      <rPr>
        <sz val="11"/>
        <color theme="1"/>
        <rFont val="Calibri"/>
        <family val="2"/>
        <scheme val="minor"/>
      </rPr>
      <t xml:space="preserve"> - Institutional grants from unrestricted resources
</t>
    </r>
    <r>
      <rPr>
        <b/>
        <sz val="11"/>
        <color theme="1"/>
        <rFont val="Calibri"/>
        <family val="2"/>
        <scheme val="minor"/>
      </rPr>
      <t>Discountsallowancesappliedtotuitionfees</t>
    </r>
    <r>
      <rPr>
        <sz val="11"/>
        <color theme="1"/>
        <rFont val="Calibri"/>
        <family val="2"/>
        <scheme val="minor"/>
      </rPr>
      <t xml:space="preserve"> - Discounts &amp; allowances applied to tuition &amp; fees
</t>
    </r>
    <r>
      <rPr>
        <b/>
        <sz val="11"/>
        <color theme="1"/>
        <rFont val="Calibri"/>
        <family val="2"/>
        <scheme val="minor"/>
      </rPr>
      <t>Discountsallowancesappliedtosalesservices</t>
    </r>
    <r>
      <rPr>
        <sz val="11"/>
        <color theme="1"/>
        <rFont val="Calibri"/>
        <family val="2"/>
        <scheme val="minor"/>
      </rPr>
      <t xml:space="preserve"> - Discounts &amp; allowances applied to sales &amp; services of auxiliary enterprises
</t>
    </r>
  </si>
  <si>
    <r>
      <t>Auxiliaryenterprises</t>
    </r>
    <r>
      <rPr>
        <sz val="11"/>
        <color theme="1"/>
        <rFont val="Calibri"/>
        <family val="2"/>
        <scheme val="minor"/>
      </rPr>
      <t xml:space="preserve"> - Auxiliary enterprises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Doesnotparticipateinintercollegiateathletics</t>
    </r>
    <r>
      <rPr>
        <sz val="11"/>
        <color theme="1"/>
        <rFont val="Calibri"/>
        <family val="2"/>
        <scheme val="minor"/>
      </rPr>
      <t xml:space="preserve"> - Does not participate in intercollegiate athletics
</t>
    </r>
    <r>
      <rPr>
        <b/>
        <sz val="11"/>
        <color theme="1"/>
        <rFont val="Calibri"/>
        <family val="2"/>
        <scheme val="minor"/>
      </rPr>
      <t>Other</t>
    </r>
    <r>
      <rPr>
        <sz val="11"/>
        <color theme="1"/>
        <rFont val="Calibri"/>
        <family val="2"/>
        <scheme val="minor"/>
      </rPr>
      <t xml:space="preserve"> - Other
</t>
    </r>
  </si>
  <si>
    <r>
      <t>Salarieswages</t>
    </r>
    <r>
      <rPr>
        <sz val="11"/>
        <color theme="1"/>
        <rFont val="Calibri"/>
        <family val="2"/>
        <scheme val="minor"/>
      </rPr>
      <t xml:space="preserve"> - Salaries and wages
</t>
    </r>
    <r>
      <rPr>
        <b/>
        <sz val="11"/>
        <color theme="1"/>
        <rFont val="Calibri"/>
        <family val="2"/>
        <scheme val="minor"/>
      </rPr>
      <t>Benefits</t>
    </r>
    <r>
      <rPr>
        <sz val="11"/>
        <color theme="1"/>
        <rFont val="Calibri"/>
        <family val="2"/>
        <scheme val="minor"/>
      </rPr>
      <t xml:space="preserve"> - Benefits
</t>
    </r>
    <r>
      <rPr>
        <b/>
        <sz val="11"/>
        <color theme="1"/>
        <rFont val="Calibri"/>
        <family val="2"/>
        <scheme val="minor"/>
      </rPr>
      <t>Operationmaintenanceofplant</t>
    </r>
    <r>
      <rPr>
        <sz val="11"/>
        <color theme="1"/>
        <rFont val="Calibri"/>
        <family val="2"/>
        <scheme val="minor"/>
      </rPr>
      <t xml:space="preserve"> - Operation and maintenance of plant
</t>
    </r>
    <r>
      <rPr>
        <b/>
        <sz val="11"/>
        <color theme="1"/>
        <rFont val="Calibri"/>
        <family val="2"/>
        <scheme val="minor"/>
      </rPr>
      <t>Depreciation</t>
    </r>
    <r>
      <rPr>
        <sz val="11"/>
        <color theme="1"/>
        <rFont val="Calibri"/>
        <family val="2"/>
        <scheme val="minor"/>
      </rPr>
      <t xml:space="preserve"> - Depreciation
</t>
    </r>
    <r>
      <rPr>
        <b/>
        <sz val="11"/>
        <color theme="1"/>
        <rFont val="Calibri"/>
        <family val="2"/>
        <scheme val="minor"/>
      </rPr>
      <t>Interest</t>
    </r>
    <r>
      <rPr>
        <sz val="11"/>
        <color theme="1"/>
        <rFont val="Calibri"/>
        <family val="2"/>
        <scheme val="minor"/>
      </rPr>
      <t xml:space="preserve"> - Interest
</t>
    </r>
    <r>
      <rPr>
        <b/>
        <sz val="11"/>
        <color theme="1"/>
        <rFont val="Calibri"/>
        <family val="2"/>
        <scheme val="minor"/>
      </rPr>
      <t>Other</t>
    </r>
    <r>
      <rPr>
        <sz val="11"/>
        <color theme="1"/>
        <rFont val="Calibri"/>
        <family val="2"/>
        <scheme val="minor"/>
      </rPr>
      <t xml:space="preserve"> - Other
</t>
    </r>
  </si>
  <si>
    <r>
      <t>NSLPCEO</t>
    </r>
    <r>
      <rPr>
        <sz val="11"/>
        <color theme="1"/>
        <rFont val="Calibri"/>
        <family val="2"/>
        <scheme val="minor"/>
      </rPr>
      <t xml:space="preserve"> - Community Eligibility Option
</t>
    </r>
    <r>
      <rPr>
        <b/>
        <sz val="11"/>
        <color theme="1"/>
        <rFont val="Calibri"/>
        <family val="2"/>
        <scheme val="minor"/>
      </rPr>
      <t>NSLPNO</t>
    </r>
    <r>
      <rPr>
        <sz val="11"/>
        <color theme="1"/>
        <rFont val="Calibri"/>
        <family val="2"/>
        <scheme val="minor"/>
      </rPr>
      <t xml:space="preserve"> - Not Participating
</t>
    </r>
    <r>
      <rPr>
        <b/>
        <sz val="11"/>
        <color theme="1"/>
        <rFont val="Calibri"/>
        <family val="2"/>
        <scheme val="minor"/>
      </rPr>
      <t>NSLPWOPRO</t>
    </r>
    <r>
      <rPr>
        <sz val="11"/>
        <color theme="1"/>
        <rFont val="Calibri"/>
        <family val="2"/>
        <scheme val="minor"/>
      </rPr>
      <t xml:space="preserve"> - Participating Without Provision or Community Eligibility Option
</t>
    </r>
    <r>
      <rPr>
        <b/>
        <sz val="11"/>
        <color theme="1"/>
        <rFont val="Calibri"/>
        <family val="2"/>
        <scheme val="minor"/>
      </rPr>
      <t>NSLPPRO1</t>
    </r>
    <r>
      <rPr>
        <sz val="11"/>
        <color theme="1"/>
        <rFont val="Calibri"/>
        <family val="2"/>
        <scheme val="minor"/>
      </rPr>
      <t xml:space="preserve"> - Provision 1
</t>
    </r>
    <r>
      <rPr>
        <b/>
        <sz val="11"/>
        <color theme="1"/>
        <rFont val="Calibri"/>
        <family val="2"/>
        <scheme val="minor"/>
      </rPr>
      <t>NSLPPRO2</t>
    </r>
    <r>
      <rPr>
        <sz val="11"/>
        <color theme="1"/>
        <rFont val="Calibri"/>
        <family val="2"/>
        <scheme val="minor"/>
      </rPr>
      <t xml:space="preserve"> - Provision 2
</t>
    </r>
    <r>
      <rPr>
        <b/>
        <sz val="11"/>
        <color theme="1"/>
        <rFont val="Calibri"/>
        <family val="2"/>
        <scheme val="minor"/>
      </rPr>
      <t>NSLPPRO3</t>
    </r>
    <r>
      <rPr>
        <sz val="11"/>
        <color theme="1"/>
        <rFont val="Calibri"/>
        <family val="2"/>
        <scheme val="minor"/>
      </rPr>
      <t xml:space="preserve"> - Provision 3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</si>
  <si>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FEIN</t>
    </r>
    <r>
      <rPr>
        <sz val="11"/>
        <color theme="1"/>
        <rFont val="Calibri"/>
        <family val="2"/>
        <scheme val="minor"/>
      </rPr>
      <t xml:space="preserve"> - Federal employer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</si>
  <si>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AuthorizingBody</t>
    </r>
    <r>
      <rPr>
        <sz val="11"/>
        <color theme="1"/>
        <rFont val="Calibri"/>
        <family val="2"/>
        <scheme val="minor"/>
      </rPr>
      <t xml:space="preserve"> - Authorizing Body
</t>
    </r>
    <r>
      <rPr>
        <b/>
        <sz val="11"/>
        <color theme="1"/>
        <rFont val="Calibri"/>
        <family val="2"/>
        <scheme val="minor"/>
      </rPr>
      <t>OperatingBody</t>
    </r>
    <r>
      <rPr>
        <sz val="11"/>
        <color theme="1"/>
        <rFont val="Calibri"/>
        <family val="2"/>
        <scheme val="minor"/>
      </rPr>
      <t xml:space="preserve"> - Operating Body
</t>
    </r>
  </si>
  <si>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CourseSection</t>
    </r>
    <r>
      <rPr>
        <sz val="11"/>
        <color theme="1"/>
        <rFont val="Calibri"/>
        <family val="2"/>
        <scheme val="minor"/>
      </rPr>
      <t xml:space="preserve"> - Course Section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AdultEducationProvider</t>
    </r>
    <r>
      <rPr>
        <sz val="11"/>
        <color theme="1"/>
        <rFont val="Calibri"/>
        <family val="2"/>
        <scheme val="minor"/>
      </rPr>
      <t xml:space="preserve"> - Adult Education Provider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r>
      <rPr>
        <b/>
        <sz val="11"/>
        <color theme="1"/>
        <rFont val="Calibri"/>
        <family val="2"/>
        <scheme val="minor"/>
      </rPr>
      <t>CharterSchoolManagementOrganization</t>
    </r>
    <r>
      <rPr>
        <sz val="11"/>
        <color theme="1"/>
        <rFont val="Calibri"/>
        <family val="2"/>
        <scheme val="minor"/>
      </rPr>
      <t xml:space="preserve"> - Charter School Management Organization
</t>
    </r>
    <r>
      <rPr>
        <b/>
        <sz val="11"/>
        <color theme="1"/>
        <rFont val="Calibri"/>
        <family val="2"/>
        <scheme val="minor"/>
      </rPr>
      <t>CharterSchoolAuthorizingOrganization</t>
    </r>
    <r>
      <rPr>
        <sz val="11"/>
        <color theme="1"/>
        <rFont val="Calibri"/>
        <family val="2"/>
        <scheme val="minor"/>
      </rPr>
      <t xml:space="preserve"> - Charter School Authorizing Organization
</t>
    </r>
    <r>
      <rPr>
        <b/>
        <sz val="11"/>
        <color theme="1"/>
        <rFont val="Calibri"/>
        <family val="2"/>
        <scheme val="minor"/>
      </rPr>
      <t>EmergencyResponseAgency</t>
    </r>
    <r>
      <rPr>
        <sz val="11"/>
        <color theme="1"/>
        <rFont val="Calibri"/>
        <family val="2"/>
        <scheme val="minor"/>
      </rPr>
      <t xml:space="preserve"> - Emergency Response Agency
</t>
    </r>
  </si>
  <si>
    <r>
      <t>B17</t>
    </r>
    <r>
      <rPr>
        <sz val="11"/>
        <color theme="1"/>
        <rFont val="Calibri"/>
        <family val="2"/>
        <scheme val="minor"/>
      </rPr>
      <t xml:space="preserve"> - Did not complete secondary school
</t>
    </r>
    <r>
      <rPr>
        <b/>
        <sz val="11"/>
        <color theme="1"/>
        <rFont val="Calibri"/>
        <family val="2"/>
        <scheme val="minor"/>
      </rPr>
      <t>B18</t>
    </r>
    <r>
      <rPr>
        <sz val="11"/>
        <color theme="1"/>
        <rFont val="Calibri"/>
        <family val="2"/>
        <scheme val="minor"/>
      </rPr>
      <t xml:space="preserve"> - Standard High School Diploma which may or may not include an exit test
</t>
    </r>
    <r>
      <rPr>
        <b/>
        <sz val="11"/>
        <color theme="1"/>
        <rFont val="Calibri"/>
        <family val="2"/>
        <scheme val="minor"/>
      </rPr>
      <t>B19</t>
    </r>
    <r>
      <rPr>
        <sz val="11"/>
        <color theme="1"/>
        <rFont val="Calibri"/>
        <family val="2"/>
        <scheme val="minor"/>
      </rPr>
      <t xml:space="preserve"> - Advanced or honors diploma
</t>
    </r>
    <r>
      <rPr>
        <b/>
        <sz val="11"/>
        <color theme="1"/>
        <rFont val="Calibri"/>
        <family val="2"/>
        <scheme val="minor"/>
      </rPr>
      <t>B20</t>
    </r>
    <r>
      <rPr>
        <sz val="11"/>
        <color theme="1"/>
        <rFont val="Calibri"/>
        <family val="2"/>
        <scheme val="minor"/>
      </rPr>
      <t xml:space="preserve"> - Vocational diploma
</t>
    </r>
    <r>
      <rPr>
        <b/>
        <sz val="11"/>
        <color theme="1"/>
        <rFont val="Calibri"/>
        <family val="2"/>
        <scheme val="minor"/>
      </rPr>
      <t>B21</t>
    </r>
    <r>
      <rPr>
        <sz val="11"/>
        <color theme="1"/>
        <rFont val="Calibri"/>
        <family val="2"/>
        <scheme val="minor"/>
      </rPr>
      <t xml:space="preserve"> - Special Education Diploma normally for students with a disability
</t>
    </r>
    <r>
      <rPr>
        <b/>
        <sz val="11"/>
        <color theme="1"/>
        <rFont val="Calibri"/>
        <family val="2"/>
        <scheme val="minor"/>
      </rPr>
      <t>B22</t>
    </r>
    <r>
      <rPr>
        <sz val="11"/>
        <color theme="1"/>
        <rFont val="Calibri"/>
        <family val="2"/>
        <scheme val="minor"/>
      </rPr>
      <t xml:space="preserve"> - Certificate of completion or attendance
</t>
    </r>
    <r>
      <rPr>
        <b/>
        <sz val="11"/>
        <color theme="1"/>
        <rFont val="Calibri"/>
        <family val="2"/>
        <scheme val="minor"/>
      </rPr>
      <t>B23</t>
    </r>
    <r>
      <rPr>
        <sz val="11"/>
        <color theme="1"/>
        <rFont val="Calibri"/>
        <family val="2"/>
        <scheme val="minor"/>
      </rPr>
      <t xml:space="preserve"> - Special certificate of completion or attendance
</t>
    </r>
    <r>
      <rPr>
        <b/>
        <sz val="11"/>
        <color theme="1"/>
        <rFont val="Calibri"/>
        <family val="2"/>
        <scheme val="minor"/>
      </rPr>
      <t>B24</t>
    </r>
    <r>
      <rPr>
        <sz val="11"/>
        <color theme="1"/>
        <rFont val="Calibri"/>
        <family val="2"/>
        <scheme val="minor"/>
      </rPr>
      <t xml:space="preserve"> - General Education Development Test Diploma (GED)
</t>
    </r>
    <r>
      <rPr>
        <b/>
        <sz val="11"/>
        <color theme="1"/>
        <rFont val="Calibri"/>
        <family val="2"/>
        <scheme val="minor"/>
      </rPr>
      <t>B25</t>
    </r>
    <r>
      <rPr>
        <sz val="11"/>
        <color theme="1"/>
        <rFont val="Calibri"/>
        <family val="2"/>
        <scheme val="minor"/>
      </rPr>
      <t xml:space="preserve"> - Other high school equivalency diploma
</t>
    </r>
    <r>
      <rPr>
        <b/>
        <sz val="11"/>
        <color theme="1"/>
        <rFont val="Calibri"/>
        <family val="2"/>
        <scheme val="minor"/>
      </rPr>
      <t>B26</t>
    </r>
    <r>
      <rPr>
        <sz val="11"/>
        <color theme="1"/>
        <rFont val="Calibri"/>
        <family val="2"/>
        <scheme val="minor"/>
      </rPr>
      <t xml:space="preserve"> - International diploma or certificate (such as International Baccalaureate)
</t>
    </r>
    <r>
      <rPr>
        <b/>
        <sz val="11"/>
        <color theme="1"/>
        <rFont val="Calibri"/>
        <family val="2"/>
        <scheme val="minor"/>
      </rPr>
      <t>B27</t>
    </r>
    <r>
      <rPr>
        <sz val="11"/>
        <color theme="1"/>
        <rFont val="Calibri"/>
        <family val="2"/>
        <scheme val="minor"/>
      </rPr>
      <t xml:space="preserve"> - Standard High School Diploma with only 3 year curriculum
</t>
    </r>
    <r>
      <rPr>
        <b/>
        <sz val="11"/>
        <color theme="1"/>
        <rFont val="Calibri"/>
        <family val="2"/>
        <scheme val="minor"/>
      </rPr>
      <t>B28</t>
    </r>
    <r>
      <rPr>
        <sz val="11"/>
        <color theme="1"/>
        <rFont val="Calibri"/>
        <family val="2"/>
        <scheme val="minor"/>
      </rPr>
      <t xml:space="preserve"> - Met all graduation requirements except for required exit test
</t>
    </r>
    <r>
      <rPr>
        <b/>
        <sz val="11"/>
        <color theme="1"/>
        <rFont val="Calibri"/>
        <family val="2"/>
        <scheme val="minor"/>
      </rPr>
      <t>1.1</t>
    </r>
    <r>
      <rPr>
        <sz val="11"/>
        <color theme="1"/>
        <rFont val="Calibri"/>
        <family val="2"/>
        <scheme val="minor"/>
      </rPr>
      <t xml:space="preserve"> - Certificate of completion
</t>
    </r>
    <r>
      <rPr>
        <b/>
        <sz val="11"/>
        <color theme="1"/>
        <rFont val="Calibri"/>
        <family val="2"/>
        <scheme val="minor"/>
      </rPr>
      <t>1.2</t>
    </r>
    <r>
      <rPr>
        <sz val="11"/>
        <color theme="1"/>
        <rFont val="Calibri"/>
        <family val="2"/>
        <scheme val="minor"/>
      </rPr>
      <t xml:space="preserve"> - Certificate of proficiency
</t>
    </r>
    <r>
      <rPr>
        <b/>
        <sz val="11"/>
        <color theme="1"/>
        <rFont val="Calibri"/>
        <family val="2"/>
        <scheme val="minor"/>
      </rPr>
      <t>2.0</t>
    </r>
    <r>
      <rPr>
        <sz val="11"/>
        <color theme="1"/>
        <rFont val="Calibri"/>
        <family val="2"/>
        <scheme val="minor"/>
      </rPr>
      <t xml:space="preserve"> - Certificate
</t>
    </r>
    <r>
      <rPr>
        <b/>
        <sz val="11"/>
        <color theme="1"/>
        <rFont val="Calibri"/>
        <family val="2"/>
        <scheme val="minor"/>
      </rPr>
      <t>2.1</t>
    </r>
    <r>
      <rPr>
        <sz val="11"/>
        <color theme="1"/>
        <rFont val="Calibri"/>
        <family val="2"/>
        <scheme val="minor"/>
      </rPr>
      <t xml:space="preserve"> - Postsecondary Certificate Or Diploma (less than one year)
</t>
    </r>
    <r>
      <rPr>
        <b/>
        <sz val="11"/>
        <color theme="1"/>
        <rFont val="Calibri"/>
        <family val="2"/>
        <scheme val="minor"/>
      </rPr>
      <t>2.2</t>
    </r>
    <r>
      <rPr>
        <sz val="11"/>
        <color theme="1"/>
        <rFont val="Calibri"/>
        <family val="2"/>
        <scheme val="minor"/>
      </rPr>
      <t xml:space="preserve"> - Postsecondary Certificate Or Diploma (one year or more but less than four years)
</t>
    </r>
    <r>
      <rPr>
        <b/>
        <sz val="11"/>
        <color theme="1"/>
        <rFont val="Calibri"/>
        <family val="2"/>
        <scheme val="minor"/>
      </rPr>
      <t>2.3</t>
    </r>
    <r>
      <rPr>
        <sz val="11"/>
        <color theme="1"/>
        <rFont val="Calibri"/>
        <family val="2"/>
        <scheme val="minor"/>
      </rPr>
      <t xml:space="preserve"> - Associate Degree (e.g., Associate In Arts, Associate In Science)
</t>
    </r>
    <r>
      <rPr>
        <b/>
        <sz val="11"/>
        <color theme="1"/>
        <rFont val="Calibri"/>
        <family val="2"/>
        <scheme val="minor"/>
      </rPr>
      <t>2.4</t>
    </r>
    <r>
      <rPr>
        <sz val="11"/>
        <color theme="1"/>
        <rFont val="Calibri"/>
        <family val="2"/>
        <scheme val="minor"/>
      </rPr>
      <t xml:space="preserve"> - Baccalaureate Degree
</t>
    </r>
    <r>
      <rPr>
        <b/>
        <sz val="11"/>
        <color theme="1"/>
        <rFont val="Calibri"/>
        <family val="2"/>
        <scheme val="minor"/>
      </rPr>
      <t>2.5</t>
    </r>
    <r>
      <rPr>
        <sz val="11"/>
        <color theme="1"/>
        <rFont val="Calibri"/>
        <family val="2"/>
        <scheme val="minor"/>
      </rPr>
      <t xml:space="preserve"> - Baccalaureate (Honors) Degree
</t>
    </r>
    <r>
      <rPr>
        <b/>
        <sz val="11"/>
        <color theme="1"/>
        <rFont val="Calibri"/>
        <family val="2"/>
        <scheme val="minor"/>
      </rPr>
      <t>2.6</t>
    </r>
    <r>
      <rPr>
        <sz val="11"/>
        <color theme="1"/>
        <rFont val="Calibri"/>
        <family val="2"/>
        <scheme val="minor"/>
      </rPr>
      <t xml:space="preserve"> - Postsecondary Certificate Or Diploma (one year or more but less than two years)
</t>
    </r>
    <r>
      <rPr>
        <b/>
        <sz val="11"/>
        <color theme="1"/>
        <rFont val="Calibri"/>
        <family val="2"/>
        <scheme val="minor"/>
      </rPr>
      <t>2.7</t>
    </r>
    <r>
      <rPr>
        <sz val="11"/>
        <color theme="1"/>
        <rFont val="Calibri"/>
        <family val="2"/>
        <scheme val="minor"/>
      </rPr>
      <t xml:space="preserve"> - Postsecondary Certificate Or Diploma (two years or more but less than four years)
</t>
    </r>
    <r>
      <rPr>
        <b/>
        <sz val="11"/>
        <color theme="1"/>
        <rFont val="Calibri"/>
        <family val="2"/>
        <scheme val="minor"/>
      </rPr>
      <t>3.1</t>
    </r>
    <r>
      <rPr>
        <sz val="11"/>
        <color theme="1"/>
        <rFont val="Calibri"/>
        <family val="2"/>
        <scheme val="minor"/>
      </rPr>
      <t xml:space="preserve"> - First Professional Degree
</t>
    </r>
    <r>
      <rPr>
        <b/>
        <sz val="11"/>
        <color theme="1"/>
        <rFont val="Calibri"/>
        <family val="2"/>
        <scheme val="minor"/>
      </rPr>
      <t>3.2</t>
    </r>
    <r>
      <rPr>
        <sz val="11"/>
        <color theme="1"/>
        <rFont val="Calibri"/>
        <family val="2"/>
        <scheme val="minor"/>
      </rPr>
      <t xml:space="preserve"> - Post-Professional Degree
</t>
    </r>
    <r>
      <rPr>
        <b/>
        <sz val="11"/>
        <color theme="1"/>
        <rFont val="Calibri"/>
        <family val="2"/>
        <scheme val="minor"/>
      </rPr>
      <t>4.1</t>
    </r>
    <r>
      <rPr>
        <sz val="11"/>
        <color theme="1"/>
        <rFont val="Calibri"/>
        <family val="2"/>
        <scheme val="minor"/>
      </rPr>
      <t xml:space="preserve"> - Graduate Certificate
</t>
    </r>
    <r>
      <rPr>
        <b/>
        <sz val="11"/>
        <color theme="1"/>
        <rFont val="Calibri"/>
        <family val="2"/>
        <scheme val="minor"/>
      </rPr>
      <t>4.2</t>
    </r>
    <r>
      <rPr>
        <sz val="11"/>
        <color theme="1"/>
        <rFont val="Calibri"/>
        <family val="2"/>
        <scheme val="minor"/>
      </rPr>
      <t xml:space="preserve"> - Master's Degree
</t>
    </r>
    <r>
      <rPr>
        <b/>
        <sz val="11"/>
        <color theme="1"/>
        <rFont val="Calibri"/>
        <family val="2"/>
        <scheme val="minor"/>
      </rPr>
      <t>4.3</t>
    </r>
    <r>
      <rPr>
        <sz val="11"/>
        <color theme="1"/>
        <rFont val="Calibri"/>
        <family val="2"/>
        <scheme val="minor"/>
      </rPr>
      <t xml:space="preserve"> - Intermediate Graduate Degree
</t>
    </r>
    <r>
      <rPr>
        <b/>
        <sz val="11"/>
        <color theme="1"/>
        <rFont val="Calibri"/>
        <family val="2"/>
        <scheme val="minor"/>
      </rPr>
      <t>4.4</t>
    </r>
    <r>
      <rPr>
        <sz val="11"/>
        <color theme="1"/>
        <rFont val="Calibri"/>
        <family val="2"/>
        <scheme val="minor"/>
      </rPr>
      <t xml:space="preserve"> - Doctoral Degree
</t>
    </r>
    <r>
      <rPr>
        <b/>
        <sz val="11"/>
        <color theme="1"/>
        <rFont val="Calibri"/>
        <family val="2"/>
        <scheme val="minor"/>
      </rPr>
      <t>4.5</t>
    </r>
    <r>
      <rPr>
        <sz val="11"/>
        <color theme="1"/>
        <rFont val="Calibri"/>
        <family val="2"/>
        <scheme val="minor"/>
      </rPr>
      <t xml:space="preserve"> - Post-doctoral Award
</t>
    </r>
    <r>
      <rPr>
        <b/>
        <sz val="11"/>
        <color theme="1"/>
        <rFont val="Calibri"/>
        <family val="2"/>
        <scheme val="minor"/>
      </rPr>
      <t>IPEDS1</t>
    </r>
    <r>
      <rPr>
        <sz val="11"/>
        <color theme="1"/>
        <rFont val="Calibri"/>
        <family val="2"/>
        <scheme val="minor"/>
      </rPr>
      <t xml:space="preserve"> - Postsecondary award, certificate, or diploma of less than one academic year (less than 900 contact or clock hours)
</t>
    </r>
    <r>
      <rPr>
        <b/>
        <sz val="11"/>
        <color theme="1"/>
        <rFont val="Calibri"/>
        <family val="2"/>
        <scheme val="minor"/>
      </rPr>
      <t>IPEDS2</t>
    </r>
    <r>
      <rPr>
        <sz val="11"/>
        <color theme="1"/>
        <rFont val="Calibri"/>
        <family val="2"/>
        <scheme val="minor"/>
      </rPr>
      <t xml:space="preserve"> - Postsecondary award, certificate, or diploma of at least one but less than two academic years (at least 900 but less than 1800 contact or clock hours)
</t>
    </r>
    <r>
      <rPr>
        <b/>
        <sz val="11"/>
        <color theme="1"/>
        <rFont val="Calibri"/>
        <family val="2"/>
        <scheme val="minor"/>
      </rPr>
      <t>IPEDS3</t>
    </r>
    <r>
      <rPr>
        <sz val="11"/>
        <color theme="1"/>
        <rFont val="Calibri"/>
        <family val="2"/>
        <scheme val="minor"/>
      </rPr>
      <t xml:space="preserve"> - Associate's Degree
</t>
    </r>
    <r>
      <rPr>
        <b/>
        <sz val="11"/>
        <color theme="1"/>
        <rFont val="Calibri"/>
        <family val="2"/>
        <scheme val="minor"/>
      </rPr>
      <t>IPEDS4</t>
    </r>
    <r>
      <rPr>
        <sz val="11"/>
        <color theme="1"/>
        <rFont val="Calibri"/>
        <family val="2"/>
        <scheme val="minor"/>
      </rPr>
      <t xml:space="preserve"> - Postsecondary award, certificate, or diploma of at least two but less than four academic years (at least 1800 contact or clock hours)
</t>
    </r>
    <r>
      <rPr>
        <b/>
        <sz val="11"/>
        <color theme="1"/>
        <rFont val="Calibri"/>
        <family val="2"/>
        <scheme val="minor"/>
      </rPr>
      <t>IPEDS5</t>
    </r>
    <r>
      <rPr>
        <sz val="11"/>
        <color theme="1"/>
        <rFont val="Calibri"/>
        <family val="2"/>
        <scheme val="minor"/>
      </rPr>
      <t xml:space="preserve"> - Bachelor's Degree or equivalent
</t>
    </r>
    <r>
      <rPr>
        <b/>
        <sz val="11"/>
        <color theme="1"/>
        <rFont val="Calibri"/>
        <family val="2"/>
        <scheme val="minor"/>
      </rPr>
      <t>IPEDS6</t>
    </r>
    <r>
      <rPr>
        <sz val="11"/>
        <color theme="1"/>
        <rFont val="Calibri"/>
        <family val="2"/>
        <scheme val="minor"/>
      </rPr>
      <t xml:space="preserve"> - Postbaccalaureate Certificate
</t>
    </r>
    <r>
      <rPr>
        <b/>
        <sz val="11"/>
        <color theme="1"/>
        <rFont val="Calibri"/>
        <family val="2"/>
        <scheme val="minor"/>
      </rPr>
      <t>IPEDS7</t>
    </r>
    <r>
      <rPr>
        <sz val="11"/>
        <color theme="1"/>
        <rFont val="Calibri"/>
        <family val="2"/>
        <scheme val="minor"/>
      </rPr>
      <t xml:space="preserve"> - Master's Degree
</t>
    </r>
    <r>
      <rPr>
        <b/>
        <sz val="11"/>
        <color theme="1"/>
        <rFont val="Calibri"/>
        <family val="2"/>
        <scheme val="minor"/>
      </rPr>
      <t>IPEDS8</t>
    </r>
    <r>
      <rPr>
        <sz val="11"/>
        <color theme="1"/>
        <rFont val="Calibri"/>
        <family val="2"/>
        <scheme val="minor"/>
      </rPr>
      <t xml:space="preserve"> - Post Masters Certificate
</t>
    </r>
    <r>
      <rPr>
        <b/>
        <sz val="11"/>
        <color theme="1"/>
        <rFont val="Calibri"/>
        <family val="2"/>
        <scheme val="minor"/>
      </rPr>
      <t>IPEDS9</t>
    </r>
    <r>
      <rPr>
        <sz val="11"/>
        <color theme="1"/>
        <rFont val="Calibri"/>
        <family val="2"/>
        <scheme val="minor"/>
      </rPr>
      <t xml:space="preserve"> - Doctor's Degree
</t>
    </r>
    <r>
      <rPr>
        <b/>
        <sz val="11"/>
        <color theme="1"/>
        <rFont val="Calibri"/>
        <family val="2"/>
        <scheme val="minor"/>
      </rPr>
      <t>IPEDS10</t>
    </r>
    <r>
      <rPr>
        <sz val="11"/>
        <color theme="1"/>
        <rFont val="Calibri"/>
        <family val="2"/>
        <scheme val="minor"/>
      </rPr>
      <t xml:space="preserve"> - First-Professional Degree
</t>
    </r>
    <r>
      <rPr>
        <b/>
        <sz val="11"/>
        <color theme="1"/>
        <rFont val="Calibri"/>
        <family val="2"/>
        <scheme val="minor"/>
      </rPr>
      <t>IPEDS11</t>
    </r>
    <r>
      <rPr>
        <sz val="11"/>
        <color theme="1"/>
        <rFont val="Calibri"/>
        <family val="2"/>
        <scheme val="minor"/>
      </rPr>
      <t xml:space="preserve"> - First-Professional Certificate (Post-Degree)
</t>
    </r>
    <r>
      <rPr>
        <b/>
        <sz val="11"/>
        <color theme="1"/>
        <rFont val="Calibri"/>
        <family val="2"/>
        <scheme val="minor"/>
      </rPr>
      <t>IPEDS17</t>
    </r>
    <r>
      <rPr>
        <sz val="11"/>
        <color theme="1"/>
        <rFont val="Calibri"/>
        <family val="2"/>
        <scheme val="minor"/>
      </rPr>
      <t xml:space="preserve"> - Doctor's degree - research/scholarship
</t>
    </r>
    <r>
      <rPr>
        <b/>
        <sz val="11"/>
        <color theme="1"/>
        <rFont val="Calibri"/>
        <family val="2"/>
        <scheme val="minor"/>
      </rPr>
      <t>IPEDS18</t>
    </r>
    <r>
      <rPr>
        <sz val="11"/>
        <color theme="1"/>
        <rFont val="Calibri"/>
        <family val="2"/>
        <scheme val="minor"/>
      </rPr>
      <t xml:space="preserve"> - Doctor's degree - professional practice
</t>
    </r>
    <r>
      <rPr>
        <b/>
        <sz val="11"/>
        <color theme="1"/>
        <rFont val="Calibri"/>
        <family val="2"/>
        <scheme val="minor"/>
      </rPr>
      <t>IPEDS19</t>
    </r>
    <r>
      <rPr>
        <sz val="11"/>
        <color theme="1"/>
        <rFont val="Calibri"/>
        <family val="2"/>
        <scheme val="minor"/>
      </rPr>
      <t xml:space="preserve"> - Doctor's degree - other Award Levels
</t>
    </r>
  </si>
  <si>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75000</t>
    </r>
    <r>
      <rPr>
        <sz val="11"/>
        <color theme="1"/>
        <rFont val="Calibri"/>
        <family val="2"/>
        <scheme val="minor"/>
      </rPr>
      <t xml:space="preserve"> - Foster Care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</si>
  <si>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Visual and Performing Arts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Information Technology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r>
      <rPr>
        <b/>
        <sz val="11"/>
        <color theme="1"/>
        <rFont val="Calibri"/>
        <family val="2"/>
        <scheme val="minor"/>
      </rPr>
      <t>24</t>
    </r>
    <r>
      <rPr>
        <sz val="11"/>
        <color theme="1"/>
        <rFont val="Calibri"/>
        <family val="2"/>
        <scheme val="minor"/>
      </rPr>
      <t xml:space="preserve"> - World Languages
</t>
    </r>
  </si>
  <si>
    <r>
      <t>75027</t>
    </r>
    <r>
      <rPr>
        <sz val="11"/>
        <color theme="1"/>
        <rFont val="Calibri"/>
        <family val="2"/>
        <scheme val="minor"/>
      </rPr>
      <t xml:space="preserve"> - Feeder school rights
</t>
    </r>
    <r>
      <rPr>
        <b/>
        <sz val="11"/>
        <color theme="1"/>
        <rFont val="Calibri"/>
        <family val="2"/>
        <scheme val="minor"/>
      </rPr>
      <t>75028</t>
    </r>
    <r>
      <rPr>
        <sz val="11"/>
        <color theme="1"/>
        <rFont val="Calibri"/>
        <family val="2"/>
        <scheme val="minor"/>
      </rPr>
      <t xml:space="preserve"> - Geographic right
</t>
    </r>
    <r>
      <rPr>
        <b/>
        <sz val="11"/>
        <color theme="1"/>
        <rFont val="Calibri"/>
        <family val="2"/>
        <scheme val="minor"/>
      </rPr>
      <t>75029</t>
    </r>
    <r>
      <rPr>
        <sz val="11"/>
        <color theme="1"/>
        <rFont val="Calibri"/>
        <family val="2"/>
        <scheme val="minor"/>
      </rPr>
      <t xml:space="preserve"> - Lottery
</t>
    </r>
    <r>
      <rPr>
        <b/>
        <sz val="11"/>
        <color theme="1"/>
        <rFont val="Calibri"/>
        <family val="2"/>
        <scheme val="minor"/>
      </rPr>
      <t>75030</t>
    </r>
    <r>
      <rPr>
        <sz val="11"/>
        <color theme="1"/>
        <rFont val="Calibri"/>
        <family val="2"/>
        <scheme val="minor"/>
      </rPr>
      <t xml:space="preserve"> - Policy preference
</t>
    </r>
    <r>
      <rPr>
        <b/>
        <sz val="11"/>
        <color theme="1"/>
        <rFont val="Calibri"/>
        <family val="2"/>
        <scheme val="minor"/>
      </rPr>
      <t>75031</t>
    </r>
    <r>
      <rPr>
        <sz val="11"/>
        <color theme="1"/>
        <rFont val="Calibri"/>
        <family val="2"/>
        <scheme val="minor"/>
      </rPr>
      <t xml:space="preserve"> - Selective admissions
</t>
    </r>
  </si>
  <si>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English Learner and immigrant students)
</t>
    </r>
  </si>
  <si>
    <r>
      <t>FaceVirtual</t>
    </r>
    <r>
      <rPr>
        <sz val="11"/>
        <color theme="1"/>
        <rFont val="Calibri"/>
        <family val="2"/>
        <scheme val="minor"/>
      </rPr>
      <t xml:space="preserve"> - Face Virtual
</t>
    </r>
    <r>
      <rPr>
        <b/>
        <sz val="11"/>
        <color theme="1"/>
        <rFont val="Calibri"/>
        <family val="2"/>
        <scheme val="minor"/>
      </rPr>
      <t>FullVirtual</t>
    </r>
    <r>
      <rPr>
        <sz val="11"/>
        <color theme="1"/>
        <rFont val="Calibri"/>
        <family val="2"/>
        <scheme val="minor"/>
      </rPr>
      <t xml:space="preserve"> - Full Virtual
</t>
    </r>
    <r>
      <rPr>
        <b/>
        <sz val="11"/>
        <color theme="1"/>
        <rFont val="Calibri"/>
        <family val="2"/>
        <scheme val="minor"/>
      </rPr>
      <t>NotVirtual</t>
    </r>
    <r>
      <rPr>
        <sz val="11"/>
        <color theme="1"/>
        <rFont val="Calibri"/>
        <family val="2"/>
        <scheme val="minor"/>
      </rPr>
      <t xml:space="preserve"> - Not Virtual
</t>
    </r>
    <r>
      <rPr>
        <b/>
        <sz val="11"/>
        <color theme="1"/>
        <rFont val="Calibri"/>
        <family val="2"/>
        <scheme val="minor"/>
      </rPr>
      <t>SupplementalVirtual</t>
    </r>
    <r>
      <rPr>
        <sz val="11"/>
        <color theme="1"/>
        <rFont val="Calibri"/>
        <family val="2"/>
        <scheme val="minor"/>
      </rPr>
      <t xml:space="preserve"> - Supplemental Virtual
</t>
    </r>
  </si>
  <si>
    <t>Individualized Program-&gt;Goal</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</si>
  <si>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</si>
  <si>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</si>
  <si>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</si>
  <si>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</si>
  <si>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</si>
  <si>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</si>
  <si>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</si>
  <si>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</si>
  <si>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</si>
  <si>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</si>
  <si>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</si>
  <si>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</si>
  <si>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</si>
  <si>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</si>
  <si>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English Learner</t>
  </si>
  <si>
    <t>Institution Enrollment-&gt;Prior Academic Award-&gt;Endorser</t>
  </si>
  <si>
    <t>Institution Enrollment-&gt;Prior Academic Award-&gt;Thesis or Dissertation Advisor</t>
  </si>
  <si>
    <t>Academic Record-&gt;Academic Award-&gt;Endorser</t>
  </si>
  <si>
    <t>Academic Record-&gt;Academic Award-&gt;Thesis or Dissertation Advisor</t>
  </si>
  <si>
    <t>Goal</t>
  </si>
  <si>
    <t>Competencies</t>
  </si>
  <si>
    <t>Competency Framework</t>
  </si>
  <si>
    <t>Competency Item</t>
  </si>
  <si>
    <t>Competency Item-&gt;Competency Association</t>
  </si>
  <si>
    <t>Credential Award</t>
  </si>
  <si>
    <t>Credential Issuer</t>
  </si>
  <si>
    <t>Credential Creator</t>
  </si>
  <si>
    <t>Competency Association</t>
  </si>
  <si>
    <t>Facilities</t>
  </si>
  <si>
    <t>Condition</t>
  </si>
  <si>
    <t>Condition-&gt;Component Or Fixture</t>
  </si>
  <si>
    <t>Design</t>
  </si>
  <si>
    <t>Utilization</t>
  </si>
  <si>
    <t>Management</t>
  </si>
  <si>
    <t>Budget and Finance</t>
  </si>
  <si>
    <t>Implementation Variables</t>
  </si>
  <si>
    <t>Report</t>
  </si>
  <si>
    <t>Account--&gt;AccountCode</t>
  </si>
  <si>
    <t>AssessmentFamily--&gt;AssessmentFamilyIdentificationCode--&gt;IdentificationCode</t>
  </si>
  <si>
    <t>The correct response for the AssessmentItem.</t>
  </si>
  <si>
    <t>The setting in which a child receives education and related services. This attribute is only used if it differs from the EducationalEnvironment of the section. This is only used in the AttendanceEvent if different from the associated Section.</t>
  </si>
  <si>
    <t>Name or title of the BellSchedule.</t>
  </si>
  <si>
    <t>The scope of cohort (e.g., school, district, classroom).</t>
  </si>
  <si>
    <t>Course--&gt;CompetencyLevel</t>
  </si>
  <si>
    <t>Course--&gt;MinimumAvailableCredits--&gt;Credits</t>
  </si>
  <si>
    <t>The value of credits or units of value awarded for the completion of a course.</t>
  </si>
  <si>
    <t>The method the credits were earned (e.g., Classroom, Examination, Transfer).</t>
  </si>
  <si>
    <t>Education Organization--&gt;AccountabilityRating--&gt;Rating</t>
  </si>
  <si>
    <t>EducationContent--&gt;AppropriateSex</t>
  </si>
  <si>
    <t>Sexes for which this education content is applicable-if omitted, considered generally applicable.</t>
  </si>
  <si>
    <t>EducationOrganization--&gt;AccountabilityRating--&gt;RatingDate</t>
  </si>
  <si>
    <t>EducationOrganization--&gt;AccountabilityRating--&gt;RatingOrganization</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</si>
  <si>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</si>
  <si>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</si>
  <si>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</si>
  <si>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</si>
  <si>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</si>
  <si>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</si>
  <si>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</si>
  <si>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</si>
  <si>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</si>
  <si>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The purpose(s) of the network (e.g., shared services, collective procurement).</t>
  </si>
  <si>
    <t>The date on which the EducationOrganization joined this network.</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</si>
  <si>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</si>
  <si>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</si>
  <si>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</si>
  <si>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</si>
  <si>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</si>
  <si>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</si>
  <si>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The name or title of the activity to be recorded in the gradebook entry.</t>
  </si>
  <si>
    <t>Month, day, and year of the first day of the GradingPeriod.</t>
  </si>
  <si>
    <t>GraduationPlan--&gt;CreditsByCourse--&gt;Credits--&gt;Credits</t>
  </si>
  <si>
    <t>GraduationPlan--&gt;CreditsByCourse--&gt;WhenTakenGradeLevel</t>
  </si>
  <si>
    <t>Grade levels for the prescribed intervention. If omitted, considered generally applicable.</t>
  </si>
  <si>
    <t>Sexes for the InterventionPrescription. If omitted, considered generally applicable.</t>
  </si>
  <si>
    <t>InterventionPrescription--&gt;AppropriateGradeLevel</t>
  </si>
  <si>
    <t>InterventionPrescription--&gt;AppropriateSex</t>
  </si>
  <si>
    <t>Targeted purpose of the InterventionPrescription (e.g., attendance issue, dropout risk).</t>
  </si>
  <si>
    <t>A subset of students that are the focus of the InterventionPrescription.</t>
  </si>
  <si>
    <t>InterventionStudy--&gt;AppropriateSex</t>
  </si>
  <si>
    <t>Sexes participating in this study. If omitted, considered generally applicable.</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</si>
  <si>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</si>
  <si>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</si>
  <si>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A subset of students that are the focus of the InterventionStudy.</t>
  </si>
  <si>
    <t>Reflects the specific nomenclature used for the LearningObjective.</t>
  </si>
  <si>
    <t>LearningStandard--&gt;AcademicSubject</t>
  </si>
  <si>
    <t>Subject area for the LearningStandard.</t>
  </si>
  <si>
    <t>LocalEducationAgency--&gt;AccountabilityRating--&gt;RatingDate</t>
  </si>
  <si>
    <t>LocalEducationAgency--&gt;AccountabilityRating--&gt;RatingOrganization</t>
  </si>
  <si>
    <t>The percentage of the Assessment that tests this objective.</t>
  </si>
  <si>
    <t>OpenStaffPosition--&gt;AcademicSubject</t>
  </si>
  <si>
    <t>The teaching field required for the OpenStaffPosition, for example English/Language Arts, Reading, Mathematics, Science, Social Sciences, etc.</t>
  </si>
  <si>
    <t>Date the OpenStaffPosition was posted.</t>
  </si>
  <si>
    <t>OpenStaffPosition--&gt;InstructionalGradeLevel</t>
  </si>
  <si>
    <t>Indication of whether the OpenStaffPosition was filled or retired without filling.</t>
  </si>
  <si>
    <t>The name of the program for which the OpenStaffPosition will be assigned; for example: Regular education Title I-Academic Title I-Non-Academic Special Education Bilingual/English as a Second Language.</t>
  </si>
  <si>
    <t>Parent--&gt;Name--&gt;PersonalIdentificationDocument--&gt;DocumentExpirationDate</t>
  </si>
  <si>
    <t>Parent--&gt;Name--&gt;PersonalIdentificationDocument--&gt;DocumentTitle</t>
  </si>
  <si>
    <t>Parent--&gt;Name--&gt;PersonalIdentificationDocument--&gt;IssuerCountry</t>
  </si>
  <si>
    <t>Parent--&gt;Name--&gt;PersonalIdentificationDocument--&gt;IssuerDocumentIdentificationCode</t>
  </si>
  <si>
    <t>Parent--&gt;Name--&gt;PersonalIdentificationDocument--&gt;IssuerName</t>
  </si>
  <si>
    <t>Parent--&gt;ParentUniqueId</t>
  </si>
  <si>
    <t>A unique alphanumeric code assigned to a parent.</t>
  </si>
  <si>
    <t>PostSecondaryEvent--&gt;PostSecondaryInstitution--&gt;MediumOfInstruction</t>
  </si>
  <si>
    <t>Program--&gt;Service</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</si>
  <si>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</si>
  <si>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</si>
  <si>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</si>
  <si>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</si>
  <si>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</si>
  <si>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Section--&gt;SectionCharacteristic</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</si>
  <si>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</si>
  <si>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</si>
  <si>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</si>
  <si>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</si>
  <si>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</si>
  <si>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</si>
  <si>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</si>
  <si>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</si>
  <si>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</si>
  <si>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</si>
  <si>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</si>
  <si>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Staff--&gt;Credential--&gt;Level</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</si>
  <si>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</si>
  <si>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</si>
  <si>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</si>
  <si>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</si>
  <si>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</si>
  <si>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</si>
  <si>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</si>
  <si>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StaffEducationOrganizationEmploymentAssociation--&gt;Department</t>
  </si>
  <si>
    <t>The department or suborganization the employee/contractor is associated with in the EducationOrganization.</t>
  </si>
  <si>
    <t>StaffEducationOrganizationEmploymentAssociation--&gt;OfferDate</t>
  </si>
  <si>
    <t>Start date for the association of staff to this program.</t>
  </si>
  <si>
    <t>End date for the association of staff to this program.</t>
  </si>
  <si>
    <t>StateEducationAgency--&gt;AccountabilityRating--&gt;RatingDate</t>
  </si>
  <si>
    <t>StateEducationAgency--&gt;AccountabilityRating--&gt;RatingOrganization</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</si>
  <si>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</si>
  <si>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</si>
  <si>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</si>
  <si>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</si>
  <si>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</si>
  <si>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</si>
  <si>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</si>
  <si>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</si>
  <si>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</si>
  <si>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</si>
  <si>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</si>
  <si>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Student--&gt;LearningStyle--&gt;AuditoryLearning</t>
  </si>
  <si>
    <t>Student--&gt;LearningStyle--&gt;TactileLearning</t>
  </si>
  <si>
    <t>Student--&gt;LearningStyle--&gt;VisualLearning</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</si>
  <si>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</si>
  <si>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</si>
  <si>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</si>
  <si>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</si>
  <si>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</si>
  <si>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</si>
  <si>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Student--&gt;ProgramParticipation--&gt;ProgramCharacteristic</t>
  </si>
  <si>
    <t>Student--&gt;StudentCharacteristic--&gt;DesignatedBy</t>
  </si>
  <si>
    <t>Student--&gt;StudentIndicator--&gt;BeginDate</t>
  </si>
  <si>
    <t>Student--&gt;StudentIndicator--&gt;DesignatedBy</t>
  </si>
  <si>
    <t>Student--&gt;StudentIndicator--&gt;EndDate</t>
  </si>
  <si>
    <t>Student--&gt;StudentIndicator--&gt;IndicatorGroup</t>
  </si>
  <si>
    <t>StudentAcademicRecord--&gt;AcademicHonor--&gt;Achievement--&gt;AcheivementCategory</t>
  </si>
  <si>
    <t>StudentAcademicRecord--&gt;Diploma--&gt;Achievement--&gt;AcheivementCategory</t>
  </si>
  <si>
    <t>StudentAcademicRecord--&gt;Diploma--&gt;Achievement--&gt;AchievementCategorySystem</t>
  </si>
  <si>
    <t>StudentAcademicRecord--&gt;Diploma--&gt;Achievement--&gt;IssuerName</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</si>
  <si>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</si>
  <si>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</si>
  <si>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</si>
  <si>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</si>
  <si>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StudentAcademicRecord--&gt;Recognition--&gt;RecognitionDescription</t>
  </si>
  <si>
    <t>StudentAcademicRecord--&gt;SessionAttemptedCredits--&gt;Credits</t>
  </si>
  <si>
    <t>StudentCompetencyObjective--&gt;CompetencyLevel</t>
  </si>
  <si>
    <t>StudentCTEProgramAssociation--&gt;Service</t>
  </si>
  <si>
    <t>Indicates the Service(s) being provided to the student by the program.</t>
  </si>
  <si>
    <t>StudentDisciplineIncidentAssociation--&gt;Behavior--&gt;BehaviorDetailedDescription</t>
  </si>
  <si>
    <t>The competency level assessed for the student for the referenced LearningObjective.</t>
  </si>
  <si>
    <t>StudentInterventionAssociation--&gt;InterventionEffectiveness--&gt;InterventionEffectivenessRating</t>
  </si>
  <si>
    <t>StudentProgramAssociation--&gt;Service</t>
  </si>
  <si>
    <t>StudentSpecialEdProgramAssociation--&gt;Service</t>
  </si>
  <si>
    <t>StudentTitleIPartAProgramAssociation--&gt;Service</t>
  </si>
  <si>
    <t>Teacher--&gt;Credential--&gt;CredentialField</t>
  </si>
  <si>
    <t>Teacher--&gt;Credential--&gt;Level</t>
  </si>
  <si>
    <t>NCES Handbooks/Forum</t>
  </si>
  <si>
    <t xml:space="preserve">Yes/No
</t>
  </si>
  <si>
    <t xml:space="preserve">No Options
</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</si>
  <si>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t>
  </si>
  <si>
    <t xml:space="preserve">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</si>
  <si>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Attendance zone</t>
  </si>
  <si>
    <t>The geographical area that determines the school that age appropriate children are assigned to.</t>
  </si>
  <si>
    <t>The type of a capital improvement project as characterized by the kind of alteration, addition, new construction, system or component renewal.</t>
  </si>
  <si>
    <t>Capital Project Audit Date</t>
  </si>
  <si>
    <t>The month, day, and year when a capital project audit was done.</t>
  </si>
  <si>
    <t xml:space="preserve">Classroom Instruction Use Type
</t>
  </si>
  <si>
    <t xml:space="preserve">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t>
  </si>
  <si>
    <t xml:space="preserve">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10459 - 13155CHR(10
</t>
  </si>
  <si>
    <t xml:space="preserve">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t>
  </si>
  <si>
    <t xml:space="preserve">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10919 - 20071CHR(10
</t>
  </si>
  <si>
    <t xml:space="preserve">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</si>
  <si>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t>
  </si>
  <si>
    <t>Facility area</t>
  </si>
  <si>
    <t>The total gross square footage of the building or buildings located on a single site.</t>
  </si>
  <si>
    <t>Facility utilization</t>
  </si>
  <si>
    <t>A point in time percentage measure of how much of a facility's enrollment capacity is being used.</t>
  </si>
  <si>
    <t>Feeder pattern</t>
  </si>
  <si>
    <t>A student assignment enrollment pathway based on creating continuity of grade end in one school and grade start at another school within the same district.</t>
  </si>
  <si>
    <t>The number of years since a comprehensive upgrade of ALL major building systems and components, such that it functions as a modern building, as measured by a facility condition index not greater than 15%.</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</si>
  <si>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</si>
  <si>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 xml:space="preserve">Interior Floor Finish
   02553 - Carpet
   02560 - Ceramic tile
   02556 - Quarry tile
   02557 - Sealed concrete
   02552 - Synthetic sheet/good composite tile flooring
   02554 - Terrazzo flooring
   02555 - Vinyl asbestos tile (VAT)
   02551 - Wood flooring
   09999 - Other
</t>
  </si>
  <si>
    <t xml:space="preserve">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t>
  </si>
  <si>
    <t xml:space="preserve">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t>
  </si>
  <si>
    <t xml:space="preserve">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t>
  </si>
  <si>
    <t xml:space="preserve">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t>
  </si>
  <si>
    <t xml:space="preserve">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
</t>
  </si>
  <si>
    <t xml:space="preserve">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t>
  </si>
  <si>
    <t xml:space="preserve">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t>
  </si>
  <si>
    <t xml:space="preserve">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t>
  </si>
  <si>
    <t xml:space="preserve">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t>
  </si>
  <si>
    <t xml:space="preserve">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t>
  </si>
  <si>
    <t xml:space="preserve">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t>
  </si>
  <si>
    <t xml:space="preserve">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t>
  </si>
  <si>
    <t xml:space="preserve">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t>
  </si>
  <si>
    <t xml:space="preserve">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t>
  </si>
  <si>
    <t xml:space="preserve">Nontax Revenue Type
   02969 - Individual contributions
   02970 - Corporate contributions
   02971 - Foundation contributions
   02972 - Payments in lieu of tax contributions
   13744 - Capital lease proceeds
   13746 - Gains or losses on the sale of capital assets
   13747 - Loan proceeds
   13748 - Loans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</si>
  <si>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 xml:space="preserve">Authorizing Entity Type
</t>
  </si>
  <si>
    <t>Public school capture</t>
  </si>
  <si>
    <t>The description of the share of children born within an area who end up starting kindergarten in the district-assigned school five years after birth.</t>
  </si>
  <si>
    <t xml:space="preserve">Revenue from Community Service Activities Type
   13759 - Event fees
   13760 - Lease revenue
   73100 - User fees
</t>
  </si>
  <si>
    <t>Student assignment</t>
  </si>
  <si>
    <t>The designation of children to an age appropriate public school.</t>
  </si>
  <si>
    <t>Student mobility</t>
  </si>
  <si>
    <t>The exit of students from a school prior to completing the last grade of the school in which they are enrolled.</t>
  </si>
  <si>
    <t>A determination of the urgency of a work order due to the immediate or ongoing impact on the health or safety of students and staff.</t>
  </si>
  <si>
    <t>AcademicProgramDegreeLevelCode</t>
  </si>
  <si>
    <t>A code to indicate the specific ranking of academic award for person.</t>
  </si>
  <si>
    <t xml:space="preserve">AcademicProgramDegreeLevel
   PostBaccalaureateCertificate
   UndergraduateCertificate
   AssociateDegree
   BaccalaureateDegree
   Certificate
   Doctorate
   GraduateDegree
   HighSchool
   MastersDegree
   NonDegree
   PostsecondaryDiploma
   ProfessionalDegree
</t>
  </si>
  <si>
    <t xml:space="preserve">AgencyCode
   Province
   State
   Regional
   National
   MutuallyDefined
   Migrant
   District
</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</si>
  <si>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t>
  </si>
  <si>
    <t xml:space="preserve">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</si>
  <si>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</si>
  <si>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</si>
  <si>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</si>
  <si>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</si>
  <si>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t>
  </si>
  <si>
    <t xml:space="preserve">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</si>
  <si>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t>
  </si>
  <si>
    <t xml:space="preserve">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</si>
  <si>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Indication of person's use of the language.</t>
  </si>
  <si>
    <t xml:space="preserve">LanguageUsage
   Always
   FirstSpokenLanguage
   SomeSections
   Sometimes
   WrittenCommunication
   Native
   Reading
   Speaking
   SpokenAtHome
   Writing
</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</si>
  <si>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t>
  </si>
  <si>
    <t xml:space="preserve">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</si>
  <si>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</si>
  <si>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</si>
  <si>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</si>
  <si>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</si>
  <si>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</si>
  <si>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</si>
  <si>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BuildingDateOfCertificateOfOccupancy</t>
  </si>
  <si>
    <t>Building Environmental or Energy Performance Rating Category</t>
  </si>
  <si>
    <t>BuildingEnvironmentalOrEnergyPerformanceRatingCategory</t>
  </si>
  <si>
    <t>BuildingHoursOfPublicUsePerWeek</t>
  </si>
  <si>
    <t>Building Indoor Athletic or Physical Education Space Type</t>
  </si>
  <si>
    <t>BuildingIndoorAthleticOrPhysicalEducationSpaceType</t>
  </si>
  <si>
    <t>Building Library or Media Center Specialty Space Type</t>
  </si>
  <si>
    <t>BuildingLibraryOrMediaCenterSpecialtySpaceType</t>
  </si>
  <si>
    <t>BuildingNetAreaOfInstructionalSpace</t>
  </si>
  <si>
    <t>BuildingNumberOfStories</t>
  </si>
  <si>
    <t>BuildingNumberOfTeachingStations</t>
  </si>
  <si>
    <t>Building Operations or Maintenance Space Type</t>
  </si>
  <si>
    <t>BuildingOperationsOrMaintenanceSpaceType</t>
  </si>
  <si>
    <t>Building Outdoor Athletic or Physical Education Space Type</t>
  </si>
  <si>
    <t>BuildingOutdoorAthleticOrPhysicalEducationSpaceType</t>
  </si>
  <si>
    <t>Building Outdoor or Non-athletic Space Type</t>
  </si>
  <si>
    <t>BuildingOutdoorOrNon-athleticSpaceType</t>
  </si>
  <si>
    <t>BuildingYearOfLastModernization</t>
  </si>
  <si>
    <t>ComponentOrFixtureCheckDate</t>
  </si>
  <si>
    <t>ComponentOrFixtureScheduledServicedDate</t>
  </si>
  <si>
    <t>ComponentOrFixtureServicedDate</t>
  </si>
  <si>
    <t>ComponentOrFixtureUsefulLife</t>
  </si>
  <si>
    <t>Facility Block Number Area</t>
  </si>
  <si>
    <t>BNA</t>
  </si>
  <si>
    <t>FacilityBlockNumberArea</t>
  </si>
  <si>
    <t>FacilityEstimatedCostToEliminateDeferredMaintenance</t>
  </si>
  <si>
    <t>FacilityHazardousMaterialsOrConditionType</t>
  </si>
  <si>
    <t>FacilityLocationOfHazardousMaterials</t>
  </si>
  <si>
    <t>FacilityStateOrLocalMandateInterestType</t>
  </si>
  <si>
    <t>FacilityStateOrLocalMandateName</t>
  </si>
  <si>
    <t>FacilitySystemOrComponentCondition</t>
  </si>
  <si>
    <t>Hazardous Material or Condition Description</t>
  </si>
  <si>
    <t>Hazardous Material or Condition Testing Date</t>
  </si>
  <si>
    <t>Assessment Need Read at Start Preference</t>
  </si>
  <si>
    <t>Assessment Personal Needs Profile Activate by Default</t>
  </si>
  <si>
    <t>Assessment Registration Grade Level to Be Assessed</t>
  </si>
  <si>
    <t>Assessment Shared with Parents</t>
  </si>
  <si>
    <t>Assessment Type Administered to Children with Disabilities</t>
  </si>
  <si>
    <t>Consent to Evaluation Date</t>
  </si>
  <si>
    <t>Consent to Evaluation Indicator</t>
  </si>
  <si>
    <t>Contract Days of Service Per Year</t>
  </si>
  <si>
    <t>Course Section Time Required for Completion</t>
  </si>
  <si>
    <t>Days in Session</t>
  </si>
  <si>
    <t>Learner Activity Add to Grade Book Flag</t>
  </si>
  <si>
    <t>Learning Resource Based on URL</t>
  </si>
  <si>
    <t>Early Learning -&gt; EL Organization
Facilities -&gt; Facility (added)
K12 -&gt; K12 School
K12 -&gt; LEA
K12 -&gt; Organization
K12 -&gt; SEA
Postsecondary -&gt; Organization
Postsecondary -&gt; PS Institution</t>
  </si>
  <si>
    <t>Person Relationship to Learner Lives with Indicator</t>
  </si>
  <si>
    <t>Professional Development Plan Approved by Supervisor</t>
  </si>
  <si>
    <t>Salary for Teaching Assignment Only Indicator</t>
  </si>
  <si>
    <t>Single Parent or Single Pregnant Woman Status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</si>
  <si>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</si>
  <si>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Building Hours of Public Use Per Week</t>
  </si>
  <si>
    <t>Two of the definitions in the Option Set for this element have been corrected to meet EDFacts reporting requirements. The attached erratum explains the change and provides a summary for the reason for the change.</t>
  </si>
  <si>
    <t>EnglishLearnerEnterDate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</si>
</sst>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1">
    <xf numFmtId="0" fontId="0" fillId="0" borderId="0" xfId="0"/>
    <xf numFmtId="0" fontId="16" fillId="33" borderId="0" xfId="0" applyFont="1" applyFill="1" applyBorder="1" applyAlignment="1">
      <alignment horizontal="left" vertical="top" wrapText="1"/>
    </xf>
    <xf numFmtId="0" fontId="16" fillId="33" borderId="10" xfId="0" applyFont="1" applyFill="1" applyBorder="1" applyAlignment="1">
      <alignment horizontal="left"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19" fillId="0" borderId="10" xfId="42" applyFont="1" applyBorder="1" applyAlignment="1">
      <alignment vertical="top" wrapText="1"/>
    </xf>
    <xf numFmtId="164" fontId="16" fillId="33" borderId="10" xfId="0" applyNumberFormat="1" applyFont="1" applyFill="1" applyBorder="1" applyAlignment="1">
      <alignment horizontal="left" wrapText="1"/>
    </xf>
    <xf numFmtId="0" fontId="16" fillId="33" borderId="0" xfId="0" applyFont="1" applyFill="1" applyBorder="1" applyAlignment="1">
      <alignment horizontal="left"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0" fillId="0" borderId="11"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18" fillId="0" borderId="10" xfId="42"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eds.ed.gov/pdf/military-connected-student-indicator-erratum.pdf" TargetMode="External"/><Relationship Id="rId2" Type="http://schemas.openxmlformats.org/officeDocument/2006/relationships/hyperlink" Target="http://www.loc.gov/standards/iso639-2/langhome.html" TargetMode="External"/><Relationship Id="rId1" Type="http://schemas.openxmlformats.org/officeDocument/2006/relationships/hyperlink" Target="../Downloads/iso639-2LanguageCode.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loc.gov/standards/iso639-2/langhome.html" TargetMode="External"/><Relationship Id="rId18" Type="http://schemas.openxmlformats.org/officeDocument/2006/relationships/hyperlink" Target="http://openbadges.github.io/openbadges-specification/" TargetMode="External"/><Relationship Id="rId26" Type="http://schemas.openxmlformats.org/officeDocument/2006/relationships/hyperlink" Target="http://nces.ed.gov/pubs2015/fin_acct/chapter6_5.asp" TargetMode="External"/><Relationship Id="rId39" Type="http://schemas.openxmlformats.org/officeDocument/2006/relationships/hyperlink" Target="../Downloads/iso639-2LanguageCode.aspx" TargetMode="External"/><Relationship Id="rId3" Type="http://schemas.openxmlformats.org/officeDocument/2006/relationships/hyperlink" Target="../Downloads/iso639-2LanguageCode.aspx" TargetMode="External"/><Relationship Id="rId21" Type="http://schemas.openxmlformats.org/officeDocument/2006/relationships/hyperlink" Target="http://degreeprofile.org/" TargetMode="External"/><Relationship Id="rId34" Type="http://schemas.openxmlformats.org/officeDocument/2006/relationships/hyperlink" Target="http://www.loc.gov/standards/iso639-2/langhome.html" TargetMode="External"/><Relationship Id="rId42" Type="http://schemas.openxmlformats.org/officeDocument/2006/relationships/hyperlink" Target="http://www.loc.gov/standards/iso639-2/langhome.html" TargetMode="External"/><Relationship Id="rId47" Type="http://schemas.openxmlformats.org/officeDocument/2006/relationships/hyperlink" Target="../Downloads/ScedCourseCodesv4.aspx" TargetMode="External"/><Relationship Id="rId50" Type="http://schemas.openxmlformats.org/officeDocument/2006/relationships/printerSettings" Target="../printerSettings/printerSettings4.bin"/><Relationship Id="rId7" Type="http://schemas.openxmlformats.org/officeDocument/2006/relationships/hyperlink" Target="../Downloads/iso639-2LanguageCode.aspx" TargetMode="External"/><Relationship Id="rId12" Type="http://schemas.openxmlformats.org/officeDocument/2006/relationships/hyperlink" Target="../Downloads/iso639-2LanguageCode.aspx" TargetMode="External"/><Relationship Id="rId17" Type="http://schemas.openxmlformats.org/officeDocument/2006/relationships/hyperlink" Target="http://www.iso.org/iso/country_codes.htm" TargetMode="External"/><Relationship Id="rId25" Type="http://schemas.openxmlformats.org/officeDocument/2006/relationships/hyperlink" Target="http://nces.ed.gov/pubs2015/fin_acct/chapter6_4.asp" TargetMode="External"/><Relationship Id="rId33" Type="http://schemas.openxmlformats.org/officeDocument/2006/relationships/hyperlink" Target="../Downloads/iso639-2LanguageCode.aspx" TargetMode="External"/><Relationship Id="rId38" Type="http://schemas.openxmlformats.org/officeDocument/2006/relationships/hyperlink" Target="https://w3id.org/xapi/adl" TargetMode="External"/><Relationship Id="rId46" Type="http://schemas.openxmlformats.org/officeDocument/2006/relationships/hyperlink" Target="http://www.iso.org/iso/country_codes.htm"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www.iso.org/iso/country_codes.htm" TargetMode="External"/><Relationship Id="rId20" Type="http://schemas.openxmlformats.org/officeDocument/2006/relationships/hyperlink" Target="http://geojson.org/geojson-spec.html" TargetMode="External"/><Relationship Id="rId29" Type="http://schemas.openxmlformats.org/officeDocument/2006/relationships/hyperlink" Target="http://nces.ed.gov/pubs2015/fin_acct/chapter6_7.asp" TargetMode="External"/><Relationship Id="rId41" Type="http://schemas.openxmlformats.org/officeDocument/2006/relationships/hyperlink" Target="../Downloads/iso639-2LanguageCode.aspx" TargetMode="External"/><Relationship Id="rId1" Type="http://schemas.openxmlformats.org/officeDocument/2006/relationships/hyperlink" Target="../Downloads/iso639-2LanguageCode.aspx" TargetMode="External"/><Relationship Id="rId6" Type="http://schemas.openxmlformats.org/officeDocument/2006/relationships/hyperlink" Target="http://www.loc.gov/standards/iso639-2/langhome.html" TargetMode="External"/><Relationship Id="rId11" Type="http://schemas.openxmlformats.org/officeDocument/2006/relationships/hyperlink" Target="http://nces.ed.gov/ipeds/cipcode/browse.aspx?y=55" TargetMode="External"/><Relationship Id="rId24" Type="http://schemas.openxmlformats.org/officeDocument/2006/relationships/hyperlink" Target="http://nces.ed.gov/pubs2015/fin_acct/chapter6_2.asp" TargetMode="External"/><Relationship Id="rId32" Type="http://schemas.openxmlformats.org/officeDocument/2006/relationships/hyperlink" Target="http://www.loc.gov/standards/iso639-2/langhome.html" TargetMode="External"/><Relationship Id="rId37" Type="http://schemas.openxmlformats.org/officeDocument/2006/relationships/hyperlink" Target="http://www.loc.gov/standards/iso639-5/index.html" TargetMode="External"/><Relationship Id="rId40" Type="http://schemas.openxmlformats.org/officeDocument/2006/relationships/hyperlink" Target="http://www.loc.gov/standards/iso639-2/langhome.html" TargetMode="External"/><Relationship Id="rId45" Type="http://schemas.openxmlformats.org/officeDocument/2006/relationships/hyperlink" Target="http://www.loc.gov/standards/iso639-2/langhome.html" TargetMode="External"/><Relationship Id="rId5" Type="http://schemas.openxmlformats.org/officeDocument/2006/relationships/hyperlink" Target="../Downloads/iso639-2LanguageCode.aspx" TargetMode="External"/><Relationship Id="rId15" Type="http://schemas.openxmlformats.org/officeDocument/2006/relationships/hyperlink" Target="http://www.loc.gov/standards/iso639-2/langhome.html" TargetMode="External"/><Relationship Id="rId23" Type="http://schemas.openxmlformats.org/officeDocument/2006/relationships/hyperlink" Target="http://nces.ed.gov/pubs2015/fin_acct/chapter6_1.asp" TargetMode="External"/><Relationship Id="rId28" Type="http://schemas.openxmlformats.org/officeDocument/2006/relationships/hyperlink" Target="http://nces.ed.gov/pubs2015/fin_acct/chapter6_6.asp" TargetMode="External"/><Relationship Id="rId36" Type="http://schemas.openxmlformats.org/officeDocument/2006/relationships/hyperlink" Target="http://www-01.sil.org/iso639-3/default.asp" TargetMode="External"/><Relationship Id="rId49" Type="http://schemas.openxmlformats.org/officeDocument/2006/relationships/hyperlink" Target="https://ceds.ed.gov/pdf/military-connected-student-indicator-erratum.pdf" TargetMode="External"/><Relationship Id="rId10" Type="http://schemas.openxmlformats.org/officeDocument/2006/relationships/hyperlink" Target="http://www.loc.gov/standards/iso639-2/langhome.html" TargetMode="External"/><Relationship Id="rId19" Type="http://schemas.openxmlformats.org/officeDocument/2006/relationships/hyperlink" Target="http://geojson.org/geojson-spec.html" TargetMode="External"/><Relationship Id="rId31" Type="http://schemas.openxmlformats.org/officeDocument/2006/relationships/hyperlink" Target="../Downloads/iso639-2LanguageCode.aspx" TargetMode="External"/><Relationship Id="rId44" Type="http://schemas.openxmlformats.org/officeDocument/2006/relationships/hyperlink" Target="../Downloads/iso639-2LanguageCode.aspx" TargetMode="External"/><Relationship Id="rId4" Type="http://schemas.openxmlformats.org/officeDocument/2006/relationships/hyperlink" Target="http://www.loc.gov/standards/iso639-2/langhome.html" TargetMode="External"/><Relationship Id="rId9" Type="http://schemas.openxmlformats.org/officeDocument/2006/relationships/hyperlink" Target="../Downloads/iso639-2LanguageCode.aspx" TargetMode="External"/><Relationship Id="rId14" Type="http://schemas.openxmlformats.org/officeDocument/2006/relationships/hyperlink" Target="../Downloads/iso639-2LanguageCode.aspx" TargetMode="External"/><Relationship Id="rId22" Type="http://schemas.openxmlformats.org/officeDocument/2006/relationships/hyperlink" Target="http://nces.ed.gov/pubs2015/fin_acct/chapter6_3.asp" TargetMode="External"/><Relationship Id="rId27" Type="http://schemas.openxmlformats.org/officeDocument/2006/relationships/hyperlink" Target="http://nces.ed.gov/pubs2015/fin_acct/chapter6_8.asp" TargetMode="External"/><Relationship Id="rId30" Type="http://schemas.openxmlformats.org/officeDocument/2006/relationships/hyperlink" Target="http://idea.ed.gov/part-c/statutes" TargetMode="External"/><Relationship Id="rId35" Type="http://schemas.openxmlformats.org/officeDocument/2006/relationships/hyperlink" Target="../Downloads/iso639-3LanguageCodev7.aspx" TargetMode="External"/><Relationship Id="rId43" Type="http://schemas.openxmlformats.org/officeDocument/2006/relationships/hyperlink" Target="https://www.onetcenter.org/taxonomy/2010/data_coll.html" TargetMode="External"/><Relationship Id="rId48" Type="http://schemas.openxmlformats.org/officeDocument/2006/relationships/hyperlink" Target="https://ceds.ed.gov/element/000202" TargetMode="External"/><Relationship Id="rId8" Type="http://schemas.openxmlformats.org/officeDocument/2006/relationships/hyperlink" Target="http://www.loc.gov/standards/iso639-2/langhome.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nces.ed.gov/pubs2015/fin_acct/chapter6_1.asp" TargetMode="External"/><Relationship Id="rId117" Type="http://schemas.openxmlformats.org/officeDocument/2006/relationships/hyperlink" Target="http://www.loc.gov/standards/iso639-5/index.html" TargetMode="External"/><Relationship Id="rId21" Type="http://schemas.openxmlformats.org/officeDocument/2006/relationships/hyperlink" Target="http://nces.ed.gov/pubs2015/fin_acct/chapter6_5.asp" TargetMode="External"/><Relationship Id="rId42" Type="http://schemas.openxmlformats.org/officeDocument/2006/relationships/hyperlink" Target="http://nces.ed.gov/pubs2015/fin_acct/chapter6_3.asp" TargetMode="External"/><Relationship Id="rId47" Type="http://schemas.openxmlformats.org/officeDocument/2006/relationships/hyperlink" Target="https://ceds.ed.gov/element/000202" TargetMode="External"/><Relationship Id="rId63" Type="http://schemas.openxmlformats.org/officeDocument/2006/relationships/hyperlink" Target="../Downloads/iso639-2LanguageCode.aspx" TargetMode="External"/><Relationship Id="rId68" Type="http://schemas.openxmlformats.org/officeDocument/2006/relationships/hyperlink" Target="http://nces.ed.gov/pubs2015/fin_acct/chapter6_4.asp" TargetMode="External"/><Relationship Id="rId84" Type="http://schemas.openxmlformats.org/officeDocument/2006/relationships/hyperlink" Target="http://www.iso.org/iso/country_codes.htm" TargetMode="External"/><Relationship Id="rId89" Type="http://schemas.openxmlformats.org/officeDocument/2006/relationships/hyperlink" Target="http://nces.ed.gov/ipeds/cipcode/browse.aspx?y=55" TargetMode="External"/><Relationship Id="rId112" Type="http://schemas.openxmlformats.org/officeDocument/2006/relationships/hyperlink" Target="http://www.loc.gov/standards/iso639-2/langhome.html" TargetMode="External"/><Relationship Id="rId133" Type="http://schemas.openxmlformats.org/officeDocument/2006/relationships/hyperlink" Target="http://geojson.org/geojson-spec.html" TargetMode="External"/><Relationship Id="rId138" Type="http://schemas.openxmlformats.org/officeDocument/2006/relationships/hyperlink" Target="http://www.loc.gov/standards/iso639-2/langhome.html" TargetMode="External"/><Relationship Id="rId16" Type="http://schemas.openxmlformats.org/officeDocument/2006/relationships/hyperlink" Target="../Downloads/iso639-2LanguageCode.aspx" TargetMode="External"/><Relationship Id="rId107" Type="http://schemas.openxmlformats.org/officeDocument/2006/relationships/hyperlink" Target="http://www.loc.gov/standards/iso639-2/langhome.html" TargetMode="External"/><Relationship Id="rId11" Type="http://schemas.openxmlformats.org/officeDocument/2006/relationships/hyperlink" Target="../Downloads/iso639-2LanguageCode.aspx" TargetMode="External"/><Relationship Id="rId32" Type="http://schemas.openxmlformats.org/officeDocument/2006/relationships/hyperlink" Target="http://nces.ed.gov/pubs2015/fin_acct/chapter6_7.asp" TargetMode="External"/><Relationship Id="rId37" Type="http://schemas.openxmlformats.org/officeDocument/2006/relationships/hyperlink" Target="http://nces.ed.gov/pubs2015/fin_acct/chapter6_4.asp" TargetMode="External"/><Relationship Id="rId53" Type="http://schemas.openxmlformats.org/officeDocument/2006/relationships/hyperlink" Target="../Downloads/ScedCourseCodesv4.aspx" TargetMode="External"/><Relationship Id="rId58" Type="http://schemas.openxmlformats.org/officeDocument/2006/relationships/hyperlink" Target="../Downloads/iso639-2LanguageCode.aspx" TargetMode="External"/><Relationship Id="rId74" Type="http://schemas.openxmlformats.org/officeDocument/2006/relationships/hyperlink" Target="http://www.iso.org/iso/country_codes.htm" TargetMode="External"/><Relationship Id="rId79" Type="http://schemas.openxmlformats.org/officeDocument/2006/relationships/hyperlink" Target="http://nces.ed.gov/ipeds/cipcode/browse.aspx?y=55" TargetMode="External"/><Relationship Id="rId102" Type="http://schemas.openxmlformats.org/officeDocument/2006/relationships/hyperlink" Target="http://www.loc.gov/standards/iso639-2/langhome.html" TargetMode="External"/><Relationship Id="rId123" Type="http://schemas.openxmlformats.org/officeDocument/2006/relationships/hyperlink" Target="http://www-01.sil.org/iso639-3/default.asp" TargetMode="External"/><Relationship Id="rId128" Type="http://schemas.openxmlformats.org/officeDocument/2006/relationships/hyperlink" Target="http://www.loc.gov/standards/iso639-2/langhome.html" TargetMode="External"/><Relationship Id="rId144" Type="http://schemas.openxmlformats.org/officeDocument/2006/relationships/printerSettings" Target="../printerSettings/printerSettings5.bin"/><Relationship Id="rId5" Type="http://schemas.openxmlformats.org/officeDocument/2006/relationships/hyperlink" Target="../Downloads/iso639-3LanguageCodev7.aspx" TargetMode="External"/><Relationship Id="rId90" Type="http://schemas.openxmlformats.org/officeDocument/2006/relationships/hyperlink" Target="http://www.iso.org/iso/country_codes.htm" TargetMode="External"/><Relationship Id="rId95" Type="http://schemas.openxmlformats.org/officeDocument/2006/relationships/hyperlink" Target="http://www.loc.gov/standards/iso639-2/langhome.html" TargetMode="External"/><Relationship Id="rId22" Type="http://schemas.openxmlformats.org/officeDocument/2006/relationships/hyperlink" Target="http://nces.ed.gov/pubs2015/fin_acct/chapter6_6.asp" TargetMode="External"/><Relationship Id="rId27" Type="http://schemas.openxmlformats.org/officeDocument/2006/relationships/hyperlink" Target="http://nces.ed.gov/pubs2015/fin_acct/chapter6_2.asp" TargetMode="External"/><Relationship Id="rId43" Type="http://schemas.openxmlformats.org/officeDocument/2006/relationships/hyperlink" Target="http://nces.ed.gov/pubs2015/fin_acct/chapter6_1.asp" TargetMode="External"/><Relationship Id="rId48" Type="http://schemas.openxmlformats.org/officeDocument/2006/relationships/hyperlink" Target="../Downloads/iso639-2LanguageCode.aspx" TargetMode="External"/><Relationship Id="rId64" Type="http://schemas.openxmlformats.org/officeDocument/2006/relationships/hyperlink" Target="http://www.loc.gov/standards/iso639-2/langhome.html" TargetMode="External"/><Relationship Id="rId69" Type="http://schemas.openxmlformats.org/officeDocument/2006/relationships/hyperlink" Target="http://nces.ed.gov/pubs2015/fin_acct/chapter6_5.asp" TargetMode="External"/><Relationship Id="rId113" Type="http://schemas.openxmlformats.org/officeDocument/2006/relationships/hyperlink" Target="../Downloads/iso639-2LanguageCode.aspx" TargetMode="External"/><Relationship Id="rId118" Type="http://schemas.openxmlformats.org/officeDocument/2006/relationships/hyperlink" Target="../Downloads/iso639-2LanguageCode.aspx" TargetMode="External"/><Relationship Id="rId134" Type="http://schemas.openxmlformats.org/officeDocument/2006/relationships/hyperlink" Target="http://geojson.org/geojson-spec.html" TargetMode="External"/><Relationship Id="rId139" Type="http://schemas.openxmlformats.org/officeDocument/2006/relationships/hyperlink" Target="../Downloads/iso639-2LanguageCode.aspx" TargetMode="External"/><Relationship Id="rId8" Type="http://schemas.openxmlformats.org/officeDocument/2006/relationships/hyperlink" Target="http://idea.ed.gov/part-c/statutes" TargetMode="External"/><Relationship Id="rId51" Type="http://schemas.openxmlformats.org/officeDocument/2006/relationships/hyperlink" Target="http://www-01.sil.org/iso639-3/default.asp" TargetMode="External"/><Relationship Id="rId72" Type="http://schemas.openxmlformats.org/officeDocument/2006/relationships/hyperlink" Target="http://nces.ed.gov/pubs2015/fin_acct/chapter6_7.asp" TargetMode="External"/><Relationship Id="rId80" Type="http://schemas.openxmlformats.org/officeDocument/2006/relationships/hyperlink" Target="http://degreeprofile.org/" TargetMode="External"/><Relationship Id="rId85" Type="http://schemas.openxmlformats.org/officeDocument/2006/relationships/hyperlink" Target="http://nces.ed.gov/ipeds/cipcode/browse.aspx?y=55" TargetMode="External"/><Relationship Id="rId93" Type="http://schemas.openxmlformats.org/officeDocument/2006/relationships/hyperlink" Target="../Downloads/ScedCourseCodesv4.aspx" TargetMode="External"/><Relationship Id="rId98" Type="http://schemas.openxmlformats.org/officeDocument/2006/relationships/hyperlink" Target="http://degreeprofile.org/" TargetMode="External"/><Relationship Id="rId121" Type="http://schemas.openxmlformats.org/officeDocument/2006/relationships/hyperlink" Target="http://www.loc.gov/standards/iso639-2/langhome.html" TargetMode="External"/><Relationship Id="rId142" Type="http://schemas.openxmlformats.org/officeDocument/2006/relationships/hyperlink" Target="http://www.loc.gov/standards/iso639-2/langhome.html" TargetMode="External"/><Relationship Id="rId3" Type="http://schemas.openxmlformats.org/officeDocument/2006/relationships/hyperlink" Target="../Downloads/iso639-2LanguageCode.aspx" TargetMode="External"/><Relationship Id="rId12" Type="http://schemas.openxmlformats.org/officeDocument/2006/relationships/hyperlink" Target="http://www.loc.gov/standards/iso639-2/langhome.html" TargetMode="External"/><Relationship Id="rId17" Type="http://schemas.openxmlformats.org/officeDocument/2006/relationships/hyperlink" Target="http://www.loc.gov/standards/iso639-2/langhome.html" TargetMode="External"/><Relationship Id="rId25" Type="http://schemas.openxmlformats.org/officeDocument/2006/relationships/hyperlink" Target="http://nces.ed.gov/pubs2015/fin_acct/chapter6_3.asp" TargetMode="External"/><Relationship Id="rId33" Type="http://schemas.openxmlformats.org/officeDocument/2006/relationships/hyperlink" Target="http://nces.ed.gov/pubs2015/fin_acct/chapter6_3.asp" TargetMode="External"/><Relationship Id="rId38" Type="http://schemas.openxmlformats.org/officeDocument/2006/relationships/hyperlink" Target="http://nces.ed.gov/pubs2015/fin_acct/chapter6_5.asp" TargetMode="External"/><Relationship Id="rId46" Type="http://schemas.openxmlformats.org/officeDocument/2006/relationships/hyperlink" Target="http://www.iso.org/iso/country_codes.htm" TargetMode="External"/><Relationship Id="rId59" Type="http://schemas.openxmlformats.org/officeDocument/2006/relationships/hyperlink" Target="http://www.loc.gov/standards/iso639-2/langhome.html" TargetMode="External"/><Relationship Id="rId67" Type="http://schemas.openxmlformats.org/officeDocument/2006/relationships/hyperlink" Target="http://nces.ed.gov/pubs2015/fin_acct/chapter6_2.asp" TargetMode="External"/><Relationship Id="rId103" Type="http://schemas.openxmlformats.org/officeDocument/2006/relationships/hyperlink" Target="http://nces.ed.gov/ipeds/cipcode/browse.aspx?y=55" TargetMode="External"/><Relationship Id="rId108" Type="http://schemas.openxmlformats.org/officeDocument/2006/relationships/hyperlink" Target="../Downloads/iso639-2LanguageCode.aspx" TargetMode="External"/><Relationship Id="rId116" Type="http://schemas.openxmlformats.org/officeDocument/2006/relationships/hyperlink" Target="http://www-01.sil.org/iso639-3/default.asp" TargetMode="External"/><Relationship Id="rId124" Type="http://schemas.openxmlformats.org/officeDocument/2006/relationships/hyperlink" Target="http://www.loc.gov/standards/iso639-5/index.html" TargetMode="External"/><Relationship Id="rId129" Type="http://schemas.openxmlformats.org/officeDocument/2006/relationships/hyperlink" Target="../Downloads/iso639-2LanguageCode.aspx" TargetMode="External"/><Relationship Id="rId137" Type="http://schemas.openxmlformats.org/officeDocument/2006/relationships/hyperlink" Target="../Downloads/iso639-2LanguageCode.aspx" TargetMode="External"/><Relationship Id="rId20" Type="http://schemas.openxmlformats.org/officeDocument/2006/relationships/hyperlink" Target="http://nces.ed.gov/pubs2015/fin_acct/chapter6_4.asp" TargetMode="External"/><Relationship Id="rId41" Type="http://schemas.openxmlformats.org/officeDocument/2006/relationships/hyperlink" Target="http://nces.ed.gov/pubs2015/fin_acct/chapter6_7.asp" TargetMode="External"/><Relationship Id="rId54" Type="http://schemas.openxmlformats.org/officeDocument/2006/relationships/hyperlink" Target="http://www.iso.org/iso/country_codes.htm" TargetMode="External"/><Relationship Id="rId62" Type="http://schemas.openxmlformats.org/officeDocument/2006/relationships/hyperlink" Target="../Downloads/ScedCourseCodesv4.aspx" TargetMode="External"/><Relationship Id="rId70" Type="http://schemas.openxmlformats.org/officeDocument/2006/relationships/hyperlink" Target="http://nces.ed.gov/pubs2015/fin_acct/chapter6_6.asp" TargetMode="External"/><Relationship Id="rId75" Type="http://schemas.openxmlformats.org/officeDocument/2006/relationships/hyperlink" Target="http://openbadges.github.io/openbadges-specification/" TargetMode="External"/><Relationship Id="rId83" Type="http://schemas.openxmlformats.org/officeDocument/2006/relationships/hyperlink" Target="http://www.iso.org/iso/country_codes.htm" TargetMode="External"/><Relationship Id="rId88" Type="http://schemas.openxmlformats.org/officeDocument/2006/relationships/hyperlink" Target="http://degreeprofile.org/" TargetMode="External"/><Relationship Id="rId91" Type="http://schemas.openxmlformats.org/officeDocument/2006/relationships/hyperlink" Target="../Downloads/iso639-2LanguageCode.aspx" TargetMode="External"/><Relationship Id="rId96" Type="http://schemas.openxmlformats.org/officeDocument/2006/relationships/hyperlink" Target="http://nces.ed.gov/ipeds/cipcode/browse.aspx?y=55" TargetMode="External"/><Relationship Id="rId111" Type="http://schemas.openxmlformats.org/officeDocument/2006/relationships/hyperlink" Target="../Downloads/iso639-2LanguageCode.aspx" TargetMode="External"/><Relationship Id="rId132" Type="http://schemas.openxmlformats.org/officeDocument/2006/relationships/hyperlink" Target="http://www.loc.gov/standards/iso639-2/langhome.html" TargetMode="External"/><Relationship Id="rId140" Type="http://schemas.openxmlformats.org/officeDocument/2006/relationships/hyperlink" Target="http://www.loc.gov/standards/iso639-2/langhome.html" TargetMode="External"/><Relationship Id="rId1" Type="http://schemas.openxmlformats.org/officeDocument/2006/relationships/hyperlink" Target="http://www.iso.org/iso/country_codes.htm" TargetMode="External"/><Relationship Id="rId6" Type="http://schemas.openxmlformats.org/officeDocument/2006/relationships/hyperlink" Target="http://www-01.sil.org/iso639-3/default.asp" TargetMode="External"/><Relationship Id="rId15" Type="http://schemas.openxmlformats.org/officeDocument/2006/relationships/hyperlink" Target="http://www.loc.gov/standards/iso639-5/index.html" TargetMode="External"/><Relationship Id="rId23" Type="http://schemas.openxmlformats.org/officeDocument/2006/relationships/hyperlink" Target="http://nces.ed.gov/pubs2015/fin_acct/chapter6_8.asp" TargetMode="External"/><Relationship Id="rId28" Type="http://schemas.openxmlformats.org/officeDocument/2006/relationships/hyperlink" Target="http://nces.ed.gov/pubs2015/fin_acct/chapter6_4.asp" TargetMode="External"/><Relationship Id="rId36" Type="http://schemas.openxmlformats.org/officeDocument/2006/relationships/hyperlink" Target="http://www.iso.org/iso/country_codes.htm" TargetMode="External"/><Relationship Id="rId49" Type="http://schemas.openxmlformats.org/officeDocument/2006/relationships/hyperlink" Target="http://www.loc.gov/standards/iso639-2/langhome.html" TargetMode="External"/><Relationship Id="rId57" Type="http://schemas.openxmlformats.org/officeDocument/2006/relationships/hyperlink" Target="http://www.iso.org/iso/country_codes.htm" TargetMode="External"/><Relationship Id="rId106" Type="http://schemas.openxmlformats.org/officeDocument/2006/relationships/hyperlink" Target="../Downloads/iso639-2LanguageCode.aspx" TargetMode="External"/><Relationship Id="rId114" Type="http://schemas.openxmlformats.org/officeDocument/2006/relationships/hyperlink" Target="http://www.loc.gov/standards/iso639-2/langhome.html" TargetMode="External"/><Relationship Id="rId119" Type="http://schemas.openxmlformats.org/officeDocument/2006/relationships/hyperlink" Target="http://www.loc.gov/standards/iso639-2/langhome.html" TargetMode="External"/><Relationship Id="rId127" Type="http://schemas.openxmlformats.org/officeDocument/2006/relationships/hyperlink" Target="../Downloads/iso639-2LanguageCode.aspx" TargetMode="External"/><Relationship Id="rId10" Type="http://schemas.openxmlformats.org/officeDocument/2006/relationships/hyperlink" Target="http://www.iso.org/iso/country_codes.htm" TargetMode="External"/><Relationship Id="rId31" Type="http://schemas.openxmlformats.org/officeDocument/2006/relationships/hyperlink" Target="http://nces.ed.gov/pubs2015/fin_acct/chapter6_8.asp" TargetMode="External"/><Relationship Id="rId44" Type="http://schemas.openxmlformats.org/officeDocument/2006/relationships/hyperlink" Target="http://nces.ed.gov/pubs2015/fin_acct/chapter6_2.asp" TargetMode="External"/><Relationship Id="rId52" Type="http://schemas.openxmlformats.org/officeDocument/2006/relationships/hyperlink" Target="http://www.loc.gov/standards/iso639-5/index.html" TargetMode="External"/><Relationship Id="rId60" Type="http://schemas.openxmlformats.org/officeDocument/2006/relationships/hyperlink" Target="../Downloads/iso639-2LanguageCode.aspx" TargetMode="External"/><Relationship Id="rId65" Type="http://schemas.openxmlformats.org/officeDocument/2006/relationships/hyperlink" Target="http://nces.ed.gov/pubs2015/fin_acct/chapter6_3.asp" TargetMode="External"/><Relationship Id="rId73" Type="http://schemas.openxmlformats.org/officeDocument/2006/relationships/hyperlink" Target="http://openbadges.github.io/openbadges-specification/" TargetMode="External"/><Relationship Id="rId78" Type="http://schemas.openxmlformats.org/officeDocument/2006/relationships/hyperlink" Target="http://nces.ed.gov/ipeds/cipcode/browse.aspx?y=55" TargetMode="External"/><Relationship Id="rId81" Type="http://schemas.openxmlformats.org/officeDocument/2006/relationships/hyperlink" Target="http://nces.ed.gov/ipeds/cipcode/browse.aspx?y=55" TargetMode="External"/><Relationship Id="rId86" Type="http://schemas.openxmlformats.org/officeDocument/2006/relationships/hyperlink" Target="http://www.iso.org/iso/country_codes.htm" TargetMode="External"/><Relationship Id="rId94" Type="http://schemas.openxmlformats.org/officeDocument/2006/relationships/hyperlink" Target="../Downloads/iso639-2LanguageCode.aspx" TargetMode="External"/><Relationship Id="rId99" Type="http://schemas.openxmlformats.org/officeDocument/2006/relationships/hyperlink" Target="http://nces.ed.gov/ipeds/cipcode/browse.aspx?y=55" TargetMode="External"/><Relationship Id="rId101" Type="http://schemas.openxmlformats.org/officeDocument/2006/relationships/hyperlink" Target="../Downloads/iso639-2LanguageCode.aspx" TargetMode="External"/><Relationship Id="rId122" Type="http://schemas.openxmlformats.org/officeDocument/2006/relationships/hyperlink" Target="../Downloads/iso639-3LanguageCodev7.aspx" TargetMode="External"/><Relationship Id="rId130" Type="http://schemas.openxmlformats.org/officeDocument/2006/relationships/hyperlink" Target="http://www.loc.gov/standards/iso639-2/langhome.html" TargetMode="External"/><Relationship Id="rId135" Type="http://schemas.openxmlformats.org/officeDocument/2006/relationships/hyperlink" Target="http://nces.ed.gov/ipeds/cipcode/browse.aspx?y=55" TargetMode="External"/><Relationship Id="rId143" Type="http://schemas.openxmlformats.org/officeDocument/2006/relationships/hyperlink" Target="https://ceds.ed.gov/pdf/military-connected-student-indicator-erratum.pdf"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www.iso.org/iso/country_codes.htm" TargetMode="External"/><Relationship Id="rId13" Type="http://schemas.openxmlformats.org/officeDocument/2006/relationships/hyperlink" Target="../Downloads/iso639-3LanguageCodev7.aspx" TargetMode="External"/><Relationship Id="rId18" Type="http://schemas.openxmlformats.org/officeDocument/2006/relationships/hyperlink" Target="http://nces.ed.gov/pubs2015/fin_acct/chapter6_4.asp" TargetMode="External"/><Relationship Id="rId39" Type="http://schemas.openxmlformats.org/officeDocument/2006/relationships/hyperlink" Target="http://nces.ed.gov/pubs2015/fin_acct/chapter6_6.asp" TargetMode="External"/><Relationship Id="rId109" Type="http://schemas.openxmlformats.org/officeDocument/2006/relationships/hyperlink" Target="http://www.loc.gov/standards/iso639-2/langhome.html" TargetMode="External"/><Relationship Id="rId34" Type="http://schemas.openxmlformats.org/officeDocument/2006/relationships/hyperlink" Target="http://nces.ed.gov/pubs2015/fin_acct/chapter6_1.asp" TargetMode="External"/><Relationship Id="rId50" Type="http://schemas.openxmlformats.org/officeDocument/2006/relationships/hyperlink" Target="../Downloads/iso639-3LanguageCodev7.aspx" TargetMode="External"/><Relationship Id="rId55" Type="http://schemas.openxmlformats.org/officeDocument/2006/relationships/hyperlink" Target="https://w3id.org/xapi/adl" TargetMode="External"/><Relationship Id="rId76" Type="http://schemas.openxmlformats.org/officeDocument/2006/relationships/hyperlink" Target="http://nces.ed.gov/ipeds/cipcode/browse.aspx?y=55" TargetMode="External"/><Relationship Id="rId97" Type="http://schemas.openxmlformats.org/officeDocument/2006/relationships/hyperlink" Target="http://www.iso.org/iso/country_codes.htm" TargetMode="External"/><Relationship Id="rId104" Type="http://schemas.openxmlformats.org/officeDocument/2006/relationships/hyperlink" Target="http://degreeprofile.org/" TargetMode="External"/><Relationship Id="rId120" Type="http://schemas.openxmlformats.org/officeDocument/2006/relationships/hyperlink" Target="../Downloads/iso639-2LanguageCode.aspx" TargetMode="External"/><Relationship Id="rId125" Type="http://schemas.openxmlformats.org/officeDocument/2006/relationships/hyperlink" Target="../Downloads/iso639-2LanguageCode.aspx" TargetMode="External"/><Relationship Id="rId141" Type="http://schemas.openxmlformats.org/officeDocument/2006/relationships/hyperlink" Target="../Downloads/iso639-2LanguageCode.aspx" TargetMode="External"/><Relationship Id="rId7" Type="http://schemas.openxmlformats.org/officeDocument/2006/relationships/hyperlink" Target="http://www.loc.gov/standards/iso639-5/index.html" TargetMode="External"/><Relationship Id="rId71" Type="http://schemas.openxmlformats.org/officeDocument/2006/relationships/hyperlink" Target="http://nces.ed.gov/pubs2015/fin_acct/chapter6_8.asp" TargetMode="External"/><Relationship Id="rId92" Type="http://schemas.openxmlformats.org/officeDocument/2006/relationships/hyperlink" Target="http://www.loc.gov/standards/iso639-2/langhome.html" TargetMode="External"/><Relationship Id="rId2" Type="http://schemas.openxmlformats.org/officeDocument/2006/relationships/hyperlink" Target="http://www.iso.org/iso/country_codes.htm" TargetMode="External"/><Relationship Id="rId29" Type="http://schemas.openxmlformats.org/officeDocument/2006/relationships/hyperlink" Target="http://nces.ed.gov/pubs2015/fin_acct/chapter6_5.asp" TargetMode="External"/><Relationship Id="rId24" Type="http://schemas.openxmlformats.org/officeDocument/2006/relationships/hyperlink" Target="http://nces.ed.gov/pubs2015/fin_acct/chapter6_7.asp" TargetMode="External"/><Relationship Id="rId40" Type="http://schemas.openxmlformats.org/officeDocument/2006/relationships/hyperlink" Target="http://nces.ed.gov/pubs2015/fin_acct/chapter6_8.asp" TargetMode="External"/><Relationship Id="rId45" Type="http://schemas.openxmlformats.org/officeDocument/2006/relationships/hyperlink" Target="http://www.iso.org/iso/country_codes.htm" TargetMode="External"/><Relationship Id="rId66" Type="http://schemas.openxmlformats.org/officeDocument/2006/relationships/hyperlink" Target="http://nces.ed.gov/pubs2015/fin_acct/chapter6_1.asp" TargetMode="External"/><Relationship Id="rId87" Type="http://schemas.openxmlformats.org/officeDocument/2006/relationships/hyperlink" Target="http://nces.ed.gov/ipeds/cipcode/browse.aspx?y=55" TargetMode="External"/><Relationship Id="rId110" Type="http://schemas.openxmlformats.org/officeDocument/2006/relationships/hyperlink" Target="https://w3id.org/xapi/adl" TargetMode="External"/><Relationship Id="rId115" Type="http://schemas.openxmlformats.org/officeDocument/2006/relationships/hyperlink" Target="../Downloads/iso639-3LanguageCodev7.aspx" TargetMode="External"/><Relationship Id="rId131" Type="http://schemas.openxmlformats.org/officeDocument/2006/relationships/hyperlink" Target="../Downloads/iso639-2LanguageCode.aspx" TargetMode="External"/><Relationship Id="rId136" Type="http://schemas.openxmlformats.org/officeDocument/2006/relationships/hyperlink" Target="https://www.onetcenter.org/taxonomy/2010/data_coll.html" TargetMode="External"/><Relationship Id="rId61" Type="http://schemas.openxmlformats.org/officeDocument/2006/relationships/hyperlink" Target="http://www.loc.gov/standards/iso639-2/langhome.html" TargetMode="External"/><Relationship Id="rId82" Type="http://schemas.openxmlformats.org/officeDocument/2006/relationships/hyperlink" Target="http://degreeprofile.org/" TargetMode="External"/><Relationship Id="rId19" Type="http://schemas.openxmlformats.org/officeDocument/2006/relationships/hyperlink" Target="http://www.iso.org/iso/country_codes.htm" TargetMode="External"/><Relationship Id="rId14" Type="http://schemas.openxmlformats.org/officeDocument/2006/relationships/hyperlink" Target="http://www-01.sil.org/iso639-3/default.asp" TargetMode="External"/><Relationship Id="rId30" Type="http://schemas.openxmlformats.org/officeDocument/2006/relationships/hyperlink" Target="http://nces.ed.gov/pubs2015/fin_acct/chapter6_6.asp" TargetMode="External"/><Relationship Id="rId35" Type="http://schemas.openxmlformats.org/officeDocument/2006/relationships/hyperlink" Target="http://nces.ed.gov/pubs2015/fin_acct/chapter6_2.asp" TargetMode="External"/><Relationship Id="rId56" Type="http://schemas.openxmlformats.org/officeDocument/2006/relationships/hyperlink" Target="http://www.iso.org/iso/country_codes.htm" TargetMode="External"/><Relationship Id="rId77" Type="http://schemas.openxmlformats.org/officeDocument/2006/relationships/hyperlink" Target="http://www.iso.org/iso/country_codes.htm" TargetMode="External"/><Relationship Id="rId100" Type="http://schemas.openxmlformats.org/officeDocument/2006/relationships/hyperlink" Target="http://www.iso.org/iso/country_codes.htm" TargetMode="External"/><Relationship Id="rId105" Type="http://schemas.openxmlformats.org/officeDocument/2006/relationships/hyperlink" Target="http://nces.ed.gov/ipeds/cipcode/browse.aspx?y=55" TargetMode="External"/><Relationship Id="rId126" Type="http://schemas.openxmlformats.org/officeDocument/2006/relationships/hyperlink" Target="http://www.loc.gov/standards/iso639-2/langh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5528-4737-4697-944A-D671D9F39727}">
  <dimension ref="A1:N144"/>
  <sheetViews>
    <sheetView showGridLines="0" tabSelected="1" workbookViewId="0">
      <selection activeCell="A5" sqref="A5"/>
    </sheetView>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8" customFormat="1" x14ac:dyDescent="0.25">
      <c r="A1" s="2" t="s">
        <v>6297</v>
      </c>
      <c r="B1" s="2" t="s">
        <v>6298</v>
      </c>
      <c r="C1" s="2" t="s">
        <v>6299</v>
      </c>
      <c r="D1" s="2" t="s">
        <v>6300</v>
      </c>
      <c r="E1" s="2" t="s">
        <v>6301</v>
      </c>
      <c r="F1" s="2" t="s">
        <v>6302</v>
      </c>
      <c r="G1" s="2" t="s">
        <v>6303</v>
      </c>
      <c r="H1" s="2" t="s">
        <v>6304</v>
      </c>
      <c r="I1" s="7" t="s">
        <v>6305</v>
      </c>
      <c r="J1" s="2" t="s">
        <v>6306</v>
      </c>
      <c r="K1" s="2" t="s">
        <v>6307</v>
      </c>
      <c r="L1" s="2" t="s">
        <v>6308</v>
      </c>
      <c r="M1" s="2" t="s">
        <v>6309</v>
      </c>
      <c r="N1" s="2" t="s">
        <v>6310</v>
      </c>
    </row>
    <row r="2" spans="1:14" ht="45" x14ac:dyDescent="0.25">
      <c r="A2" s="9" t="s">
        <v>10521</v>
      </c>
      <c r="B2" s="9" t="s">
        <v>7353</v>
      </c>
      <c r="C2" s="9" t="s">
        <v>6106</v>
      </c>
      <c r="D2" s="9" t="s">
        <v>10522</v>
      </c>
      <c r="E2" s="9" t="s">
        <v>1457</v>
      </c>
      <c r="F2" s="9"/>
      <c r="G2" s="9"/>
      <c r="H2" s="9"/>
      <c r="I2" s="9" t="s">
        <v>10523</v>
      </c>
      <c r="J2" s="9"/>
      <c r="K2" s="9" t="s">
        <v>10524</v>
      </c>
      <c r="L2" s="9"/>
      <c r="M2" s="9" t="str">
        <f>HYPERLINK("https://ceds.ed.gov/cedselementdetails.aspx?termid=14883")</f>
        <v>https://ceds.ed.gov/cedselementdetails.aspx?termid=14883</v>
      </c>
      <c r="N2" s="9" t="str">
        <f>HYPERLINK("https://ceds.ed.gov/elementComment.aspx?elementName=Available Utilized Instructional Space &amp;elementID=14883", "Click here to submit comment")</f>
        <v>Click here to submit comment</v>
      </c>
    </row>
    <row r="3" spans="1:14" ht="60" x14ac:dyDescent="0.25">
      <c r="A3" s="9" t="s">
        <v>7446</v>
      </c>
      <c r="B3" s="9" t="s">
        <v>7447</v>
      </c>
      <c r="C3" s="9" t="s">
        <v>12</v>
      </c>
      <c r="D3" s="9" t="s">
        <v>10528</v>
      </c>
      <c r="E3" s="9" t="s">
        <v>1457</v>
      </c>
      <c r="F3" s="9" t="s">
        <v>87</v>
      </c>
      <c r="G3" s="9"/>
      <c r="H3" s="9"/>
      <c r="I3" s="9" t="s">
        <v>10529</v>
      </c>
      <c r="J3" s="9"/>
      <c r="K3" s="9" t="s">
        <v>10530</v>
      </c>
      <c r="L3" s="9"/>
      <c r="M3" s="9" t="str">
        <f>HYPERLINK("https://ceds.ed.gov/cedselementdetails.aspx?termid=14757")</f>
        <v>https://ceds.ed.gov/cedselementdetails.aspx?termid=14757</v>
      </c>
      <c r="N3" s="9" t="str">
        <f>HYPERLINK("https://ceds.ed.gov/elementComment.aspx?elementName=Building Addition Code &amp;elementID=14757", "Click here to submit comment")</f>
        <v>Click here to submit comment</v>
      </c>
    </row>
    <row r="4" spans="1:14" ht="45" x14ac:dyDescent="0.25">
      <c r="A4" s="9" t="s">
        <v>10531</v>
      </c>
      <c r="B4" s="9" t="s">
        <v>7445</v>
      </c>
      <c r="C4" s="9" t="s">
        <v>12</v>
      </c>
      <c r="D4" s="9" t="s">
        <v>10528</v>
      </c>
      <c r="E4" s="9" t="s">
        <v>1457</v>
      </c>
      <c r="F4" s="9" t="s">
        <v>22</v>
      </c>
      <c r="G4" s="9"/>
      <c r="H4" s="9"/>
      <c r="I4" s="9" t="s">
        <v>10532</v>
      </c>
      <c r="J4" s="9"/>
      <c r="K4" s="9" t="s">
        <v>10533</v>
      </c>
      <c r="L4" s="9"/>
      <c r="M4" s="9" t="str">
        <f>HYPERLINK("https://ceds.ed.gov/cedselementdetails.aspx?termid=14756")</f>
        <v>https://ceds.ed.gov/cedselementdetails.aspx?termid=14756</v>
      </c>
      <c r="N4" s="9" t="str">
        <f>HYPERLINK("https://ceds.ed.gov/elementComment.aspx?elementName=Building Addition Description &amp;elementID=14756", "Click here to submit comment")</f>
        <v>Click here to submit comment</v>
      </c>
    </row>
    <row r="5" spans="1:14" ht="375" x14ac:dyDescent="0.25">
      <c r="A5" s="9" t="s">
        <v>10534</v>
      </c>
      <c r="B5" s="9" t="s">
        <v>7239</v>
      </c>
      <c r="C5" s="10" t="s">
        <v>11788</v>
      </c>
      <c r="D5" s="9" t="s">
        <v>10535</v>
      </c>
      <c r="E5" s="9" t="s">
        <v>1457</v>
      </c>
      <c r="F5" s="9"/>
      <c r="G5" s="9"/>
      <c r="H5" s="9"/>
      <c r="I5" s="9" t="s">
        <v>10536</v>
      </c>
      <c r="J5" s="9"/>
      <c r="K5" s="9" t="s">
        <v>10537</v>
      </c>
      <c r="L5" s="9"/>
      <c r="M5" s="9" t="str">
        <f>HYPERLINK("https://ceds.ed.gov/cedselementdetails.aspx?termid=14794")</f>
        <v>https://ceds.ed.gov/cedselementdetails.aspx?termid=14794</v>
      </c>
      <c r="N5" s="9" t="str">
        <f>HYPERLINK("https://ceds.ed.gov/elementComment.aspx?elementName=Building Administrative Space Type &amp;elementID=14794", "Click here to submit comment")</f>
        <v>Click here to submit comment</v>
      </c>
    </row>
    <row r="6" spans="1:14" ht="135" x14ac:dyDescent="0.25">
      <c r="A6" s="9" t="s">
        <v>10538</v>
      </c>
      <c r="B6" s="9" t="s">
        <v>7252</v>
      </c>
      <c r="C6" s="10" t="s">
        <v>11789</v>
      </c>
      <c r="D6" s="9" t="s">
        <v>10539</v>
      </c>
      <c r="E6" s="9" t="s">
        <v>1457</v>
      </c>
      <c r="F6" s="9"/>
      <c r="G6" s="9"/>
      <c r="H6" s="9"/>
      <c r="I6" s="9" t="s">
        <v>10540</v>
      </c>
      <c r="J6" s="9"/>
      <c r="K6" s="9" t="s">
        <v>10541</v>
      </c>
      <c r="L6" s="9"/>
      <c r="M6" s="9" t="str">
        <f>HYPERLINK("https://ceds.ed.gov/cedselementdetails.aspx?termid=14771")</f>
        <v>https://ceds.ed.gov/cedselementdetails.aspx?termid=14771</v>
      </c>
      <c r="N6" s="9" t="str">
        <f>HYPERLINK("https://ceds.ed.gov/elementComment.aspx?elementName=Building Air Distribution System Type &amp;elementID=14771", "Click here to submit comment")</f>
        <v>Click here to submit comment</v>
      </c>
    </row>
    <row r="7" spans="1:14" ht="45" x14ac:dyDescent="0.25">
      <c r="A7" s="9" t="s">
        <v>10542</v>
      </c>
      <c r="B7" s="9" t="s">
        <v>7290</v>
      </c>
      <c r="C7" s="9" t="s">
        <v>12</v>
      </c>
      <c r="D7" s="9" t="s">
        <v>10535</v>
      </c>
      <c r="E7" s="9" t="s">
        <v>1457</v>
      </c>
      <c r="F7" s="9" t="s">
        <v>1347</v>
      </c>
      <c r="G7" s="9"/>
      <c r="H7" s="9"/>
      <c r="I7" s="9" t="s">
        <v>10543</v>
      </c>
      <c r="J7" s="9"/>
      <c r="K7" s="9" t="s">
        <v>10544</v>
      </c>
      <c r="L7" s="9"/>
      <c r="M7" s="9" t="str">
        <f>HYPERLINK("https://ceds.ed.gov/cedselementdetails.aspx?termid=14815")</f>
        <v>https://ceds.ed.gov/cedselementdetails.aspx?termid=14815</v>
      </c>
      <c r="N7" s="9" t="str">
        <f>HYPERLINK("https://ceds.ed.gov/elementComment.aspx?elementName=Building Architect Name &amp;elementID=14815", "Click here to submit comment")</f>
        <v>Click here to submit comment</v>
      </c>
    </row>
    <row r="8" spans="1:14" ht="45" x14ac:dyDescent="0.25">
      <c r="A8" s="9" t="s">
        <v>10545</v>
      </c>
      <c r="B8" s="9" t="s">
        <v>7291</v>
      </c>
      <c r="C8" s="9" t="s">
        <v>12</v>
      </c>
      <c r="D8" s="9" t="s">
        <v>10535</v>
      </c>
      <c r="E8" s="9" t="s">
        <v>1457</v>
      </c>
      <c r="F8" s="9" t="s">
        <v>92</v>
      </c>
      <c r="G8" s="9"/>
      <c r="H8" s="9"/>
      <c r="I8" s="9" t="s">
        <v>10546</v>
      </c>
      <c r="J8" s="9"/>
      <c r="K8" s="9" t="s">
        <v>10547</v>
      </c>
      <c r="L8" s="9"/>
      <c r="M8" s="9" t="str">
        <f>HYPERLINK("https://ceds.ed.gov/cedselementdetails.aspx?termid=14816")</f>
        <v>https://ceds.ed.gov/cedselementdetails.aspx?termid=14816</v>
      </c>
      <c r="N8" s="9" t="str">
        <f>HYPERLINK("https://ceds.ed.gov/elementComment.aspx?elementName=Building Architectural Firm Name &amp;elementID=14816", "Click here to submit comment")</f>
        <v>Click here to submit comment</v>
      </c>
    </row>
    <row r="9" spans="1:14" ht="165" x14ac:dyDescent="0.25">
      <c r="A9" s="9" t="s">
        <v>7448</v>
      </c>
      <c r="B9" s="9" t="s">
        <v>7449</v>
      </c>
      <c r="C9" s="9" t="s">
        <v>12</v>
      </c>
      <c r="D9" s="9" t="s">
        <v>10528</v>
      </c>
      <c r="E9" s="9" t="s">
        <v>1457</v>
      </c>
      <c r="F9" s="9" t="s">
        <v>87</v>
      </c>
      <c r="G9" s="9"/>
      <c r="H9" s="9"/>
      <c r="I9" s="9" t="s">
        <v>10548</v>
      </c>
      <c r="J9" s="9"/>
      <c r="K9" s="9" t="s">
        <v>10549</v>
      </c>
      <c r="L9" s="9"/>
      <c r="M9" s="9" t="str">
        <f>HYPERLINK("https://ceds.ed.gov/cedselementdetails.aspx?termid=14745")</f>
        <v>https://ceds.ed.gov/cedselementdetails.aspx?termid=14745</v>
      </c>
      <c r="N9" s="9" t="str">
        <f>HYPERLINK("https://ceds.ed.gov/elementComment.aspx?elementName=Building Area &amp;elementID=14745", "Click here to submit comment")</f>
        <v>Click here to submit comment</v>
      </c>
    </row>
    <row r="10" spans="1:14" ht="135" x14ac:dyDescent="0.25">
      <c r="A10" s="9" t="s">
        <v>10550</v>
      </c>
      <c r="B10" s="9" t="s">
        <v>7294</v>
      </c>
      <c r="C10" s="10" t="s">
        <v>11790</v>
      </c>
      <c r="D10" s="9" t="s">
        <v>10535</v>
      </c>
      <c r="E10" s="9" t="s">
        <v>1457</v>
      </c>
      <c r="F10" s="9"/>
      <c r="G10" s="9"/>
      <c r="H10" s="9"/>
      <c r="I10" s="9" t="s">
        <v>10551</v>
      </c>
      <c r="J10" s="9"/>
      <c r="K10" s="9" t="s">
        <v>10552</v>
      </c>
      <c r="L10" s="9"/>
      <c r="M10" s="9" t="str">
        <f>HYPERLINK("https://ceds.ed.gov/cedselementdetails.aspx?termid=14795")</f>
        <v>https://ceds.ed.gov/cedselementdetails.aspx?termid=14795</v>
      </c>
      <c r="N10" s="9" t="str">
        <f>HYPERLINK("https://ceds.ed.gov/elementComment.aspx?elementName=Building Art Specialty Space Type &amp;elementID=14795", "Click here to submit comment")</f>
        <v>Click here to submit comment</v>
      </c>
    </row>
    <row r="11" spans="1:14" ht="135" x14ac:dyDescent="0.25">
      <c r="A11" s="9" t="s">
        <v>10553</v>
      </c>
      <c r="B11" s="9" t="s">
        <v>7295</v>
      </c>
      <c r="C11" s="10" t="s">
        <v>11791</v>
      </c>
      <c r="D11" s="9" t="s">
        <v>10535</v>
      </c>
      <c r="E11" s="9" t="s">
        <v>1457</v>
      </c>
      <c r="F11" s="9"/>
      <c r="G11" s="9"/>
      <c r="H11" s="9"/>
      <c r="I11" s="9" t="s">
        <v>10554</v>
      </c>
      <c r="J11" s="9"/>
      <c r="K11" s="9" t="s">
        <v>10555</v>
      </c>
      <c r="L11" s="9"/>
      <c r="M11" s="9" t="str">
        <f>HYPERLINK("https://ceds.ed.gov/cedselementdetails.aspx?termid=14817")</f>
        <v>https://ceds.ed.gov/cedselementdetails.aspx?termid=14817</v>
      </c>
      <c r="N11" s="9" t="str">
        <f>HYPERLINK("https://ceds.ed.gov/elementComment.aspx?elementName=Building Assembly Space Type &amp;elementID=14817", "Click here to submit comment")</f>
        <v>Click here to submit comment</v>
      </c>
    </row>
    <row r="12" spans="1:14" ht="105" x14ac:dyDescent="0.25">
      <c r="A12" s="9" t="s">
        <v>10556</v>
      </c>
      <c r="B12" s="9" t="s">
        <v>7408</v>
      </c>
      <c r="C12" s="10" t="s">
        <v>11792</v>
      </c>
      <c r="D12" s="9" t="s">
        <v>10535</v>
      </c>
      <c r="E12" s="9" t="s">
        <v>1457</v>
      </c>
      <c r="F12" s="9"/>
      <c r="G12" s="9"/>
      <c r="H12" s="9"/>
      <c r="I12" s="9" t="s">
        <v>10557</v>
      </c>
      <c r="J12" s="9"/>
      <c r="K12" s="9" t="s">
        <v>10558</v>
      </c>
      <c r="L12" s="9"/>
      <c r="M12" s="9" t="str">
        <f>HYPERLINK("https://ceds.ed.gov/cedselementdetails.aspx?termid=14796")</f>
        <v>https://ceds.ed.gov/cedselementdetails.aspx?termid=14796</v>
      </c>
      <c r="N12" s="9" t="str">
        <f>HYPERLINK("https://ceds.ed.gov/elementComment.aspx?elementName=Building Basic Classroom Design Type &amp;elementID=14796", "Click here to submit comment")</f>
        <v>Click here to submit comment</v>
      </c>
    </row>
    <row r="13" spans="1:14" ht="60" x14ac:dyDescent="0.25">
      <c r="A13" s="9" t="s">
        <v>10559</v>
      </c>
      <c r="B13" s="9" t="s">
        <v>7498</v>
      </c>
      <c r="C13" s="9" t="s">
        <v>6106</v>
      </c>
      <c r="D13" s="9" t="s">
        <v>10522</v>
      </c>
      <c r="E13" s="9" t="s">
        <v>1457</v>
      </c>
      <c r="F13" s="9"/>
      <c r="G13" s="9"/>
      <c r="H13" s="9"/>
      <c r="I13" s="9" t="s">
        <v>10560</v>
      </c>
      <c r="J13" s="9"/>
      <c r="K13" s="9" t="s">
        <v>10561</v>
      </c>
      <c r="L13" s="9"/>
      <c r="M13" s="9" t="str">
        <f>HYPERLINK("https://ceds.ed.gov/cedselementdetails.aspx?termid=14884")</f>
        <v>https://ceds.ed.gov/cedselementdetails.aspx?termid=14884</v>
      </c>
      <c r="N13" s="9" t="str">
        <f>HYPERLINK("https://ceds.ed.gov/elementComment.aspx?elementName=Building Capacity Factor Indicator &amp;elementID=14884", "Click here to submit comment")</f>
        <v>Click here to submit comment</v>
      </c>
    </row>
    <row r="14" spans="1:14" ht="409.5" x14ac:dyDescent="0.25">
      <c r="A14" s="9" t="s">
        <v>10562</v>
      </c>
      <c r="B14" s="9" t="s">
        <v>7547</v>
      </c>
      <c r="C14" s="10" t="s">
        <v>11793</v>
      </c>
      <c r="D14" s="9" t="s">
        <v>10535</v>
      </c>
      <c r="E14" s="9" t="s">
        <v>1457</v>
      </c>
      <c r="F14" s="9"/>
      <c r="G14" s="9"/>
      <c r="H14" s="9"/>
      <c r="I14" s="9" t="s">
        <v>10563</v>
      </c>
      <c r="J14" s="9"/>
      <c r="K14" s="9" t="s">
        <v>10564</v>
      </c>
      <c r="L14" s="9"/>
      <c r="M14" s="9" t="str">
        <f>HYPERLINK("https://ceds.ed.gov/cedselementdetails.aspx?termid=14798")</f>
        <v>https://ceds.ed.gov/cedselementdetails.aspx?termid=14798</v>
      </c>
      <c r="N14" s="9" t="str">
        <f>HYPERLINK("https://ceds.ed.gov/elementComment.aspx?elementName=Building Career-Technical Education Space Type &amp;elementID=14798", "Click here to submit comment")</f>
        <v>Click here to submit comment</v>
      </c>
    </row>
    <row r="15" spans="1:14" ht="120" x14ac:dyDescent="0.25">
      <c r="A15" s="9" t="s">
        <v>10565</v>
      </c>
      <c r="B15" s="9" t="s">
        <v>10566</v>
      </c>
      <c r="C15" s="10" t="s">
        <v>11794</v>
      </c>
      <c r="D15" s="9" t="s">
        <v>10567</v>
      </c>
      <c r="E15" s="9" t="s">
        <v>1457</v>
      </c>
      <c r="F15" s="9"/>
      <c r="G15" s="9"/>
      <c r="H15" s="9"/>
      <c r="I15" s="9" t="s">
        <v>10568</v>
      </c>
      <c r="J15" s="9"/>
      <c r="K15" s="9" t="s">
        <v>10569</v>
      </c>
      <c r="L15" s="9"/>
      <c r="M15" s="9" t="str">
        <f>HYPERLINK("https://ceds.ed.gov/cedselementdetails.aspx?termid=14846")</f>
        <v>https://ceds.ed.gov/cedselementdetails.aspx?termid=14846</v>
      </c>
      <c r="N15" s="9" t="str">
        <f>HYPERLINK("https://ceds.ed.gov/elementComment.aspx?elementName=Building Charter School Realty Access Type &amp;elementID=14846", "Click here to submit comment")</f>
        <v>Click here to submit comment</v>
      </c>
    </row>
    <row r="16" spans="1:14" ht="150" x14ac:dyDescent="0.25">
      <c r="A16" s="9" t="s">
        <v>10570</v>
      </c>
      <c r="B16" s="9" t="s">
        <v>7569</v>
      </c>
      <c r="C16" s="10" t="s">
        <v>11795</v>
      </c>
      <c r="D16" s="9" t="s">
        <v>10535</v>
      </c>
      <c r="E16" s="9" t="s">
        <v>1457</v>
      </c>
      <c r="F16" s="9"/>
      <c r="G16" s="9"/>
      <c r="H16" s="9"/>
      <c r="I16" s="9" t="s">
        <v>10571</v>
      </c>
      <c r="J16" s="9"/>
      <c r="K16" s="9" t="s">
        <v>10572</v>
      </c>
      <c r="L16" s="9"/>
      <c r="M16" s="9" t="str">
        <f>HYPERLINK("https://ceds.ed.gov/cedselementdetails.aspx?termid=14799")</f>
        <v>https://ceds.ed.gov/cedselementdetails.aspx?termid=14799</v>
      </c>
      <c r="N16" s="9" t="str">
        <f>HYPERLINK("https://ceds.ed.gov/elementComment.aspx?elementName=Building Circulation Space Type &amp;elementID=14799", "Click here to submit comment")</f>
        <v>Click here to submit comment</v>
      </c>
    </row>
    <row r="17" spans="1:14" ht="90" x14ac:dyDescent="0.25">
      <c r="A17" s="9" t="s">
        <v>10573</v>
      </c>
      <c r="B17" s="9" t="s">
        <v>7582</v>
      </c>
      <c r="C17" s="10" t="s">
        <v>11796</v>
      </c>
      <c r="D17" s="9" t="s">
        <v>10567</v>
      </c>
      <c r="E17" s="9" t="s">
        <v>1457</v>
      </c>
      <c r="F17" s="9"/>
      <c r="G17" s="9"/>
      <c r="H17" s="9"/>
      <c r="I17" s="9" t="s">
        <v>10574</v>
      </c>
      <c r="J17" s="9"/>
      <c r="K17" s="9" t="s">
        <v>10575</v>
      </c>
      <c r="L17" s="9"/>
      <c r="M17" s="9" t="str">
        <f>HYPERLINK("https://ceds.ed.gov/cedselementdetails.aspx?termid=14847")</f>
        <v>https://ceds.ed.gov/cedselementdetails.aspx?termid=14847</v>
      </c>
      <c r="N17" s="9" t="str">
        <f>HYPERLINK("https://ceds.ed.gov/elementComment.aspx?elementName=Building Cleaning Standard Type &amp;elementID=14847", "Click here to submit comment")</f>
        <v>Click here to submit comment</v>
      </c>
    </row>
    <row r="18" spans="1:14" ht="120" x14ac:dyDescent="0.25">
      <c r="A18" s="9" t="s">
        <v>10576</v>
      </c>
      <c r="B18" s="9" t="s">
        <v>10577</v>
      </c>
      <c r="C18" s="10" t="s">
        <v>11797</v>
      </c>
      <c r="D18" s="9" t="s">
        <v>10539</v>
      </c>
      <c r="E18" s="9" t="s">
        <v>1457</v>
      </c>
      <c r="F18" s="9"/>
      <c r="G18" s="9"/>
      <c r="H18" s="9"/>
      <c r="I18" s="9" t="s">
        <v>10578</v>
      </c>
      <c r="J18" s="9"/>
      <c r="K18" s="9" t="s">
        <v>10579</v>
      </c>
      <c r="L18" s="9"/>
      <c r="M18" s="9" t="str">
        <f>HYPERLINK("https://ceds.ed.gov/cedselementdetails.aspx?termid=14772")</f>
        <v>https://ceds.ed.gov/cedselementdetails.aspx?termid=14772</v>
      </c>
      <c r="N18" s="9" t="str">
        <f>HYPERLINK("https://ceds.ed.gov/elementComment.aspx?elementName=Building Communications Management Component System Type &amp;elementID=14772", "Click here to submit comment")</f>
        <v>Click here to submit comment</v>
      </c>
    </row>
    <row r="19" spans="1:14" ht="180" x14ac:dyDescent="0.25">
      <c r="A19" s="9" t="s">
        <v>10580</v>
      </c>
      <c r="B19" s="9" t="s">
        <v>7596</v>
      </c>
      <c r="C19" s="10" t="s">
        <v>11798</v>
      </c>
      <c r="D19" s="9" t="s">
        <v>10522</v>
      </c>
      <c r="E19" s="9" t="s">
        <v>1457</v>
      </c>
      <c r="F19" s="9"/>
      <c r="G19" s="9"/>
      <c r="H19" s="9"/>
      <c r="I19" s="9" t="s">
        <v>10581</v>
      </c>
      <c r="J19" s="9"/>
      <c r="K19" s="9" t="s">
        <v>10582</v>
      </c>
      <c r="L19" s="9"/>
      <c r="M19" s="9" t="str">
        <f>HYPERLINK("https://ceds.ed.gov/cedselementdetails.aspx?termid=14836")</f>
        <v>https://ceds.ed.gov/cedselementdetails.aspx?termid=14836</v>
      </c>
      <c r="N19" s="9" t="str">
        <f>HYPERLINK("https://ceds.ed.gov/elementComment.aspx?elementName=Building Community Use Space Type &amp;elementID=14836", "Click here to submit comment")</f>
        <v>Click here to submit comment</v>
      </c>
    </row>
    <row r="20" spans="1:14" ht="150" x14ac:dyDescent="0.25">
      <c r="A20" s="9" t="s">
        <v>10583</v>
      </c>
      <c r="B20" s="9" t="s">
        <v>7641</v>
      </c>
      <c r="C20" s="10" t="s">
        <v>11799</v>
      </c>
      <c r="D20" s="9" t="s">
        <v>10539</v>
      </c>
      <c r="E20" s="9" t="s">
        <v>1457</v>
      </c>
      <c r="F20" s="9"/>
      <c r="G20" s="9"/>
      <c r="H20" s="9"/>
      <c r="I20" s="9" t="s">
        <v>10584</v>
      </c>
      <c r="J20" s="9"/>
      <c r="K20" s="9" t="s">
        <v>10585</v>
      </c>
      <c r="L20" s="9"/>
      <c r="M20" s="9" t="str">
        <f>HYPERLINK("https://ceds.ed.gov/cedselementdetails.aspx?termid=14775")</f>
        <v>https://ceds.ed.gov/cedselementdetails.aspx?termid=14775</v>
      </c>
      <c r="N20" s="9" t="str">
        <f>HYPERLINK("https://ceds.ed.gov/elementComment.aspx?elementName=Building Cooling Generation System Type &amp;elementID=14775", "Click here to submit comment")</f>
        <v>Click here to submit comment</v>
      </c>
    </row>
    <row r="21" spans="1:14" ht="45" x14ac:dyDescent="0.25">
      <c r="A21" s="9" t="s">
        <v>10586</v>
      </c>
      <c r="B21" s="9" t="s">
        <v>7745</v>
      </c>
      <c r="C21" s="9" t="s">
        <v>12</v>
      </c>
      <c r="D21" s="9" t="s">
        <v>10567</v>
      </c>
      <c r="E21" s="9" t="s">
        <v>1457</v>
      </c>
      <c r="F21" s="9" t="s">
        <v>73</v>
      </c>
      <c r="G21" s="9"/>
      <c r="H21" s="9"/>
      <c r="I21" s="9" t="s">
        <v>10587</v>
      </c>
      <c r="J21" s="9"/>
      <c r="K21" s="9" t="s">
        <v>12171</v>
      </c>
      <c r="L21" s="9"/>
      <c r="M21" s="9" t="str">
        <f>HYPERLINK("https://ceds.ed.gov/cedselementdetails.aspx?termid=14861")</f>
        <v>https://ceds.ed.gov/cedselementdetails.aspx?termid=14861</v>
      </c>
      <c r="N21" s="9" t="str">
        <f>HYPERLINK("https://ceds.ed.gov/elementComment.aspx?elementName=Building Date of Certificate of Occupancy &amp;elementID=14861", "Click here to submit comment")</f>
        <v>Click here to submit comment</v>
      </c>
    </row>
    <row r="22" spans="1:14" ht="240" x14ac:dyDescent="0.25">
      <c r="A22" s="9" t="s">
        <v>7450</v>
      </c>
      <c r="B22" s="9" t="s">
        <v>7451</v>
      </c>
      <c r="C22" s="10" t="s">
        <v>11800</v>
      </c>
      <c r="D22" s="9" t="s">
        <v>10535</v>
      </c>
      <c r="E22" s="9" t="s">
        <v>1457</v>
      </c>
      <c r="F22" s="9"/>
      <c r="G22" s="9"/>
      <c r="H22" s="9"/>
      <c r="I22" s="9" t="s">
        <v>10588</v>
      </c>
      <c r="J22" s="9"/>
      <c r="K22" s="9" t="s">
        <v>10589</v>
      </c>
      <c r="L22" s="9"/>
      <c r="M22" s="9" t="str">
        <f>HYPERLINK("https://ceds.ed.gov/cedselementdetails.aspx?termid=14797")</f>
        <v>https://ceds.ed.gov/cedselementdetails.aspx?termid=14797</v>
      </c>
      <c r="N22" s="9" t="str">
        <f>HYPERLINK("https://ceds.ed.gov/elementComment.aspx?elementName=Building Design Type &amp;elementID=14797", "Click here to submit comment")</f>
        <v>Click here to submit comment</v>
      </c>
    </row>
    <row r="23" spans="1:14" ht="165" x14ac:dyDescent="0.25">
      <c r="A23" s="9" t="s">
        <v>10590</v>
      </c>
      <c r="B23" s="9" t="s">
        <v>7911</v>
      </c>
      <c r="C23" s="10" t="s">
        <v>11801</v>
      </c>
      <c r="D23" s="9" t="s">
        <v>10539</v>
      </c>
      <c r="E23" s="9" t="s">
        <v>1457</v>
      </c>
      <c r="F23" s="9"/>
      <c r="G23" s="9"/>
      <c r="H23" s="9"/>
      <c r="I23" s="9" t="s">
        <v>10591</v>
      </c>
      <c r="J23" s="9"/>
      <c r="K23" s="9" t="s">
        <v>10592</v>
      </c>
      <c r="L23" s="9"/>
      <c r="M23" s="9" t="str">
        <f>HYPERLINK("https://ceds.ed.gov/cedselementdetails.aspx?termid=14776")</f>
        <v>https://ceds.ed.gov/cedselementdetails.aspx?termid=14776</v>
      </c>
      <c r="N23" s="9" t="str">
        <f>HYPERLINK("https://ceds.ed.gov/elementComment.aspx?elementName=Building Electrical System Type &amp;elementID=14776", "Click here to submit comment")</f>
        <v>Click here to submit comment</v>
      </c>
    </row>
    <row r="24" spans="1:14" ht="165" x14ac:dyDescent="0.25">
      <c r="A24" s="9" t="s">
        <v>10593</v>
      </c>
      <c r="B24" s="9" t="s">
        <v>7958</v>
      </c>
      <c r="C24" s="10" t="s">
        <v>11802</v>
      </c>
      <c r="D24" s="9" t="s">
        <v>10567</v>
      </c>
      <c r="E24" s="9" t="s">
        <v>1457</v>
      </c>
      <c r="F24" s="9"/>
      <c r="G24" s="9"/>
      <c r="H24" s="9"/>
      <c r="I24" s="9" t="s">
        <v>10594</v>
      </c>
      <c r="J24" s="9"/>
      <c r="K24" s="9" t="s">
        <v>10595</v>
      </c>
      <c r="L24" s="9"/>
      <c r="M24" s="9" t="str">
        <f>HYPERLINK("https://ceds.ed.gov/cedselementdetails.aspx?termid=14849")</f>
        <v>https://ceds.ed.gov/cedselementdetails.aspx?termid=14849</v>
      </c>
      <c r="N24" s="9" t="str">
        <f>HYPERLINK("https://ceds.ed.gov/elementComment.aspx?elementName=Building Energy Conservation Measure Type &amp;elementID=14849", "Click here to submit comment")</f>
        <v>Click here to submit comment</v>
      </c>
    </row>
    <row r="25" spans="1:14" ht="75" x14ac:dyDescent="0.25">
      <c r="A25" s="9" t="s">
        <v>10596</v>
      </c>
      <c r="B25" s="9" t="s">
        <v>7959</v>
      </c>
      <c r="C25" s="9" t="s">
        <v>12</v>
      </c>
      <c r="D25" s="9" t="s">
        <v>10567</v>
      </c>
      <c r="E25" s="9" t="s">
        <v>1457</v>
      </c>
      <c r="F25" s="9" t="s">
        <v>92</v>
      </c>
      <c r="G25" s="9"/>
      <c r="H25" s="9"/>
      <c r="I25" s="9" t="s">
        <v>10597</v>
      </c>
      <c r="J25" s="9"/>
      <c r="K25" s="9" t="s">
        <v>10598</v>
      </c>
      <c r="L25" s="9"/>
      <c r="M25" s="9" t="str">
        <f>HYPERLINK("https://ceds.ed.gov/cedselementdetails.aspx?termid=14850")</f>
        <v>https://ceds.ed.gov/cedselementdetails.aspx?termid=14850</v>
      </c>
      <c r="N25" s="9" t="str">
        <f>HYPERLINK("https://ceds.ed.gov/elementComment.aspx?elementName=Building Energy Service Company Name &amp;elementID=14850", "Click here to submit comment")</f>
        <v>Click here to submit comment</v>
      </c>
    </row>
    <row r="26" spans="1:14" ht="180" x14ac:dyDescent="0.25">
      <c r="A26" s="9" t="s">
        <v>10599</v>
      </c>
      <c r="B26" s="9" t="s">
        <v>7960</v>
      </c>
      <c r="C26" s="10" t="s">
        <v>11803</v>
      </c>
      <c r="D26" s="9" t="s">
        <v>10567</v>
      </c>
      <c r="E26" s="9" t="s">
        <v>1457</v>
      </c>
      <c r="F26" s="9"/>
      <c r="G26" s="9"/>
      <c r="H26" s="9"/>
      <c r="I26" s="9" t="s">
        <v>10600</v>
      </c>
      <c r="J26" s="9"/>
      <c r="K26" s="9" t="s">
        <v>10601</v>
      </c>
      <c r="L26" s="9"/>
      <c r="M26" s="9" t="str">
        <f>HYPERLINK("https://ceds.ed.gov/cedselementdetails.aspx?termid=14851")</f>
        <v>https://ceds.ed.gov/cedselementdetails.aspx?termid=14851</v>
      </c>
      <c r="N26" s="9" t="str">
        <f>HYPERLINK("https://ceds.ed.gov/elementComment.aspx?elementName=Building Energy Source Type &amp;elementID=14851", "Click here to submit comment")</f>
        <v>Click here to submit comment</v>
      </c>
    </row>
    <row r="27" spans="1:14" ht="165" x14ac:dyDescent="0.25">
      <c r="A27" s="9" t="s">
        <v>12172</v>
      </c>
      <c r="B27" s="9" t="s">
        <v>7978</v>
      </c>
      <c r="C27" s="10" t="s">
        <v>11804</v>
      </c>
      <c r="D27" s="9" t="s">
        <v>10535</v>
      </c>
      <c r="E27" s="9" t="s">
        <v>1457</v>
      </c>
      <c r="F27" s="9"/>
      <c r="G27" s="9"/>
      <c r="H27" s="9"/>
      <c r="I27" s="9" t="s">
        <v>10602</v>
      </c>
      <c r="J27" s="9"/>
      <c r="K27" s="9" t="s">
        <v>12173</v>
      </c>
      <c r="L27" s="9"/>
      <c r="M27" s="9" t="str">
        <f>HYPERLINK("https://ceds.ed.gov/cedselementdetails.aspx?termid=14800")</f>
        <v>https://ceds.ed.gov/cedselementdetails.aspx?termid=14800</v>
      </c>
      <c r="N27" s="9" t="str">
        <f>HYPERLINK("https://ceds.ed.gov/elementComment.aspx?elementName=Building Environmental or Energy Performance Rating Category &amp;elementID=14800", "Click here to submit comment")</f>
        <v>Click here to submit comment</v>
      </c>
    </row>
    <row r="28" spans="1:14" ht="135" x14ac:dyDescent="0.25">
      <c r="A28" s="9" t="s">
        <v>10603</v>
      </c>
      <c r="B28" s="9" t="s">
        <v>8118</v>
      </c>
      <c r="C28" s="10" t="s">
        <v>11805</v>
      </c>
      <c r="D28" s="9" t="s">
        <v>10539</v>
      </c>
      <c r="E28" s="9" t="s">
        <v>1457</v>
      </c>
      <c r="F28" s="9"/>
      <c r="G28" s="9"/>
      <c r="H28" s="9"/>
      <c r="I28" s="9" t="s">
        <v>10604</v>
      </c>
      <c r="J28" s="9"/>
      <c r="K28" s="9" t="s">
        <v>10605</v>
      </c>
      <c r="L28" s="9"/>
      <c r="M28" s="9" t="str">
        <f>HYPERLINK("https://ceds.ed.gov/cedselementdetails.aspx?termid=14779")</f>
        <v>https://ceds.ed.gov/cedselementdetails.aspx?termid=14779</v>
      </c>
      <c r="N28" s="9" t="str">
        <f>HYPERLINK("https://ceds.ed.gov/elementComment.aspx?elementName=Building Fire Protection System Type &amp;elementID=14779", "Click here to submit comment")</f>
        <v>Click here to submit comment</v>
      </c>
    </row>
    <row r="29" spans="1:14" ht="315" x14ac:dyDescent="0.25">
      <c r="A29" s="9" t="s">
        <v>10606</v>
      </c>
      <c r="B29" s="9" t="s">
        <v>8135</v>
      </c>
      <c r="C29" s="10" t="s">
        <v>11806</v>
      </c>
      <c r="D29" s="9" t="s">
        <v>10535</v>
      </c>
      <c r="E29" s="9" t="s">
        <v>1457</v>
      </c>
      <c r="F29" s="9"/>
      <c r="G29" s="9"/>
      <c r="H29" s="9"/>
      <c r="I29" s="9" t="s">
        <v>10607</v>
      </c>
      <c r="J29" s="9"/>
      <c r="K29" s="9" t="s">
        <v>10608</v>
      </c>
      <c r="L29" s="9"/>
      <c r="M29" s="9" t="str">
        <f>HYPERLINK("https://ceds.ed.gov/cedselementdetails.aspx?termid=14802")</f>
        <v>https://ceds.ed.gov/cedselementdetails.aspx?termid=14802</v>
      </c>
      <c r="N29" s="9" t="str">
        <f>HYPERLINK("https://ceds.ed.gov/elementComment.aspx?elementName=Building Food Service Space Type &amp;elementID=14802", "Click here to submit comment")</f>
        <v>Click here to submit comment</v>
      </c>
    </row>
    <row r="30" spans="1:14" ht="75" x14ac:dyDescent="0.25">
      <c r="A30" s="9" t="s">
        <v>10609</v>
      </c>
      <c r="B30" s="9" t="s">
        <v>8156</v>
      </c>
      <c r="C30" s="10" t="s">
        <v>11807</v>
      </c>
      <c r="D30" s="9" t="s">
        <v>10535</v>
      </c>
      <c r="E30" s="9" t="s">
        <v>1457</v>
      </c>
      <c r="F30" s="9"/>
      <c r="G30" s="9"/>
      <c r="H30" s="9"/>
      <c r="I30" s="9" t="s">
        <v>10610</v>
      </c>
      <c r="J30" s="9"/>
      <c r="K30" s="9" t="s">
        <v>10611</v>
      </c>
      <c r="L30" s="9"/>
      <c r="M30" s="9" t="str">
        <f>HYPERLINK("https://ceds.ed.gov/cedselementdetails.aspx?termid=14824")</f>
        <v>https://ceds.ed.gov/cedselementdetails.aspx?termid=14824</v>
      </c>
      <c r="N30" s="9" t="str">
        <f>HYPERLINK("https://ceds.ed.gov/elementComment.aspx?elementName=Building Full Service Kitchen Type &amp;elementID=14824", "Click here to submit comment")</f>
        <v>Click here to submit comment</v>
      </c>
    </row>
    <row r="31" spans="1:14" ht="165" x14ac:dyDescent="0.25">
      <c r="A31" s="9" t="s">
        <v>10612</v>
      </c>
      <c r="B31" s="9" t="s">
        <v>8226</v>
      </c>
      <c r="C31" s="10" t="s">
        <v>11808</v>
      </c>
      <c r="D31" s="9" t="s">
        <v>10539</v>
      </c>
      <c r="E31" s="9" t="s">
        <v>1457</v>
      </c>
      <c r="F31" s="9"/>
      <c r="G31" s="9"/>
      <c r="H31" s="9"/>
      <c r="I31" s="9" t="s">
        <v>10613</v>
      </c>
      <c r="J31" s="9"/>
      <c r="K31" s="9" t="s">
        <v>10614</v>
      </c>
      <c r="L31" s="9"/>
      <c r="M31" s="9" t="str">
        <f>HYPERLINK("https://ceds.ed.gov/cedselementdetails.aspx?termid=14780")</f>
        <v>https://ceds.ed.gov/cedselementdetails.aspx?termid=14780</v>
      </c>
      <c r="N31" s="9" t="str">
        <f>HYPERLINK("https://ceds.ed.gov/elementComment.aspx?elementName=Building Heating Generation System Type &amp;elementID=14780", "Click here to submit comment")</f>
        <v>Click here to submit comment</v>
      </c>
    </row>
    <row r="32" spans="1:14" ht="195" x14ac:dyDescent="0.25">
      <c r="A32" s="9" t="s">
        <v>10615</v>
      </c>
      <c r="B32" s="9" t="s">
        <v>8227</v>
      </c>
      <c r="C32" s="10" t="s">
        <v>11809</v>
      </c>
      <c r="D32" s="9" t="s">
        <v>10528</v>
      </c>
      <c r="E32" s="9" t="s">
        <v>1457</v>
      </c>
      <c r="F32" s="9"/>
      <c r="G32" s="9"/>
      <c r="H32" s="9"/>
      <c r="I32" s="9" t="s">
        <v>10616</v>
      </c>
      <c r="J32" s="9"/>
      <c r="K32" s="9" t="s">
        <v>10617</v>
      </c>
      <c r="L32" s="9"/>
      <c r="M32" s="9" t="str">
        <f>HYPERLINK("https://ceds.ed.gov/cedselementdetails.aspx?termid=14753")</f>
        <v>https://ceds.ed.gov/cedselementdetails.aspx?termid=14753</v>
      </c>
      <c r="N32" s="9" t="str">
        <f>HYPERLINK("https://ceds.ed.gov/elementComment.aspx?elementName=Building Historic Status &amp;elementID=14753", "Click here to submit comment")</f>
        <v>Click here to submit comment</v>
      </c>
    </row>
    <row r="33" spans="1:14" ht="60" x14ac:dyDescent="0.25">
      <c r="A33" s="9" t="s">
        <v>12222</v>
      </c>
      <c r="B33" s="9" t="s">
        <v>8241</v>
      </c>
      <c r="C33" s="9" t="s">
        <v>12</v>
      </c>
      <c r="D33" s="9" t="s">
        <v>10522</v>
      </c>
      <c r="E33" s="9" t="s">
        <v>1457</v>
      </c>
      <c r="F33" s="9" t="s">
        <v>589</v>
      </c>
      <c r="G33" s="9"/>
      <c r="H33" s="9"/>
      <c r="I33" s="9" t="s">
        <v>10618</v>
      </c>
      <c r="J33" s="9"/>
      <c r="K33" s="9" t="s">
        <v>12174</v>
      </c>
      <c r="L33" s="9"/>
      <c r="M33" s="9" t="str">
        <f>HYPERLINK("https://ceds.ed.gov/cedselementdetails.aspx?termid=14837")</f>
        <v>https://ceds.ed.gov/cedselementdetails.aspx?termid=14837</v>
      </c>
      <c r="N33" s="9" t="str">
        <f>HYPERLINK("https://ceds.ed.gov/elementComment.aspx?elementName=Building Hours of Public Use Per Week &amp;elementID=14837", "Click here to submit comment")</f>
        <v>Click here to submit comment</v>
      </c>
    </row>
    <row r="34" spans="1:14" ht="150" x14ac:dyDescent="0.25">
      <c r="A34" s="9" t="s">
        <v>10619</v>
      </c>
      <c r="B34" s="9" t="s">
        <v>8246</v>
      </c>
      <c r="C34" s="10" t="s">
        <v>11810</v>
      </c>
      <c r="D34" s="9" t="s">
        <v>10539</v>
      </c>
      <c r="E34" s="9" t="s">
        <v>1457</v>
      </c>
      <c r="F34" s="9"/>
      <c r="G34" s="9"/>
      <c r="H34" s="9"/>
      <c r="I34" s="9" t="s">
        <v>10620</v>
      </c>
      <c r="J34" s="9"/>
      <c r="K34" s="9" t="s">
        <v>10621</v>
      </c>
      <c r="L34" s="9"/>
      <c r="M34" s="9" t="str">
        <f>HYPERLINK("https://ceds.ed.gov/cedselementdetails.aspx?termid=14781")</f>
        <v>https://ceds.ed.gov/cedselementdetails.aspx?termid=14781</v>
      </c>
      <c r="N34" s="9" t="str">
        <f>HYPERLINK("https://ceds.ed.gov/elementComment.aspx?elementName=Building HVAC System Type &amp;elementID=14781", "Click here to submit comment")</f>
        <v>Click here to submit comment</v>
      </c>
    </row>
    <row r="35" spans="1:14" ht="240" x14ac:dyDescent="0.25">
      <c r="A35" s="9" t="s">
        <v>12175</v>
      </c>
      <c r="B35" s="9" t="s">
        <v>8287</v>
      </c>
      <c r="C35" s="10" t="s">
        <v>11811</v>
      </c>
      <c r="D35" s="9" t="s">
        <v>10535</v>
      </c>
      <c r="E35" s="9" t="s">
        <v>1457</v>
      </c>
      <c r="F35" s="9"/>
      <c r="G35" s="9"/>
      <c r="H35" s="9"/>
      <c r="I35" s="9" t="s">
        <v>10622</v>
      </c>
      <c r="J35" s="9"/>
      <c r="K35" s="9" t="s">
        <v>12176</v>
      </c>
      <c r="L35" s="9"/>
      <c r="M35" s="9" t="str">
        <f>HYPERLINK("https://ceds.ed.gov/cedselementdetails.aspx?termid=14803")</f>
        <v>https://ceds.ed.gov/cedselementdetails.aspx?termid=14803</v>
      </c>
      <c r="N35" s="9" t="str">
        <f>HYPERLINK("https://ceds.ed.gov/elementComment.aspx?elementName=Building Indoor Athletic or Physical Education Space Type &amp;elementID=14803", "Click here to submit comment")</f>
        <v>Click here to submit comment</v>
      </c>
    </row>
    <row r="36" spans="1:14" ht="75" x14ac:dyDescent="0.25">
      <c r="A36" s="9" t="s">
        <v>10623</v>
      </c>
      <c r="B36" s="9" t="s">
        <v>8310</v>
      </c>
      <c r="C36" s="9" t="s">
        <v>12</v>
      </c>
      <c r="D36" s="9" t="s">
        <v>10539</v>
      </c>
      <c r="E36" s="9" t="s">
        <v>1457</v>
      </c>
      <c r="F36" s="9" t="s">
        <v>22</v>
      </c>
      <c r="G36" s="9"/>
      <c r="H36" s="9"/>
      <c r="I36" s="9" t="s">
        <v>10624</v>
      </c>
      <c r="J36" s="9"/>
      <c r="K36" s="9" t="s">
        <v>10625</v>
      </c>
      <c r="L36" s="9"/>
      <c r="M36" s="9" t="str">
        <f>HYPERLINK("https://ceds.ed.gov/cedselementdetails.aspx?termid=14782")</f>
        <v>https://ceds.ed.gov/cedselementdetails.aspx?termid=14782</v>
      </c>
      <c r="N36" s="9" t="str">
        <f>HYPERLINK("https://ceds.ed.gov/elementComment.aspx?elementName=Building Institutional Equipment Description &amp;elementID=14782", "Click here to submit comment")</f>
        <v>Click here to submit comment</v>
      </c>
    </row>
    <row r="37" spans="1:14" ht="45" x14ac:dyDescent="0.25">
      <c r="A37" s="9" t="s">
        <v>10626</v>
      </c>
      <c r="B37" s="9" t="s">
        <v>8313</v>
      </c>
      <c r="C37" s="10" t="s">
        <v>11812</v>
      </c>
      <c r="D37" s="9" t="s">
        <v>10522</v>
      </c>
      <c r="E37" s="9" t="s">
        <v>1457</v>
      </c>
      <c r="F37" s="9"/>
      <c r="G37" s="9"/>
      <c r="H37" s="9"/>
      <c r="I37" s="9" t="s">
        <v>10627</v>
      </c>
      <c r="J37" s="9"/>
      <c r="K37" s="9" t="s">
        <v>10628</v>
      </c>
      <c r="L37" s="9"/>
      <c r="M37" s="9" t="str">
        <f>HYPERLINK("https://ceds.ed.gov/cedselementdetails.aspx?termid=14832")</f>
        <v>https://ceds.ed.gov/cedselementdetails.aspx?termid=14832</v>
      </c>
      <c r="N37" s="9" t="str">
        <f>HYPERLINK("https://ceds.ed.gov/elementComment.aspx?elementName=Building Instructional Space Factor Type &amp;elementID=14832", "Click here to submit comment")</f>
        <v>Click here to submit comment</v>
      </c>
    </row>
    <row r="38" spans="1:14" ht="15" customHeight="1" x14ac:dyDescent="0.25">
      <c r="A38" s="9" t="s">
        <v>10629</v>
      </c>
      <c r="B38" s="9" t="s">
        <v>8362</v>
      </c>
      <c r="C38" s="10" t="s">
        <v>11813</v>
      </c>
      <c r="D38" s="9" t="s">
        <v>10522</v>
      </c>
      <c r="E38" s="9" t="s">
        <v>1457</v>
      </c>
      <c r="F38" s="9"/>
      <c r="G38" s="9"/>
      <c r="H38" s="9"/>
      <c r="I38" s="9" t="s">
        <v>10630</v>
      </c>
      <c r="J38" s="9"/>
      <c r="K38" s="9" t="s">
        <v>10631</v>
      </c>
      <c r="L38" s="9"/>
      <c r="M38" s="9" t="str">
        <f>HYPERLINK("https://ceds.ed.gov/cedselementdetails.aspx?termid=14833")</f>
        <v>https://ceds.ed.gov/cedselementdetails.aspx?termid=14833</v>
      </c>
      <c r="N38" s="9" t="str">
        <f>HYPERLINK("https://ceds.ed.gov/elementComment.aspx?elementName=Building Joint Use Rationale Type &amp;elementID=14833", "Click here to submit comment")</f>
        <v>Click here to submit comment</v>
      </c>
    </row>
    <row r="39" spans="1:14" ht="15" customHeight="1" x14ac:dyDescent="0.25">
      <c r="A39" s="9" t="s">
        <v>10632</v>
      </c>
      <c r="B39" s="9" t="s">
        <v>8363</v>
      </c>
      <c r="C39" s="10" t="s">
        <v>11814</v>
      </c>
      <c r="D39" s="9" t="s">
        <v>10522</v>
      </c>
      <c r="E39" s="9" t="s">
        <v>1457</v>
      </c>
      <c r="F39" s="9"/>
      <c r="G39" s="9"/>
      <c r="H39" s="9"/>
      <c r="I39" s="9" t="s">
        <v>10633</v>
      </c>
      <c r="J39" s="9"/>
      <c r="K39" s="9" t="s">
        <v>10634</v>
      </c>
      <c r="L39" s="9"/>
      <c r="M39" s="9" t="str">
        <f>HYPERLINK("https://ceds.ed.gov/cedselementdetails.aspx?termid=14834")</f>
        <v>https://ceds.ed.gov/cedselementdetails.aspx?termid=14834</v>
      </c>
      <c r="N39" s="9" t="str">
        <f>HYPERLINK("https://ceds.ed.gov/elementComment.aspx?elementName=Building Joint Use Scheduling Type &amp;elementID=14834", "Click here to submit comment")</f>
        <v>Click here to submit comment</v>
      </c>
    </row>
    <row r="40" spans="1:14" ht="15" customHeight="1" x14ac:dyDescent="0.25">
      <c r="A40" s="9" t="s">
        <v>10635</v>
      </c>
      <c r="B40" s="9" t="s">
        <v>8364</v>
      </c>
      <c r="C40" s="10" t="s">
        <v>11815</v>
      </c>
      <c r="D40" s="9" t="s">
        <v>10522</v>
      </c>
      <c r="E40" s="9" t="s">
        <v>1457</v>
      </c>
      <c r="F40" s="9"/>
      <c r="G40" s="9"/>
      <c r="H40" s="9"/>
      <c r="I40" s="9" t="s">
        <v>10636</v>
      </c>
      <c r="J40" s="9"/>
      <c r="K40" s="9" t="s">
        <v>10637</v>
      </c>
      <c r="L40" s="9"/>
      <c r="M40" s="9" t="str">
        <f>HYPERLINK("https://ceds.ed.gov/cedselementdetails.aspx?termid=14835")</f>
        <v>https://ceds.ed.gov/cedselementdetails.aspx?termid=14835</v>
      </c>
      <c r="N40" s="9" t="str">
        <f>HYPERLINK("https://ceds.ed.gov/elementComment.aspx?elementName=Building Joint User Type &amp;elementID=14835", "Click here to submit comment")</f>
        <v>Click here to submit comment</v>
      </c>
    </row>
    <row r="41" spans="1:14" ht="135" x14ac:dyDescent="0.25">
      <c r="A41" s="9" t="s">
        <v>12177</v>
      </c>
      <c r="B41" s="9" t="s">
        <v>8433</v>
      </c>
      <c r="C41" s="10" t="s">
        <v>11816</v>
      </c>
      <c r="D41" s="9" t="s">
        <v>10535</v>
      </c>
      <c r="E41" s="9" t="s">
        <v>1457</v>
      </c>
      <c r="F41" s="9"/>
      <c r="G41" s="9"/>
      <c r="H41" s="9"/>
      <c r="I41" s="9" t="s">
        <v>10638</v>
      </c>
      <c r="J41" s="9"/>
      <c r="K41" s="9" t="s">
        <v>12178</v>
      </c>
      <c r="L41" s="9"/>
      <c r="M41" s="9" t="str">
        <f>HYPERLINK("https://ceds.ed.gov/cedselementdetails.aspx?termid=14804")</f>
        <v>https://ceds.ed.gov/cedselementdetails.aspx?termid=14804</v>
      </c>
      <c r="N41" s="9" t="str">
        <f>HYPERLINK("https://ceds.ed.gov/elementComment.aspx?elementName=Building Library or Media Center Specialty Space Type &amp;elementID=14804", "Click here to submit comment")</f>
        <v>Click here to submit comment</v>
      </c>
    </row>
    <row r="42" spans="1:14" ht="90" x14ac:dyDescent="0.25">
      <c r="A42" s="9" t="s">
        <v>10639</v>
      </c>
      <c r="B42" s="9" t="s">
        <v>8511</v>
      </c>
      <c r="C42" s="10" t="s">
        <v>11817</v>
      </c>
      <c r="D42" s="9" t="s">
        <v>10539</v>
      </c>
      <c r="E42" s="9" t="s">
        <v>1457</v>
      </c>
      <c r="F42" s="9"/>
      <c r="G42" s="9"/>
      <c r="H42" s="9"/>
      <c r="I42" s="9" t="s">
        <v>10640</v>
      </c>
      <c r="J42" s="9"/>
      <c r="K42" s="9" t="s">
        <v>10641</v>
      </c>
      <c r="L42" s="9"/>
      <c r="M42" s="9" t="str">
        <f>HYPERLINK("https://ceds.ed.gov/cedselementdetails.aspx?termid=14783")</f>
        <v>https://ceds.ed.gov/cedselementdetails.aspx?termid=14783</v>
      </c>
      <c r="N42" s="9" t="str">
        <f>HYPERLINK("https://ceds.ed.gov/elementComment.aspx?elementName=Building Mechanical Conveying System Type &amp;elementID=14783", "Click here to submit comment")</f>
        <v>Click here to submit comment</v>
      </c>
    </row>
    <row r="43" spans="1:14" ht="75" x14ac:dyDescent="0.25">
      <c r="A43" s="9" t="s">
        <v>10642</v>
      </c>
      <c r="B43" s="9" t="s">
        <v>8512</v>
      </c>
      <c r="C43" s="10" t="s">
        <v>11818</v>
      </c>
      <c r="D43" s="9" t="s">
        <v>10539</v>
      </c>
      <c r="E43" s="9" t="s">
        <v>1457</v>
      </c>
      <c r="F43" s="9"/>
      <c r="G43" s="9"/>
      <c r="H43" s="9"/>
      <c r="I43" s="9" t="s">
        <v>10643</v>
      </c>
      <c r="J43" s="9"/>
      <c r="K43" s="9" t="s">
        <v>10644</v>
      </c>
      <c r="L43" s="9"/>
      <c r="M43" s="9" t="str">
        <f>HYPERLINK("https://ceds.ed.gov/cedselementdetails.aspx?termid=14790")</f>
        <v>https://ceds.ed.gov/cedselementdetails.aspx?termid=14790</v>
      </c>
      <c r="N43" s="9" t="str">
        <f>HYPERLINK("https://ceds.ed.gov/elementComment.aspx?elementName=Building Mechanical System Type &amp;elementID=14790", "Click here to submit comment")</f>
        <v>Click here to submit comment</v>
      </c>
    </row>
    <row r="44" spans="1:14" ht="60" x14ac:dyDescent="0.25">
      <c r="A44" s="9" t="s">
        <v>10645</v>
      </c>
      <c r="B44" s="9" t="s">
        <v>8617</v>
      </c>
      <c r="C44" s="9" t="s">
        <v>12</v>
      </c>
      <c r="D44" s="9" t="s">
        <v>10522</v>
      </c>
      <c r="E44" s="9" t="s">
        <v>1457</v>
      </c>
      <c r="F44" s="9" t="s">
        <v>1513</v>
      </c>
      <c r="G44" s="9"/>
      <c r="H44" s="9"/>
      <c r="I44" s="9" t="s">
        <v>10646</v>
      </c>
      <c r="J44" s="9"/>
      <c r="K44" s="9" t="s">
        <v>12179</v>
      </c>
      <c r="L44" s="9"/>
      <c r="M44" s="9" t="str">
        <f>HYPERLINK("https://ceds.ed.gov/cedselementdetails.aspx?termid=14838")</f>
        <v>https://ceds.ed.gov/cedselementdetails.aspx?termid=14838</v>
      </c>
      <c r="N44" s="9" t="str">
        <f>HYPERLINK("https://ceds.ed.gov/elementComment.aspx?elementName=Building Net Area of Instructional Space &amp;elementID=14838", "Click here to submit comment")</f>
        <v>Click here to submit comment</v>
      </c>
    </row>
    <row r="45" spans="1:14" ht="60" x14ac:dyDescent="0.25">
      <c r="A45" s="9" t="s">
        <v>10647</v>
      </c>
      <c r="B45" s="9" t="s">
        <v>8678</v>
      </c>
      <c r="C45" s="9" t="s">
        <v>12</v>
      </c>
      <c r="D45" s="9" t="s">
        <v>10528</v>
      </c>
      <c r="E45" s="9" t="s">
        <v>1457</v>
      </c>
      <c r="F45" s="9" t="s">
        <v>589</v>
      </c>
      <c r="G45" s="9"/>
      <c r="H45" s="9"/>
      <c r="I45" s="9" t="s">
        <v>10648</v>
      </c>
      <c r="J45" s="9"/>
      <c r="K45" s="9" t="s">
        <v>12180</v>
      </c>
      <c r="L45" s="9"/>
      <c r="M45" s="9" t="str">
        <f>HYPERLINK("https://ceds.ed.gov/cedselementdetails.aspx?termid=14766")</f>
        <v>https://ceds.ed.gov/cedselementdetails.aspx?termid=14766</v>
      </c>
      <c r="N45" s="9" t="str">
        <f>HYPERLINK("https://ceds.ed.gov/elementComment.aspx?elementName=Building Number of Stories &amp;elementID=14766", "Click here to submit comment")</f>
        <v>Click here to submit comment</v>
      </c>
    </row>
    <row r="46" spans="1:14" ht="60" x14ac:dyDescent="0.25">
      <c r="A46" s="9" t="s">
        <v>10649</v>
      </c>
      <c r="B46" s="9" t="s">
        <v>8683</v>
      </c>
      <c r="C46" s="9" t="s">
        <v>12</v>
      </c>
      <c r="D46" s="9" t="s">
        <v>10522</v>
      </c>
      <c r="E46" s="9" t="s">
        <v>1457</v>
      </c>
      <c r="F46" s="9" t="s">
        <v>589</v>
      </c>
      <c r="G46" s="9"/>
      <c r="H46" s="9"/>
      <c r="I46" s="9" t="s">
        <v>10650</v>
      </c>
      <c r="J46" s="9"/>
      <c r="K46" s="9" t="s">
        <v>12181</v>
      </c>
      <c r="L46" s="9"/>
      <c r="M46" s="9" t="str">
        <f>HYPERLINK("https://ceds.ed.gov/cedselementdetails.aspx?termid=14839")</f>
        <v>https://ceds.ed.gov/cedselementdetails.aspx?termid=14839</v>
      </c>
      <c r="N46" s="9" t="str">
        <f>HYPERLINK("https://ceds.ed.gov/elementComment.aspx?elementName=Building Number of Teaching Stations &amp;elementID=14839", "Click here to submit comment")</f>
        <v>Click here to submit comment</v>
      </c>
    </row>
    <row r="47" spans="1:14" ht="270" x14ac:dyDescent="0.25">
      <c r="A47" s="9" t="s">
        <v>12182</v>
      </c>
      <c r="B47" s="9" t="s">
        <v>8704</v>
      </c>
      <c r="C47" s="10" t="s">
        <v>11819</v>
      </c>
      <c r="D47" s="9" t="s">
        <v>10535</v>
      </c>
      <c r="E47" s="9" t="s">
        <v>1457</v>
      </c>
      <c r="F47" s="9"/>
      <c r="G47" s="9"/>
      <c r="H47" s="9"/>
      <c r="I47" s="9" t="s">
        <v>10651</v>
      </c>
      <c r="J47" s="9"/>
      <c r="K47" s="9" t="s">
        <v>12183</v>
      </c>
      <c r="L47" s="9"/>
      <c r="M47" s="9" t="str">
        <f>HYPERLINK("https://ceds.ed.gov/cedselementdetails.aspx?termid=14805")</f>
        <v>https://ceds.ed.gov/cedselementdetails.aspx?termid=14805</v>
      </c>
      <c r="N47" s="9" t="str">
        <f>HYPERLINK("https://ceds.ed.gov/elementComment.aspx?elementName=Building Operations or Maintenance Space Type &amp;elementID=14805", "Click here to submit comment")</f>
        <v>Click here to submit comment</v>
      </c>
    </row>
    <row r="48" spans="1:14" ht="240" x14ac:dyDescent="0.25">
      <c r="A48" s="9" t="s">
        <v>12184</v>
      </c>
      <c r="B48" s="9" t="s">
        <v>8721</v>
      </c>
      <c r="C48" s="10" t="s">
        <v>11820</v>
      </c>
      <c r="D48" s="9" t="s">
        <v>10535</v>
      </c>
      <c r="E48" s="9" t="s">
        <v>1457</v>
      </c>
      <c r="F48" s="9"/>
      <c r="G48" s="9"/>
      <c r="H48" s="9"/>
      <c r="I48" s="9" t="s">
        <v>10652</v>
      </c>
      <c r="J48" s="9"/>
      <c r="K48" s="9" t="s">
        <v>12185</v>
      </c>
      <c r="L48" s="9"/>
      <c r="M48" s="9" t="str">
        <f>HYPERLINK("https://ceds.ed.gov/cedselementdetails.aspx?termid=14806")</f>
        <v>https://ceds.ed.gov/cedselementdetails.aspx?termid=14806</v>
      </c>
      <c r="N48" s="9" t="str">
        <f>HYPERLINK("https://ceds.ed.gov/elementComment.aspx?elementName=Building Outdoor Athletic or Physical Education Space Type &amp;elementID=14806", "Click here to submit comment")</f>
        <v>Click here to submit comment</v>
      </c>
    </row>
    <row r="49" spans="1:14" ht="135" x14ac:dyDescent="0.25">
      <c r="A49" s="9" t="s">
        <v>12186</v>
      </c>
      <c r="B49" s="9" t="s">
        <v>10653</v>
      </c>
      <c r="C49" s="10" t="s">
        <v>11821</v>
      </c>
      <c r="D49" s="9" t="s">
        <v>10535</v>
      </c>
      <c r="E49" s="9" t="s">
        <v>1457</v>
      </c>
      <c r="F49" s="9"/>
      <c r="G49" s="9"/>
      <c r="H49" s="9"/>
      <c r="I49" s="9" t="s">
        <v>10654</v>
      </c>
      <c r="J49" s="9"/>
      <c r="K49" s="9" t="s">
        <v>12187</v>
      </c>
      <c r="L49" s="9"/>
      <c r="M49" s="9" t="str">
        <f>HYPERLINK("https://ceds.ed.gov/cedselementdetails.aspx?termid=14807")</f>
        <v>https://ceds.ed.gov/cedselementdetails.aspx?termid=14807</v>
      </c>
      <c r="N49" s="9" t="str">
        <f>HYPERLINK("https://ceds.ed.gov/elementComment.aspx?elementName=Building Outdoor or Non-athletic Space Type &amp;elementID=14807", "Click here to submit comment")</f>
        <v>Click here to submit comment</v>
      </c>
    </row>
    <row r="50" spans="1:14" ht="300" x14ac:dyDescent="0.25">
      <c r="A50" s="9" t="s">
        <v>10655</v>
      </c>
      <c r="B50" s="9" t="s">
        <v>8783</v>
      </c>
      <c r="C50" s="10" t="s">
        <v>11822</v>
      </c>
      <c r="D50" s="9" t="s">
        <v>10535</v>
      </c>
      <c r="E50" s="9" t="s">
        <v>1457</v>
      </c>
      <c r="F50" s="9"/>
      <c r="G50" s="9"/>
      <c r="H50" s="9"/>
      <c r="I50" s="9" t="s">
        <v>10656</v>
      </c>
      <c r="J50" s="9"/>
      <c r="K50" s="9" t="s">
        <v>10657</v>
      </c>
      <c r="L50" s="9"/>
      <c r="M50" s="9" t="str">
        <f>HYPERLINK("https://ceds.ed.gov/cedselementdetails.aspx?termid=14808")</f>
        <v>https://ceds.ed.gov/cedselementdetails.aspx?termid=14808</v>
      </c>
      <c r="N50" s="9" t="str">
        <f>HYPERLINK("https://ceds.ed.gov/elementComment.aspx?elementName=Building Performing Arts Specialty Space Type &amp;elementID=14808", "Click here to submit comment")</f>
        <v>Click here to submit comment</v>
      </c>
    </row>
    <row r="51" spans="1:14" ht="240" x14ac:dyDescent="0.25">
      <c r="A51" s="9" t="s">
        <v>10658</v>
      </c>
      <c r="B51" s="9" t="s">
        <v>8802</v>
      </c>
      <c r="C51" s="10" t="s">
        <v>11823</v>
      </c>
      <c r="D51" s="9" t="s">
        <v>10539</v>
      </c>
      <c r="E51" s="9" t="s">
        <v>1457</v>
      </c>
      <c r="F51" s="9"/>
      <c r="G51" s="9"/>
      <c r="H51" s="9"/>
      <c r="I51" s="9" t="s">
        <v>10659</v>
      </c>
      <c r="J51" s="9"/>
      <c r="K51" s="9" t="s">
        <v>10660</v>
      </c>
      <c r="L51" s="9"/>
      <c r="M51" s="9" t="str">
        <f>HYPERLINK("https://ceds.ed.gov/cedselementdetails.aspx?termid=14784")</f>
        <v>https://ceds.ed.gov/cedselementdetails.aspx?termid=14784</v>
      </c>
      <c r="N51" s="9" t="str">
        <f>HYPERLINK("https://ceds.ed.gov/elementComment.aspx?elementName=Building Plumbing System Type &amp;elementID=14784", "Click here to submit comment")</f>
        <v>Click here to submit comment</v>
      </c>
    </row>
    <row r="52" spans="1:14" ht="90" x14ac:dyDescent="0.25">
      <c r="A52" s="9" t="s">
        <v>10661</v>
      </c>
      <c r="B52" s="9" t="s">
        <v>10662</v>
      </c>
      <c r="C52" s="10" t="s">
        <v>11824</v>
      </c>
      <c r="D52" s="9" t="s">
        <v>10528</v>
      </c>
      <c r="E52" s="9" t="s">
        <v>1457</v>
      </c>
      <c r="F52" s="9"/>
      <c r="G52" s="9"/>
      <c r="H52" s="9"/>
      <c r="I52" s="9" t="s">
        <v>10663</v>
      </c>
      <c r="J52" s="9"/>
      <c r="K52" s="9" t="s">
        <v>10664</v>
      </c>
      <c r="L52" s="9"/>
      <c r="M52" s="9" t="str">
        <f>HYPERLINK("https://ceds.ed.gov/cedselementdetails.aspx?termid=14758")</f>
        <v>https://ceds.ed.gov/cedselementdetails.aspx?termid=14758</v>
      </c>
      <c r="N52" s="9" t="str">
        <f>HYPERLINK("https://ceds.ed.gov/elementComment.aspx?elementName=Building Primary Use Type &amp;elementID=14758", "Click here to submit comment")</f>
        <v>Click here to submit comment</v>
      </c>
    </row>
    <row r="53" spans="1:14" ht="75" x14ac:dyDescent="0.25">
      <c r="A53" s="9" t="s">
        <v>10665</v>
      </c>
      <c r="B53" s="9" t="s">
        <v>8936</v>
      </c>
      <c r="C53" s="9" t="s">
        <v>12</v>
      </c>
      <c r="D53" s="9" t="s">
        <v>10522</v>
      </c>
      <c r="E53" s="9" t="s">
        <v>1457</v>
      </c>
      <c r="F53" s="9" t="s">
        <v>22</v>
      </c>
      <c r="G53" s="9"/>
      <c r="H53" s="9"/>
      <c r="I53" s="9" t="s">
        <v>10666</v>
      </c>
      <c r="J53" s="9"/>
      <c r="K53" s="9" t="s">
        <v>10667</v>
      </c>
      <c r="L53" s="9"/>
      <c r="M53" s="9" t="str">
        <f>HYPERLINK("https://ceds.ed.gov/cedselementdetails.aspx?termid=14840")</f>
        <v>https://ceds.ed.gov/cedselementdetails.aspx?termid=14840</v>
      </c>
      <c r="N53" s="9" t="str">
        <f>HYPERLINK("https://ceds.ed.gov/elementComment.aspx?elementName=Building Public Use Policy Description &amp;elementID=14840", "Click here to submit comment")</f>
        <v>Click here to submit comment</v>
      </c>
    </row>
    <row r="54" spans="1:14" ht="255" x14ac:dyDescent="0.25">
      <c r="A54" s="9" t="s">
        <v>10668</v>
      </c>
      <c r="B54" s="9" t="s">
        <v>9126</v>
      </c>
      <c r="C54" s="10" t="s">
        <v>11825</v>
      </c>
      <c r="D54" s="9" t="s">
        <v>10535</v>
      </c>
      <c r="E54" s="9" t="s">
        <v>1457</v>
      </c>
      <c r="F54" s="9"/>
      <c r="G54" s="9"/>
      <c r="H54" s="9"/>
      <c r="I54" s="9" t="s">
        <v>10669</v>
      </c>
      <c r="J54" s="9"/>
      <c r="K54" s="9" t="s">
        <v>10670</v>
      </c>
      <c r="L54" s="9"/>
      <c r="M54" s="9" t="str">
        <f>HYPERLINK("https://ceds.ed.gov/cedselementdetails.aspx?termid=14809")</f>
        <v>https://ceds.ed.gov/cedselementdetails.aspx?termid=14809</v>
      </c>
      <c r="N54" s="9" t="str">
        <f>HYPERLINK("https://ceds.ed.gov/elementComment.aspx?elementName=Building School Design Type &amp;elementID=14809", "Click here to submit comment")</f>
        <v>Click here to submit comment</v>
      </c>
    </row>
    <row r="55" spans="1:14" ht="210" x14ac:dyDescent="0.25">
      <c r="A55" s="9" t="s">
        <v>10671</v>
      </c>
      <c r="B55" s="9" t="s">
        <v>9158</v>
      </c>
      <c r="C55" s="10" t="s">
        <v>11826</v>
      </c>
      <c r="D55" s="9" t="s">
        <v>10535</v>
      </c>
      <c r="E55" s="9" t="s">
        <v>1457</v>
      </c>
      <c r="F55" s="9"/>
      <c r="G55" s="9"/>
      <c r="H55" s="9"/>
      <c r="I55" s="9" t="s">
        <v>10672</v>
      </c>
      <c r="J55" s="9"/>
      <c r="K55" s="9" t="s">
        <v>10673</v>
      </c>
      <c r="L55" s="9"/>
      <c r="M55" s="9" t="str">
        <f>HYPERLINK("https://ceds.ed.gov/cedselementdetails.aspx?termid=14810")</f>
        <v>https://ceds.ed.gov/cedselementdetails.aspx?termid=14810</v>
      </c>
      <c r="N55" s="9" t="str">
        <f>HYPERLINK("https://ceds.ed.gov/elementComment.aspx?elementName=Building Science Specialty Space Type &amp;elementID=14810", "Click here to submit comment")</f>
        <v>Click here to submit comment</v>
      </c>
    </row>
    <row r="56" spans="1:14" ht="15" customHeight="1" x14ac:dyDescent="0.25">
      <c r="A56" s="9" t="s">
        <v>10674</v>
      </c>
      <c r="B56" s="9" t="s">
        <v>9180</v>
      </c>
      <c r="C56" s="10" t="s">
        <v>11827</v>
      </c>
      <c r="D56" s="9" t="s">
        <v>10539</v>
      </c>
      <c r="E56" s="9" t="s">
        <v>1457</v>
      </c>
      <c r="F56" s="9"/>
      <c r="G56" s="9"/>
      <c r="H56" s="9"/>
      <c r="I56" s="9" t="s">
        <v>10675</v>
      </c>
      <c r="J56" s="9"/>
      <c r="K56" s="9" t="s">
        <v>10676</v>
      </c>
      <c r="L56" s="9"/>
      <c r="M56" s="9" t="str">
        <f>HYPERLINK("https://ceds.ed.gov/cedselementdetails.aspx?termid=14785")</f>
        <v>https://ceds.ed.gov/cedselementdetails.aspx?termid=14785</v>
      </c>
      <c r="N56" s="9" t="str">
        <f>HYPERLINK("https://ceds.ed.gov/elementComment.aspx?elementName=Building Security System Type &amp;elementID=14785", "Click here to submit comment")</f>
        <v>Click here to submit comment</v>
      </c>
    </row>
    <row r="57" spans="1:14" ht="15" customHeight="1" x14ac:dyDescent="0.25">
      <c r="A57" s="9" t="s">
        <v>10677</v>
      </c>
      <c r="B57" s="9" t="s">
        <v>9227</v>
      </c>
      <c r="C57" s="9" t="s">
        <v>12</v>
      </c>
      <c r="D57" s="9" t="s">
        <v>10535</v>
      </c>
      <c r="E57" s="9" t="s">
        <v>1457</v>
      </c>
      <c r="F57" s="9" t="s">
        <v>22</v>
      </c>
      <c r="G57" s="9"/>
      <c r="H57" s="9"/>
      <c r="I57" s="9" t="s">
        <v>10678</v>
      </c>
      <c r="J57" s="9"/>
      <c r="K57" s="9" t="s">
        <v>10679</v>
      </c>
      <c r="L57" s="9"/>
      <c r="M57" s="9" t="str">
        <f>HYPERLINK("https://ceds.ed.gov/cedselementdetails.aspx?termid=14831")</f>
        <v>https://ceds.ed.gov/cedselementdetails.aspx?termid=14831</v>
      </c>
      <c r="N57" s="9" t="str">
        <f>HYPERLINK("https://ceds.ed.gov/elementComment.aspx?elementName=Building Site Improvement Description &amp;elementID=14831", "Click here to submit comment")</f>
        <v>Click here to submit comment</v>
      </c>
    </row>
    <row r="58" spans="1:14" ht="120" x14ac:dyDescent="0.25">
      <c r="A58" s="9" t="s">
        <v>10681</v>
      </c>
      <c r="B58" s="9" t="s">
        <v>9234</v>
      </c>
      <c r="C58" s="10" t="s">
        <v>11828</v>
      </c>
      <c r="D58" s="9" t="s">
        <v>10522</v>
      </c>
      <c r="E58" s="9" t="s">
        <v>1457</v>
      </c>
      <c r="F58" s="9"/>
      <c r="G58" s="9"/>
      <c r="H58" s="9"/>
      <c r="I58" s="9" t="s">
        <v>10682</v>
      </c>
      <c r="J58" s="9"/>
      <c r="K58" s="9" t="s">
        <v>10683</v>
      </c>
      <c r="L58" s="9"/>
      <c r="M58" s="9" t="str">
        <f>HYPERLINK("https://ceds.ed.gov/cedselementdetails.aspx?termid=14841")</f>
        <v>https://ceds.ed.gov/cedselementdetails.aspx?termid=14841</v>
      </c>
      <c r="N58" s="9" t="str">
        <f>HYPERLINK("https://ceds.ed.gov/elementComment.aspx?elementName=Building Site Use Restrictions Type &amp;elementID=14841", "Click here to submit comment")</f>
        <v>Click here to submit comment</v>
      </c>
    </row>
    <row r="59" spans="1:14" ht="255" x14ac:dyDescent="0.25">
      <c r="A59" s="9" t="s">
        <v>10684</v>
      </c>
      <c r="B59" s="9" t="s">
        <v>9244</v>
      </c>
      <c r="C59" s="10" t="s">
        <v>11829</v>
      </c>
      <c r="D59" s="9" t="s">
        <v>10535</v>
      </c>
      <c r="E59" s="9" t="s">
        <v>1457</v>
      </c>
      <c r="F59" s="9"/>
      <c r="G59" s="9"/>
      <c r="H59" s="9"/>
      <c r="I59" s="9" t="s">
        <v>10685</v>
      </c>
      <c r="J59" s="9"/>
      <c r="K59" s="9" t="s">
        <v>10686</v>
      </c>
      <c r="L59" s="9"/>
      <c r="M59" s="9" t="str">
        <f>HYPERLINK("https://ceds.ed.gov/cedselementdetails.aspx?termid=14812")</f>
        <v>https://ceds.ed.gov/cedselementdetails.aspx?termid=14812</v>
      </c>
      <c r="N59" s="9" t="str">
        <f>HYPERLINK("https://ceds.ed.gov/elementComment.aspx?elementName=Building Space Design Type &amp;elementID=14812", "Click here to submit comment")</f>
        <v>Click here to submit comment</v>
      </c>
    </row>
    <row r="60" spans="1:14" ht="90" x14ac:dyDescent="0.25">
      <c r="A60" s="9" t="s">
        <v>10687</v>
      </c>
      <c r="B60" s="9" t="s">
        <v>9245</v>
      </c>
      <c r="C60" s="9" t="s">
        <v>12</v>
      </c>
      <c r="D60" s="9" t="s">
        <v>10522</v>
      </c>
      <c r="E60" s="9" t="s">
        <v>1457</v>
      </c>
      <c r="F60" s="9" t="s">
        <v>1513</v>
      </c>
      <c r="G60" s="9"/>
      <c r="H60" s="9"/>
      <c r="I60" s="9" t="s">
        <v>10688</v>
      </c>
      <c r="J60" s="9"/>
      <c r="K60" s="9" t="s">
        <v>10689</v>
      </c>
      <c r="L60" s="9"/>
      <c r="M60" s="9" t="str">
        <f>HYPERLINK("https://ceds.ed.gov/cedselementdetails.aspx?termid=14842")</f>
        <v>https://ceds.ed.gov/cedselementdetails.aspx?termid=14842</v>
      </c>
      <c r="N60" s="9" t="str">
        <f>HYPERLINK("https://ceds.ed.gov/elementComment.aspx?elementName=Building Space Utilization Area &amp;elementID=14842", "Click here to submit comment")</f>
        <v>Click here to submit comment</v>
      </c>
    </row>
    <row r="61" spans="1:14" ht="135" x14ac:dyDescent="0.25">
      <c r="A61" s="9" t="s">
        <v>10690</v>
      </c>
      <c r="B61" s="9" t="s">
        <v>9265</v>
      </c>
      <c r="C61" s="10" t="s">
        <v>11830</v>
      </c>
      <c r="D61" s="9" t="s">
        <v>10535</v>
      </c>
      <c r="E61" s="9" t="s">
        <v>1457</v>
      </c>
      <c r="F61" s="9"/>
      <c r="G61" s="9"/>
      <c r="H61" s="9"/>
      <c r="I61" s="9" t="s">
        <v>10691</v>
      </c>
      <c r="J61" s="9"/>
      <c r="K61" s="9" t="s">
        <v>10692</v>
      </c>
      <c r="L61" s="9"/>
      <c r="M61" s="9" t="str">
        <f>HYPERLINK("https://ceds.ed.gov/cedselementdetails.aspx?termid=14813")</f>
        <v>https://ceds.ed.gov/cedselementdetails.aspx?termid=14813</v>
      </c>
      <c r="N61" s="9" t="str">
        <f>HYPERLINK("https://ceds.ed.gov/elementComment.aspx?elementName=Building Special Education Specialty Space Type &amp;elementID=14813", "Click here to submit comment")</f>
        <v>Click here to submit comment</v>
      </c>
    </row>
    <row r="62" spans="1:14" ht="165" x14ac:dyDescent="0.25">
      <c r="A62" s="9" t="s">
        <v>10693</v>
      </c>
      <c r="B62" s="9" t="s">
        <v>9322</v>
      </c>
      <c r="C62" s="10" t="s">
        <v>11831</v>
      </c>
      <c r="D62" s="9" t="s">
        <v>10535</v>
      </c>
      <c r="E62" s="9" t="s">
        <v>1457</v>
      </c>
      <c r="F62" s="9"/>
      <c r="G62" s="9"/>
      <c r="H62" s="9"/>
      <c r="I62" s="9" t="s">
        <v>10694</v>
      </c>
      <c r="J62" s="9"/>
      <c r="K62" s="9" t="s">
        <v>10695</v>
      </c>
      <c r="L62" s="9"/>
      <c r="M62" s="9" t="str">
        <f>HYPERLINK("https://ceds.ed.gov/cedselementdetails.aspx?termid=14814")</f>
        <v>https://ceds.ed.gov/cedselementdetails.aspx?termid=14814</v>
      </c>
      <c r="N62" s="9" t="str">
        <f>HYPERLINK("https://ceds.ed.gov/elementComment.aspx?elementName=Building Student Support Space Type &amp;elementID=14814", "Click here to submit comment")</f>
        <v>Click here to submit comment</v>
      </c>
    </row>
    <row r="63" spans="1:14" ht="180" x14ac:dyDescent="0.25">
      <c r="A63" s="9" t="s">
        <v>10696</v>
      </c>
      <c r="B63" s="9" t="s">
        <v>9339</v>
      </c>
      <c r="C63" s="10" t="s">
        <v>11832</v>
      </c>
      <c r="D63" s="9" t="s">
        <v>10539</v>
      </c>
      <c r="E63" s="9" t="s">
        <v>1457</v>
      </c>
      <c r="F63" s="9"/>
      <c r="G63" s="9"/>
      <c r="H63" s="9"/>
      <c r="I63" s="9" t="s">
        <v>10697</v>
      </c>
      <c r="J63" s="9"/>
      <c r="K63" s="9" t="s">
        <v>10698</v>
      </c>
      <c r="L63" s="9"/>
      <c r="M63" s="9" t="str">
        <f>HYPERLINK("https://ceds.ed.gov/cedselementdetails.aspx?termid=14792")</f>
        <v>https://ceds.ed.gov/cedselementdetails.aspx?termid=14792</v>
      </c>
      <c r="N63" s="9" t="str">
        <f>HYPERLINK("https://ceds.ed.gov/elementComment.aspx?elementName=Building System Type &amp;elementID=14792", "Click here to submit comment")</f>
        <v>Click here to submit comment</v>
      </c>
    </row>
    <row r="64" spans="1:14" ht="105" x14ac:dyDescent="0.25">
      <c r="A64" s="9" t="s">
        <v>10699</v>
      </c>
      <c r="B64" s="9" t="s">
        <v>9364</v>
      </c>
      <c r="C64" s="10" t="s">
        <v>11833</v>
      </c>
      <c r="D64" s="9" t="s">
        <v>10539</v>
      </c>
      <c r="E64" s="9" t="s">
        <v>1457</v>
      </c>
      <c r="F64" s="9"/>
      <c r="G64" s="9"/>
      <c r="H64" s="9"/>
      <c r="I64" s="9" t="s">
        <v>10700</v>
      </c>
      <c r="J64" s="9"/>
      <c r="K64" s="9" t="s">
        <v>10701</v>
      </c>
      <c r="L64" s="9"/>
      <c r="M64" s="9" t="str">
        <f>HYPERLINK("https://ceds.ed.gov/cedselementdetails.aspx?termid=14788")</f>
        <v>https://ceds.ed.gov/cedselementdetails.aspx?termid=14788</v>
      </c>
      <c r="N64" s="9" t="str">
        <f>HYPERLINK("https://ceds.ed.gov/elementComment.aspx?elementName=Building Technology Wiring System Type &amp;elementID=14788", "Click here to submit comment")</f>
        <v>Click here to submit comment</v>
      </c>
    </row>
    <row r="65" spans="1:14" ht="75" x14ac:dyDescent="0.25">
      <c r="A65" s="9" t="s">
        <v>10702</v>
      </c>
      <c r="B65" s="9" t="s">
        <v>9463</v>
      </c>
      <c r="C65" s="9" t="s">
        <v>6106</v>
      </c>
      <c r="D65" s="9" t="s">
        <v>10522</v>
      </c>
      <c r="E65" s="9" t="s">
        <v>1457</v>
      </c>
      <c r="F65" s="9"/>
      <c r="G65" s="9"/>
      <c r="H65" s="9"/>
      <c r="I65" s="9" t="s">
        <v>10703</v>
      </c>
      <c r="J65" s="9"/>
      <c r="K65" s="9" t="s">
        <v>10704</v>
      </c>
      <c r="L65" s="9"/>
      <c r="M65" s="9" t="str">
        <f>HYPERLINK("https://ceds.ed.gov/cedselementdetails.aspx?termid=14844")</f>
        <v>https://ceds.ed.gov/cedselementdetails.aspx?termid=14844</v>
      </c>
      <c r="N65" s="9" t="str">
        <f>HYPERLINK("https://ceds.ed.gov/elementComment.aspx?elementName=Building Unassigned Space Indicator &amp;elementID=14844", "Click here to submit comment")</f>
        <v>Click here to submit comment</v>
      </c>
    </row>
    <row r="66" spans="1:14" ht="75" x14ac:dyDescent="0.25">
      <c r="A66" s="9" t="s">
        <v>10705</v>
      </c>
      <c r="B66" s="9" t="s">
        <v>9516</v>
      </c>
      <c r="C66" s="10" t="s">
        <v>11835</v>
      </c>
      <c r="D66" s="9" t="s">
        <v>10539</v>
      </c>
      <c r="E66" s="9" t="s">
        <v>1457</v>
      </c>
      <c r="F66" s="9"/>
      <c r="G66" s="9"/>
      <c r="H66" s="9"/>
      <c r="I66" s="9" t="s">
        <v>10706</v>
      </c>
      <c r="J66" s="9"/>
      <c r="K66" s="9" t="s">
        <v>10707</v>
      </c>
      <c r="L66" s="9"/>
      <c r="M66" s="9" t="str">
        <f>HYPERLINK("https://ceds.ed.gov/cedselementdetails.aspx?termid=14793")</f>
        <v>https://ceds.ed.gov/cedselementdetails.aspx?termid=14793</v>
      </c>
      <c r="N66" s="9" t="str">
        <f>HYPERLINK("https://ceds.ed.gov/elementComment.aspx?elementName=Building Vertical Transportation System Type &amp;elementID=14793", "Click here to submit comment")</f>
        <v>Click here to submit comment</v>
      </c>
    </row>
    <row r="67" spans="1:14" ht="45" x14ac:dyDescent="0.25">
      <c r="A67" s="9" t="s">
        <v>10708</v>
      </c>
      <c r="B67" s="9" t="s">
        <v>9577</v>
      </c>
      <c r="C67" s="9" t="s">
        <v>12</v>
      </c>
      <c r="D67" s="9" t="s">
        <v>10528</v>
      </c>
      <c r="E67" s="9" t="s">
        <v>1457</v>
      </c>
      <c r="F67" s="9" t="s">
        <v>1813</v>
      </c>
      <c r="G67" s="9"/>
      <c r="H67" s="9"/>
      <c r="I67" s="9" t="s">
        <v>10709</v>
      </c>
      <c r="J67" s="9"/>
      <c r="K67" s="9" t="s">
        <v>10710</v>
      </c>
      <c r="L67" s="9"/>
      <c r="M67" s="9" t="str">
        <f>HYPERLINK("https://ceds.ed.gov/cedselementdetails.aspx?termid=14769")</f>
        <v>https://ceds.ed.gov/cedselementdetails.aspx?termid=14769</v>
      </c>
      <c r="N67" s="9" t="str">
        <f>HYPERLINK("https://ceds.ed.gov/elementComment.aspx?elementName=Building Year Built &amp;elementID=14769", "Click here to submit comment")</f>
        <v>Click here to submit comment</v>
      </c>
    </row>
    <row r="68" spans="1:14" ht="105" x14ac:dyDescent="0.25">
      <c r="A68" s="9" t="s">
        <v>10711</v>
      </c>
      <c r="B68" s="9" t="s">
        <v>10712</v>
      </c>
      <c r="C68" s="9" t="s">
        <v>12</v>
      </c>
      <c r="D68" s="9" t="s">
        <v>10528</v>
      </c>
      <c r="E68" s="9" t="s">
        <v>1457</v>
      </c>
      <c r="F68" s="9" t="s">
        <v>1813</v>
      </c>
      <c r="G68" s="9"/>
      <c r="H68" s="9"/>
      <c r="I68" s="9" t="s">
        <v>10713</v>
      </c>
      <c r="J68" s="9"/>
      <c r="K68" s="9" t="s">
        <v>12188</v>
      </c>
      <c r="L68" s="9"/>
      <c r="M68" s="9" t="str">
        <f>HYPERLINK("https://ceds.ed.gov/cedselementdetails.aspx?termid=14770")</f>
        <v>https://ceds.ed.gov/cedselementdetails.aspx?termid=14770</v>
      </c>
      <c r="N68" s="9" t="str">
        <f>HYPERLINK("https://ceds.ed.gov/elementComment.aspx?elementName=Building Year of Last Modernization &amp;elementID=14770", "Click here to submit comment")</f>
        <v>Click here to submit comment</v>
      </c>
    </row>
    <row r="69" spans="1:14" ht="15" customHeight="1" x14ac:dyDescent="0.25">
      <c r="A69" s="9" t="s">
        <v>10715</v>
      </c>
      <c r="B69" s="9" t="s">
        <v>10716</v>
      </c>
      <c r="C69" s="10" t="s">
        <v>11837</v>
      </c>
      <c r="D69" s="9" t="s">
        <v>10528</v>
      </c>
      <c r="E69" s="9" t="s">
        <v>1457</v>
      </c>
      <c r="F69" s="9"/>
      <c r="G69" s="9"/>
      <c r="H69" s="9"/>
      <c r="I69" s="9" t="s">
        <v>10717</v>
      </c>
      <c r="J69" s="9"/>
      <c r="K69" s="9" t="s">
        <v>10718</v>
      </c>
      <c r="L69" s="9"/>
      <c r="M69" s="9" t="str">
        <f>HYPERLINK("https://ceds.ed.gov/cedselementdetails.aspx?termid=14759")</f>
        <v>https://ceds.ed.gov/cedselementdetails.aspx?termid=14759</v>
      </c>
      <c r="N69" s="9" t="str">
        <f>HYPERLINK("https://ceds.ed.gov/elementComment.aspx?elementName=Campus Status &amp;elementID=14759", "Click here to submit comment")</f>
        <v>Click here to submit comment</v>
      </c>
    </row>
    <row r="70" spans="1:14" ht="90" x14ac:dyDescent="0.25">
      <c r="A70" s="9" t="s">
        <v>10719</v>
      </c>
      <c r="B70" s="9" t="s">
        <v>10720</v>
      </c>
      <c r="C70" s="10" t="s">
        <v>11838</v>
      </c>
      <c r="D70" s="9" t="s">
        <v>10528</v>
      </c>
      <c r="E70" s="9" t="s">
        <v>1457</v>
      </c>
      <c r="F70" s="9"/>
      <c r="G70" s="9"/>
      <c r="H70" s="9"/>
      <c r="I70" s="9" t="s">
        <v>10721</v>
      </c>
      <c r="J70" s="9"/>
      <c r="K70" s="9" t="s">
        <v>10722</v>
      </c>
      <c r="L70" s="9"/>
      <c r="M70" s="9" t="str">
        <f>HYPERLINK("https://ceds.ed.gov/cedselementdetails.aspx?termid=14878")</f>
        <v>https://ceds.ed.gov/cedselementdetails.aspx?termid=14878</v>
      </c>
      <c r="N70" s="9" t="str">
        <f>HYPERLINK("https://ceds.ed.gov/elementComment.aspx?elementName=Campus Type &amp;elementID=14878", "Click here to submit comment")</f>
        <v>Click here to submit comment</v>
      </c>
    </row>
    <row r="71" spans="1:14" ht="45" x14ac:dyDescent="0.25">
      <c r="A71" s="9" t="s">
        <v>10907</v>
      </c>
      <c r="B71" s="9" t="s">
        <v>10908</v>
      </c>
      <c r="C71" s="9" t="s">
        <v>12</v>
      </c>
      <c r="D71" s="9" t="s">
        <v>10909</v>
      </c>
      <c r="E71" s="9" t="s">
        <v>1457</v>
      </c>
      <c r="F71" s="9" t="s">
        <v>73</v>
      </c>
      <c r="G71" s="9"/>
      <c r="H71" s="9"/>
      <c r="I71" s="9" t="s">
        <v>10910</v>
      </c>
      <c r="J71" s="9"/>
      <c r="K71" s="9" t="s">
        <v>12189</v>
      </c>
      <c r="L71" s="9"/>
      <c r="M71" s="9" t="str">
        <f>HYPERLINK("https://ceds.ed.gov/cedselementdetails.aspx?termid=14879")</f>
        <v>https://ceds.ed.gov/cedselementdetails.aspx?termid=14879</v>
      </c>
      <c r="N71" s="9" t="str">
        <f>HYPERLINK("https://ceds.ed.gov/elementComment.aspx?elementName=Component or Fixture Check Date &amp;elementID=14879", "Click here to submit comment")</f>
        <v>Click here to submit comment</v>
      </c>
    </row>
    <row r="72" spans="1:14" ht="60" x14ac:dyDescent="0.25">
      <c r="A72" s="9" t="s">
        <v>10911</v>
      </c>
      <c r="B72" s="9" t="s">
        <v>8621</v>
      </c>
      <c r="C72" s="9" t="s">
        <v>12</v>
      </c>
      <c r="D72" s="9" t="s">
        <v>10909</v>
      </c>
      <c r="E72" s="9" t="s">
        <v>1457</v>
      </c>
      <c r="F72" s="9" t="s">
        <v>73</v>
      </c>
      <c r="G72" s="9"/>
      <c r="H72" s="9"/>
      <c r="I72" s="9" t="s">
        <v>10912</v>
      </c>
      <c r="J72" s="9"/>
      <c r="K72" s="9" t="s">
        <v>12190</v>
      </c>
      <c r="L72" s="9"/>
      <c r="M72" s="9" t="str">
        <f>HYPERLINK("https://ceds.ed.gov/cedselementdetails.aspx?termid=14881")</f>
        <v>https://ceds.ed.gov/cedselementdetails.aspx?termid=14881</v>
      </c>
      <c r="N72" s="9" t="str">
        <f>HYPERLINK("https://ceds.ed.gov/elementComment.aspx?elementName=Component or Fixture Scheduled Serviced Date &amp;elementID=14881", "Click here to submit comment")</f>
        <v>Click here to submit comment</v>
      </c>
    </row>
    <row r="73" spans="1:14" ht="60" x14ac:dyDescent="0.25">
      <c r="A73" s="9" t="s">
        <v>10913</v>
      </c>
      <c r="B73" s="9" t="s">
        <v>10914</v>
      </c>
      <c r="C73" s="9" t="s">
        <v>12</v>
      </c>
      <c r="D73" s="9" t="s">
        <v>10909</v>
      </c>
      <c r="E73" s="9" t="s">
        <v>1457</v>
      </c>
      <c r="F73" s="9" t="s">
        <v>73</v>
      </c>
      <c r="G73" s="9"/>
      <c r="H73" s="9"/>
      <c r="I73" s="9" t="s">
        <v>10915</v>
      </c>
      <c r="J73" s="9"/>
      <c r="K73" s="9" t="s">
        <v>12191</v>
      </c>
      <c r="L73" s="9"/>
      <c r="M73" s="9" t="str">
        <f>HYPERLINK("https://ceds.ed.gov/cedselementdetails.aspx?termid=14880")</f>
        <v>https://ceds.ed.gov/cedselementdetails.aspx?termid=14880</v>
      </c>
      <c r="N73" s="9" t="str">
        <f>HYPERLINK("https://ceds.ed.gov/elementComment.aspx?elementName=Component or Fixture Serviced Date &amp;elementID=14880", "Click here to submit comment")</f>
        <v>Click here to submit comment</v>
      </c>
    </row>
    <row r="74" spans="1:14" ht="90" x14ac:dyDescent="0.25">
      <c r="A74" s="9" t="s">
        <v>10916</v>
      </c>
      <c r="B74" s="9" t="s">
        <v>9491</v>
      </c>
      <c r="C74" s="9" t="s">
        <v>12</v>
      </c>
      <c r="D74" s="9" t="s">
        <v>10909</v>
      </c>
      <c r="E74" s="9" t="s">
        <v>1457</v>
      </c>
      <c r="F74" s="9" t="s">
        <v>589</v>
      </c>
      <c r="G74" s="9"/>
      <c r="H74" s="9"/>
      <c r="I74" s="9" t="s">
        <v>10917</v>
      </c>
      <c r="J74" s="9"/>
      <c r="K74" s="9" t="s">
        <v>12192</v>
      </c>
      <c r="L74" s="9"/>
      <c r="M74" s="9" t="str">
        <f>HYPERLINK("https://ceds.ed.gov/cedselementdetails.aspx?termid=14882")</f>
        <v>https://ceds.ed.gov/cedselementdetails.aspx?termid=14882</v>
      </c>
      <c r="N74" s="9" t="str">
        <f>HYPERLINK("https://ceds.ed.gov/elementComment.aspx?elementName=Component or Fixture Useful Life &amp;elementID=14882", "Click here to submit comment")</f>
        <v>Click here to submit comment</v>
      </c>
    </row>
    <row r="75" spans="1:14" ht="345" x14ac:dyDescent="0.25">
      <c r="A75" s="9" t="s">
        <v>8041</v>
      </c>
      <c r="B75" s="9" t="s">
        <v>8042</v>
      </c>
      <c r="C75" s="10" t="s">
        <v>11849</v>
      </c>
      <c r="D75" s="9" t="s">
        <v>10567</v>
      </c>
      <c r="E75" s="9" t="s">
        <v>1457</v>
      </c>
      <c r="F75" s="9"/>
      <c r="G75" s="9"/>
      <c r="H75" s="9"/>
      <c r="I75" s="9" t="s">
        <v>11158</v>
      </c>
      <c r="J75" s="9"/>
      <c r="K75" s="9" t="s">
        <v>11159</v>
      </c>
      <c r="L75" s="9"/>
      <c r="M75" s="9" t="str">
        <f>HYPERLINK("https://ceds.ed.gov/cedselementdetails.aspx?termid=14852")</f>
        <v>https://ceds.ed.gov/cedselementdetails.aspx?termid=14852</v>
      </c>
      <c r="N75" s="9" t="str">
        <f>HYPERLINK("https://ceds.ed.gov/elementComment.aspx?elementName=Facilities Management Emergency Type &amp;elementID=14852", "Click here to submit comment")</f>
        <v>Click here to submit comment</v>
      </c>
    </row>
    <row r="76" spans="1:14" ht="60" x14ac:dyDescent="0.25">
      <c r="A76" s="9" t="s">
        <v>11160</v>
      </c>
      <c r="B76" s="9" t="s">
        <v>8466</v>
      </c>
      <c r="C76" s="10" t="s">
        <v>11850</v>
      </c>
      <c r="D76" s="9" t="s">
        <v>10567</v>
      </c>
      <c r="E76" s="9" t="s">
        <v>1457</v>
      </c>
      <c r="F76" s="9"/>
      <c r="G76" s="9"/>
      <c r="H76" s="9"/>
      <c r="I76" s="9" t="s">
        <v>11161</v>
      </c>
      <c r="J76" s="9"/>
      <c r="K76" s="9" t="s">
        <v>11162</v>
      </c>
      <c r="L76" s="9"/>
      <c r="M76" s="9" t="str">
        <f>HYPERLINK("https://ceds.ed.gov/cedselementdetails.aspx?termid=14866")</f>
        <v>https://ceds.ed.gov/cedselementdetails.aspx?termid=14866</v>
      </c>
      <c r="N76" s="9" t="str">
        <f>HYPERLINK("https://ceds.ed.gov/elementComment.aspx?elementName=Facilities Mandate Authority Type &amp;elementID=14866", "Click here to submit comment")</f>
        <v>Click here to submit comment</v>
      </c>
    </row>
    <row r="77" spans="1:14" ht="45" x14ac:dyDescent="0.25">
      <c r="A77" s="9" t="s">
        <v>11163</v>
      </c>
      <c r="B77" s="9" t="s">
        <v>8048</v>
      </c>
      <c r="C77" s="9" t="s">
        <v>12</v>
      </c>
      <c r="D77" s="9" t="s">
        <v>10567</v>
      </c>
      <c r="E77" s="9" t="s">
        <v>1457</v>
      </c>
      <c r="F77" s="9" t="s">
        <v>22</v>
      </c>
      <c r="G77" s="9"/>
      <c r="H77" s="9"/>
      <c r="I77" s="9" t="s">
        <v>11164</v>
      </c>
      <c r="J77" s="9"/>
      <c r="K77" s="9" t="s">
        <v>11165</v>
      </c>
      <c r="L77" s="9"/>
      <c r="M77" s="9" t="str">
        <f>HYPERLINK("https://ceds.ed.gov/cedselementdetails.aspx?termid=14863")</f>
        <v>https://ceds.ed.gov/cedselementdetails.aspx?termid=14863</v>
      </c>
      <c r="N77" s="9" t="str">
        <f>HYPERLINK("https://ceds.ed.gov/elementComment.aspx?elementName=Facilities Plan Description &amp;elementID=14863", "Click here to submit comment")</f>
        <v>Click here to submit comment</v>
      </c>
    </row>
    <row r="78" spans="1:14" ht="150" x14ac:dyDescent="0.25">
      <c r="A78" s="9" t="s">
        <v>8051</v>
      </c>
      <c r="B78" s="9" t="s">
        <v>8052</v>
      </c>
      <c r="C78" s="10" t="s">
        <v>11851</v>
      </c>
      <c r="D78" s="9" t="s">
        <v>10567</v>
      </c>
      <c r="E78" s="9" t="s">
        <v>1457</v>
      </c>
      <c r="F78" s="9"/>
      <c r="G78" s="9"/>
      <c r="H78" s="9"/>
      <c r="I78" s="9" t="s">
        <v>11166</v>
      </c>
      <c r="J78" s="9"/>
      <c r="K78" s="9" t="s">
        <v>11167</v>
      </c>
      <c r="L78" s="9"/>
      <c r="M78" s="9" t="str">
        <f>HYPERLINK("https://ceds.ed.gov/cedselementdetails.aspx?termid=14864")</f>
        <v>https://ceds.ed.gov/cedselementdetails.aspx?termid=14864</v>
      </c>
      <c r="N78" s="9" t="str">
        <f>HYPERLINK("https://ceds.ed.gov/elementComment.aspx?elementName=Facilities Plan Type &amp;elementID=14864", "Click here to submit comment")</f>
        <v>Click here to submit comment</v>
      </c>
    </row>
    <row r="79" spans="1:14" ht="45" x14ac:dyDescent="0.25">
      <c r="A79" s="9" t="s">
        <v>11168</v>
      </c>
      <c r="B79" s="9" t="s">
        <v>7199</v>
      </c>
      <c r="C79" s="9" t="s">
        <v>12</v>
      </c>
      <c r="D79" s="9" t="s">
        <v>10528</v>
      </c>
      <c r="E79" s="9" t="s">
        <v>1457</v>
      </c>
      <c r="F79" s="9" t="s">
        <v>73</v>
      </c>
      <c r="G79" s="9"/>
      <c r="H79" s="9"/>
      <c r="I79" s="9" t="s">
        <v>11169</v>
      </c>
      <c r="J79" s="9"/>
      <c r="K79" s="9" t="s">
        <v>11170</v>
      </c>
      <c r="L79" s="9"/>
      <c r="M79" s="9" t="str">
        <f>HYPERLINK("https://ceds.ed.gov/cedselementdetails.aspx?termid=14749")</f>
        <v>https://ceds.ed.gov/cedselementdetails.aspx?termid=14749</v>
      </c>
      <c r="N79" s="9" t="str">
        <f>HYPERLINK("https://ceds.ed.gov/elementComment.aspx?elementName=Facility Acquisition Date &amp;elementID=14749", "Click here to submit comment")</f>
        <v>Click here to submit comment</v>
      </c>
    </row>
    <row r="80" spans="1:14" ht="15" customHeight="1" x14ac:dyDescent="0.25">
      <c r="A80" s="9" t="s">
        <v>11171</v>
      </c>
      <c r="B80" s="9" t="s">
        <v>7219</v>
      </c>
      <c r="C80" s="9" t="s">
        <v>12</v>
      </c>
      <c r="D80" s="9" t="s">
        <v>10528</v>
      </c>
      <c r="E80" s="9" t="s">
        <v>1457</v>
      </c>
      <c r="F80" s="9" t="s">
        <v>1813</v>
      </c>
      <c r="G80" s="9"/>
      <c r="H80" s="9"/>
      <c r="I80" s="9" t="s">
        <v>11172</v>
      </c>
      <c r="J80" s="9"/>
      <c r="K80" s="9" t="s">
        <v>11173</v>
      </c>
      <c r="L80" s="9"/>
      <c r="M80" s="9" t="str">
        <f>HYPERLINK("https://ceds.ed.gov/cedselementdetails.aspx?termid=14750")</f>
        <v>https://ceds.ed.gov/cedselementdetails.aspx?termid=14750</v>
      </c>
      <c r="N80" s="9" t="str">
        <f>HYPERLINK("https://ceds.ed.gov/elementComment.aspx?elementName=Facility Addition Year &amp;elementID=14750", "Click here to submit comment")</f>
        <v>Click here to submit comment</v>
      </c>
    </row>
    <row r="81" spans="1:14" ht="15" customHeight="1" x14ac:dyDescent="0.25">
      <c r="A81" s="9" t="s">
        <v>11174</v>
      </c>
      <c r="B81" s="9" t="s">
        <v>8087</v>
      </c>
      <c r="C81" s="10" t="s">
        <v>11852</v>
      </c>
      <c r="D81" s="9" t="s">
        <v>10539</v>
      </c>
      <c r="E81" s="9" t="s">
        <v>1457</v>
      </c>
      <c r="F81" s="9"/>
      <c r="G81" s="9"/>
      <c r="H81" s="9"/>
      <c r="I81" s="9" t="s">
        <v>11175</v>
      </c>
      <c r="J81" s="9"/>
      <c r="K81" s="9" t="s">
        <v>11176</v>
      </c>
      <c r="L81" s="9"/>
      <c r="M81" s="9" t="str">
        <f>HYPERLINK("https://ceds.ed.gov/cedselementdetails.aspx?termid=14777")</f>
        <v>https://ceds.ed.gov/cedselementdetails.aspx?termid=14777</v>
      </c>
      <c r="N81" s="9" t="str">
        <f>HYPERLINK("https://ceds.ed.gov/elementComment.aspx?elementName=Facility Applicable Federal Mandate Type &amp;elementID=14777", "Click here to submit comment")</f>
        <v>Click here to submit comment</v>
      </c>
    </row>
    <row r="82" spans="1:14" ht="60" x14ac:dyDescent="0.25">
      <c r="A82" s="9" t="s">
        <v>11177</v>
      </c>
      <c r="B82" s="9" t="s">
        <v>11178</v>
      </c>
      <c r="C82" s="9" t="s">
        <v>12</v>
      </c>
      <c r="D82" s="9" t="s">
        <v>10567</v>
      </c>
      <c r="E82" s="9" t="s">
        <v>1457</v>
      </c>
      <c r="F82" s="9" t="s">
        <v>73</v>
      </c>
      <c r="G82" s="9"/>
      <c r="H82" s="9"/>
      <c r="I82" s="9" t="s">
        <v>11179</v>
      </c>
      <c r="J82" s="9"/>
      <c r="K82" s="9" t="s">
        <v>11180</v>
      </c>
      <c r="L82" s="9"/>
      <c r="M82" s="9" t="str">
        <f>HYPERLINK("https://ceds.ed.gov/cedselementdetails.aspx?termid=14862")</f>
        <v>https://ceds.ed.gov/cedselementdetails.aspx?termid=14862</v>
      </c>
      <c r="N82" s="9" t="str">
        <f>HYPERLINK("https://ceds.ed.gov/elementComment.aspx?elementName=Facility Audit Date &amp;elementID=14862", "Click here to submit comment")</f>
        <v>Click here to submit comment</v>
      </c>
    </row>
    <row r="83" spans="1:14" ht="150" x14ac:dyDescent="0.25">
      <c r="A83" s="9" t="s">
        <v>11181</v>
      </c>
      <c r="B83" s="9" t="s">
        <v>7377</v>
      </c>
      <c r="C83" s="10" t="s">
        <v>11853</v>
      </c>
      <c r="D83" s="9" t="s">
        <v>10567</v>
      </c>
      <c r="E83" s="9" t="s">
        <v>1457</v>
      </c>
      <c r="F83" s="9"/>
      <c r="G83" s="9"/>
      <c r="H83" s="9"/>
      <c r="I83" s="9" t="s">
        <v>11182</v>
      </c>
      <c r="J83" s="9"/>
      <c r="K83" s="9" t="s">
        <v>11183</v>
      </c>
      <c r="L83" s="9"/>
      <c r="M83" s="9" t="str">
        <f>HYPERLINK("https://ceds.ed.gov/cedselementdetails.aspx?termid=14845")</f>
        <v>https://ceds.ed.gov/cedselementdetails.aspx?termid=14845</v>
      </c>
      <c r="N83" s="9" t="str">
        <f>HYPERLINK("https://ceds.ed.gov/elementComment.aspx?elementName=Facility Audit Type &amp;elementID=14845", "Click here to submit comment")</f>
        <v>Click here to submit comment</v>
      </c>
    </row>
    <row r="84" spans="1:14" ht="60" x14ac:dyDescent="0.25">
      <c r="A84" s="9" t="s">
        <v>12193</v>
      </c>
      <c r="B84" s="9" t="s">
        <v>7430</v>
      </c>
      <c r="C84" s="9" t="s">
        <v>12</v>
      </c>
      <c r="D84" s="9" t="s">
        <v>10528</v>
      </c>
      <c r="E84" s="9" t="s">
        <v>1457</v>
      </c>
      <c r="F84" s="9" t="s">
        <v>92</v>
      </c>
      <c r="G84" s="9"/>
      <c r="H84" s="9"/>
      <c r="I84" s="9" t="s">
        <v>11184</v>
      </c>
      <c r="J84" s="9" t="s">
        <v>12194</v>
      </c>
      <c r="K84" s="9" t="s">
        <v>12195</v>
      </c>
      <c r="L84" s="9"/>
      <c r="M84" s="9" t="str">
        <f>HYPERLINK("https://ceds.ed.gov/cedselementdetails.aspx?termid=14755")</f>
        <v>https://ceds.ed.gov/cedselementdetails.aspx?termid=14755</v>
      </c>
      <c r="N84" s="9" t="str">
        <f>HYPERLINK("https://ceds.ed.gov/elementComment.aspx?elementName=Facility Block Number Area &amp;elementID=14755", "Click here to submit comment")</f>
        <v>Click here to submit comment</v>
      </c>
    </row>
    <row r="85" spans="1:14" ht="45" x14ac:dyDescent="0.25">
      <c r="A85" s="9" t="s">
        <v>11185</v>
      </c>
      <c r="B85" s="9" t="s">
        <v>7454</v>
      </c>
      <c r="C85" s="10" t="s">
        <v>11854</v>
      </c>
      <c r="D85" s="9" t="s">
        <v>10528</v>
      </c>
      <c r="E85" s="9" t="s">
        <v>1457</v>
      </c>
      <c r="F85" s="9"/>
      <c r="G85" s="9"/>
      <c r="H85" s="9"/>
      <c r="I85" s="9" t="s">
        <v>11186</v>
      </c>
      <c r="J85" s="9"/>
      <c r="K85" s="9" t="s">
        <v>11187</v>
      </c>
      <c r="L85" s="9"/>
      <c r="M85" s="9" t="str">
        <f>HYPERLINK("https://ceds.ed.gov/cedselementdetails.aspx?termid=14751")</f>
        <v>https://ceds.ed.gov/cedselementdetails.aspx?termid=14751</v>
      </c>
      <c r="N85" s="9" t="str">
        <f>HYPERLINK("https://ceds.ed.gov/elementComment.aspx?elementName=Facility Building Permanency &amp;elementID=14751", "Click here to submit comment")</f>
        <v>Click here to submit comment</v>
      </c>
    </row>
    <row r="86" spans="1:14" ht="90" x14ac:dyDescent="0.25">
      <c r="A86" s="9" t="s">
        <v>8053</v>
      </c>
      <c r="B86" s="9" t="s">
        <v>8054</v>
      </c>
      <c r="C86" s="10" t="s">
        <v>11855</v>
      </c>
      <c r="D86" s="9" t="s">
        <v>10567</v>
      </c>
      <c r="E86" s="9" t="s">
        <v>1457</v>
      </c>
      <c r="F86" s="9"/>
      <c r="G86" s="9"/>
      <c r="H86" s="9"/>
      <c r="I86" s="9" t="s">
        <v>11188</v>
      </c>
      <c r="J86" s="9"/>
      <c r="K86" s="9" t="s">
        <v>11189</v>
      </c>
      <c r="L86" s="9"/>
      <c r="M86" s="9" t="str">
        <f>HYPERLINK("https://ceds.ed.gov/cedselementdetails.aspx?termid=14853")</f>
        <v>https://ceds.ed.gov/cedselementdetails.aspx?termid=14853</v>
      </c>
      <c r="N86" s="9" t="str">
        <f>HYPERLINK("https://ceds.ed.gov/elementComment.aspx?elementName=Facility Capital Program Management Type &amp;elementID=14853", "Click here to submit comment")</f>
        <v>Click here to submit comment</v>
      </c>
    </row>
    <row r="87" spans="1:14" ht="45" x14ac:dyDescent="0.25">
      <c r="A87" s="9" t="s">
        <v>11190</v>
      </c>
      <c r="B87" s="9" t="s">
        <v>7555</v>
      </c>
      <c r="C87" s="9" t="s">
        <v>12</v>
      </c>
      <c r="D87" s="9" t="s">
        <v>10528</v>
      </c>
      <c r="E87" s="9" t="s">
        <v>1457</v>
      </c>
      <c r="F87" s="9" t="s">
        <v>11191</v>
      </c>
      <c r="G87" s="9"/>
      <c r="H87" s="9"/>
      <c r="I87" s="9" t="s">
        <v>11192</v>
      </c>
      <c r="J87" s="9"/>
      <c r="K87" s="9" t="s">
        <v>11193</v>
      </c>
      <c r="L87" s="9"/>
      <c r="M87" s="9" t="str">
        <f>HYPERLINK("https://ceds.ed.gov/cedselementdetails.aspx?termid=14760")</f>
        <v>https://ceds.ed.gov/cedselementdetails.aspx?termid=14760</v>
      </c>
      <c r="N87" s="9" t="str">
        <f>HYPERLINK("https://ceds.ed.gov/elementComment.aspx?elementName=Facility Census Tract &amp;elementID=14760", "Click here to submit comment")</f>
        <v>Click here to submit comment</v>
      </c>
    </row>
    <row r="88" spans="1:14" ht="135" x14ac:dyDescent="0.25">
      <c r="A88" s="9" t="s">
        <v>11194</v>
      </c>
      <c r="B88" s="9" t="s">
        <v>7605</v>
      </c>
      <c r="C88" s="10" t="s">
        <v>11856</v>
      </c>
      <c r="D88" s="9" t="s">
        <v>10567</v>
      </c>
      <c r="E88" s="9" t="s">
        <v>1457</v>
      </c>
      <c r="F88" s="9"/>
      <c r="G88" s="9"/>
      <c r="H88" s="9"/>
      <c r="I88" s="9" t="s">
        <v>11195</v>
      </c>
      <c r="J88" s="9"/>
      <c r="K88" s="9" t="s">
        <v>11196</v>
      </c>
      <c r="L88" s="9"/>
      <c r="M88" s="9" t="str">
        <f>HYPERLINK("https://ceds.ed.gov/cedselementdetails.aspx?termid=14848")</f>
        <v>https://ceds.ed.gov/cedselementdetails.aspx?termid=14848</v>
      </c>
      <c r="N88" s="9" t="str">
        <f>HYPERLINK("https://ceds.ed.gov/elementComment.aspx?elementName=Facility Compliance Agency Type &amp;elementID=14848", "Click here to submit comment")</f>
        <v>Click here to submit comment</v>
      </c>
    </row>
    <row r="89" spans="1:14" ht="60" x14ac:dyDescent="0.25">
      <c r="A89" s="9" t="s">
        <v>11197</v>
      </c>
      <c r="B89" s="9" t="s">
        <v>7606</v>
      </c>
      <c r="C89" s="9" t="s">
        <v>12</v>
      </c>
      <c r="D89" s="9" t="s">
        <v>10535</v>
      </c>
      <c r="E89" s="9" t="s">
        <v>1457</v>
      </c>
      <c r="F89" s="9" t="s">
        <v>73</v>
      </c>
      <c r="G89" s="9"/>
      <c r="H89" s="9"/>
      <c r="I89" s="9" t="s">
        <v>11198</v>
      </c>
      <c r="J89" s="9"/>
      <c r="K89" s="9" t="s">
        <v>11199</v>
      </c>
      <c r="L89" s="9"/>
      <c r="M89" s="9" t="str">
        <f>HYPERLINK("https://ceds.ed.gov/cedselementdetails.aspx?termid=14818")</f>
        <v>https://ceds.ed.gov/cedselementdetails.aspx?termid=14818</v>
      </c>
      <c r="N89" s="9" t="str">
        <f>HYPERLINK("https://ceds.ed.gov/elementComment.aspx?elementName=Facility Compliance Determination Date &amp;elementID=14818", "Click here to submit comment")</f>
        <v>Click here to submit comment</v>
      </c>
    </row>
    <row r="90" spans="1:14" ht="75" x14ac:dyDescent="0.25">
      <c r="A90" s="9" t="s">
        <v>11200</v>
      </c>
      <c r="B90" s="9" t="s">
        <v>7607</v>
      </c>
      <c r="C90" s="9" t="s">
        <v>12</v>
      </c>
      <c r="D90" s="9" t="s">
        <v>10535</v>
      </c>
      <c r="E90" s="9" t="s">
        <v>1457</v>
      </c>
      <c r="F90" s="9" t="s">
        <v>22</v>
      </c>
      <c r="G90" s="9"/>
      <c r="H90" s="9"/>
      <c r="I90" s="9" t="s">
        <v>11201</v>
      </c>
      <c r="J90" s="9"/>
      <c r="K90" s="9" t="s">
        <v>11202</v>
      </c>
      <c r="L90" s="9"/>
      <c r="M90" s="9" t="str">
        <f>HYPERLINK("https://ceds.ed.gov/cedselementdetails.aspx?termid=14819")</f>
        <v>https://ceds.ed.gov/cedselementdetails.aspx?termid=14819</v>
      </c>
      <c r="N90" s="9" t="str">
        <f>HYPERLINK("https://ceds.ed.gov/elementComment.aspx?elementName=Facility Compliance Name &amp;elementID=14819", "Click here to submit comment")</f>
        <v>Click here to submit comment</v>
      </c>
    </row>
    <row r="91" spans="1:14" ht="120" x14ac:dyDescent="0.25">
      <c r="A91" s="9" t="s">
        <v>11203</v>
      </c>
      <c r="B91" s="9" t="s">
        <v>7608</v>
      </c>
      <c r="C91" s="10" t="s">
        <v>11857</v>
      </c>
      <c r="D91" s="9" t="s">
        <v>10539</v>
      </c>
      <c r="E91" s="9" t="s">
        <v>1457</v>
      </c>
      <c r="F91" s="9"/>
      <c r="G91" s="9"/>
      <c r="H91" s="9"/>
      <c r="I91" s="9" t="s">
        <v>11204</v>
      </c>
      <c r="J91" s="9"/>
      <c r="K91" s="9" t="s">
        <v>11205</v>
      </c>
      <c r="L91" s="9"/>
      <c r="M91" s="9" t="str">
        <f>HYPERLINK("https://ceds.ed.gov/cedselementdetails.aspx?termid=14773")</f>
        <v>https://ceds.ed.gov/cedselementdetails.aspx?termid=14773</v>
      </c>
      <c r="N91" s="9" t="str">
        <f>HYPERLINK("https://ceds.ed.gov/elementComment.aspx?elementName=Facility Compliance Status &amp;elementID=14773", "Click here to submit comment")</f>
        <v>Click here to submit comment</v>
      </c>
    </row>
    <row r="92" spans="1:14" ht="60" x14ac:dyDescent="0.25">
      <c r="A92" s="9" t="s">
        <v>11206</v>
      </c>
      <c r="B92" s="9" t="s">
        <v>7609</v>
      </c>
      <c r="C92" s="9" t="s">
        <v>12</v>
      </c>
      <c r="D92" s="9" t="s">
        <v>10535</v>
      </c>
      <c r="E92" s="9" t="s">
        <v>1457</v>
      </c>
      <c r="F92" s="9" t="s">
        <v>22</v>
      </c>
      <c r="G92" s="9"/>
      <c r="H92" s="9"/>
      <c r="I92" s="9" t="s">
        <v>11207</v>
      </c>
      <c r="J92" s="9"/>
      <c r="K92" s="9" t="s">
        <v>11208</v>
      </c>
      <c r="L92" s="9"/>
      <c r="M92" s="9" t="str">
        <f>HYPERLINK("https://ceds.ed.gov/cedselementdetails.aspx?termid=14820")</f>
        <v>https://ceds.ed.gov/cedselementdetails.aspx?termid=14820</v>
      </c>
      <c r="N92" s="9" t="str">
        <f>HYPERLINK("https://ceds.ed.gov/elementComment.aspx?elementName=Facility Component Deficiency Description &amp;elementID=14820", "Click here to submit comment")</f>
        <v>Click here to submit comment</v>
      </c>
    </row>
    <row r="93" spans="1:14" ht="60" x14ac:dyDescent="0.25">
      <c r="A93" s="9" t="s">
        <v>11209</v>
      </c>
      <c r="B93" s="9" t="s">
        <v>7610</v>
      </c>
      <c r="C93" s="9" t="s">
        <v>12</v>
      </c>
      <c r="D93" s="9" t="s">
        <v>10535</v>
      </c>
      <c r="E93" s="9" t="s">
        <v>1457</v>
      </c>
      <c r="F93" s="9" t="s">
        <v>87</v>
      </c>
      <c r="G93" s="9"/>
      <c r="H93" s="9"/>
      <c r="I93" s="9" t="s">
        <v>11210</v>
      </c>
      <c r="J93" s="9"/>
      <c r="K93" s="9" t="s">
        <v>11211</v>
      </c>
      <c r="L93" s="9"/>
      <c r="M93" s="9" t="str">
        <f>HYPERLINK("https://ceds.ed.gov/cedselementdetails.aspx?termid=14821")</f>
        <v>https://ceds.ed.gov/cedselementdetails.aspx?termid=14821</v>
      </c>
      <c r="N93" s="9" t="str">
        <f>HYPERLINK("https://ceds.ed.gov/elementComment.aspx?elementName=Facility Component Identification Code &amp;elementID=14821", "Click here to submit comment")</f>
        <v>Click here to submit comment</v>
      </c>
    </row>
    <row r="94" spans="1:14" ht="45" x14ac:dyDescent="0.25">
      <c r="A94" s="9" t="s">
        <v>11212</v>
      </c>
      <c r="B94" s="9" t="s">
        <v>7628</v>
      </c>
      <c r="C94" s="9" t="s">
        <v>12</v>
      </c>
      <c r="D94" s="9" t="s">
        <v>10528</v>
      </c>
      <c r="E94" s="9" t="s">
        <v>1457</v>
      </c>
      <c r="F94" s="9" t="s">
        <v>73</v>
      </c>
      <c r="G94" s="9"/>
      <c r="H94" s="9"/>
      <c r="I94" s="9" t="s">
        <v>11213</v>
      </c>
      <c r="J94" s="9"/>
      <c r="K94" s="9" t="s">
        <v>11214</v>
      </c>
      <c r="L94" s="9"/>
      <c r="M94" s="9" t="str">
        <f>HYPERLINK("https://ceds.ed.gov/cedselementdetails.aspx?termid=14761")</f>
        <v>https://ceds.ed.gov/cedselementdetails.aspx?termid=14761</v>
      </c>
      <c r="N94" s="9" t="str">
        <f>HYPERLINK("https://ceds.ed.gov/elementComment.aspx?elementName=Facility Construction Date &amp;elementID=14761", "Click here to submit comment")</f>
        <v>Click here to submit comment</v>
      </c>
    </row>
    <row r="95" spans="1:14" ht="45" x14ac:dyDescent="0.25">
      <c r="A95" s="9" t="s">
        <v>11215</v>
      </c>
      <c r="B95" s="9" t="s">
        <v>7629</v>
      </c>
      <c r="C95" s="10" t="s">
        <v>11858</v>
      </c>
      <c r="D95" s="9" t="s">
        <v>10528</v>
      </c>
      <c r="E95" s="9" t="s">
        <v>1457</v>
      </c>
      <c r="F95" s="9"/>
      <c r="G95" s="9"/>
      <c r="H95" s="9"/>
      <c r="I95" s="9" t="s">
        <v>11216</v>
      </c>
      <c r="J95" s="9"/>
      <c r="K95" s="9" t="s">
        <v>11217</v>
      </c>
      <c r="L95" s="9"/>
      <c r="M95" s="9" t="str">
        <f>HYPERLINK("https://ceds.ed.gov/cedselementdetails.aspx?termid=14762")</f>
        <v>https://ceds.ed.gov/cedselementdetails.aspx?termid=14762</v>
      </c>
      <c r="N95" s="9" t="str">
        <f>HYPERLINK("https://ceds.ed.gov/elementComment.aspx?elementName=Facility Construction Date Type &amp;elementID=14762", "Click here to submit comment")</f>
        <v>Click here to submit comment</v>
      </c>
    </row>
    <row r="96" spans="1:14" ht="165" x14ac:dyDescent="0.25">
      <c r="A96" s="9" t="s">
        <v>11218</v>
      </c>
      <c r="B96" s="9" t="s">
        <v>7630</v>
      </c>
      <c r="C96" s="10" t="s">
        <v>11859</v>
      </c>
      <c r="D96" s="9" t="s">
        <v>10528</v>
      </c>
      <c r="E96" s="9" t="s">
        <v>1457</v>
      </c>
      <c r="F96" s="9"/>
      <c r="G96" s="9"/>
      <c r="H96" s="9"/>
      <c r="I96" s="9" t="s">
        <v>11219</v>
      </c>
      <c r="J96" s="9"/>
      <c r="K96" s="9" t="s">
        <v>11220</v>
      </c>
      <c r="L96" s="9"/>
      <c r="M96" s="9" t="str">
        <f>HYPERLINK("https://ceds.ed.gov/cedselementdetails.aspx?termid=14763")</f>
        <v>https://ceds.ed.gov/cedselementdetails.aspx?termid=14763</v>
      </c>
      <c r="N96" s="9" t="str">
        <f>HYPERLINK("https://ceds.ed.gov/elementComment.aspx?elementName=Facility Construction Material Type &amp;elementID=14763", "Click here to submit comment")</f>
        <v>Click here to submit comment</v>
      </c>
    </row>
    <row r="97" spans="1:14" ht="45" x14ac:dyDescent="0.25">
      <c r="A97" s="9" t="s">
        <v>11221</v>
      </c>
      <c r="B97" s="9" t="s">
        <v>7640</v>
      </c>
      <c r="C97" s="9" t="s">
        <v>12</v>
      </c>
      <c r="D97" s="9" t="s">
        <v>10528</v>
      </c>
      <c r="E97" s="9" t="s">
        <v>1457</v>
      </c>
      <c r="F97" s="9" t="s">
        <v>1813</v>
      </c>
      <c r="G97" s="9"/>
      <c r="H97" s="9"/>
      <c r="I97" s="9" t="s">
        <v>11222</v>
      </c>
      <c r="J97" s="9"/>
      <c r="K97" s="9" t="s">
        <v>11223</v>
      </c>
      <c r="L97" s="9"/>
      <c r="M97" s="9" t="str">
        <f>HYPERLINK("https://ceds.ed.gov/cedselementdetails.aspx?termid=14752")</f>
        <v>https://ceds.ed.gov/cedselementdetails.aspx?termid=14752</v>
      </c>
      <c r="N97" s="9" t="str">
        <f>HYPERLINK("https://ceds.ed.gov/elementComment.aspx?elementName=Facility Construction Year &amp;elementID=14752", "Click here to submit comment")</f>
        <v>Click here to submit comment</v>
      </c>
    </row>
    <row r="98" spans="1:14" ht="90" x14ac:dyDescent="0.25">
      <c r="A98" s="9" t="s">
        <v>11224</v>
      </c>
      <c r="B98" s="9" t="s">
        <v>11225</v>
      </c>
      <c r="C98" s="9" t="s">
        <v>12</v>
      </c>
      <c r="D98" s="9" t="s">
        <v>10522</v>
      </c>
      <c r="E98" s="9" t="s">
        <v>1457</v>
      </c>
      <c r="F98" s="9" t="s">
        <v>589</v>
      </c>
      <c r="G98" s="9"/>
      <c r="H98" s="9"/>
      <c r="I98" s="9" t="s">
        <v>11226</v>
      </c>
      <c r="J98" s="9"/>
      <c r="K98" s="9" t="s">
        <v>11227</v>
      </c>
      <c r="L98" s="9"/>
      <c r="M98" s="9" t="str">
        <f>HYPERLINK("https://ceds.ed.gov/cedselementdetails.aspx?termid=14885")</f>
        <v>https://ceds.ed.gov/cedselementdetails.aspx?termid=14885</v>
      </c>
      <c r="N98" s="9" t="str">
        <f>HYPERLINK("https://ceds.ed.gov/elementComment.aspx?elementName=Facility Enrollment Capacity &amp;elementID=14885", "Click here to submit comment")</f>
        <v>Click here to submit comment</v>
      </c>
    </row>
    <row r="99" spans="1:14" ht="45" x14ac:dyDescent="0.25">
      <c r="A99" s="9" t="s">
        <v>11228</v>
      </c>
      <c r="B99" s="9" t="s">
        <v>7995</v>
      </c>
      <c r="C99" s="9" t="s">
        <v>12</v>
      </c>
      <c r="D99" s="9" t="s">
        <v>10535</v>
      </c>
      <c r="E99" s="9" t="s">
        <v>1457</v>
      </c>
      <c r="F99" s="9" t="s">
        <v>1513</v>
      </c>
      <c r="G99" s="9"/>
      <c r="H99" s="9"/>
      <c r="I99" s="9" t="s">
        <v>11229</v>
      </c>
      <c r="J99" s="9"/>
      <c r="K99" s="9" t="s">
        <v>12196</v>
      </c>
      <c r="L99" s="9"/>
      <c r="M99" s="9" t="str">
        <f>HYPERLINK("https://ceds.ed.gov/cedselementdetails.aspx?termid=14822")</f>
        <v>https://ceds.ed.gov/cedselementdetails.aspx?termid=14822</v>
      </c>
      <c r="N99" s="9" t="str">
        <f>HYPERLINK("https://ceds.ed.gov/elementComment.aspx?elementName=Facility Estimated Cost to Eliminate Deferred Maintenance &amp;elementID=14822", "Click here to submit comment")</f>
        <v>Click here to submit comment</v>
      </c>
    </row>
    <row r="100" spans="1:14" ht="45" x14ac:dyDescent="0.25">
      <c r="A100" s="9" t="s">
        <v>11230</v>
      </c>
      <c r="B100" s="9" t="s">
        <v>8016</v>
      </c>
      <c r="C100" s="9" t="s">
        <v>12</v>
      </c>
      <c r="D100" s="9" t="s">
        <v>10528</v>
      </c>
      <c r="E100" s="9" t="s">
        <v>1457</v>
      </c>
      <c r="F100" s="9" t="s">
        <v>589</v>
      </c>
      <c r="G100" s="9"/>
      <c r="H100" s="9"/>
      <c r="I100" s="9" t="s">
        <v>11231</v>
      </c>
      <c r="J100" s="9"/>
      <c r="K100" s="9" t="s">
        <v>11232</v>
      </c>
      <c r="L100" s="9"/>
      <c r="M100" s="9" t="str">
        <f>HYPERLINK("https://ceds.ed.gov/cedselementdetails.aspx?termid=14764")</f>
        <v>https://ceds.ed.gov/cedselementdetails.aspx?termid=14764</v>
      </c>
      <c r="N100" s="9" t="str">
        <f>HYPERLINK("https://ceds.ed.gov/elementComment.aspx?elementName=Facility Expected Life &amp;elementID=14764", "Click here to submit comment")</f>
        <v>Click here to submit comment</v>
      </c>
    </row>
    <row r="101" spans="1:14" ht="255" x14ac:dyDescent="0.25">
      <c r="A101" s="9" t="s">
        <v>11233</v>
      </c>
      <c r="B101" s="9" t="s">
        <v>8088</v>
      </c>
      <c r="C101" s="10" t="s">
        <v>11860</v>
      </c>
      <c r="D101" s="9" t="s">
        <v>10539</v>
      </c>
      <c r="E101" s="9" t="s">
        <v>1457</v>
      </c>
      <c r="F101" s="9"/>
      <c r="G101" s="9"/>
      <c r="H101" s="9"/>
      <c r="I101" s="9" t="s">
        <v>11234</v>
      </c>
      <c r="J101" s="9"/>
      <c r="K101" s="9" t="s">
        <v>11235</v>
      </c>
      <c r="L101" s="9"/>
      <c r="M101" s="9" t="str">
        <f>HYPERLINK("https://ceds.ed.gov/cedselementdetails.aspx?termid=14778")</f>
        <v>https://ceds.ed.gov/cedselementdetails.aspx?termid=14778</v>
      </c>
      <c r="N101" s="9" t="str">
        <f>HYPERLINK("https://ceds.ed.gov/elementComment.aspx?elementName=Facility Federal Mandate Interest Type &amp;elementID=14778", "Click here to submit comment")</f>
        <v>Click here to submit comment</v>
      </c>
    </row>
    <row r="102" spans="1:14" ht="60" x14ac:dyDescent="0.25">
      <c r="A102" s="9" t="s">
        <v>11236</v>
      </c>
      <c r="B102" s="9" t="s">
        <v>8117</v>
      </c>
      <c r="C102" s="10" t="s">
        <v>11861</v>
      </c>
      <c r="D102" s="9" t="s">
        <v>11237</v>
      </c>
      <c r="E102" s="9" t="s">
        <v>1457</v>
      </c>
      <c r="F102" s="9"/>
      <c r="G102" s="9"/>
      <c r="H102" s="9"/>
      <c r="I102" s="9" t="s">
        <v>11238</v>
      </c>
      <c r="J102" s="9"/>
      <c r="K102" s="9" t="s">
        <v>11239</v>
      </c>
      <c r="L102" s="9"/>
      <c r="M102" s="9" t="str">
        <f>HYPERLINK("https://ceds.ed.gov/cedselementdetails.aspx?termid=14867")</f>
        <v>https://ceds.ed.gov/cedselementdetails.aspx?termid=14867</v>
      </c>
      <c r="N102" s="9" t="str">
        <f>HYPERLINK("https://ceds.ed.gov/elementComment.aspx?elementName=Facility Financing Fee Type &amp;elementID=14867", "Click here to submit comment")</f>
        <v>Click here to submit comment</v>
      </c>
    </row>
    <row r="103" spans="1:14" ht="105" x14ac:dyDescent="0.25">
      <c r="A103" s="9" t="s">
        <v>8055</v>
      </c>
      <c r="B103" s="9" t="s">
        <v>8056</v>
      </c>
      <c r="C103" s="10" t="s">
        <v>11862</v>
      </c>
      <c r="D103" s="9" t="s">
        <v>10535</v>
      </c>
      <c r="E103" s="9" t="s">
        <v>1457</v>
      </c>
      <c r="F103" s="9"/>
      <c r="G103" s="9"/>
      <c r="H103" s="9"/>
      <c r="I103" s="9" t="s">
        <v>11240</v>
      </c>
      <c r="J103" s="9"/>
      <c r="K103" s="9" t="s">
        <v>11241</v>
      </c>
      <c r="L103" s="9"/>
      <c r="M103" s="9" t="str">
        <f>HYPERLINK("https://ceds.ed.gov/cedselementdetails.aspx?termid=14801")</f>
        <v>https://ceds.ed.gov/cedselementdetails.aspx?termid=14801</v>
      </c>
      <c r="N103" s="9" t="str">
        <f>HYPERLINK("https://ceds.ed.gov/elementComment.aspx?elementName=Facility Furnishings Type &amp;elementID=14801", "Click here to submit comment")</f>
        <v>Click here to submit comment</v>
      </c>
    </row>
    <row r="104" spans="1:14" ht="45" x14ac:dyDescent="0.25">
      <c r="A104" s="9" t="s">
        <v>11242</v>
      </c>
      <c r="B104" s="9" t="s">
        <v>8017</v>
      </c>
      <c r="C104" s="9" t="s">
        <v>12</v>
      </c>
      <c r="D104" s="9" t="s">
        <v>10535</v>
      </c>
      <c r="E104" s="9" t="s">
        <v>1457</v>
      </c>
      <c r="F104" s="9" t="s">
        <v>73</v>
      </c>
      <c r="G104" s="9"/>
      <c r="H104" s="9"/>
      <c r="I104" s="9" t="s">
        <v>11243</v>
      </c>
      <c r="J104" s="9"/>
      <c r="K104" s="9" t="s">
        <v>11244</v>
      </c>
      <c r="L104" s="9"/>
      <c r="M104" s="9" t="str">
        <f>HYPERLINK("https://ceds.ed.gov/cedselementdetails.aspx?termid=14823")</f>
        <v>https://ceds.ed.gov/cedselementdetails.aspx?termid=14823</v>
      </c>
      <c r="N104" s="9" t="str">
        <f>HYPERLINK("https://ceds.ed.gov/elementComment.aspx?elementName=Facility Hazardous Condition Expected Remediation Date &amp;elementID=14823", "Click here to submit comment")</f>
        <v>Click here to submit comment</v>
      </c>
    </row>
    <row r="105" spans="1:14" ht="409.5" x14ac:dyDescent="0.25">
      <c r="A105" s="9" t="s">
        <v>11245</v>
      </c>
      <c r="B105" s="9" t="s">
        <v>8214</v>
      </c>
      <c r="C105" s="10" t="s">
        <v>11863</v>
      </c>
      <c r="D105" s="9" t="s">
        <v>10567</v>
      </c>
      <c r="E105" s="9" t="s">
        <v>1457</v>
      </c>
      <c r="F105" s="9"/>
      <c r="G105" s="9"/>
      <c r="H105" s="9"/>
      <c r="I105" s="9" t="s">
        <v>11246</v>
      </c>
      <c r="J105" s="9"/>
      <c r="K105" s="9" t="s">
        <v>12197</v>
      </c>
      <c r="L105" s="9"/>
      <c r="M105" s="9" t="str">
        <f>HYPERLINK("https://ceds.ed.gov/cedselementdetails.aspx?termid=14855")</f>
        <v>https://ceds.ed.gov/cedselementdetails.aspx?termid=14855</v>
      </c>
      <c r="N105" s="9" t="str">
        <f>HYPERLINK("https://ceds.ed.gov/elementComment.aspx?elementName=Facility Hazardous Materials or Condition Type &amp;elementID=14855", "Click here to submit comment")</f>
        <v>Click here to submit comment</v>
      </c>
    </row>
    <row r="106" spans="1:14" ht="45" x14ac:dyDescent="0.25">
      <c r="A106" s="9" t="s">
        <v>11247</v>
      </c>
      <c r="B106" s="9" t="s">
        <v>8306</v>
      </c>
      <c r="C106" s="9" t="s">
        <v>12</v>
      </c>
      <c r="D106" s="9" t="s">
        <v>10535</v>
      </c>
      <c r="E106" s="9" t="s">
        <v>1457</v>
      </c>
      <c r="F106" s="9" t="s">
        <v>1310</v>
      </c>
      <c r="G106" s="9"/>
      <c r="H106" s="9"/>
      <c r="I106" s="9" t="s">
        <v>11248</v>
      </c>
      <c r="J106" s="9"/>
      <c r="K106" s="9" t="s">
        <v>11249</v>
      </c>
      <c r="L106" s="9"/>
      <c r="M106" s="9" t="str">
        <f>HYPERLINK("https://ceds.ed.gov/cedselementdetails.aspx?termid=14827")</f>
        <v>https://ceds.ed.gov/cedselementdetails.aspx?termid=14827</v>
      </c>
      <c r="N106" s="9" t="str">
        <f>HYPERLINK("https://ceds.ed.gov/elementComment.aspx?elementName=Facility Inspection Score Result Description &amp;elementID=14827", "Click here to submit comment")</f>
        <v>Click here to submit comment</v>
      </c>
    </row>
    <row r="107" spans="1:14" ht="45" x14ac:dyDescent="0.25">
      <c r="A107" s="9" t="s">
        <v>11250</v>
      </c>
      <c r="B107" s="9" t="s">
        <v>8307</v>
      </c>
      <c r="C107" s="9" t="s">
        <v>12</v>
      </c>
      <c r="D107" s="9" t="s">
        <v>10535</v>
      </c>
      <c r="E107" s="9" t="s">
        <v>1457</v>
      </c>
      <c r="F107" s="9" t="s">
        <v>22</v>
      </c>
      <c r="G107" s="9"/>
      <c r="H107" s="9"/>
      <c r="I107" s="9" t="s">
        <v>11251</v>
      </c>
      <c r="J107" s="9"/>
      <c r="K107" s="9" t="s">
        <v>11252</v>
      </c>
      <c r="L107" s="9"/>
      <c r="M107" s="9" t="str">
        <f>HYPERLINK("https://ceds.ed.gov/cedselementdetails.aspx?termid=14828")</f>
        <v>https://ceds.ed.gov/cedselementdetails.aspx?termid=14828</v>
      </c>
      <c r="N107" s="9" t="str">
        <f>HYPERLINK("https://ceds.ed.gov/elementComment.aspx?elementName=Facility Inspection Violation Description &amp;elementID=14828", "Click here to submit comment")</f>
        <v>Click here to submit comment</v>
      </c>
    </row>
    <row r="108" spans="1:14" ht="90" x14ac:dyDescent="0.25">
      <c r="A108" s="9" t="s">
        <v>11253</v>
      </c>
      <c r="B108" s="9" t="s">
        <v>8361</v>
      </c>
      <c r="C108" s="10" t="s">
        <v>11864</v>
      </c>
      <c r="D108" s="9" t="s">
        <v>10567</v>
      </c>
      <c r="E108" s="9" t="s">
        <v>1457</v>
      </c>
      <c r="F108" s="9"/>
      <c r="G108" s="9"/>
      <c r="H108" s="9"/>
      <c r="I108" s="9" t="s">
        <v>11254</v>
      </c>
      <c r="J108" s="9"/>
      <c r="K108" s="9" t="s">
        <v>11255</v>
      </c>
      <c r="L108" s="9"/>
      <c r="M108" s="9" t="str">
        <f>HYPERLINK("https://ceds.ed.gov/cedselementdetails.aspx?termid=14856")</f>
        <v>https://ceds.ed.gov/cedselementdetails.aspx?termid=14856</v>
      </c>
      <c r="N108" s="9" t="str">
        <f>HYPERLINK("https://ceds.ed.gov/elementComment.aspx?elementName=Facility Joint Development Type &amp;elementID=14856", "Click here to submit comment")</f>
        <v>Click here to submit comment</v>
      </c>
    </row>
    <row r="109" spans="1:14" ht="45" x14ac:dyDescent="0.25">
      <c r="A109" s="9" t="s">
        <v>11256</v>
      </c>
      <c r="B109" s="9" t="s">
        <v>8390</v>
      </c>
      <c r="C109" s="9" t="s">
        <v>12</v>
      </c>
      <c r="D109" s="9" t="s">
        <v>11237</v>
      </c>
      <c r="E109" s="9" t="s">
        <v>1457</v>
      </c>
      <c r="F109" s="9" t="s">
        <v>1513</v>
      </c>
      <c r="G109" s="9"/>
      <c r="H109" s="9"/>
      <c r="I109" s="9" t="s">
        <v>11257</v>
      </c>
      <c r="J109" s="9"/>
      <c r="K109" s="9" t="s">
        <v>11258</v>
      </c>
      <c r="L109" s="9"/>
      <c r="M109" s="9" t="str">
        <f>HYPERLINK("https://ceds.ed.gov/cedselementdetails.aspx?termid=14868")</f>
        <v>https://ceds.ed.gov/cedselementdetails.aspx?termid=14868</v>
      </c>
      <c r="N109" s="9" t="str">
        <f>HYPERLINK("https://ceds.ed.gov/elementComment.aspx?elementName=Facility Lease Amount &amp;elementID=14868", "Click here to submit comment")</f>
        <v>Click here to submit comment</v>
      </c>
    </row>
    <row r="110" spans="1:14" ht="60" x14ac:dyDescent="0.25">
      <c r="A110" s="9" t="s">
        <v>11259</v>
      </c>
      <c r="B110" s="9" t="s">
        <v>11260</v>
      </c>
      <c r="C110" s="10" t="s">
        <v>11865</v>
      </c>
      <c r="D110" s="9" t="s">
        <v>11237</v>
      </c>
      <c r="E110" s="9" t="s">
        <v>1457</v>
      </c>
      <c r="F110" s="9"/>
      <c r="G110" s="9"/>
      <c r="H110" s="9"/>
      <c r="I110" s="9" t="s">
        <v>11261</v>
      </c>
      <c r="J110" s="9"/>
      <c r="K110" s="9" t="s">
        <v>11262</v>
      </c>
      <c r="L110" s="9"/>
      <c r="M110" s="9" t="str">
        <f>HYPERLINK("https://ceds.ed.gov/cedselementdetails.aspx?termid=14869")</f>
        <v>https://ceds.ed.gov/cedselementdetails.aspx?termid=14869</v>
      </c>
      <c r="N110" s="9" t="str">
        <f>HYPERLINK("https://ceds.ed.gov/elementComment.aspx?elementName=Facility Lease Amount Category &amp;elementID=14869", "Click here to submit comment")</f>
        <v>Click here to submit comment</v>
      </c>
    </row>
    <row r="111" spans="1:14" ht="105" x14ac:dyDescent="0.25">
      <c r="A111" s="9" t="s">
        <v>11263</v>
      </c>
      <c r="B111" s="9" t="s">
        <v>8394</v>
      </c>
      <c r="C111" s="10" t="s">
        <v>11866</v>
      </c>
      <c r="D111" s="9" t="s">
        <v>11237</v>
      </c>
      <c r="E111" s="9" t="s">
        <v>1457</v>
      </c>
      <c r="F111" s="9"/>
      <c r="G111" s="9"/>
      <c r="H111" s="9"/>
      <c r="I111" s="9" t="s">
        <v>11264</v>
      </c>
      <c r="J111" s="9"/>
      <c r="K111" s="9" t="s">
        <v>11265</v>
      </c>
      <c r="L111" s="9"/>
      <c r="M111" s="9" t="str">
        <f>HYPERLINK("https://ceds.ed.gov/cedselementdetails.aspx?termid=14870")</f>
        <v>https://ceds.ed.gov/cedselementdetails.aspx?termid=14870</v>
      </c>
      <c r="N111" s="9" t="str">
        <f>HYPERLINK("https://ceds.ed.gov/elementComment.aspx?elementName=Facility Lease Type &amp;elementID=14870", "Click here to submit comment")</f>
        <v>Click here to submit comment</v>
      </c>
    </row>
    <row r="112" spans="1:14" ht="45" x14ac:dyDescent="0.25">
      <c r="A112" s="9" t="s">
        <v>11266</v>
      </c>
      <c r="B112" s="9" t="s">
        <v>8460</v>
      </c>
      <c r="C112" s="9" t="s">
        <v>12</v>
      </c>
      <c r="D112" s="9" t="s">
        <v>10539</v>
      </c>
      <c r="E112" s="9" t="s">
        <v>1457</v>
      </c>
      <c r="F112" s="9" t="s">
        <v>92</v>
      </c>
      <c r="G112" s="9"/>
      <c r="H112" s="9"/>
      <c r="I112" s="9" t="s">
        <v>11267</v>
      </c>
      <c r="J112" s="9"/>
      <c r="K112" s="9" t="s">
        <v>12198</v>
      </c>
      <c r="L112" s="9"/>
      <c r="M112" s="9" t="str">
        <f>HYPERLINK("https://ceds.ed.gov/cedselementdetails.aspx?termid=14789")</f>
        <v>https://ceds.ed.gov/cedselementdetails.aspx?termid=14789</v>
      </c>
      <c r="N112" s="9" t="str">
        <f>HYPERLINK("https://ceds.ed.gov/elementComment.aspx?elementName=Facility Location of Hazardous Materials &amp;elementID=14789", "Click here to submit comment")</f>
        <v>Click here to submit comment</v>
      </c>
    </row>
    <row r="113" spans="1:14" ht="90" x14ac:dyDescent="0.25">
      <c r="A113" s="9" t="s">
        <v>11268</v>
      </c>
      <c r="B113" s="9" t="s">
        <v>8461</v>
      </c>
      <c r="C113" s="10" t="s">
        <v>11867</v>
      </c>
      <c r="D113" s="9" t="s">
        <v>10567</v>
      </c>
      <c r="E113" s="9" t="s">
        <v>1457</v>
      </c>
      <c r="F113" s="9"/>
      <c r="G113" s="9"/>
      <c r="H113" s="9"/>
      <c r="I113" s="9" t="s">
        <v>11269</v>
      </c>
      <c r="J113" s="9"/>
      <c r="K113" s="9" t="s">
        <v>11270</v>
      </c>
      <c r="L113" s="9"/>
      <c r="M113" s="9" t="str">
        <f>HYPERLINK("https://ceds.ed.gov/cedselementdetails.aspx?termid=14857")</f>
        <v>https://ceds.ed.gov/cedselementdetails.aspx?termid=14857</v>
      </c>
      <c r="N113" s="9" t="str">
        <f>HYPERLINK("https://ceds.ed.gov/elementComment.aspx?elementName=Facility Maintenance Standard Type &amp;elementID=14857", "Click here to submit comment")</f>
        <v>Click here to submit comment</v>
      </c>
    </row>
    <row r="114" spans="1:14" ht="60" x14ac:dyDescent="0.25">
      <c r="A114" s="9" t="s">
        <v>11271</v>
      </c>
      <c r="B114" s="9" t="s">
        <v>8595</v>
      </c>
      <c r="C114" s="9" t="s">
        <v>12</v>
      </c>
      <c r="D114" s="9" t="s">
        <v>11237</v>
      </c>
      <c r="E114" s="9" t="s">
        <v>1457</v>
      </c>
      <c r="F114" s="9" t="s">
        <v>1513</v>
      </c>
      <c r="G114" s="9"/>
      <c r="H114" s="9"/>
      <c r="I114" s="9" t="s">
        <v>11272</v>
      </c>
      <c r="J114" s="9"/>
      <c r="K114" s="9" t="s">
        <v>11273</v>
      </c>
      <c r="L114" s="9"/>
      <c r="M114" s="9" t="str">
        <f>HYPERLINK("https://ceds.ed.gov/cedselementdetails.aspx?termid=14871")</f>
        <v>https://ceds.ed.gov/cedselementdetails.aspx?termid=14871</v>
      </c>
      <c r="N114" s="9" t="str">
        <f>HYPERLINK("https://ceds.ed.gov/elementComment.aspx?elementName=Facility Mortgage Interest Amount &amp;elementID=14871", "Click here to submit comment")</f>
        <v>Click here to submit comment</v>
      </c>
    </row>
    <row r="115" spans="1:14" ht="210" x14ac:dyDescent="0.25">
      <c r="A115" s="9" t="s">
        <v>11274</v>
      </c>
      <c r="B115" s="9" t="s">
        <v>8596</v>
      </c>
      <c r="C115" s="10" t="s">
        <v>11868</v>
      </c>
      <c r="D115" s="9" t="s">
        <v>11237</v>
      </c>
      <c r="E115" s="9" t="s">
        <v>1457</v>
      </c>
      <c r="F115" s="9"/>
      <c r="G115" s="9"/>
      <c r="H115" s="9"/>
      <c r="I115" s="9" t="s">
        <v>11275</v>
      </c>
      <c r="J115" s="9"/>
      <c r="K115" s="9" t="s">
        <v>11276</v>
      </c>
      <c r="L115" s="9"/>
      <c r="M115" s="9" t="str">
        <f>HYPERLINK("https://ceds.ed.gov/cedselementdetails.aspx?termid=14872")</f>
        <v>https://ceds.ed.gov/cedselementdetails.aspx?termid=14872</v>
      </c>
      <c r="N115" s="9" t="str">
        <f>HYPERLINK("https://ceds.ed.gov/elementComment.aspx?elementName=Facility Mortgage Interest Type &amp;elementID=14872", "Click here to submit comment")</f>
        <v>Click here to submit comment</v>
      </c>
    </row>
    <row r="116" spans="1:14" ht="60" x14ac:dyDescent="0.25">
      <c r="A116" s="9" t="s">
        <v>11277</v>
      </c>
      <c r="B116" s="9" t="s">
        <v>8597</v>
      </c>
      <c r="C116" s="10" t="s">
        <v>11869</v>
      </c>
      <c r="D116" s="9" t="s">
        <v>11237</v>
      </c>
      <c r="E116" s="9" t="s">
        <v>1457</v>
      </c>
      <c r="F116" s="9"/>
      <c r="G116" s="9"/>
      <c r="H116" s="9"/>
      <c r="I116" s="9" t="s">
        <v>11278</v>
      </c>
      <c r="J116" s="9"/>
      <c r="K116" s="9" t="s">
        <v>11279</v>
      </c>
      <c r="L116" s="9"/>
      <c r="M116" s="9" t="str">
        <f>HYPERLINK("https://ceds.ed.gov/cedselementdetails.aspx?termid=14873")</f>
        <v>https://ceds.ed.gov/cedselementdetails.aspx?termid=14873</v>
      </c>
      <c r="N116" s="9" t="str">
        <f>HYPERLINK("https://ceds.ed.gov/elementComment.aspx?elementName=Facility Mortgage Type &amp;elementID=14873", "Click here to submit comment")</f>
        <v>Click here to submit comment</v>
      </c>
    </row>
    <row r="117" spans="1:14" ht="120" x14ac:dyDescent="0.25">
      <c r="A117" s="9" t="s">
        <v>11280</v>
      </c>
      <c r="B117" s="9" t="s">
        <v>8610</v>
      </c>
      <c r="C117" s="10" t="s">
        <v>11870</v>
      </c>
      <c r="D117" s="9" t="s">
        <v>10567</v>
      </c>
      <c r="E117" s="9" t="s">
        <v>1457</v>
      </c>
      <c r="F117" s="9"/>
      <c r="G117" s="9"/>
      <c r="H117" s="9"/>
      <c r="I117" s="9" t="s">
        <v>11281</v>
      </c>
      <c r="J117" s="9"/>
      <c r="K117" s="9" t="s">
        <v>11282</v>
      </c>
      <c r="L117" s="9"/>
      <c r="M117" s="9" t="str">
        <f>HYPERLINK("https://ceds.ed.gov/cedselementdetails.aspx?termid=14858")</f>
        <v>https://ceds.ed.gov/cedselementdetails.aspx?termid=14858</v>
      </c>
      <c r="N117" s="9" t="str">
        <f>HYPERLINK("https://ceds.ed.gov/elementComment.aspx?elementName=Facility Naturally Occurring Hazard Type &amp;elementID=14858", "Click here to submit comment")</f>
        <v>Click here to submit comment</v>
      </c>
    </row>
    <row r="118" spans="1:14" ht="90" x14ac:dyDescent="0.25">
      <c r="A118" s="9" t="s">
        <v>11283</v>
      </c>
      <c r="B118" s="9" t="s">
        <v>11284</v>
      </c>
      <c r="C118" s="9" t="s">
        <v>12</v>
      </c>
      <c r="D118" s="9" t="s">
        <v>10539</v>
      </c>
      <c r="E118" s="9" t="s">
        <v>1457</v>
      </c>
      <c r="F118" s="9" t="s">
        <v>303</v>
      </c>
      <c r="G118" s="9"/>
      <c r="H118" s="9"/>
      <c r="I118" s="9" t="s">
        <v>11285</v>
      </c>
      <c r="J118" s="9"/>
      <c r="K118" s="9" t="s">
        <v>11286</v>
      </c>
      <c r="L118" s="9"/>
      <c r="M118" s="9" t="str">
        <f>HYPERLINK("https://ceds.ed.gov/cedselementdetails.aspx?termid=14791")</f>
        <v>https://ceds.ed.gov/cedselementdetails.aspx?termid=14791</v>
      </c>
      <c r="N118" s="9" t="str">
        <f>HYPERLINK("https://ceds.ed.gov/elementComment.aspx?elementName=Facility Nearby Environmental Hazard Description &amp;elementID=14791", "Click here to submit comment")</f>
        <v>Click here to submit comment</v>
      </c>
    </row>
    <row r="119" spans="1:14" ht="120" x14ac:dyDescent="0.25">
      <c r="A119" s="9" t="s">
        <v>8057</v>
      </c>
      <c r="B119" s="9" t="s">
        <v>8058</v>
      </c>
      <c r="C119" s="10" t="s">
        <v>11871</v>
      </c>
      <c r="D119" s="9" t="s">
        <v>10567</v>
      </c>
      <c r="E119" s="9" t="s">
        <v>1457</v>
      </c>
      <c r="F119" s="9"/>
      <c r="G119" s="9"/>
      <c r="H119" s="9"/>
      <c r="I119" s="9" t="s">
        <v>11287</v>
      </c>
      <c r="J119" s="9"/>
      <c r="K119" s="9" t="s">
        <v>11288</v>
      </c>
      <c r="L119" s="9"/>
      <c r="M119" s="9" t="str">
        <f>HYPERLINK("https://ceds.ed.gov/cedselementdetails.aspx?termid=14854")</f>
        <v>https://ceds.ed.gov/cedselementdetails.aspx?termid=14854</v>
      </c>
      <c r="N119" s="9" t="str">
        <f>HYPERLINK("https://ceds.ed.gov/elementComment.aspx?elementName=Facility Operations Management Type &amp;elementID=14854", "Click here to submit comment")</f>
        <v>Click here to submit comment</v>
      </c>
    </row>
    <row r="120" spans="1:14" ht="45" x14ac:dyDescent="0.25">
      <c r="A120" s="9" t="s">
        <v>11289</v>
      </c>
      <c r="B120" s="9" t="s">
        <v>11290</v>
      </c>
      <c r="C120" s="9" t="s">
        <v>6106</v>
      </c>
      <c r="D120" s="9" t="s">
        <v>10528</v>
      </c>
      <c r="E120" s="9" t="s">
        <v>1457</v>
      </c>
      <c r="F120" s="9"/>
      <c r="G120" s="9"/>
      <c r="H120" s="9"/>
      <c r="I120" s="9" t="s">
        <v>11291</v>
      </c>
      <c r="J120" s="9"/>
      <c r="K120" s="9" t="s">
        <v>11292</v>
      </c>
      <c r="L120" s="9"/>
      <c r="M120" s="9" t="str">
        <f>HYPERLINK("https://ceds.ed.gov/cedselementdetails.aspx?termid=14887")</f>
        <v>https://ceds.ed.gov/cedselementdetails.aspx?termid=14887</v>
      </c>
      <c r="N120" s="9" t="str">
        <f>HYPERLINK("https://ceds.ed.gov/elementComment.aspx?elementName=Facility Ownership Indicator &amp;elementID=14887", "Click here to submit comment")</f>
        <v>Click here to submit comment</v>
      </c>
    </row>
    <row r="121" spans="1:14" ht="15" customHeight="1" x14ac:dyDescent="0.25">
      <c r="A121" s="9" t="s">
        <v>8059</v>
      </c>
      <c r="B121" s="9" t="s">
        <v>8060</v>
      </c>
      <c r="C121" s="9" t="s">
        <v>12</v>
      </c>
      <c r="D121" s="9" t="s">
        <v>10528</v>
      </c>
      <c r="E121" s="9" t="s">
        <v>1457</v>
      </c>
      <c r="F121" s="9" t="s">
        <v>1513</v>
      </c>
      <c r="G121" s="9"/>
      <c r="H121" s="9"/>
      <c r="I121" s="9" t="s">
        <v>11293</v>
      </c>
      <c r="J121" s="9"/>
      <c r="K121" s="9" t="s">
        <v>11294</v>
      </c>
      <c r="L121" s="9"/>
      <c r="M121" s="9" t="str">
        <f>HYPERLINK("https://ceds.ed.gov/cedselementdetails.aspx?termid=14765")</f>
        <v>https://ceds.ed.gov/cedselementdetails.aspx?termid=14765</v>
      </c>
      <c r="N121" s="9" t="str">
        <f>HYPERLINK("https://ceds.ed.gov/elementComment.aspx?elementName=Facility Replacement Value &amp;elementID=14765", "Click here to submit comment")</f>
        <v>Click here to submit comment</v>
      </c>
    </row>
    <row r="122" spans="1:14" ht="409.6" customHeight="1" x14ac:dyDescent="0.25">
      <c r="A122" s="9" t="s">
        <v>11295</v>
      </c>
      <c r="B122" s="9" t="s">
        <v>9221</v>
      </c>
      <c r="C122" s="9" t="s">
        <v>12</v>
      </c>
      <c r="D122" s="9" t="s">
        <v>10528</v>
      </c>
      <c r="E122" s="9" t="s">
        <v>1457</v>
      </c>
      <c r="F122" s="9" t="s">
        <v>4991</v>
      </c>
      <c r="G122" s="9"/>
      <c r="H122" s="9"/>
      <c r="I122" s="9" t="s">
        <v>11296</v>
      </c>
      <c r="J122" s="9"/>
      <c r="K122" s="9" t="s">
        <v>11297</v>
      </c>
      <c r="L122" s="9"/>
      <c r="M122" s="9" t="str">
        <f>HYPERLINK("https://ceds.ed.gov/cedselementdetails.aspx?termid=14754")</f>
        <v>https://ceds.ed.gov/cedselementdetails.aspx?termid=14754</v>
      </c>
      <c r="N122" s="9" t="str">
        <f>HYPERLINK("https://ceds.ed.gov/elementComment.aspx?elementName=Facility Site Area &amp;elementID=14754", "Click here to submit comment")</f>
        <v>Click here to submit comment</v>
      </c>
    </row>
    <row r="123" spans="1:14" ht="45" x14ac:dyDescent="0.25">
      <c r="A123" s="9" t="s">
        <v>11298</v>
      </c>
      <c r="B123" s="9" t="s">
        <v>9226</v>
      </c>
      <c r="C123" s="9" t="s">
        <v>12</v>
      </c>
      <c r="D123" s="9" t="s">
        <v>10528</v>
      </c>
      <c r="E123" s="9" t="s">
        <v>1457</v>
      </c>
      <c r="F123" s="9" t="s">
        <v>1165</v>
      </c>
      <c r="G123" s="9"/>
      <c r="H123" s="9"/>
      <c r="I123" s="9" t="s">
        <v>11299</v>
      </c>
      <c r="J123" s="9"/>
      <c r="K123" s="9" t="s">
        <v>11300</v>
      </c>
      <c r="L123" s="9"/>
      <c r="M123" s="9" t="str">
        <f>HYPERLINK("https://ceds.ed.gov/cedselementdetails.aspx?termid=14767")</f>
        <v>https://ceds.ed.gov/cedselementdetails.aspx?termid=14767</v>
      </c>
      <c r="N123" s="9" t="str">
        <f>HYPERLINK("https://ceds.ed.gov/elementComment.aspx?elementName=Facility Site Identifier &amp;elementID=14767", "Click here to submit comment")</f>
        <v>Click here to submit comment</v>
      </c>
    </row>
    <row r="124" spans="1:14" ht="240" x14ac:dyDescent="0.25">
      <c r="A124" s="9" t="s">
        <v>11301</v>
      </c>
      <c r="B124" s="9" t="s">
        <v>11302</v>
      </c>
      <c r="C124" s="10" t="s">
        <v>11872</v>
      </c>
      <c r="D124" s="9" t="s">
        <v>10528</v>
      </c>
      <c r="E124" s="9" t="s">
        <v>1457</v>
      </c>
      <c r="F124" s="9"/>
      <c r="G124" s="9"/>
      <c r="H124" s="9"/>
      <c r="I124" s="9" t="s">
        <v>11303</v>
      </c>
      <c r="J124" s="9"/>
      <c r="K124" s="9" t="s">
        <v>11304</v>
      </c>
      <c r="L124" s="9"/>
      <c r="M124" s="9" t="str">
        <f>HYPERLINK("https://ceds.ed.gov/cedselementdetails.aspx?termid=14768")</f>
        <v>https://ceds.ed.gov/cedselementdetails.aspx?termid=14768</v>
      </c>
      <c r="N124" s="9" t="str">
        <f>HYPERLINK("https://ceds.ed.gov/elementComment.aspx?elementName=Facility Site Improvement Location Type &amp;elementID=14768", "Click here to submit comment")</f>
        <v>Click here to submit comment</v>
      </c>
    </row>
    <row r="125" spans="1:14" ht="270" x14ac:dyDescent="0.25">
      <c r="A125" s="9" t="s">
        <v>11305</v>
      </c>
      <c r="B125" s="9" t="s">
        <v>9222</v>
      </c>
      <c r="C125" s="10" t="s">
        <v>11873</v>
      </c>
      <c r="D125" s="9" t="s">
        <v>10535</v>
      </c>
      <c r="E125" s="9" t="s">
        <v>1457</v>
      </c>
      <c r="F125" s="9"/>
      <c r="G125" s="9"/>
      <c r="H125" s="9"/>
      <c r="I125" s="9" t="s">
        <v>11306</v>
      </c>
      <c r="J125" s="9"/>
      <c r="K125" s="9" t="s">
        <v>11307</v>
      </c>
      <c r="L125" s="9"/>
      <c r="M125" s="9" t="str">
        <f>HYPERLINK("https://ceds.ed.gov/cedselementdetails.aspx?termid=14811")</f>
        <v>https://ceds.ed.gov/cedselementdetails.aspx?termid=14811</v>
      </c>
      <c r="N125" s="9" t="str">
        <f>HYPERLINK("https://ceds.ed.gov/elementComment.aspx?elementName=Facility Site Outdoor Area Type &amp;elementID=14811", "Click here to submit comment")</f>
        <v>Click here to submit comment</v>
      </c>
    </row>
    <row r="126" spans="1:14" ht="15" customHeight="1" x14ac:dyDescent="0.25">
      <c r="A126" s="9" t="s">
        <v>11308</v>
      </c>
      <c r="B126" s="9" t="s">
        <v>8061</v>
      </c>
      <c r="C126" s="10" t="s">
        <v>11874</v>
      </c>
      <c r="D126" s="9" t="s">
        <v>10567</v>
      </c>
      <c r="E126" s="9" t="s">
        <v>1457</v>
      </c>
      <c r="F126" s="9"/>
      <c r="G126" s="9"/>
      <c r="H126" s="9"/>
      <c r="I126" s="9" t="s">
        <v>11309</v>
      </c>
      <c r="J126" s="9"/>
      <c r="K126" s="9" t="s">
        <v>11310</v>
      </c>
      <c r="L126" s="9"/>
      <c r="M126" s="9" t="str">
        <f>HYPERLINK("https://ceds.ed.gov/cedselementdetails.aspx?termid=14865")</f>
        <v>https://ceds.ed.gov/cedselementdetails.aspx?termid=14865</v>
      </c>
      <c r="N126" s="9" t="str">
        <f>HYPERLINK("https://ceds.ed.gov/elementComment.aspx?elementName=Facility Standard Type &amp;elementID=14865", "Click here to submit comment")</f>
        <v>Click here to submit comment</v>
      </c>
    </row>
    <row r="127" spans="1:14" ht="15" customHeight="1" x14ac:dyDescent="0.25">
      <c r="A127" s="9" t="s">
        <v>11311</v>
      </c>
      <c r="B127" s="9" t="s">
        <v>9296</v>
      </c>
      <c r="C127" s="10" t="s">
        <v>11875</v>
      </c>
      <c r="D127" s="9" t="s">
        <v>10539</v>
      </c>
      <c r="E127" s="9" t="s">
        <v>1457</v>
      </c>
      <c r="F127" s="9"/>
      <c r="G127" s="9"/>
      <c r="H127" s="9"/>
      <c r="I127" s="9" t="s">
        <v>11312</v>
      </c>
      <c r="J127" s="9"/>
      <c r="K127" s="9" t="s">
        <v>12199</v>
      </c>
      <c r="L127" s="9"/>
      <c r="M127" s="9" t="str">
        <f>HYPERLINK("https://ceds.ed.gov/cedselementdetails.aspx?termid=14786")</f>
        <v>https://ceds.ed.gov/cedselementdetails.aspx?termid=14786</v>
      </c>
      <c r="N127" s="9" t="str">
        <f>HYPERLINK("https://ceds.ed.gov/elementComment.aspx?elementName=Facility State or Local Mandate Interest Type &amp;elementID=14786", "Click here to submit comment")</f>
        <v>Click here to submit comment</v>
      </c>
    </row>
    <row r="128" spans="1:14" ht="15" customHeight="1" x14ac:dyDescent="0.25">
      <c r="A128" s="9" t="s">
        <v>11313</v>
      </c>
      <c r="B128" s="9" t="s">
        <v>9297</v>
      </c>
      <c r="C128" s="9" t="s">
        <v>12</v>
      </c>
      <c r="D128" s="9" t="s">
        <v>10539</v>
      </c>
      <c r="E128" s="9" t="s">
        <v>1457</v>
      </c>
      <c r="F128" s="9" t="s">
        <v>92</v>
      </c>
      <c r="G128" s="9"/>
      <c r="H128" s="9"/>
      <c r="I128" s="9" t="s">
        <v>11314</v>
      </c>
      <c r="J128" s="9"/>
      <c r="K128" s="9" t="s">
        <v>12200</v>
      </c>
      <c r="L128" s="9"/>
      <c r="M128" s="9" t="str">
        <f>HYPERLINK("https://ceds.ed.gov/cedselementdetails.aspx?termid=14787")</f>
        <v>https://ceds.ed.gov/cedselementdetails.aspx?termid=14787</v>
      </c>
      <c r="N128" s="9" t="str">
        <f>HYPERLINK("https://ceds.ed.gov/elementComment.aspx?elementName=Facility State or Local Mandate Name &amp;elementID=14787", "Click here to submit comment")</f>
        <v>Click here to submit comment</v>
      </c>
    </row>
    <row r="129" spans="1:14" ht="15" customHeight="1" x14ac:dyDescent="0.25">
      <c r="A129" s="9" t="s">
        <v>11315</v>
      </c>
      <c r="B129" s="9" t="s">
        <v>7623</v>
      </c>
      <c r="C129" s="10" t="s">
        <v>11876</v>
      </c>
      <c r="D129" s="9" t="s">
        <v>10539</v>
      </c>
      <c r="E129" s="9" t="s">
        <v>1457</v>
      </c>
      <c r="F129" s="9"/>
      <c r="G129" s="9"/>
      <c r="H129" s="9"/>
      <c r="I129" s="9" t="s">
        <v>11316</v>
      </c>
      <c r="J129" s="9"/>
      <c r="K129" s="9" t="s">
        <v>12201</v>
      </c>
      <c r="L129" s="9"/>
      <c r="M129" s="9" t="str">
        <f>HYPERLINK("https://ceds.ed.gov/cedselementdetails.aspx?termid=14774")</f>
        <v>https://ceds.ed.gov/cedselementdetails.aspx?termid=14774</v>
      </c>
      <c r="N129" s="9" t="str">
        <f>HYPERLINK("https://ceds.ed.gov/elementComment.aspx?elementName=Facility System or Component Condition &amp;elementID=14774", "Click here to submit comment")</f>
        <v>Click here to submit comment</v>
      </c>
    </row>
    <row r="130" spans="1:14" ht="45" x14ac:dyDescent="0.25">
      <c r="A130" s="9" t="s">
        <v>11317</v>
      </c>
      <c r="B130" s="9" t="s">
        <v>9407</v>
      </c>
      <c r="C130" s="9" t="s">
        <v>12</v>
      </c>
      <c r="D130" s="9" t="s">
        <v>11237</v>
      </c>
      <c r="E130" s="9" t="s">
        <v>1457</v>
      </c>
      <c r="F130" s="9" t="s">
        <v>1513</v>
      </c>
      <c r="G130" s="9"/>
      <c r="H130" s="9"/>
      <c r="I130" s="9" t="s">
        <v>11318</v>
      </c>
      <c r="J130" s="9"/>
      <c r="K130" s="9" t="s">
        <v>11319</v>
      </c>
      <c r="L130" s="9"/>
      <c r="M130" s="9" t="str">
        <f>HYPERLINK("https://ceds.ed.gov/cedselementdetails.aspx?termid=14877")</f>
        <v>https://ceds.ed.gov/cedselementdetails.aspx?termid=14877</v>
      </c>
      <c r="N130" s="9" t="str">
        <f>HYPERLINK("https://ceds.ed.gov/elementComment.aspx?elementName=Facility Total Assessed Value &amp;elementID=14877", "Click here to submit comment")</f>
        <v>Click here to submit comment</v>
      </c>
    </row>
    <row r="131" spans="1:14" ht="45" x14ac:dyDescent="0.25">
      <c r="A131" s="9" t="s">
        <v>11320</v>
      </c>
      <c r="B131" s="9" t="s">
        <v>9492</v>
      </c>
      <c r="C131" s="10" t="s">
        <v>11877</v>
      </c>
      <c r="D131" s="9" t="s">
        <v>10567</v>
      </c>
      <c r="E131" s="9" t="s">
        <v>1457</v>
      </c>
      <c r="F131" s="9"/>
      <c r="G131" s="9"/>
      <c r="H131" s="9"/>
      <c r="I131" s="9" t="s">
        <v>11321</v>
      </c>
      <c r="J131" s="9"/>
      <c r="K131" s="9" t="s">
        <v>11322</v>
      </c>
      <c r="L131" s="9"/>
      <c r="M131" s="9" t="str">
        <f>HYPERLINK("https://ceds.ed.gov/cedselementdetails.aspx?termid=14859")</f>
        <v>https://ceds.ed.gov/cedselementdetails.aspx?termid=14859</v>
      </c>
      <c r="N131" s="9" t="str">
        <f>HYPERLINK("https://ceds.ed.gov/elementComment.aspx?elementName=Facility Utility Provider Type &amp;elementID=14859", "Click here to submit comment")</f>
        <v>Click here to submit comment</v>
      </c>
    </row>
    <row r="132" spans="1:14" ht="165" x14ac:dyDescent="0.25">
      <c r="A132" s="9" t="s">
        <v>11323</v>
      </c>
      <c r="B132" s="9" t="s">
        <v>9493</v>
      </c>
      <c r="C132" s="10" t="s">
        <v>11878</v>
      </c>
      <c r="D132" s="9" t="s">
        <v>10567</v>
      </c>
      <c r="E132" s="9" t="s">
        <v>1457</v>
      </c>
      <c r="F132" s="9"/>
      <c r="G132" s="9"/>
      <c r="H132" s="9"/>
      <c r="I132" s="9" t="s">
        <v>11324</v>
      </c>
      <c r="J132" s="9"/>
      <c r="K132" s="9" t="s">
        <v>11325</v>
      </c>
      <c r="L132" s="9"/>
      <c r="M132" s="9" t="str">
        <f>HYPERLINK("https://ceds.ed.gov/cedselementdetails.aspx?termid=14860")</f>
        <v>https://ceds.ed.gov/cedselementdetails.aspx?termid=14860</v>
      </c>
      <c r="N132" s="9" t="str">
        <f>HYPERLINK("https://ceds.ed.gov/elementComment.aspx?elementName=Facility Utility Type &amp;elementID=14860", "Click here to submit comment")</f>
        <v>Click here to submit comment</v>
      </c>
    </row>
    <row r="133" spans="1:14" ht="45" x14ac:dyDescent="0.25">
      <c r="A133" s="9" t="s">
        <v>12202</v>
      </c>
      <c r="B133" s="9" t="s">
        <v>8212</v>
      </c>
      <c r="C133" s="9" t="s">
        <v>12</v>
      </c>
      <c r="D133" s="9" t="s">
        <v>10535</v>
      </c>
      <c r="E133" s="9" t="s">
        <v>1457</v>
      </c>
      <c r="F133" s="9" t="s">
        <v>22</v>
      </c>
      <c r="G133" s="9"/>
      <c r="H133" s="9"/>
      <c r="I133" s="9" t="s">
        <v>11423</v>
      </c>
      <c r="J133" s="9"/>
      <c r="K133" s="9" t="s">
        <v>11424</v>
      </c>
      <c r="L133" s="9"/>
      <c r="M133" s="9" t="str">
        <f>HYPERLINK("https://ceds.ed.gov/cedselementdetails.aspx?termid=14825")</f>
        <v>https://ceds.ed.gov/cedselementdetails.aspx?termid=14825</v>
      </c>
      <c r="N133" s="9" t="str">
        <f>HYPERLINK("https://ceds.ed.gov/elementComment.aspx?elementName=Hazardous Material Or Condition Description &amp;elementID=14825", "Click here to submit comment")</f>
        <v>Click here to submit comment</v>
      </c>
    </row>
    <row r="134" spans="1:14" ht="45" x14ac:dyDescent="0.25">
      <c r="A134" s="9" t="s">
        <v>12203</v>
      </c>
      <c r="B134" s="9" t="s">
        <v>8213</v>
      </c>
      <c r="C134" s="9" t="s">
        <v>12</v>
      </c>
      <c r="D134" s="9" t="s">
        <v>10535</v>
      </c>
      <c r="E134" s="9" t="s">
        <v>1457</v>
      </c>
      <c r="F134" s="9" t="s">
        <v>73</v>
      </c>
      <c r="G134" s="9"/>
      <c r="H134" s="9"/>
      <c r="I134" s="9" t="s">
        <v>11425</v>
      </c>
      <c r="J134" s="9"/>
      <c r="K134" s="9" t="s">
        <v>11426</v>
      </c>
      <c r="L134" s="9"/>
      <c r="M134" s="9" t="str">
        <f>HYPERLINK("https://ceds.ed.gov/cedselementdetails.aspx?termid=14826")</f>
        <v>https://ceds.ed.gov/cedselementdetails.aspx?termid=14826</v>
      </c>
      <c r="N134" s="9" t="str">
        <f>HYPERLINK("https://ceds.ed.gov/elementComment.aspx?elementName=Hazardous Material Or Condition Testing Date &amp;elementID=14826", "Click here to submit comment")</f>
        <v>Click here to submit comment</v>
      </c>
    </row>
    <row r="135" spans="1:14" ht="45" x14ac:dyDescent="0.25">
      <c r="A135" s="9" t="s">
        <v>11512</v>
      </c>
      <c r="B135" s="9" t="s">
        <v>8286</v>
      </c>
      <c r="C135" s="9" t="s">
        <v>12</v>
      </c>
      <c r="D135" s="9" t="s">
        <v>11513</v>
      </c>
      <c r="E135" s="9" t="s">
        <v>1457</v>
      </c>
      <c r="F135" s="9" t="s">
        <v>1513</v>
      </c>
      <c r="G135" s="9"/>
      <c r="H135" s="9"/>
      <c r="I135" s="9" t="s">
        <v>11514</v>
      </c>
      <c r="J135" s="9"/>
      <c r="K135" s="9" t="s">
        <v>11515</v>
      </c>
      <c r="L135" s="9"/>
      <c r="M135" s="9" t="str">
        <f>HYPERLINK("https://ceds.ed.gov/cedselementdetails.aspx?termid=14874")</f>
        <v>https://ceds.ed.gov/cedselementdetails.aspx?termid=14874</v>
      </c>
      <c r="N135" s="9" t="str">
        <f>HYPERLINK("https://ceds.ed.gov/elementComment.aspx?elementName=Indebtedness Amount Allowed &amp;elementID=14874", "Click here to submit comment")</f>
        <v>Click here to submit comment</v>
      </c>
    </row>
    <row r="136" spans="1:14" ht="45" x14ac:dyDescent="0.25">
      <c r="A136" s="9" t="s">
        <v>8308</v>
      </c>
      <c r="B136" s="9" t="s">
        <v>8309</v>
      </c>
      <c r="C136" s="9" t="s">
        <v>12</v>
      </c>
      <c r="D136" s="9" t="s">
        <v>10535</v>
      </c>
      <c r="E136" s="9" t="s">
        <v>1457</v>
      </c>
      <c r="F136" s="9" t="s">
        <v>1813</v>
      </c>
      <c r="G136" s="9"/>
      <c r="H136" s="9"/>
      <c r="I136" s="9" t="s">
        <v>11562</v>
      </c>
      <c r="J136" s="9"/>
      <c r="K136" s="9" t="s">
        <v>11563</v>
      </c>
      <c r="L136" s="9"/>
      <c r="M136" s="9" t="str">
        <f>HYPERLINK("https://ceds.ed.gov/cedselementdetails.aspx?termid=14829")</f>
        <v>https://ceds.ed.gov/cedselementdetails.aspx?termid=14829</v>
      </c>
      <c r="N136" s="9" t="str">
        <f>HYPERLINK("https://ceds.ed.gov/elementComment.aspx?elementName=Installation Date &amp;elementID=14829", "Click here to submit comment")</f>
        <v>Click here to submit comment</v>
      </c>
    </row>
    <row r="137" spans="1:14" ht="45" x14ac:dyDescent="0.25">
      <c r="A137" s="9" t="s">
        <v>8314</v>
      </c>
      <c r="B137" s="9" t="s">
        <v>8315</v>
      </c>
      <c r="C137" s="9" t="s">
        <v>12</v>
      </c>
      <c r="D137" s="9" t="s">
        <v>11513</v>
      </c>
      <c r="E137" s="9" t="s">
        <v>1457</v>
      </c>
      <c r="F137" s="9" t="s">
        <v>1513</v>
      </c>
      <c r="G137" s="9"/>
      <c r="H137" s="9"/>
      <c r="I137" s="9" t="s">
        <v>11565</v>
      </c>
      <c r="J137" s="9"/>
      <c r="K137" s="9" t="s">
        <v>11566</v>
      </c>
      <c r="L137" s="9"/>
      <c r="M137" s="9" t="str">
        <f>HYPERLINK("https://ceds.ed.gov/cedselementdetails.aspx?termid=14875")</f>
        <v>https://ceds.ed.gov/cedselementdetails.aspx?termid=14875</v>
      </c>
      <c r="N137" s="9" t="str">
        <f>HYPERLINK("https://ceds.ed.gov/elementComment.aspx?elementName=Insurance Deductible &amp;elementID=14875", "Click here to submit comment")</f>
        <v>Click here to submit comment</v>
      </c>
    </row>
    <row r="138" spans="1:14" ht="15" customHeight="1" x14ac:dyDescent="0.25">
      <c r="A138" s="9" t="s">
        <v>8439</v>
      </c>
      <c r="B138" s="9" t="s">
        <v>8440</v>
      </c>
      <c r="C138" s="9" t="s">
        <v>12</v>
      </c>
      <c r="D138" s="9" t="s">
        <v>10535</v>
      </c>
      <c r="E138" s="9" t="s">
        <v>1457</v>
      </c>
      <c r="F138" s="9" t="s">
        <v>1513</v>
      </c>
      <c r="G138" s="9"/>
      <c r="H138" s="9"/>
      <c r="I138" s="9" t="s">
        <v>11630</v>
      </c>
      <c r="J138" s="9"/>
      <c r="K138" s="9" t="s">
        <v>11631</v>
      </c>
      <c r="L138" s="9"/>
      <c r="M138" s="9" t="str">
        <f>HYPERLINK("https://ceds.ed.gov/cedselementdetails.aspx?termid=14830")</f>
        <v>https://ceds.ed.gov/cedselementdetails.aspx?termid=14830</v>
      </c>
      <c r="N138" s="9" t="str">
        <f>HYPERLINK("https://ceds.ed.gov/elementComment.aspx?elementName=Life-cycle Cost &amp;elementID=14830", "Click here to submit comment")</f>
        <v>Click here to submit comment</v>
      </c>
    </row>
    <row r="139" spans="1:14" ht="15" customHeight="1" x14ac:dyDescent="0.25">
      <c r="A139" s="9" t="s">
        <v>11635</v>
      </c>
      <c r="B139" s="9" t="s">
        <v>11636</v>
      </c>
      <c r="C139" s="10" t="s">
        <v>11902</v>
      </c>
      <c r="D139" s="9" t="s">
        <v>11637</v>
      </c>
      <c r="E139" s="9" t="s">
        <v>1457</v>
      </c>
      <c r="F139" s="9"/>
      <c r="G139" s="9"/>
      <c r="H139" s="9"/>
      <c r="I139" s="9" t="s">
        <v>11638</v>
      </c>
      <c r="J139" s="9"/>
      <c r="K139" s="9" t="s">
        <v>11639</v>
      </c>
      <c r="L139" s="9"/>
      <c r="M139" s="9" t="str">
        <f>HYPERLINK("https://ceds.ed.gov/cedselementdetails.aspx?termid=14748")</f>
        <v>https://ceds.ed.gov/cedselementdetails.aspx?termid=14748</v>
      </c>
      <c r="N139" s="9" t="str">
        <f>HYPERLINK("https://ceds.ed.gov/elementComment.aspx?elementName=National School Lunch Program Status &amp;elementID=14748", "Click here to submit comment")</f>
        <v>Click here to submit comment</v>
      </c>
    </row>
    <row r="140" spans="1:14" ht="270" x14ac:dyDescent="0.25">
      <c r="A140" s="9" t="s">
        <v>11666</v>
      </c>
      <c r="B140" s="9" t="s">
        <v>11667</v>
      </c>
      <c r="C140" s="10" t="s">
        <v>11904</v>
      </c>
      <c r="D140" s="9" t="s">
        <v>11668</v>
      </c>
      <c r="E140" s="9" t="s">
        <v>1457</v>
      </c>
      <c r="F140" s="9"/>
      <c r="G140" s="9"/>
      <c r="H140" s="9"/>
      <c r="I140" s="9" t="s">
        <v>11669</v>
      </c>
      <c r="J140" s="9"/>
      <c r="K140" s="9" t="s">
        <v>11670</v>
      </c>
      <c r="L140" s="9"/>
      <c r="M140" s="9" t="str">
        <f>HYPERLINK("https://ceds.ed.gov/cedselementdetails.aspx?termid=14886")</f>
        <v>https://ceds.ed.gov/cedselementdetails.aspx?termid=14886</v>
      </c>
      <c r="N140" s="9" t="str">
        <f>HYPERLINK("https://ceds.ed.gov/elementComment.aspx?elementName=Organization Relationship Type &amp;elementID=14886", "Click here to submit comment")</f>
        <v>Click here to submit comment</v>
      </c>
    </row>
    <row r="141" spans="1:14" ht="15" customHeight="1" x14ac:dyDescent="0.25">
      <c r="A141" s="9" t="s">
        <v>8934</v>
      </c>
      <c r="B141" s="9" t="s">
        <v>8935</v>
      </c>
      <c r="C141" s="9" t="s">
        <v>12</v>
      </c>
      <c r="D141" s="9" t="s">
        <v>11513</v>
      </c>
      <c r="E141" s="9" t="s">
        <v>1457</v>
      </c>
      <c r="F141" s="9" t="s">
        <v>11692</v>
      </c>
      <c r="G141" s="9"/>
      <c r="H141" s="9"/>
      <c r="I141" s="9" t="s">
        <v>11693</v>
      </c>
      <c r="J141" s="9"/>
      <c r="K141" s="9" t="s">
        <v>11694</v>
      </c>
      <c r="L141" s="9"/>
      <c r="M141" s="9" t="str">
        <f>HYPERLINK("https://ceds.ed.gov/cedselementdetails.aspx?termid=14876")</f>
        <v>https://ceds.ed.gov/cedselementdetails.aspx?termid=14876</v>
      </c>
      <c r="N141" s="9" t="str">
        <f>HYPERLINK("https://ceds.ed.gov/elementComment.aspx?elementName=Public Education Mill Rate &amp;elementID=14876", "Click here to submit comment")</f>
        <v>Click here to submit comment</v>
      </c>
    </row>
    <row r="142" spans="1:14" ht="60" x14ac:dyDescent="0.25">
      <c r="A142" s="9" t="s">
        <v>11727</v>
      </c>
      <c r="B142" s="9" t="s">
        <v>11728</v>
      </c>
      <c r="C142" s="9" t="s">
        <v>6106</v>
      </c>
      <c r="D142" s="9" t="s">
        <v>11729</v>
      </c>
      <c r="E142" s="9" t="s">
        <v>1457</v>
      </c>
      <c r="F142" s="9"/>
      <c r="G142" s="9"/>
      <c r="H142" s="9"/>
      <c r="I142" s="9" t="s">
        <v>11730</v>
      </c>
      <c r="J142" s="9"/>
      <c r="K142" s="9" t="s">
        <v>11731</v>
      </c>
      <c r="L142" s="9"/>
      <c r="M142" s="9" t="str">
        <f>HYPERLINK("https://ceds.ed.gov/cedselementdetails.aspx?termid=14746")</f>
        <v>https://ceds.ed.gov/cedselementdetails.aspx?termid=14746</v>
      </c>
      <c r="N142" s="9" t="str">
        <f>HYPERLINK("https://ceds.ed.gov/elementComment.aspx?elementName=Significant Cognitive Disability Indicator &amp;elementID=14746", "Click here to submit comment")</f>
        <v>Click here to submit comment</v>
      </c>
    </row>
    <row r="143" spans="1:14" ht="90" x14ac:dyDescent="0.25">
      <c r="A143" s="9" t="s">
        <v>11749</v>
      </c>
      <c r="B143" s="9" t="s">
        <v>11750</v>
      </c>
      <c r="C143" s="10" t="s">
        <v>11909</v>
      </c>
      <c r="D143" s="9" t="s">
        <v>11751</v>
      </c>
      <c r="E143" s="9" t="s">
        <v>1457</v>
      </c>
      <c r="F143" s="9"/>
      <c r="G143" s="9"/>
      <c r="H143" s="9"/>
      <c r="I143" s="9" t="s">
        <v>11752</v>
      </c>
      <c r="J143" s="9"/>
      <c r="K143" s="9" t="s">
        <v>11753</v>
      </c>
      <c r="L143" s="9"/>
      <c r="M143" s="9" t="str">
        <f>HYPERLINK("https://ceds.ed.gov/cedselementdetails.aspx?termid=14843")</f>
        <v>https://ceds.ed.gov/cedselementdetails.aspx?termid=14843</v>
      </c>
      <c r="N143" s="9" t="str">
        <f>HYPERLINK("https://ceds.ed.gov/elementComment.aspx?elementName=Student Enrollment Access Type &amp;elementID=14843", "Click here to submit comment")</f>
        <v>Click here to submit comment</v>
      </c>
    </row>
    <row r="144" spans="1:14" ht="105" x14ac:dyDescent="0.25">
      <c r="A144" s="9" t="s">
        <v>11773</v>
      </c>
      <c r="B144" s="9" t="s">
        <v>11774</v>
      </c>
      <c r="C144" s="10" t="s">
        <v>11911</v>
      </c>
      <c r="D144" s="9" t="s">
        <v>11775</v>
      </c>
      <c r="E144" s="9" t="s">
        <v>1457</v>
      </c>
      <c r="F144" s="9"/>
      <c r="G144" s="9"/>
      <c r="H144" s="9"/>
      <c r="I144" s="9" t="s">
        <v>11776</v>
      </c>
      <c r="J144" s="9"/>
      <c r="K144" s="9" t="s">
        <v>11777</v>
      </c>
      <c r="L144" s="9"/>
      <c r="M144" s="9" t="str">
        <f>HYPERLINK("https://ceds.ed.gov/cedselementdetails.aspx?termid=14747")</f>
        <v>https://ceds.ed.gov/cedselementdetails.aspx?termid=14747</v>
      </c>
      <c r="N144" s="9" t="str">
        <f>HYPERLINK("https://ceds.ed.gov/elementComment.aspx?elementName=Virtual School Status &amp;elementID=14747", "Click here to submit comment")</f>
        <v>Click here to submit comment</v>
      </c>
    </row>
  </sheetData>
  <autoFilter ref="A1:N144"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N71"/>
  <sheetViews>
    <sheetView showGridLines="0" topLeftCell="D59" workbookViewId="0">
      <selection activeCell="K61" sqref="K61"/>
    </sheetView>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8" customFormat="1" x14ac:dyDescent="0.25">
      <c r="A1" s="2" t="s">
        <v>6297</v>
      </c>
      <c r="B1" s="2" t="s">
        <v>6298</v>
      </c>
      <c r="C1" s="2" t="s">
        <v>6299</v>
      </c>
      <c r="D1" s="2" t="s">
        <v>6300</v>
      </c>
      <c r="E1" s="2" t="s">
        <v>6301</v>
      </c>
      <c r="F1" s="2" t="s">
        <v>6302</v>
      </c>
      <c r="G1" s="2" t="s">
        <v>6303</v>
      </c>
      <c r="H1" s="2" t="s">
        <v>6304</v>
      </c>
      <c r="I1" s="7" t="s">
        <v>6305</v>
      </c>
      <c r="J1" s="2" t="s">
        <v>6306</v>
      </c>
      <c r="K1" s="2" t="s">
        <v>6307</v>
      </c>
      <c r="L1" s="2" t="s">
        <v>6308</v>
      </c>
      <c r="M1" s="2" t="s">
        <v>6309</v>
      </c>
      <c r="N1" s="2" t="s">
        <v>6310</v>
      </c>
    </row>
    <row r="2" spans="1:14" ht="300" x14ac:dyDescent="0.25">
      <c r="A2" s="3" t="s">
        <v>5</v>
      </c>
      <c r="B2" s="3" t="s">
        <v>6</v>
      </c>
      <c r="C2" s="4" t="s">
        <v>11783</v>
      </c>
      <c r="D2" s="3" t="s">
        <v>7</v>
      </c>
      <c r="E2" s="3" t="s">
        <v>91</v>
      </c>
      <c r="F2" s="3"/>
      <c r="G2" s="3"/>
      <c r="H2" s="3"/>
      <c r="I2" s="3" t="s">
        <v>8</v>
      </c>
      <c r="J2" s="3"/>
      <c r="K2" s="3" t="s">
        <v>9</v>
      </c>
      <c r="L2" s="3"/>
      <c r="M2" s="3" t="str">
        <f>HYPERLINK("https://ceds.ed.gov/cedselementdetails.aspx?termid=13592")</f>
        <v>https://ceds.ed.gov/cedselementdetails.aspx?termid=13592</v>
      </c>
      <c r="N2" s="3" t="str">
        <f>HYPERLINK("https://ceds.ed.gov/elementComment.aspx?elementName=Absent Attendance Category &amp;elementID=13592", "Click here to submit comment")</f>
        <v>Click here to submit comment</v>
      </c>
    </row>
    <row r="3" spans="1:14" ht="240" x14ac:dyDescent="0.25">
      <c r="A3" s="3" t="s">
        <v>383</v>
      </c>
      <c r="B3" s="3" t="s">
        <v>384</v>
      </c>
      <c r="C3" s="4" t="s">
        <v>11786</v>
      </c>
      <c r="D3" s="3" t="s">
        <v>10492</v>
      </c>
      <c r="E3" s="3" t="s">
        <v>91</v>
      </c>
      <c r="F3" s="3"/>
      <c r="G3" s="3"/>
      <c r="H3" s="3"/>
      <c r="I3" s="3" t="s">
        <v>385</v>
      </c>
      <c r="J3" s="3"/>
      <c r="K3" s="3" t="s">
        <v>386</v>
      </c>
      <c r="L3" s="3" t="s">
        <v>6127</v>
      </c>
      <c r="M3" s="3" t="str">
        <f>HYPERLINK("https://ceds.ed.gov/cedselementdetails.aspx?termid=13374")</f>
        <v>https://ceds.ed.gov/cedselementdetails.aspx?termid=13374</v>
      </c>
      <c r="N3" s="3" t="str">
        <f>HYPERLINK("https://ceds.ed.gov/elementComment.aspx?elementName=Assessment Accommodation Category &amp;elementID=13374", "Click here to submit comment")</f>
        <v>Click here to submit comment</v>
      </c>
    </row>
    <row r="4" spans="1:14" ht="360" x14ac:dyDescent="0.25">
      <c r="A4" s="3" t="s">
        <v>1561</v>
      </c>
      <c r="B4" s="3" t="s">
        <v>1562</v>
      </c>
      <c r="C4" s="4" t="s">
        <v>11834</v>
      </c>
      <c r="D4" s="3" t="s">
        <v>10522</v>
      </c>
      <c r="E4" s="3" t="s">
        <v>91</v>
      </c>
      <c r="F4" s="3"/>
      <c r="G4" s="3"/>
      <c r="H4" s="3"/>
      <c r="I4" s="3" t="s">
        <v>1563</v>
      </c>
      <c r="J4" s="3"/>
      <c r="K4" s="3" t="s">
        <v>1564</v>
      </c>
      <c r="L4" s="3"/>
      <c r="M4" s="3" t="str">
        <f>HYPERLINK("https://ceds.ed.gov/cedselementdetails.aspx?termid=14173")</f>
        <v>https://ceds.ed.gov/cedselementdetails.aspx?termid=14173</v>
      </c>
      <c r="N4" s="3" t="str">
        <f>HYPERLINK("https://ceds.ed.gov/elementComment.aspx?elementName=Building Use Type &amp;elementID=14173", "Click here to submit comment")</f>
        <v>Click here to submit comment</v>
      </c>
    </row>
    <row r="5" spans="1:14" ht="45" x14ac:dyDescent="0.25">
      <c r="A5" s="3" t="s">
        <v>10736</v>
      </c>
      <c r="B5" s="3" t="s">
        <v>3957</v>
      </c>
      <c r="C5" s="3" t="s">
        <v>12</v>
      </c>
      <c r="D5" s="3" t="s">
        <v>10737</v>
      </c>
      <c r="E5" s="3" t="s">
        <v>91</v>
      </c>
      <c r="F5" s="3" t="s">
        <v>68</v>
      </c>
      <c r="G5" s="3" t="s">
        <v>10738</v>
      </c>
      <c r="H5" s="3"/>
      <c r="I5" s="3" t="s">
        <v>3958</v>
      </c>
      <c r="J5" s="3" t="s">
        <v>3956</v>
      </c>
      <c r="K5" s="3" t="s">
        <v>10739</v>
      </c>
      <c r="L5" s="3"/>
      <c r="M5" s="3" t="str">
        <f>HYPERLINK("https://ceds.ed.gov/cedselementdetails.aspx?termid=14371")</f>
        <v>https://ceds.ed.gov/cedselementdetails.aspx?termid=14371</v>
      </c>
      <c r="N5" s="3" t="str">
        <f>HYPERLINK("https://ceds.ed.gov/elementComment.aspx?elementName=Competency Association Connection Citation &amp;elementID=14371", "Click here to submit comment")</f>
        <v>Click here to submit comment</v>
      </c>
    </row>
    <row r="6" spans="1:14" ht="45" x14ac:dyDescent="0.25">
      <c r="A6" s="3" t="s">
        <v>10740</v>
      </c>
      <c r="B6" s="3" t="s">
        <v>10741</v>
      </c>
      <c r="C6" s="3" t="s">
        <v>12</v>
      </c>
      <c r="D6" s="3" t="s">
        <v>10737</v>
      </c>
      <c r="E6" s="3" t="s">
        <v>91</v>
      </c>
      <c r="F6" s="3" t="s">
        <v>87</v>
      </c>
      <c r="G6" s="3" t="s">
        <v>10738</v>
      </c>
      <c r="H6" s="3"/>
      <c r="I6" s="3" t="s">
        <v>3960</v>
      </c>
      <c r="J6" s="3" t="s">
        <v>3959</v>
      </c>
      <c r="K6" s="3" t="s">
        <v>10742</v>
      </c>
      <c r="L6" s="3"/>
      <c r="M6" s="3" t="str">
        <f>HYPERLINK("https://ceds.ed.gov/cedselementdetails.aspx?termid=14372")</f>
        <v>https://ceds.ed.gov/cedselementdetails.aspx?termid=14372</v>
      </c>
      <c r="N6" s="3" t="str">
        <f>HYPERLINK("https://ceds.ed.gov/elementComment.aspx?elementName=Competency Association Destination Node Name &amp;elementID=14372", "Click here to submit comment")</f>
        <v>Click here to submit comment</v>
      </c>
    </row>
    <row r="7" spans="1:14" ht="45" x14ac:dyDescent="0.25">
      <c r="A7" s="3" t="s">
        <v>10743</v>
      </c>
      <c r="B7" s="3" t="s">
        <v>10744</v>
      </c>
      <c r="C7" s="3" t="s">
        <v>12</v>
      </c>
      <c r="D7" s="3" t="s">
        <v>10737</v>
      </c>
      <c r="E7" s="3" t="s">
        <v>91</v>
      </c>
      <c r="F7" s="3" t="s">
        <v>1143</v>
      </c>
      <c r="G7" s="3" t="s">
        <v>10738</v>
      </c>
      <c r="H7" s="3"/>
      <c r="I7" s="3" t="s">
        <v>3962</v>
      </c>
      <c r="J7" s="3" t="s">
        <v>3961</v>
      </c>
      <c r="K7" s="3" t="s">
        <v>10745</v>
      </c>
      <c r="L7" s="3"/>
      <c r="M7" s="3" t="str">
        <f>HYPERLINK("https://ceds.ed.gov/cedselementdetails.aspx?termid=14373")</f>
        <v>https://ceds.ed.gov/cedselementdetails.aspx?termid=14373</v>
      </c>
      <c r="N7" s="3" t="str">
        <f>HYPERLINK("https://ceds.ed.gov/elementComment.aspx?elementName=Competency Association Destination Node URI &amp;elementID=14373", "Click here to submit comment")</f>
        <v>Click here to submit comment</v>
      </c>
    </row>
    <row r="8" spans="1:14" ht="135" x14ac:dyDescent="0.25">
      <c r="A8" s="3" t="s">
        <v>10746</v>
      </c>
      <c r="B8" s="3" t="s">
        <v>10747</v>
      </c>
      <c r="C8" s="3" t="s">
        <v>12</v>
      </c>
      <c r="D8" s="3" t="s">
        <v>10748</v>
      </c>
      <c r="E8" s="3" t="s">
        <v>91</v>
      </c>
      <c r="F8" s="3" t="s">
        <v>1143</v>
      </c>
      <c r="G8" s="3" t="s">
        <v>10738</v>
      </c>
      <c r="H8" s="3"/>
      <c r="I8" s="3" t="s">
        <v>3964</v>
      </c>
      <c r="J8" s="3" t="s">
        <v>3963</v>
      </c>
      <c r="K8" s="3" t="s">
        <v>10749</v>
      </c>
      <c r="L8" s="3"/>
      <c r="M8" s="3" t="str">
        <f>HYPERLINK("https://ceds.ed.gov/cedselementdetails.aspx?termid=13871")</f>
        <v>https://ceds.ed.gov/cedselementdetails.aspx?termid=13871</v>
      </c>
      <c r="N8" s="3" t="str">
        <f>HYPERLINK("https://ceds.ed.gov/elementComment.aspx?elementName=Competency Association Identifier URI &amp;elementID=13871", "Click here to submit comment")</f>
        <v>Click here to submit comment</v>
      </c>
    </row>
    <row r="9" spans="1:14" ht="45" x14ac:dyDescent="0.25">
      <c r="A9" s="3" t="s">
        <v>10750</v>
      </c>
      <c r="B9" s="3" t="s">
        <v>10751</v>
      </c>
      <c r="C9" s="3" t="s">
        <v>12</v>
      </c>
      <c r="D9" s="3" t="s">
        <v>10737</v>
      </c>
      <c r="E9" s="3" t="s">
        <v>91</v>
      </c>
      <c r="F9" s="3" t="s">
        <v>87</v>
      </c>
      <c r="G9" s="3" t="s">
        <v>10738</v>
      </c>
      <c r="H9" s="3"/>
      <c r="I9" s="3" t="s">
        <v>3966</v>
      </c>
      <c r="J9" s="3" t="s">
        <v>3965</v>
      </c>
      <c r="K9" s="3" t="s">
        <v>10752</v>
      </c>
      <c r="L9" s="3"/>
      <c r="M9" s="3" t="str">
        <f>HYPERLINK("https://ceds.ed.gov/cedselementdetails.aspx?termid=14374")</f>
        <v>https://ceds.ed.gov/cedselementdetails.aspx?termid=14374</v>
      </c>
      <c r="N9" s="3" t="str">
        <f>HYPERLINK("https://ceds.ed.gov/elementComment.aspx?elementName=Competency Association Origin Node Name &amp;elementID=14374", "Click here to submit comment")</f>
        <v>Click here to submit comment</v>
      </c>
    </row>
    <row r="10" spans="1:14" ht="45" x14ac:dyDescent="0.25">
      <c r="A10" s="3" t="s">
        <v>10753</v>
      </c>
      <c r="B10" s="3" t="s">
        <v>10754</v>
      </c>
      <c r="C10" s="3" t="s">
        <v>12</v>
      </c>
      <c r="D10" s="3" t="s">
        <v>10737</v>
      </c>
      <c r="E10" s="3" t="s">
        <v>91</v>
      </c>
      <c r="F10" s="3" t="s">
        <v>1143</v>
      </c>
      <c r="G10" s="3" t="s">
        <v>10738</v>
      </c>
      <c r="H10" s="3"/>
      <c r="I10" s="3" t="s">
        <v>3968</v>
      </c>
      <c r="J10" s="3" t="s">
        <v>3967</v>
      </c>
      <c r="K10" s="3" t="s">
        <v>10755</v>
      </c>
      <c r="L10" s="3"/>
      <c r="M10" s="3" t="str">
        <f>HYPERLINK("https://ceds.ed.gov/cedselementdetails.aspx?termid=14375")</f>
        <v>https://ceds.ed.gov/cedselementdetails.aspx?termid=14375</v>
      </c>
      <c r="N10" s="3" t="str">
        <f>HYPERLINK("https://ceds.ed.gov/elementComment.aspx?elementName=Competency Association Origin Node URI &amp;elementID=14375", "Click here to submit comment")</f>
        <v>Click here to submit comment</v>
      </c>
    </row>
    <row r="11" spans="1:14" ht="165" x14ac:dyDescent="0.25">
      <c r="A11" s="18" t="s">
        <v>10756</v>
      </c>
      <c r="B11" s="18" t="s">
        <v>10757</v>
      </c>
      <c r="C11" s="19" t="s">
        <v>6594</v>
      </c>
      <c r="D11" s="18" t="s">
        <v>10748</v>
      </c>
      <c r="E11" s="18" t="s">
        <v>91</v>
      </c>
      <c r="F11" s="18"/>
      <c r="G11" s="18" t="s">
        <v>10758</v>
      </c>
      <c r="H11" s="3" t="s">
        <v>3970</v>
      </c>
      <c r="I11" s="18" t="s">
        <v>3972</v>
      </c>
      <c r="J11" s="18" t="s">
        <v>3969</v>
      </c>
      <c r="K11" s="18" t="s">
        <v>10759</v>
      </c>
      <c r="L11" s="18"/>
      <c r="M11" s="18" t="str">
        <f>HYPERLINK("https://ceds.ed.gov/cedselementdetails.aspx?termid=13869")</f>
        <v>https://ceds.ed.gov/cedselementdetails.aspx?termid=13869</v>
      </c>
      <c r="N11" s="18" t="str">
        <f>HYPERLINK("https://ceds.ed.gov/elementComment.aspx?elementName=Competency Association Type &amp;elementID=13869", "Click here to submit comment")</f>
        <v>Click here to submit comment</v>
      </c>
    </row>
    <row r="12" spans="1:14" x14ac:dyDescent="0.25">
      <c r="A12" s="18"/>
      <c r="B12" s="18"/>
      <c r="C12" s="19"/>
      <c r="D12" s="18"/>
      <c r="E12" s="18"/>
      <c r="F12" s="18"/>
      <c r="G12" s="18"/>
      <c r="H12" s="3"/>
      <c r="I12" s="18"/>
      <c r="J12" s="18"/>
      <c r="K12" s="18"/>
      <c r="L12" s="18"/>
      <c r="M12" s="18"/>
      <c r="N12" s="18"/>
    </row>
    <row r="13" spans="1:14" x14ac:dyDescent="0.25">
      <c r="A13" s="18"/>
      <c r="B13" s="18"/>
      <c r="C13" s="19"/>
      <c r="D13" s="18"/>
      <c r="E13" s="18"/>
      <c r="F13" s="18"/>
      <c r="G13" s="18"/>
      <c r="H13" s="3"/>
      <c r="I13" s="18"/>
      <c r="J13" s="18"/>
      <c r="K13" s="18"/>
      <c r="L13" s="18"/>
      <c r="M13" s="18"/>
      <c r="N13" s="18"/>
    </row>
    <row r="14" spans="1:14" ht="135" x14ac:dyDescent="0.25">
      <c r="A14" s="18"/>
      <c r="B14" s="18"/>
      <c r="C14" s="19"/>
      <c r="D14" s="18"/>
      <c r="E14" s="18"/>
      <c r="F14" s="18"/>
      <c r="G14" s="18"/>
      <c r="H14" s="3" t="s">
        <v>3971</v>
      </c>
      <c r="I14" s="18"/>
      <c r="J14" s="18"/>
      <c r="K14" s="18"/>
      <c r="L14" s="18"/>
      <c r="M14" s="18"/>
      <c r="N14" s="18"/>
    </row>
    <row r="15" spans="1:14" ht="135" x14ac:dyDescent="0.25">
      <c r="A15" s="3" t="s">
        <v>10760</v>
      </c>
      <c r="B15" s="3" t="s">
        <v>3974</v>
      </c>
      <c r="C15" s="3" t="s">
        <v>12</v>
      </c>
      <c r="D15" s="3" t="s">
        <v>10737</v>
      </c>
      <c r="E15" s="3" t="s">
        <v>91</v>
      </c>
      <c r="F15" s="3" t="s">
        <v>3975</v>
      </c>
      <c r="G15" s="3" t="s">
        <v>10738</v>
      </c>
      <c r="H15" s="3" t="s">
        <v>3976</v>
      </c>
      <c r="I15" s="3" t="s">
        <v>3977</v>
      </c>
      <c r="J15" s="3" t="s">
        <v>3973</v>
      </c>
      <c r="K15" s="3" t="s">
        <v>10761</v>
      </c>
      <c r="L15" s="3"/>
      <c r="M15" s="3" t="str">
        <f>HYPERLINK("https://ceds.ed.gov/cedselementdetails.aspx?termid=14376")</f>
        <v>https://ceds.ed.gov/cedselementdetails.aspx?termid=14376</v>
      </c>
      <c r="N15" s="3" t="str">
        <f>HYPERLINK("https://ceds.ed.gov/elementComment.aspx?elementName=Competency Association Weight &amp;elementID=14376", "Click here to submit comment")</f>
        <v>Click here to submit comment</v>
      </c>
    </row>
    <row r="16" spans="1:14" ht="60" x14ac:dyDescent="0.25">
      <c r="A16" s="3" t="s">
        <v>10810</v>
      </c>
      <c r="B16" s="3" t="s">
        <v>10811</v>
      </c>
      <c r="C16" s="4" t="s">
        <v>6595</v>
      </c>
      <c r="D16" s="3" t="s">
        <v>10812</v>
      </c>
      <c r="E16" s="3" t="s">
        <v>91</v>
      </c>
      <c r="F16" s="3"/>
      <c r="G16" s="3" t="s">
        <v>10738</v>
      </c>
      <c r="H16" s="3"/>
      <c r="I16" s="3" t="s">
        <v>3979</v>
      </c>
      <c r="J16" s="3" t="s">
        <v>3978</v>
      </c>
      <c r="K16" s="3" t="s">
        <v>10813</v>
      </c>
      <c r="L16" s="3"/>
      <c r="M16" s="3" t="str">
        <f>HYPERLINK("https://ceds.ed.gov/cedselementdetails.aspx?termid=13875")</f>
        <v>https://ceds.ed.gov/cedselementdetails.aspx?termid=13875</v>
      </c>
      <c r="N16" s="3" t="str">
        <f>HYPERLINK("https://ceds.ed.gov/elementComment.aspx?elementName=Competency Item Blooms Taxonomy Domain &amp;elementID=13875", "Click here to submit comment")</f>
        <v>Click here to submit comment</v>
      </c>
    </row>
    <row r="17" spans="1:14" ht="150" x14ac:dyDescent="0.25">
      <c r="A17" s="3" t="s">
        <v>3983</v>
      </c>
      <c r="B17" s="3" t="s">
        <v>10814</v>
      </c>
      <c r="C17" s="3" t="s">
        <v>12</v>
      </c>
      <c r="D17" s="3" t="s">
        <v>10815</v>
      </c>
      <c r="E17" s="3" t="s">
        <v>91</v>
      </c>
      <c r="F17" s="3" t="s">
        <v>87</v>
      </c>
      <c r="G17" s="3" t="s">
        <v>10738</v>
      </c>
      <c r="H17" s="3" t="s">
        <v>3981</v>
      </c>
      <c r="I17" s="3" t="s">
        <v>3982</v>
      </c>
      <c r="J17" s="3" t="s">
        <v>3980</v>
      </c>
      <c r="K17" s="3" t="s">
        <v>10816</v>
      </c>
      <c r="L17" s="3"/>
      <c r="M17" s="3" t="str">
        <f>HYPERLINK("https://ceds.ed.gov/cedselementdetails.aspx?termid=13669")</f>
        <v>https://ceds.ed.gov/cedselementdetails.aspx?termid=13669</v>
      </c>
      <c r="N17" s="3" t="str">
        <f>HYPERLINK("https://ceds.ed.gov/elementComment.aspx?elementName=Competency Item Code &amp;elementID=13669", "Click here to submit comment")</f>
        <v>Click here to submit comment</v>
      </c>
    </row>
    <row r="18" spans="1:14" ht="60" x14ac:dyDescent="0.25">
      <c r="A18" s="3" t="s">
        <v>10817</v>
      </c>
      <c r="B18" s="3" t="s">
        <v>10818</v>
      </c>
      <c r="C18" s="3" t="s">
        <v>12</v>
      </c>
      <c r="D18" s="3" t="s">
        <v>10812</v>
      </c>
      <c r="E18" s="3" t="s">
        <v>91</v>
      </c>
      <c r="F18" s="3" t="s">
        <v>68</v>
      </c>
      <c r="G18" s="3" t="s">
        <v>10738</v>
      </c>
      <c r="H18" s="3"/>
      <c r="I18" s="3" t="s">
        <v>3985</v>
      </c>
      <c r="J18" s="3" t="s">
        <v>3984</v>
      </c>
      <c r="K18" s="3" t="s">
        <v>10819</v>
      </c>
      <c r="L18" s="3"/>
      <c r="M18" s="3" t="str">
        <f>HYPERLINK("https://ceds.ed.gov/cedselementdetails.aspx?termid=13887")</f>
        <v>https://ceds.ed.gov/cedselementdetails.aspx?termid=13887</v>
      </c>
      <c r="N18" s="3" t="str">
        <f>HYPERLINK("https://ceds.ed.gov/elementComment.aspx?elementName=Competency Item Concept Keyword &amp;elementID=13887", "Click here to submit comment")</f>
        <v>Click here to submit comment</v>
      </c>
    </row>
    <row r="19" spans="1:14" ht="75" x14ac:dyDescent="0.25">
      <c r="A19" s="3" t="s">
        <v>10820</v>
      </c>
      <c r="B19" s="3" t="s">
        <v>10821</v>
      </c>
      <c r="C19" s="3" t="s">
        <v>12</v>
      </c>
      <c r="D19" s="3" t="s">
        <v>10812</v>
      </c>
      <c r="E19" s="3" t="s">
        <v>91</v>
      </c>
      <c r="F19" s="3" t="s">
        <v>87</v>
      </c>
      <c r="G19" s="3" t="s">
        <v>10738</v>
      </c>
      <c r="H19" s="3"/>
      <c r="I19" s="3" t="s">
        <v>3987</v>
      </c>
      <c r="J19" s="3" t="s">
        <v>3986</v>
      </c>
      <c r="K19" s="3" t="s">
        <v>10822</v>
      </c>
      <c r="L19" s="3"/>
      <c r="M19" s="3" t="str">
        <f>HYPERLINK("https://ceds.ed.gov/cedselementdetails.aspx?termid=13888")</f>
        <v>https://ceds.ed.gov/cedselementdetails.aspx?termid=13888</v>
      </c>
      <c r="N19" s="3" t="str">
        <f>HYPERLINK("https://ceds.ed.gov/elementComment.aspx?elementName=Competency Item Concept Term &amp;elementID=13888", "Click here to submit comment")</f>
        <v>Click here to submit comment</v>
      </c>
    </row>
    <row r="20" spans="1:14" ht="240" x14ac:dyDescent="0.25">
      <c r="A20" s="3" t="s">
        <v>10823</v>
      </c>
      <c r="B20" s="3" t="s">
        <v>10824</v>
      </c>
      <c r="C20" s="3" t="s">
        <v>6106</v>
      </c>
      <c r="D20" s="3" t="s">
        <v>10812</v>
      </c>
      <c r="E20" s="3" t="s">
        <v>91</v>
      </c>
      <c r="F20" s="3"/>
      <c r="G20" s="3" t="s">
        <v>10738</v>
      </c>
      <c r="H20" s="3" t="s">
        <v>3989</v>
      </c>
      <c r="I20" s="3" t="s">
        <v>3990</v>
      </c>
      <c r="J20" s="3" t="s">
        <v>3988</v>
      </c>
      <c r="K20" s="3" t="s">
        <v>10825</v>
      </c>
      <c r="L20" s="3"/>
      <c r="M20" s="3" t="str">
        <f>HYPERLINK("https://ceds.ed.gov/cedselementdetails.aspx?termid=14499")</f>
        <v>https://ceds.ed.gov/cedselementdetails.aspx?termid=14499</v>
      </c>
      <c r="N20" s="3" t="str">
        <f>HYPERLINK("https://ceds.ed.gov/elementComment.aspx?elementName=Competency Item Current Version Indicator &amp;elementID=14499", "Click here to submit comment")</f>
        <v>Click here to submit comment</v>
      </c>
    </row>
    <row r="21" spans="1:14" ht="409.5" x14ac:dyDescent="0.25">
      <c r="A21" s="3" t="s">
        <v>10826</v>
      </c>
      <c r="B21" s="3" t="s">
        <v>10827</v>
      </c>
      <c r="C21" s="4" t="s">
        <v>6377</v>
      </c>
      <c r="D21" s="3" t="s">
        <v>10812</v>
      </c>
      <c r="E21" s="3" t="s">
        <v>91</v>
      </c>
      <c r="F21" s="3"/>
      <c r="G21" s="3" t="s">
        <v>10738</v>
      </c>
      <c r="H21" s="3" t="s">
        <v>3992</v>
      </c>
      <c r="I21" s="3" t="s">
        <v>3993</v>
      </c>
      <c r="J21" s="3" t="s">
        <v>3991</v>
      </c>
      <c r="K21" s="3" t="s">
        <v>10828</v>
      </c>
      <c r="L21" s="3"/>
      <c r="M21" s="3" t="str">
        <f>HYPERLINK("https://ceds.ed.gov/cedselementdetails.aspx?termid=13701")</f>
        <v>https://ceds.ed.gov/cedselementdetails.aspx?termid=13701</v>
      </c>
      <c r="N21" s="3" t="str">
        <f>HYPERLINK("https://ceds.ed.gov/elementComment.aspx?elementName=Competency Item Education Level &amp;elementID=13701", "Click here to submit comment")</f>
        <v>Click here to submit comment</v>
      </c>
    </row>
    <row r="22" spans="1:14" ht="105" x14ac:dyDescent="0.25">
      <c r="A22" s="18" t="s">
        <v>3996</v>
      </c>
      <c r="B22" s="18" t="s">
        <v>10829</v>
      </c>
      <c r="C22" s="18" t="s">
        <v>12</v>
      </c>
      <c r="D22" s="18" t="s">
        <v>10812</v>
      </c>
      <c r="E22" s="18" t="s">
        <v>91</v>
      </c>
      <c r="F22" s="18" t="s">
        <v>119</v>
      </c>
      <c r="G22" s="18" t="s">
        <v>10738</v>
      </c>
      <c r="H22" s="3" t="s">
        <v>120</v>
      </c>
      <c r="I22" s="18" t="s">
        <v>3995</v>
      </c>
      <c r="J22" s="18" t="s">
        <v>3994</v>
      </c>
      <c r="K22" s="18" t="s">
        <v>10830</v>
      </c>
      <c r="L22" s="18" t="s">
        <v>795</v>
      </c>
      <c r="M22" s="18" t="str">
        <f>HYPERLINK("https://ceds.ed.gov/cedselementdetails.aspx?termid=13666")</f>
        <v>https://ceds.ed.gov/cedselementdetails.aspx?termid=13666</v>
      </c>
      <c r="N22" s="18" t="str">
        <f>HYPERLINK("https://ceds.ed.gov/elementComment.aspx?elementName=Competency Item Identifier &amp;elementID=13666", "Click here to submit comment")</f>
        <v>Click here to submit comment</v>
      </c>
    </row>
    <row r="23" spans="1:14" x14ac:dyDescent="0.25">
      <c r="A23" s="18"/>
      <c r="B23" s="18"/>
      <c r="C23" s="18"/>
      <c r="D23" s="18"/>
      <c r="E23" s="18"/>
      <c r="F23" s="18"/>
      <c r="G23" s="18"/>
      <c r="H23" s="3"/>
      <c r="I23" s="18"/>
      <c r="J23" s="18"/>
      <c r="K23" s="18"/>
      <c r="L23" s="18"/>
      <c r="M23" s="18"/>
      <c r="N23" s="18"/>
    </row>
    <row r="24" spans="1:14" ht="90" x14ac:dyDescent="0.25">
      <c r="A24" s="18"/>
      <c r="B24" s="18"/>
      <c r="C24" s="18"/>
      <c r="D24" s="18"/>
      <c r="E24" s="18"/>
      <c r="F24" s="18"/>
      <c r="G24" s="18"/>
      <c r="H24" s="3" t="s">
        <v>121</v>
      </c>
      <c r="I24" s="18"/>
      <c r="J24" s="18"/>
      <c r="K24" s="18"/>
      <c r="L24" s="18"/>
      <c r="M24" s="18"/>
      <c r="N24" s="18"/>
    </row>
    <row r="25" spans="1:14" ht="90" x14ac:dyDescent="0.25">
      <c r="A25" s="3" t="s">
        <v>10831</v>
      </c>
      <c r="B25" s="3" t="s">
        <v>10832</v>
      </c>
      <c r="C25" s="5" t="s">
        <v>966</v>
      </c>
      <c r="D25" s="3" t="s">
        <v>10812</v>
      </c>
      <c r="E25" s="3" t="s">
        <v>91</v>
      </c>
      <c r="F25" s="3"/>
      <c r="G25" s="3" t="s">
        <v>10738</v>
      </c>
      <c r="H25" s="5" t="s">
        <v>967</v>
      </c>
      <c r="I25" s="3" t="s">
        <v>3998</v>
      </c>
      <c r="J25" s="3" t="s">
        <v>3997</v>
      </c>
      <c r="K25" s="3" t="s">
        <v>10833</v>
      </c>
      <c r="L25" s="3"/>
      <c r="M25" s="3" t="str">
        <f>HYPERLINK("https://ceds.ed.gov/cedselementdetails.aspx?termid=13881")</f>
        <v>https://ceds.ed.gov/cedselementdetails.aspx?termid=13881</v>
      </c>
      <c r="N25" s="3" t="str">
        <f>HYPERLINK("https://ceds.ed.gov/elementComment.aspx?elementName=Competency Item Language &amp;elementID=13881", "Click here to submit comment")</f>
        <v>Click here to submit comment</v>
      </c>
    </row>
    <row r="26" spans="1:14" ht="15" customHeight="1" x14ac:dyDescent="0.25">
      <c r="A26" s="3" t="s">
        <v>10834</v>
      </c>
      <c r="B26" s="3" t="s">
        <v>10835</v>
      </c>
      <c r="C26" s="3" t="s">
        <v>12</v>
      </c>
      <c r="D26" s="3" t="s">
        <v>10812</v>
      </c>
      <c r="E26" s="3" t="s">
        <v>91</v>
      </c>
      <c r="F26" s="3" t="s">
        <v>68</v>
      </c>
      <c r="G26" s="3" t="s">
        <v>10738</v>
      </c>
      <c r="H26" s="3"/>
      <c r="I26" s="3" t="s">
        <v>4000</v>
      </c>
      <c r="J26" s="3" t="s">
        <v>3999</v>
      </c>
      <c r="K26" s="3" t="s">
        <v>10836</v>
      </c>
      <c r="L26" s="3"/>
      <c r="M26" s="3" t="str">
        <f>HYPERLINK("https://ceds.ed.gov/cedselementdetails.aspx?termid=13883")</f>
        <v>https://ceds.ed.gov/cedselementdetails.aspx?termid=13883</v>
      </c>
      <c r="N26" s="3" t="str">
        <f>HYPERLINK("https://ceds.ed.gov/elementComment.aspx?elementName=Competency Item License &amp;elementID=13883", "Click here to submit comment")</f>
        <v>Click here to submit comment</v>
      </c>
    </row>
    <row r="27" spans="1:14" ht="15" customHeight="1" x14ac:dyDescent="0.25">
      <c r="A27" s="3" t="s">
        <v>10837</v>
      </c>
      <c r="B27" s="3" t="s">
        <v>10838</v>
      </c>
      <c r="C27" s="4" t="s">
        <v>6596</v>
      </c>
      <c r="D27" s="3" t="s">
        <v>10812</v>
      </c>
      <c r="E27" s="3" t="s">
        <v>91</v>
      </c>
      <c r="F27" s="3"/>
      <c r="G27" s="3" t="s">
        <v>10738</v>
      </c>
      <c r="H27" s="3"/>
      <c r="I27" s="3" t="s">
        <v>4002</v>
      </c>
      <c r="J27" s="3" t="s">
        <v>4001</v>
      </c>
      <c r="K27" s="3" t="s">
        <v>10839</v>
      </c>
      <c r="L27" s="3"/>
      <c r="M27" s="3" t="str">
        <f>HYPERLINK("https://ceds.ed.gov/cedselementdetails.aspx?termid=13876")</f>
        <v>https://ceds.ed.gov/cedselementdetails.aspx?termid=13876</v>
      </c>
      <c r="N27" s="3" t="str">
        <f>HYPERLINK("https://ceds.ed.gov/elementComment.aspx?elementName=Competency Item Multiple Intelligence &amp;elementID=13876", "Click here to submit comment")</f>
        <v>Click here to submit comment</v>
      </c>
    </row>
    <row r="28" spans="1:14" ht="15" customHeight="1" x14ac:dyDescent="0.25">
      <c r="A28" s="3" t="s">
        <v>10840</v>
      </c>
      <c r="B28" s="3" t="s">
        <v>10841</v>
      </c>
      <c r="C28" s="4" t="s">
        <v>6597</v>
      </c>
      <c r="D28" s="3" t="s">
        <v>10842</v>
      </c>
      <c r="E28" s="3" t="s">
        <v>91</v>
      </c>
      <c r="F28" s="3"/>
      <c r="G28" s="3" t="s">
        <v>10738</v>
      </c>
      <c r="H28" s="3"/>
      <c r="I28" s="3" t="s">
        <v>4004</v>
      </c>
      <c r="J28" s="3" t="s">
        <v>4003</v>
      </c>
      <c r="K28" s="3" t="s">
        <v>10843</v>
      </c>
      <c r="L28" s="3"/>
      <c r="M28" s="3" t="str">
        <f>HYPERLINK("https://ceds.ed.gov/cedselementdetails.aspx?termid=14377")</f>
        <v>https://ceds.ed.gov/cedselementdetails.aspx?termid=14377</v>
      </c>
      <c r="N28" s="3" t="str">
        <f>HYPERLINK("https://ceds.ed.gov/elementComment.aspx?elementName=Competency Item Node Accessibility Profile &amp;elementID=14377", "Click here to submit comment")</f>
        <v>Click here to submit comment</v>
      </c>
    </row>
    <row r="29" spans="1:14" ht="45" x14ac:dyDescent="0.25">
      <c r="A29" s="3" t="s">
        <v>10844</v>
      </c>
      <c r="B29" s="3" t="s">
        <v>10845</v>
      </c>
      <c r="C29" s="3" t="s">
        <v>12</v>
      </c>
      <c r="D29" s="3" t="s">
        <v>10842</v>
      </c>
      <c r="E29" s="3" t="s">
        <v>91</v>
      </c>
      <c r="F29" s="3" t="s">
        <v>87</v>
      </c>
      <c r="G29" s="3" t="s">
        <v>10738</v>
      </c>
      <c r="H29" s="3"/>
      <c r="I29" s="3" t="s">
        <v>4006</v>
      </c>
      <c r="J29" s="3" t="s">
        <v>4005</v>
      </c>
      <c r="K29" s="3" t="s">
        <v>10846</v>
      </c>
      <c r="L29" s="3"/>
      <c r="M29" s="3" t="str">
        <f>HYPERLINK("https://ceds.ed.gov/cedselementdetails.aspx?termid=14378")</f>
        <v>https://ceds.ed.gov/cedselementdetails.aspx?termid=14378</v>
      </c>
      <c r="N29" s="3" t="str">
        <f>HYPERLINK("https://ceds.ed.gov/elementComment.aspx?elementName=Competency Item Node Name &amp;elementID=14378", "Click here to submit comment")</f>
        <v>Click here to submit comment</v>
      </c>
    </row>
    <row r="30" spans="1:14" ht="60" x14ac:dyDescent="0.25">
      <c r="A30" s="3" t="s">
        <v>10847</v>
      </c>
      <c r="B30" s="3" t="s">
        <v>10848</v>
      </c>
      <c r="C30" s="3" t="s">
        <v>12</v>
      </c>
      <c r="D30" s="3" t="s">
        <v>10812</v>
      </c>
      <c r="E30" s="3" t="s">
        <v>91</v>
      </c>
      <c r="F30" s="3" t="s">
        <v>303</v>
      </c>
      <c r="G30" s="3" t="s">
        <v>10738</v>
      </c>
      <c r="H30" s="3"/>
      <c r="I30" s="3" t="s">
        <v>4008</v>
      </c>
      <c r="J30" s="3" t="s">
        <v>4007</v>
      </c>
      <c r="K30" s="3" t="s">
        <v>10849</v>
      </c>
      <c r="L30" s="3"/>
      <c r="M30" s="3" t="str">
        <f>HYPERLINK("https://ceds.ed.gov/cedselementdetails.aspx?termid=14215")</f>
        <v>https://ceds.ed.gov/cedselementdetails.aspx?termid=14215</v>
      </c>
      <c r="N30" s="3" t="str">
        <f>HYPERLINK("https://ceds.ed.gov/elementComment.aspx?elementName=Competency Item Notes &amp;elementID=14215", "Click here to submit comment")</f>
        <v>Click here to submit comment</v>
      </c>
    </row>
    <row r="31" spans="1:14" ht="60" x14ac:dyDescent="0.25">
      <c r="A31" s="3" t="s">
        <v>10850</v>
      </c>
      <c r="B31" s="3" t="s">
        <v>10851</v>
      </c>
      <c r="C31" s="3" t="s">
        <v>12</v>
      </c>
      <c r="D31" s="3" t="s">
        <v>10812</v>
      </c>
      <c r="E31" s="3" t="s">
        <v>91</v>
      </c>
      <c r="F31" s="3" t="s">
        <v>87</v>
      </c>
      <c r="G31" s="3" t="s">
        <v>10738</v>
      </c>
      <c r="H31" s="3"/>
      <c r="I31" s="3" t="s">
        <v>4010</v>
      </c>
      <c r="J31" s="3" t="s">
        <v>4009</v>
      </c>
      <c r="K31" s="3" t="s">
        <v>10852</v>
      </c>
      <c r="L31" s="3"/>
      <c r="M31" s="3" t="str">
        <f>HYPERLINK("https://ceds.ed.gov/cedselementdetails.aspx?termid=13873")</f>
        <v>https://ceds.ed.gov/cedselementdetails.aspx?termid=13873</v>
      </c>
      <c r="N31" s="3" t="str">
        <f>HYPERLINK("https://ceds.ed.gov/elementComment.aspx?elementName=Competency Item Parent Code &amp;elementID=13873", "Click here to submit comment")</f>
        <v>Click here to submit comment</v>
      </c>
    </row>
    <row r="32" spans="1:14" ht="105" x14ac:dyDescent="0.25">
      <c r="A32" s="18" t="s">
        <v>10853</v>
      </c>
      <c r="B32" s="18" t="s">
        <v>10854</v>
      </c>
      <c r="C32" s="18" t="s">
        <v>12</v>
      </c>
      <c r="D32" s="18" t="s">
        <v>10812</v>
      </c>
      <c r="E32" s="18" t="s">
        <v>91</v>
      </c>
      <c r="F32" s="18" t="s">
        <v>119</v>
      </c>
      <c r="G32" s="18" t="s">
        <v>10738</v>
      </c>
      <c r="H32" s="3" t="s">
        <v>120</v>
      </c>
      <c r="I32" s="18" t="s">
        <v>4012</v>
      </c>
      <c r="J32" s="18" t="s">
        <v>4011</v>
      </c>
      <c r="K32" s="18" t="s">
        <v>10855</v>
      </c>
      <c r="L32" s="18"/>
      <c r="M32" s="18" t="str">
        <f>HYPERLINK("https://ceds.ed.gov/cedselementdetails.aspx?termid=13872")</f>
        <v>https://ceds.ed.gov/cedselementdetails.aspx?termid=13872</v>
      </c>
      <c r="N32" s="18" t="str">
        <f>HYPERLINK("https://ceds.ed.gov/elementComment.aspx?elementName=Competency Item Parent Identifier &amp;elementID=13872", "Click here to submit comment")</f>
        <v>Click here to submit comment</v>
      </c>
    </row>
    <row r="33" spans="1:14" x14ac:dyDescent="0.25">
      <c r="A33" s="18"/>
      <c r="B33" s="18"/>
      <c r="C33" s="18"/>
      <c r="D33" s="18"/>
      <c r="E33" s="18"/>
      <c r="F33" s="18"/>
      <c r="G33" s="18"/>
      <c r="H33" s="3"/>
      <c r="I33" s="18"/>
      <c r="J33" s="18"/>
      <c r="K33" s="18"/>
      <c r="L33" s="18"/>
      <c r="M33" s="18"/>
      <c r="N33" s="18"/>
    </row>
    <row r="34" spans="1:14" ht="90" x14ac:dyDescent="0.25">
      <c r="A34" s="18"/>
      <c r="B34" s="18"/>
      <c r="C34" s="18"/>
      <c r="D34" s="18"/>
      <c r="E34" s="18"/>
      <c r="F34" s="18"/>
      <c r="G34" s="18"/>
      <c r="H34" s="3" t="s">
        <v>121</v>
      </c>
      <c r="I34" s="18"/>
      <c r="J34" s="18"/>
      <c r="K34" s="18"/>
      <c r="L34" s="18"/>
      <c r="M34" s="18"/>
      <c r="N34" s="18"/>
    </row>
    <row r="35" spans="1:14" ht="75" x14ac:dyDescent="0.25">
      <c r="A35" s="3" t="s">
        <v>10856</v>
      </c>
      <c r="B35" s="3" t="s">
        <v>10857</v>
      </c>
      <c r="C35" s="3" t="s">
        <v>12</v>
      </c>
      <c r="D35" s="3" t="s">
        <v>10812</v>
      </c>
      <c r="E35" s="3" t="s">
        <v>91</v>
      </c>
      <c r="F35" s="3" t="s">
        <v>1143</v>
      </c>
      <c r="G35" s="3" t="s">
        <v>10738</v>
      </c>
      <c r="H35" s="3"/>
      <c r="I35" s="3" t="s">
        <v>4014</v>
      </c>
      <c r="J35" s="3" t="s">
        <v>4013</v>
      </c>
      <c r="K35" s="3" t="s">
        <v>10858</v>
      </c>
      <c r="L35" s="3"/>
      <c r="M35" s="3" t="str">
        <f>HYPERLINK("https://ceds.ed.gov/cedselementdetails.aspx?termid=14078")</f>
        <v>https://ceds.ed.gov/cedselementdetails.aspx?termid=14078</v>
      </c>
      <c r="N35" s="3" t="str">
        <f>HYPERLINK("https://ceds.ed.gov/elementComment.aspx?elementName=Competency Item Parent URL &amp;elementID=14078", "Click here to submit comment")</f>
        <v>Click here to submit comment</v>
      </c>
    </row>
    <row r="36" spans="1:14" ht="300" x14ac:dyDescent="0.25">
      <c r="A36" s="3" t="s">
        <v>10859</v>
      </c>
      <c r="B36" s="3" t="s">
        <v>10860</v>
      </c>
      <c r="C36" s="3" t="s">
        <v>12</v>
      </c>
      <c r="D36" s="3" t="s">
        <v>10812</v>
      </c>
      <c r="E36" s="3" t="s">
        <v>91</v>
      </c>
      <c r="F36" s="3" t="s">
        <v>119</v>
      </c>
      <c r="G36" s="3" t="s">
        <v>10738</v>
      </c>
      <c r="H36" s="3" t="s">
        <v>10861</v>
      </c>
      <c r="I36" s="3" t="s">
        <v>4016</v>
      </c>
      <c r="J36" s="3" t="s">
        <v>4015</v>
      </c>
      <c r="K36" s="3" t="s">
        <v>10862</v>
      </c>
      <c r="L36" s="3" t="s">
        <v>795</v>
      </c>
      <c r="M36" s="3" t="str">
        <f>HYPERLINK("https://ceds.ed.gov/cedselementdetails.aspx?termid=13691")</f>
        <v>https://ceds.ed.gov/cedselementdetails.aspx?termid=13691</v>
      </c>
      <c r="N36" s="3" t="str">
        <f>HYPERLINK("https://ceds.ed.gov/elementComment.aspx?elementName=Competency Item Prerequisite Identifier &amp;elementID=13691", "Click here to submit comment")</f>
        <v>Click here to submit comment</v>
      </c>
    </row>
    <row r="37" spans="1:14" ht="240" x14ac:dyDescent="0.25">
      <c r="A37" s="18" t="s">
        <v>10863</v>
      </c>
      <c r="B37" s="18" t="s">
        <v>10864</v>
      </c>
      <c r="C37" s="18" t="s">
        <v>12</v>
      </c>
      <c r="D37" s="18" t="s">
        <v>10812</v>
      </c>
      <c r="E37" s="18" t="s">
        <v>91</v>
      </c>
      <c r="F37" s="18" t="s">
        <v>119</v>
      </c>
      <c r="G37" s="18" t="s">
        <v>10738</v>
      </c>
      <c r="H37" s="3" t="s">
        <v>3989</v>
      </c>
      <c r="I37" s="18" t="s">
        <v>4018</v>
      </c>
      <c r="J37" s="18" t="s">
        <v>4017</v>
      </c>
      <c r="K37" s="18" t="s">
        <v>10865</v>
      </c>
      <c r="L37" s="18"/>
      <c r="M37" s="18" t="str">
        <f>HYPERLINK("https://ceds.ed.gov/cedselementdetails.aspx?termid=14498")</f>
        <v>https://ceds.ed.gov/cedselementdetails.aspx?termid=14498</v>
      </c>
      <c r="N37" s="18" t="str">
        <f>HYPERLINK("https://ceds.ed.gov/elementComment.aspx?elementName=Competency Item Previous Version Identifier &amp;elementID=14498", "Click here to submit comment")</f>
        <v>Click here to submit comment</v>
      </c>
    </row>
    <row r="38" spans="1:14" x14ac:dyDescent="0.25">
      <c r="A38" s="18"/>
      <c r="B38" s="18"/>
      <c r="C38" s="18"/>
      <c r="D38" s="18"/>
      <c r="E38" s="18"/>
      <c r="F38" s="18"/>
      <c r="G38" s="18"/>
      <c r="H38" s="3"/>
      <c r="I38" s="18"/>
      <c r="J38" s="18"/>
      <c r="K38" s="18"/>
      <c r="L38" s="18"/>
      <c r="M38" s="18"/>
      <c r="N38" s="18"/>
    </row>
    <row r="39" spans="1:14" x14ac:dyDescent="0.25">
      <c r="A39" s="18"/>
      <c r="B39" s="18"/>
      <c r="C39" s="18"/>
      <c r="D39" s="18"/>
      <c r="E39" s="18"/>
      <c r="F39" s="18"/>
      <c r="G39" s="18"/>
      <c r="H39" s="3"/>
      <c r="I39" s="18"/>
      <c r="J39" s="18"/>
      <c r="K39" s="18"/>
      <c r="L39" s="18"/>
      <c r="M39" s="18"/>
      <c r="N39" s="18"/>
    </row>
    <row r="40" spans="1:14" ht="105" x14ac:dyDescent="0.25">
      <c r="A40" s="18"/>
      <c r="B40" s="18"/>
      <c r="C40" s="18"/>
      <c r="D40" s="18"/>
      <c r="E40" s="18"/>
      <c r="F40" s="18"/>
      <c r="G40" s="18"/>
      <c r="H40" s="3" t="s">
        <v>120</v>
      </c>
      <c r="I40" s="18"/>
      <c r="J40" s="18"/>
      <c r="K40" s="18"/>
      <c r="L40" s="18"/>
      <c r="M40" s="18"/>
      <c r="N40" s="18"/>
    </row>
    <row r="41" spans="1:14" x14ac:dyDescent="0.25">
      <c r="A41" s="18"/>
      <c r="B41" s="18"/>
      <c r="C41" s="18"/>
      <c r="D41" s="18"/>
      <c r="E41" s="18"/>
      <c r="F41" s="18"/>
      <c r="G41" s="18"/>
      <c r="H41" s="3"/>
      <c r="I41" s="18"/>
      <c r="J41" s="18"/>
      <c r="K41" s="18"/>
      <c r="L41" s="18"/>
      <c r="M41" s="18"/>
      <c r="N41" s="18"/>
    </row>
    <row r="42" spans="1:14" x14ac:dyDescent="0.25">
      <c r="A42" s="18"/>
      <c r="B42" s="18"/>
      <c r="C42" s="18"/>
      <c r="D42" s="18"/>
      <c r="E42" s="18"/>
      <c r="F42" s="18"/>
      <c r="G42" s="18"/>
      <c r="H42" s="3"/>
      <c r="I42" s="18"/>
      <c r="J42" s="18"/>
      <c r="K42" s="18"/>
      <c r="L42" s="18"/>
      <c r="M42" s="18"/>
      <c r="N42" s="18"/>
    </row>
    <row r="43" spans="1:14" ht="90" x14ac:dyDescent="0.25">
      <c r="A43" s="18"/>
      <c r="B43" s="18"/>
      <c r="C43" s="18"/>
      <c r="D43" s="18"/>
      <c r="E43" s="18"/>
      <c r="F43" s="18"/>
      <c r="G43" s="18"/>
      <c r="H43" s="3" t="s">
        <v>121</v>
      </c>
      <c r="I43" s="18"/>
      <c r="J43" s="18"/>
      <c r="K43" s="18"/>
      <c r="L43" s="18"/>
      <c r="M43" s="18"/>
      <c r="N43" s="18"/>
    </row>
    <row r="44" spans="1:14" ht="75" x14ac:dyDescent="0.25">
      <c r="A44" s="3" t="s">
        <v>10866</v>
      </c>
      <c r="B44" s="3" t="s">
        <v>4020</v>
      </c>
      <c r="C44" s="3" t="s">
        <v>12</v>
      </c>
      <c r="D44" s="3" t="s">
        <v>10867</v>
      </c>
      <c r="E44" s="3" t="s">
        <v>91</v>
      </c>
      <c r="F44" s="3" t="s">
        <v>92</v>
      </c>
      <c r="G44" s="3" t="s">
        <v>10738</v>
      </c>
      <c r="H44" s="3" t="s">
        <v>4021</v>
      </c>
      <c r="I44" s="3" t="s">
        <v>4022</v>
      </c>
      <c r="J44" s="3" t="s">
        <v>4019</v>
      </c>
      <c r="K44" s="3" t="s">
        <v>10868</v>
      </c>
      <c r="L44" s="3"/>
      <c r="M44" s="3" t="str">
        <f>HYPERLINK("https://ceds.ed.gov/cedselementdetails.aspx?termid=14549")</f>
        <v>https://ceds.ed.gov/cedselementdetails.aspx?termid=14549</v>
      </c>
      <c r="N44" s="3" t="str">
        <f>HYPERLINK("https://ceds.ed.gov/elementComment.aspx?elementName=Competency Item Sequence &amp;elementID=14549", "Click here to submit comment")</f>
        <v>Click here to submit comment</v>
      </c>
    </row>
    <row r="45" spans="1:14" ht="225" x14ac:dyDescent="0.25">
      <c r="A45" s="3" t="s">
        <v>4026</v>
      </c>
      <c r="B45" s="3" t="s">
        <v>10869</v>
      </c>
      <c r="C45" s="3" t="s">
        <v>12</v>
      </c>
      <c r="D45" s="3" t="s">
        <v>10815</v>
      </c>
      <c r="E45" s="3" t="s">
        <v>91</v>
      </c>
      <c r="F45" s="3" t="s">
        <v>303</v>
      </c>
      <c r="G45" s="3" t="s">
        <v>10738</v>
      </c>
      <c r="H45" s="3" t="s">
        <v>4024</v>
      </c>
      <c r="I45" s="3" t="s">
        <v>4025</v>
      </c>
      <c r="J45" s="3" t="s">
        <v>4023</v>
      </c>
      <c r="K45" s="3" t="s">
        <v>10870</v>
      </c>
      <c r="L45" s="3" t="s">
        <v>795</v>
      </c>
      <c r="M45" s="3" t="str">
        <f>HYPERLINK("https://ceds.ed.gov/cedselementdetails.aspx?termid=13667")</f>
        <v>https://ceds.ed.gov/cedselementdetails.aspx?termid=13667</v>
      </c>
      <c r="N45" s="3" t="str">
        <f>HYPERLINK("https://ceds.ed.gov/elementComment.aspx?elementName=Competency Item Statement &amp;elementID=13667", "Click here to submit comment")</f>
        <v>Click here to submit comment</v>
      </c>
    </row>
    <row r="46" spans="1:14" ht="105" x14ac:dyDescent="0.25">
      <c r="A46" s="3" t="s">
        <v>10871</v>
      </c>
      <c r="B46" s="3" t="s">
        <v>10872</v>
      </c>
      <c r="C46" s="4" t="s">
        <v>6598</v>
      </c>
      <c r="D46" s="3" t="s">
        <v>10842</v>
      </c>
      <c r="E46" s="3" t="s">
        <v>91</v>
      </c>
      <c r="F46" s="3"/>
      <c r="G46" s="3" t="s">
        <v>10738</v>
      </c>
      <c r="H46" s="3"/>
      <c r="I46" s="3" t="s">
        <v>4028</v>
      </c>
      <c r="J46" s="3" t="s">
        <v>4027</v>
      </c>
      <c r="K46" s="3" t="s">
        <v>10873</v>
      </c>
      <c r="L46" s="3"/>
      <c r="M46" s="3" t="str">
        <f>HYPERLINK("https://ceds.ed.gov/cedselementdetails.aspx?termid=14380")</f>
        <v>https://ceds.ed.gov/cedselementdetails.aspx?termid=14380</v>
      </c>
      <c r="N46" s="3" t="str">
        <f>HYPERLINK("https://ceds.ed.gov/elementComment.aspx?elementName=Competency Item Testability Type &amp;elementID=14380", "Click here to submit comment")</f>
        <v>Click here to submit comment</v>
      </c>
    </row>
    <row r="47" spans="1:14" ht="75" x14ac:dyDescent="0.25">
      <c r="A47" s="3" t="s">
        <v>10874</v>
      </c>
      <c r="B47" s="3" t="s">
        <v>10875</v>
      </c>
      <c r="C47" s="3" t="s">
        <v>12</v>
      </c>
      <c r="D47" s="3" t="s">
        <v>10812</v>
      </c>
      <c r="E47" s="3" t="s">
        <v>91</v>
      </c>
      <c r="F47" s="3" t="s">
        <v>134</v>
      </c>
      <c r="G47" s="3" t="s">
        <v>10738</v>
      </c>
      <c r="H47" s="3"/>
      <c r="I47" s="3" t="s">
        <v>4030</v>
      </c>
      <c r="J47" s="3" t="s">
        <v>4029</v>
      </c>
      <c r="K47" s="3" t="s">
        <v>10876</v>
      </c>
      <c r="L47" s="3"/>
      <c r="M47" s="3" t="str">
        <f>HYPERLINK("https://ceds.ed.gov/cedselementdetails.aspx?termid=14115")</f>
        <v>https://ceds.ed.gov/cedselementdetails.aspx?termid=14115</v>
      </c>
      <c r="N47" s="3" t="str">
        <f>HYPERLINK("https://ceds.ed.gov/elementComment.aspx?elementName=Competency Item Text Complexity Maximum Value &amp;elementID=14115", "Click here to submit comment")</f>
        <v>Click here to submit comment</v>
      </c>
    </row>
    <row r="48" spans="1:14" ht="15" customHeight="1" x14ac:dyDescent="0.25">
      <c r="A48" s="3" t="s">
        <v>10877</v>
      </c>
      <c r="B48" s="3" t="s">
        <v>10878</v>
      </c>
      <c r="C48" s="3" t="s">
        <v>12</v>
      </c>
      <c r="D48" s="3" t="s">
        <v>10812</v>
      </c>
      <c r="E48" s="3" t="s">
        <v>91</v>
      </c>
      <c r="F48" s="3" t="s">
        <v>134</v>
      </c>
      <c r="G48" s="3" t="s">
        <v>10738</v>
      </c>
      <c r="H48" s="3"/>
      <c r="I48" s="3" t="s">
        <v>4032</v>
      </c>
      <c r="J48" s="3" t="s">
        <v>4031</v>
      </c>
      <c r="K48" s="3" t="s">
        <v>10879</v>
      </c>
      <c r="L48" s="3"/>
      <c r="M48" s="3" t="str">
        <f>HYPERLINK("https://ceds.ed.gov/cedselementdetails.aspx?termid=14114")</f>
        <v>https://ceds.ed.gov/cedselementdetails.aspx?termid=14114</v>
      </c>
      <c r="N48" s="3" t="str">
        <f>HYPERLINK("https://ceds.ed.gov/elementComment.aspx?elementName=Competency Item Text Complexity Minimum Value &amp;elementID=14114", "Click here to submit comment")</f>
        <v>Click here to submit comment</v>
      </c>
    </row>
    <row r="49" spans="1:14" ht="15" customHeight="1" x14ac:dyDescent="0.25">
      <c r="A49" s="3" t="s">
        <v>10880</v>
      </c>
      <c r="B49" s="3" t="s">
        <v>10881</v>
      </c>
      <c r="C49" s="3" t="s">
        <v>12</v>
      </c>
      <c r="D49" s="3" t="s">
        <v>10812</v>
      </c>
      <c r="E49" s="3" t="s">
        <v>91</v>
      </c>
      <c r="F49" s="3" t="s">
        <v>87</v>
      </c>
      <c r="G49" s="3" t="s">
        <v>10738</v>
      </c>
      <c r="H49" s="3"/>
      <c r="I49" s="3" t="s">
        <v>4034</v>
      </c>
      <c r="J49" s="3" t="s">
        <v>4033</v>
      </c>
      <c r="K49" s="3" t="s">
        <v>10882</v>
      </c>
      <c r="L49" s="3"/>
      <c r="M49" s="3" t="str">
        <f>HYPERLINK("https://ceds.ed.gov/cedselementdetails.aspx?termid=13910")</f>
        <v>https://ceds.ed.gov/cedselementdetails.aspx?termid=13910</v>
      </c>
      <c r="N49" s="3" t="str">
        <f>HYPERLINK("https://ceds.ed.gov/elementComment.aspx?elementName=Competency Item Text Complexity System &amp;elementID=13910", "Click here to submit comment")</f>
        <v>Click here to submit comment</v>
      </c>
    </row>
    <row r="50" spans="1:14" ht="15" customHeight="1" x14ac:dyDescent="0.25">
      <c r="A50" s="3" t="s">
        <v>4038</v>
      </c>
      <c r="B50" s="3" t="s">
        <v>4036</v>
      </c>
      <c r="C50" s="3" t="s">
        <v>12</v>
      </c>
      <c r="D50" s="3" t="s">
        <v>10812</v>
      </c>
      <c r="E50" s="3" t="s">
        <v>91</v>
      </c>
      <c r="F50" s="3" t="s">
        <v>92</v>
      </c>
      <c r="G50" s="3" t="s">
        <v>10738</v>
      </c>
      <c r="H50" s="3"/>
      <c r="I50" s="3" t="s">
        <v>4037</v>
      </c>
      <c r="J50" s="3" t="s">
        <v>4035</v>
      </c>
      <c r="K50" s="3" t="s">
        <v>10883</v>
      </c>
      <c r="L50" s="3" t="s">
        <v>795</v>
      </c>
      <c r="M50" s="3" t="str">
        <f>HYPERLINK("https://ceds.ed.gov/cedselementdetails.aspx?termid=13668")</f>
        <v>https://ceds.ed.gov/cedselementdetails.aspx?termid=13668</v>
      </c>
      <c r="N50" s="3" t="str">
        <f>HYPERLINK("https://ceds.ed.gov/elementComment.aspx?elementName=Competency Item Type &amp;elementID=13668", "Click here to submit comment")</f>
        <v>Click here to submit comment</v>
      </c>
    </row>
    <row r="51" spans="1:14" ht="60" x14ac:dyDescent="0.25">
      <c r="A51" s="3" t="s">
        <v>10884</v>
      </c>
      <c r="B51" s="3" t="s">
        <v>10885</v>
      </c>
      <c r="C51" s="3" t="s">
        <v>12</v>
      </c>
      <c r="D51" s="3" t="s">
        <v>10812</v>
      </c>
      <c r="E51" s="3" t="s">
        <v>91</v>
      </c>
      <c r="F51" s="3" t="s">
        <v>1143</v>
      </c>
      <c r="G51" s="3" t="s">
        <v>10738</v>
      </c>
      <c r="H51" s="3"/>
      <c r="I51" s="3" t="s">
        <v>10886</v>
      </c>
      <c r="J51" s="3"/>
      <c r="K51" s="3" t="s">
        <v>10887</v>
      </c>
      <c r="L51" s="3"/>
      <c r="M51" s="3" t="str">
        <f>HYPERLINK("https://ceds.ed.gov/cedselementdetails.aspx?termid=14738")</f>
        <v>https://ceds.ed.gov/cedselementdetails.aspx?termid=14738</v>
      </c>
      <c r="N51" s="3" t="str">
        <f>HYPERLINK("https://ceds.ed.gov/elementComment.aspx?elementName=Competency Item Type URL &amp;elementID=14738", "Click here to submit comment")</f>
        <v>Click here to submit comment</v>
      </c>
    </row>
    <row r="52" spans="1:14" ht="60" x14ac:dyDescent="0.25">
      <c r="A52" s="3" t="s">
        <v>10888</v>
      </c>
      <c r="B52" s="3" t="s">
        <v>4040</v>
      </c>
      <c r="C52" s="3" t="s">
        <v>12</v>
      </c>
      <c r="D52" s="3" t="s">
        <v>10812</v>
      </c>
      <c r="E52" s="3" t="s">
        <v>91</v>
      </c>
      <c r="F52" s="3" t="s">
        <v>1165</v>
      </c>
      <c r="G52" s="3" t="s">
        <v>10738</v>
      </c>
      <c r="H52" s="3" t="s">
        <v>4041</v>
      </c>
      <c r="I52" s="3" t="s">
        <v>4042</v>
      </c>
      <c r="J52" s="3" t="s">
        <v>4039</v>
      </c>
      <c r="K52" s="3" t="s">
        <v>10889</v>
      </c>
      <c r="L52" s="3"/>
      <c r="M52" s="3" t="str">
        <f>HYPERLINK("https://ceds.ed.gov/cedselementdetails.aspx?termid=13870")</f>
        <v>https://ceds.ed.gov/cedselementdetails.aspx?termid=13870</v>
      </c>
      <c r="N52" s="3" t="str">
        <f>HYPERLINK("https://ceds.ed.gov/elementComment.aspx?elementName=Competency Item Typical Age Range &amp;elementID=13870", "Click here to submit comment")</f>
        <v>Click here to submit comment</v>
      </c>
    </row>
    <row r="53" spans="1:14" ht="180" x14ac:dyDescent="0.25">
      <c r="A53" s="3" t="s">
        <v>10890</v>
      </c>
      <c r="B53" s="3" t="s">
        <v>10891</v>
      </c>
      <c r="C53" s="3" t="s">
        <v>12</v>
      </c>
      <c r="D53" s="3" t="s">
        <v>10892</v>
      </c>
      <c r="E53" s="3" t="s">
        <v>91</v>
      </c>
      <c r="F53" s="3" t="s">
        <v>1143</v>
      </c>
      <c r="G53" s="3" t="s">
        <v>10738</v>
      </c>
      <c r="H53" s="3" t="s">
        <v>121</v>
      </c>
      <c r="I53" s="3" t="s">
        <v>4044</v>
      </c>
      <c r="J53" s="3" t="s">
        <v>4043</v>
      </c>
      <c r="K53" s="3" t="s">
        <v>10893</v>
      </c>
      <c r="L53" s="3"/>
      <c r="M53" s="3" t="str">
        <f>HYPERLINK("https://ceds.ed.gov/cedselementdetails.aspx?termid=13874")</f>
        <v>https://ceds.ed.gov/cedselementdetails.aspx?termid=13874</v>
      </c>
      <c r="N53" s="3" t="str">
        <f>HYPERLINK("https://ceds.ed.gov/elementComment.aspx?elementName=Competency Item URL &amp;elementID=13874", "Click here to submit comment")</f>
        <v>Click here to submit comment</v>
      </c>
    </row>
    <row r="54" spans="1:14" ht="75" x14ac:dyDescent="0.25">
      <c r="A54" s="3" t="s">
        <v>10894</v>
      </c>
      <c r="B54" s="3" t="s">
        <v>10895</v>
      </c>
      <c r="C54" s="3" t="s">
        <v>12</v>
      </c>
      <c r="D54" s="3" t="s">
        <v>10896</v>
      </c>
      <c r="E54" s="3" t="s">
        <v>91</v>
      </c>
      <c r="F54" s="3" t="s">
        <v>73</v>
      </c>
      <c r="G54" s="3" t="s">
        <v>10897</v>
      </c>
      <c r="H54" s="3" t="s">
        <v>10898</v>
      </c>
      <c r="I54" s="3" t="s">
        <v>4046</v>
      </c>
      <c r="J54" s="3" t="s">
        <v>4045</v>
      </c>
      <c r="K54" s="3" t="s">
        <v>10899</v>
      </c>
      <c r="L54" s="3"/>
      <c r="M54" s="3" t="str">
        <f>HYPERLINK("https://ceds.ed.gov/cedselementdetails.aspx?termid=14483")</f>
        <v>https://ceds.ed.gov/cedselementdetails.aspx?termid=14483</v>
      </c>
      <c r="N54" s="3" t="str">
        <f>HYPERLINK("https://ceds.ed.gov/elementComment.aspx?elementName=Competency Item Valid End Date &amp;elementID=14483", "Click here to submit comment")</f>
        <v>Click here to submit comment</v>
      </c>
    </row>
    <row r="55" spans="1:14" ht="60" x14ac:dyDescent="0.25">
      <c r="A55" s="3" t="s">
        <v>10900</v>
      </c>
      <c r="B55" s="3" t="s">
        <v>10901</v>
      </c>
      <c r="C55" s="3" t="s">
        <v>12</v>
      </c>
      <c r="D55" s="3" t="s">
        <v>10896</v>
      </c>
      <c r="E55" s="3" t="s">
        <v>91</v>
      </c>
      <c r="F55" s="3" t="s">
        <v>73</v>
      </c>
      <c r="G55" s="3" t="s">
        <v>10738</v>
      </c>
      <c r="H55" s="3"/>
      <c r="I55" s="3" t="s">
        <v>4048</v>
      </c>
      <c r="J55" s="3" t="s">
        <v>4047</v>
      </c>
      <c r="K55" s="3" t="s">
        <v>10902</v>
      </c>
      <c r="L55" s="3"/>
      <c r="M55" s="3" t="str">
        <f>HYPERLINK("https://ceds.ed.gov/cedselementdetails.aspx?termid=14484")</f>
        <v>https://ceds.ed.gov/cedselementdetails.aspx?termid=14484</v>
      </c>
      <c r="N55" s="3" t="str">
        <f>HYPERLINK("https://ceds.ed.gov/elementComment.aspx?elementName=Competency Item Valid Start Date &amp;elementID=14484", "Click here to submit comment")</f>
        <v>Click here to submit comment</v>
      </c>
    </row>
    <row r="56" spans="1:14" ht="60" x14ac:dyDescent="0.25">
      <c r="A56" s="3" t="s">
        <v>10903</v>
      </c>
      <c r="B56" s="3" t="s">
        <v>10904</v>
      </c>
      <c r="C56" s="3" t="s">
        <v>12</v>
      </c>
      <c r="D56" s="3" t="s">
        <v>10812</v>
      </c>
      <c r="E56" s="3" t="s">
        <v>91</v>
      </c>
      <c r="F56" s="3" t="s">
        <v>303</v>
      </c>
      <c r="G56" s="3" t="s">
        <v>10738</v>
      </c>
      <c r="H56" s="3"/>
      <c r="I56" s="3" t="s">
        <v>4050</v>
      </c>
      <c r="J56" s="3" t="s">
        <v>4049</v>
      </c>
      <c r="K56" s="3" t="s">
        <v>10905</v>
      </c>
      <c r="L56" s="3"/>
      <c r="M56" s="3" t="str">
        <f>HYPERLINK("https://ceds.ed.gov/cedselementdetails.aspx?termid=14216")</f>
        <v>https://ceds.ed.gov/cedselementdetails.aspx?termid=14216</v>
      </c>
      <c r="N56" s="3" t="str">
        <f>HYPERLINK("https://ceds.ed.gov/elementComment.aspx?elementName=Competency Item Version &amp;elementID=14216", "Click here to submit comment")</f>
        <v>Click here to submit comment</v>
      </c>
    </row>
    <row r="57" spans="1:14" ht="330" x14ac:dyDescent="0.25">
      <c r="A57" s="3" t="s">
        <v>2003</v>
      </c>
      <c r="B57" s="3" t="s">
        <v>2004</v>
      </c>
      <c r="C57" s="4" t="s">
        <v>11840</v>
      </c>
      <c r="D57" s="3" t="s">
        <v>10520</v>
      </c>
      <c r="E57" s="3" t="s">
        <v>91</v>
      </c>
      <c r="F57" s="3"/>
      <c r="G57" s="3"/>
      <c r="H57" s="3"/>
      <c r="I57" s="3" t="s">
        <v>2005</v>
      </c>
      <c r="J57" s="3"/>
      <c r="K57" s="3" t="s">
        <v>2006</v>
      </c>
      <c r="L57" s="3" t="s">
        <v>6176</v>
      </c>
      <c r="M57" s="3" t="str">
        <f>HYPERLINK("https://ceds.ed.gov/cedselementdetails.aspx?termid=13061")</f>
        <v>https://ceds.ed.gov/cedselementdetails.aspx?termid=13061</v>
      </c>
      <c r="N57" s="3" t="str">
        <f>HYPERLINK("https://ceds.ed.gov/elementComment.aspx?elementName=Course Level Characteristic &amp;elementID=13061", "Click here to submit comment")</f>
        <v>Click here to submit comment</v>
      </c>
    </row>
    <row r="58" spans="1:14" ht="390" x14ac:dyDescent="0.25">
      <c r="A58" s="3" t="s">
        <v>2007</v>
      </c>
      <c r="B58" s="3" t="s">
        <v>2008</v>
      </c>
      <c r="C58" s="4" t="s">
        <v>11841</v>
      </c>
      <c r="D58" s="3" t="s">
        <v>10942</v>
      </c>
      <c r="E58" s="3" t="s">
        <v>91</v>
      </c>
      <c r="F58" s="3"/>
      <c r="G58" s="3"/>
      <c r="H58" s="3"/>
      <c r="I58" s="3" t="s">
        <v>2009</v>
      </c>
      <c r="J58" s="3"/>
      <c r="K58" s="3" t="s">
        <v>2010</v>
      </c>
      <c r="L58" s="3"/>
      <c r="M58" s="3" t="str">
        <f>HYPERLINK("https://ceds.ed.gov/cedselementdetails.aspx?termid=14278")</f>
        <v>https://ceds.ed.gov/cedselementdetails.aspx?termid=14278</v>
      </c>
      <c r="N58" s="3" t="str">
        <f>HYPERLINK("https://ceds.ed.gov/elementComment.aspx?elementName=Course Level Type &amp;elementID=14278", "Click here to submit comment")</f>
        <v>Click here to submit comment</v>
      </c>
    </row>
    <row r="59" spans="1:14" ht="60" x14ac:dyDescent="0.25">
      <c r="A59" s="3" t="s">
        <v>11142</v>
      </c>
      <c r="B59" s="3" t="s">
        <v>11143</v>
      </c>
      <c r="C59" s="3" t="s">
        <v>12</v>
      </c>
      <c r="D59" s="3" t="s">
        <v>11144</v>
      </c>
      <c r="E59" s="3" t="s">
        <v>91</v>
      </c>
      <c r="F59" s="3" t="s">
        <v>73</v>
      </c>
      <c r="G59" s="3" t="s">
        <v>11145</v>
      </c>
      <c r="H59" s="3"/>
      <c r="I59" s="3" t="s">
        <v>4073</v>
      </c>
      <c r="J59" s="3" t="s">
        <v>4074</v>
      </c>
      <c r="K59" s="3" t="s">
        <v>12224</v>
      </c>
      <c r="L59" s="3"/>
      <c r="M59" s="3" t="str">
        <f>HYPERLINK("https://ceds.ed.gov/cedselementdetails.aspx?termid=14213")</f>
        <v>https://ceds.ed.gov/cedselementdetails.aspx?termid=14213</v>
      </c>
      <c r="N59" s="3" t="str">
        <f>HYPERLINK("https://ceds.ed.gov/elementComment.aspx?elementName=English Learner Entry Date &amp;elementID=14213", "Click here to submit comment")</f>
        <v>Click here to submit comment</v>
      </c>
    </row>
    <row r="60" spans="1:14" ht="60" x14ac:dyDescent="0.25">
      <c r="A60" s="3" t="s">
        <v>11147</v>
      </c>
      <c r="B60" s="3" t="s">
        <v>11148</v>
      </c>
      <c r="C60" s="3" t="s">
        <v>12</v>
      </c>
      <c r="D60" s="3" t="s">
        <v>11144</v>
      </c>
      <c r="E60" s="3" t="s">
        <v>91</v>
      </c>
      <c r="F60" s="3" t="s">
        <v>73</v>
      </c>
      <c r="G60" s="3" t="s">
        <v>11145</v>
      </c>
      <c r="H60" s="3"/>
      <c r="I60" s="3" t="s">
        <v>4075</v>
      </c>
      <c r="J60" s="3" t="s">
        <v>4076</v>
      </c>
      <c r="K60" s="3" t="s">
        <v>11146</v>
      </c>
      <c r="L60" s="3" t="s">
        <v>199</v>
      </c>
      <c r="M60" s="3" t="str">
        <f>HYPERLINK("https://ceds.ed.gov/cedselementdetails.aspx?termid=13562")</f>
        <v>https://ceds.ed.gov/cedselementdetails.aspx?termid=13562</v>
      </c>
      <c r="N60" s="3" t="str">
        <f>HYPERLINK("https://ceds.ed.gov/elementComment.aspx?elementName=English Learner Exit Date &amp;elementID=13562", "Click here to submit comment")</f>
        <v>Click here to submit comment</v>
      </c>
    </row>
    <row r="61" spans="1:14" ht="409.5" x14ac:dyDescent="0.25">
      <c r="A61" s="3" t="s">
        <v>11150</v>
      </c>
      <c r="B61" s="3" t="s">
        <v>11151</v>
      </c>
      <c r="C61" s="3" t="s">
        <v>6106</v>
      </c>
      <c r="D61" s="3" t="s">
        <v>11152</v>
      </c>
      <c r="E61" s="3" t="s">
        <v>91</v>
      </c>
      <c r="F61" s="3"/>
      <c r="G61" s="3" t="s">
        <v>11153</v>
      </c>
      <c r="H61" s="3" t="s">
        <v>11154</v>
      </c>
      <c r="I61" s="3" t="s">
        <v>4077</v>
      </c>
      <c r="J61" s="3" t="s">
        <v>4078</v>
      </c>
      <c r="K61" s="3" t="s">
        <v>11155</v>
      </c>
      <c r="L61" s="3" t="s">
        <v>6155</v>
      </c>
      <c r="M61" s="3" t="str">
        <f>HYPERLINK("https://ceds.ed.gov/cedselementdetails.aspx?termid=13180")</f>
        <v>https://ceds.ed.gov/cedselementdetails.aspx?termid=13180</v>
      </c>
      <c r="N61" s="3" t="str">
        <f>HYPERLINK("https://ceds.ed.gov/elementComment.aspx?elementName=English Learner Status &amp;elementID=13180", "Click here to submit comment")</f>
        <v>Click here to submit comment</v>
      </c>
    </row>
    <row r="62" spans="1:14" ht="270" x14ac:dyDescent="0.25">
      <c r="A62" s="3" t="s">
        <v>3416</v>
      </c>
      <c r="B62" s="3" t="s">
        <v>3417</v>
      </c>
      <c r="C62" s="4" t="s">
        <v>11889</v>
      </c>
      <c r="D62" s="3" t="s">
        <v>6232</v>
      </c>
      <c r="E62" s="3" t="s">
        <v>91</v>
      </c>
      <c r="F62" s="3"/>
      <c r="G62" s="3"/>
      <c r="H62" s="3"/>
      <c r="I62" s="3" t="s">
        <v>3418</v>
      </c>
      <c r="J62" s="3"/>
      <c r="K62" s="3" t="s">
        <v>3419</v>
      </c>
      <c r="L62" s="3" t="s">
        <v>6124</v>
      </c>
      <c r="M62" s="3" t="str">
        <f>HYPERLINK("https://ceds.ed.gov/cedselementdetails.aspx?termid=13320")</f>
        <v>https://ceds.ed.gov/cedselementdetails.aspx?termid=13320</v>
      </c>
      <c r="N62" s="3" t="str">
        <f>HYPERLINK("https://ceds.ed.gov/elementComment.aspx?elementName=Individualized Program Type &amp;elementID=13320", "Click here to submit comment")</f>
        <v>Click here to submit comment</v>
      </c>
    </row>
    <row r="63" spans="1:14" ht="165" x14ac:dyDescent="0.25">
      <c r="A63" s="3" t="s">
        <v>11625</v>
      </c>
      <c r="B63" s="3" t="s">
        <v>3723</v>
      </c>
      <c r="C63" s="4" t="s">
        <v>6580</v>
      </c>
      <c r="D63" s="3" t="s">
        <v>3724</v>
      </c>
      <c r="E63" s="3" t="s">
        <v>91</v>
      </c>
      <c r="F63" s="3"/>
      <c r="G63" s="3" t="s">
        <v>11626</v>
      </c>
      <c r="H63" s="3"/>
      <c r="I63" s="3" t="s">
        <v>3725</v>
      </c>
      <c r="J63" s="3"/>
      <c r="K63" s="3" t="s">
        <v>11627</v>
      </c>
      <c r="L63" s="3"/>
      <c r="M63" s="3" t="str">
        <f>HYPERLINK("https://ceds.ed.gov/cedselementdetails.aspx?termid=14537")</f>
        <v>https://ceds.ed.gov/cedselementdetails.aspx?termid=14537</v>
      </c>
      <c r="N63" s="3" t="str">
        <f>HYPERLINK("https://ceds.ed.gov/elementComment.aspx?elementName=Learning Resource Access Rights URL &amp;elementID=14537", "Click here to submit comment")</f>
        <v>Click here to submit comment</v>
      </c>
    </row>
    <row r="64" spans="1:14" ht="105" x14ac:dyDescent="0.25">
      <c r="A64" s="15" t="s">
        <v>4258</v>
      </c>
      <c r="B64" s="15" t="s">
        <v>4259</v>
      </c>
      <c r="C64" s="16" t="s">
        <v>6621</v>
      </c>
      <c r="D64" s="15" t="s">
        <v>1754</v>
      </c>
      <c r="E64" s="15" t="s">
        <v>91</v>
      </c>
      <c r="F64" s="15"/>
      <c r="G64" s="17" t="s">
        <v>12223</v>
      </c>
      <c r="H64" s="15"/>
      <c r="I64" s="15" t="s">
        <v>4260</v>
      </c>
      <c r="J64" s="15"/>
      <c r="K64" s="15" t="s">
        <v>4261</v>
      </c>
      <c r="L64" s="15"/>
      <c r="M64" s="15" t="str">
        <f>HYPERLINK("https://ceds.ed.gov/cedselementdetails.aspx?termid=14555")</f>
        <v>https://ceds.ed.gov/cedselementdetails.aspx?termid=14555</v>
      </c>
      <c r="N64" s="15" t="str">
        <f>HYPERLINK("https://ceds.ed.gov/elementComment.aspx?elementName=Military Connected Student Indicator &amp;elementID=14555", "Click here to submit comment")</f>
        <v>Click here to submit comment</v>
      </c>
    </row>
    <row r="65" spans="1:14" ht="105" x14ac:dyDescent="0.25">
      <c r="A65" s="3" t="s">
        <v>4342</v>
      </c>
      <c r="B65" s="3" t="s">
        <v>11640</v>
      </c>
      <c r="C65" s="3" t="s">
        <v>6213</v>
      </c>
      <c r="D65" s="3" t="s">
        <v>4325</v>
      </c>
      <c r="E65" s="3" t="s">
        <v>91</v>
      </c>
      <c r="F65" s="3"/>
      <c r="G65" s="3" t="s">
        <v>11641</v>
      </c>
      <c r="H65" s="3"/>
      <c r="I65" s="3" t="s">
        <v>4343</v>
      </c>
      <c r="J65" s="3"/>
      <c r="K65" s="3" t="s">
        <v>4344</v>
      </c>
      <c r="L65" s="3" t="s">
        <v>6155</v>
      </c>
      <c r="M65" s="3" t="str">
        <f>HYPERLINK("https://ceds.ed.gov/cedselementdetails.aspx?termid=13193")</f>
        <v>https://ceds.ed.gov/cedselementdetails.aspx?termid=13193</v>
      </c>
      <c r="N65" s="3" t="str">
        <f>HYPERLINK("https://ceds.ed.gov/elementComment.aspx?elementName=Neglected or Delinquent Status &amp;elementID=13193", "Click here to submit comment")</f>
        <v>Click here to submit comment</v>
      </c>
    </row>
    <row r="66" spans="1:14" ht="240" x14ac:dyDescent="0.25">
      <c r="A66" s="3" t="s">
        <v>11660</v>
      </c>
      <c r="B66" s="3" t="s">
        <v>11661</v>
      </c>
      <c r="C66" s="3" t="s">
        <v>12</v>
      </c>
      <c r="D66" s="3" t="s">
        <v>11662</v>
      </c>
      <c r="E66" s="3" t="s">
        <v>91</v>
      </c>
      <c r="F66" s="3" t="s">
        <v>11025</v>
      </c>
      <c r="G66" s="3" t="s">
        <v>11663</v>
      </c>
      <c r="H66" s="3"/>
      <c r="I66" s="3" t="s">
        <v>11664</v>
      </c>
      <c r="J66" s="3"/>
      <c r="K66" s="3" t="s">
        <v>11665</v>
      </c>
      <c r="L66" s="3"/>
      <c r="M66" s="3" t="str">
        <f>HYPERLINK("https://ceds.ed.gov/cedselementdetails.aspx?termid=14731")</f>
        <v>https://ceds.ed.gov/cedselementdetails.aspx?termid=14731</v>
      </c>
      <c r="N66" s="3" t="str">
        <f>HYPERLINK("https://ceds.ed.gov/elementComment.aspx?elementName=Organization Region GeoJSON &amp;elementID=14731", "Click here to submit comment")</f>
        <v>Click here to submit comment</v>
      </c>
    </row>
    <row r="67" spans="1:14" ht="409.5" x14ac:dyDescent="0.25">
      <c r="A67" s="3" t="s">
        <v>4468</v>
      </c>
      <c r="B67" s="3" t="s">
        <v>4469</v>
      </c>
      <c r="C67" s="4" t="s">
        <v>11905</v>
      </c>
      <c r="D67" s="3" t="s">
        <v>11671</v>
      </c>
      <c r="E67" s="3" t="s">
        <v>91</v>
      </c>
      <c r="F67" s="3"/>
      <c r="G67" s="3"/>
      <c r="H67" s="3" t="s">
        <v>4470</v>
      </c>
      <c r="I67" s="3" t="s">
        <v>4471</v>
      </c>
      <c r="J67" s="3"/>
      <c r="K67" s="3" t="s">
        <v>4472</v>
      </c>
      <c r="L67" s="3"/>
      <c r="M67" s="3" t="str">
        <f>HYPERLINK("https://ceds.ed.gov/cedselementdetails.aspx?termid=14165")</f>
        <v>https://ceds.ed.gov/cedselementdetails.aspx?termid=14165</v>
      </c>
      <c r="N67" s="3" t="str">
        <f>HYPERLINK("https://ceds.ed.gov/elementComment.aspx?elementName=Organization Type &amp;elementID=14165", "Click here to submit comment")</f>
        <v>Click here to submit comment</v>
      </c>
    </row>
    <row r="68" spans="1:14" ht="180" x14ac:dyDescent="0.25">
      <c r="A68" s="3" t="s">
        <v>4689</v>
      </c>
      <c r="B68" s="3" t="s">
        <v>4690</v>
      </c>
      <c r="C68" s="4" t="s">
        <v>6647</v>
      </c>
      <c r="D68" s="3" t="s">
        <v>7</v>
      </c>
      <c r="E68" s="3" t="s">
        <v>91</v>
      </c>
      <c r="F68" s="3"/>
      <c r="G68" s="3"/>
      <c r="H68" s="3"/>
      <c r="I68" s="3" t="s">
        <v>4691</v>
      </c>
      <c r="J68" s="3"/>
      <c r="K68" s="3" t="s">
        <v>4692</v>
      </c>
      <c r="L68" s="3"/>
      <c r="M68" s="3" t="str">
        <f>HYPERLINK("https://ceds.ed.gov/cedselementdetails.aspx?termid=13593")</f>
        <v>https://ceds.ed.gov/cedselementdetails.aspx?termid=13593</v>
      </c>
      <c r="N68" s="3" t="str">
        <f>HYPERLINK("https://ceds.ed.gov/elementComment.aspx?elementName=Present Attendance Category &amp;elementID=13593", "Click here to submit comment")</f>
        <v>Click here to submit comment</v>
      </c>
    </row>
    <row r="69" spans="1:14" ht="15" customHeight="1" x14ac:dyDescent="0.25">
      <c r="A69" s="3" t="s">
        <v>11699</v>
      </c>
      <c r="B69" s="3" t="s">
        <v>11700</v>
      </c>
      <c r="C69" s="3" t="s">
        <v>12</v>
      </c>
      <c r="D69" s="3" t="s">
        <v>10949</v>
      </c>
      <c r="E69" s="3" t="s">
        <v>91</v>
      </c>
      <c r="F69" s="3" t="s">
        <v>92</v>
      </c>
      <c r="G69" s="3" t="s">
        <v>10738</v>
      </c>
      <c r="H69" s="3"/>
      <c r="I69" s="3" t="s">
        <v>5133</v>
      </c>
      <c r="J69" s="3" t="s">
        <v>11701</v>
      </c>
      <c r="K69" s="3" t="s">
        <v>11702</v>
      </c>
      <c r="L69" s="3"/>
      <c r="M69" s="3" t="str">
        <f>HYPERLINK("https://ceds.ed.gov/cedselementdetails.aspx?termid=13231")</f>
        <v>https://ceds.ed.gov/cedselementdetails.aspx?termid=13231</v>
      </c>
      <c r="N69" s="3" t="str">
        <f>HYPERLINK("https://ceds.ed.gov/elementComment.aspx?elementName=Related Competency Items &amp;elementID=13231", "Click here to submit comment")</f>
        <v>Click here to submit comment</v>
      </c>
    </row>
    <row r="70" spans="1:14" ht="75" x14ac:dyDescent="0.25">
      <c r="A70" s="3" t="s">
        <v>11763</v>
      </c>
      <c r="B70" s="3" t="s">
        <v>11764</v>
      </c>
      <c r="C70" s="3" t="s">
        <v>6106</v>
      </c>
      <c r="D70" s="3" t="s">
        <v>11144</v>
      </c>
      <c r="E70" s="3" t="s">
        <v>91</v>
      </c>
      <c r="F70" s="3"/>
      <c r="G70" s="3" t="s">
        <v>11145</v>
      </c>
      <c r="H70" s="3"/>
      <c r="I70" s="3" t="s">
        <v>5938</v>
      </c>
      <c r="J70" s="3" t="s">
        <v>5939</v>
      </c>
      <c r="K70" s="3" t="s">
        <v>11765</v>
      </c>
      <c r="L70" s="3" t="s">
        <v>199</v>
      </c>
      <c r="M70" s="3" t="str">
        <f>HYPERLINK("https://ceds.ed.gov/cedselementdetails.aspx?termid=13557")</f>
        <v>https://ceds.ed.gov/cedselementdetails.aspx?termid=13557</v>
      </c>
      <c r="N70" s="3" t="str">
        <f>HYPERLINK("https://ceds.ed.gov/elementComment.aspx?elementName=Title III English Learner Participation Status &amp;elementID=13557", "Click here to submit comment")</f>
        <v>Click here to submit comment</v>
      </c>
    </row>
    <row r="71" spans="1:14" ht="195" x14ac:dyDescent="0.25">
      <c r="A71" s="3" t="s">
        <v>6003</v>
      </c>
      <c r="B71" s="3" t="s">
        <v>6004</v>
      </c>
      <c r="C71" s="4" t="s">
        <v>11910</v>
      </c>
      <c r="D71" s="3" t="s">
        <v>11770</v>
      </c>
      <c r="E71" s="3" t="s">
        <v>91</v>
      </c>
      <c r="F71" s="3"/>
      <c r="G71" s="3"/>
      <c r="H71" s="3"/>
      <c r="I71" s="3" t="s">
        <v>6005</v>
      </c>
      <c r="J71" s="3" t="s">
        <v>6006</v>
      </c>
      <c r="K71" s="3" t="s">
        <v>6007</v>
      </c>
      <c r="L71" s="3" t="s">
        <v>188</v>
      </c>
      <c r="M71" s="3" t="str">
        <f>HYPERLINK("https://ceds.ed.gov/cedselementdetails.aspx?termid=13477")</f>
        <v>https://ceds.ed.gov/cedselementdetails.aspx?termid=13477</v>
      </c>
      <c r="N71" s="3" t="str">
        <f>HYPERLINK("https://ceds.ed.gov/elementComment.aspx?elementName=Type of Use of the Rural Low-Income Schools Program &amp;elementID=13477", "Click here to submit comment")</f>
        <v>Click here to submit comment</v>
      </c>
    </row>
  </sheetData>
  <autoFilter ref="A1:N71" xr:uid="{A13338AC-93B9-48A8-834A-4585B49C0C1C}"/>
  <mergeCells count="52">
    <mergeCell ref="F11:F14"/>
    <mergeCell ref="A11:A14"/>
    <mergeCell ref="B11:B14"/>
    <mergeCell ref="C11:C14"/>
    <mergeCell ref="D11:D14"/>
    <mergeCell ref="E11:E14"/>
    <mergeCell ref="N11:N14"/>
    <mergeCell ref="A22:A24"/>
    <mergeCell ref="B22:B24"/>
    <mergeCell ref="C22:C24"/>
    <mergeCell ref="D22:D24"/>
    <mergeCell ref="E22:E24"/>
    <mergeCell ref="F22:F24"/>
    <mergeCell ref="G22:G24"/>
    <mergeCell ref="I22:I24"/>
    <mergeCell ref="J22:J24"/>
    <mergeCell ref="G11:G14"/>
    <mergeCell ref="I11:I14"/>
    <mergeCell ref="J11:J14"/>
    <mergeCell ref="K11:K14"/>
    <mergeCell ref="L11:L14"/>
    <mergeCell ref="M11:M14"/>
    <mergeCell ref="K22:K24"/>
    <mergeCell ref="L22:L24"/>
    <mergeCell ref="M22:M24"/>
    <mergeCell ref="N22:N24"/>
    <mergeCell ref="A32:A34"/>
    <mergeCell ref="B32:B34"/>
    <mergeCell ref="C32:C34"/>
    <mergeCell ref="D32:D34"/>
    <mergeCell ref="E32:E34"/>
    <mergeCell ref="F32:F34"/>
    <mergeCell ref="F37:F43"/>
    <mergeCell ref="G37:G43"/>
    <mergeCell ref="I37:I43"/>
    <mergeCell ref="J37:J43"/>
    <mergeCell ref="G32:G34"/>
    <mergeCell ref="I32:I34"/>
    <mergeCell ref="J32:J34"/>
    <mergeCell ref="A37:A43"/>
    <mergeCell ref="B37:B43"/>
    <mergeCell ref="C37:C43"/>
    <mergeCell ref="D37:D43"/>
    <mergeCell ref="E37:E43"/>
    <mergeCell ref="K37:K43"/>
    <mergeCell ref="L37:L43"/>
    <mergeCell ref="M37:M43"/>
    <mergeCell ref="N37:N43"/>
    <mergeCell ref="N32:N34"/>
    <mergeCell ref="K32:K34"/>
    <mergeCell ref="L32:L34"/>
    <mergeCell ref="M32:M34"/>
  </mergeCells>
  <hyperlinks>
    <hyperlink ref="C25" r:id="rId1" display="iso639-2LanguageCode.aspx" xr:uid="{2FFB8C26-5D7B-44A0-9296-77718F3DACB7}"/>
    <hyperlink ref="H25" r:id="rId2" display="http://www.loc.gov/standards/iso639-2/langhome.html" xr:uid="{0C316463-61B2-4D89-9224-EE5157922282}"/>
    <hyperlink ref="G64" r:id="rId3" xr:uid="{59CBC190-C770-4E53-ADD5-1B59FA443218}"/>
  </hyperlinks>
  <pageMargins left="0.75" right="0.75" top="1" bottom="1" header="0.5" footer="0.5"/>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C63E-D8A3-4731-9BBC-E7CBFAA9DECA}">
  <dimension ref="A1:N7"/>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8" customFormat="1" x14ac:dyDescent="0.25">
      <c r="A1" s="2" t="s">
        <v>6297</v>
      </c>
      <c r="B1" s="2" t="s">
        <v>6298</v>
      </c>
      <c r="C1" s="2" t="s">
        <v>6299</v>
      </c>
      <c r="D1" s="2" t="s">
        <v>6300</v>
      </c>
      <c r="E1" s="2" t="s">
        <v>6301</v>
      </c>
      <c r="F1" s="2" t="s">
        <v>6302</v>
      </c>
      <c r="G1" s="2" t="s">
        <v>6303</v>
      </c>
      <c r="H1" s="2" t="s">
        <v>6304</v>
      </c>
      <c r="I1" s="7" t="s">
        <v>6305</v>
      </c>
      <c r="J1" s="2" t="s">
        <v>6306</v>
      </c>
      <c r="K1" s="2" t="s">
        <v>6307</v>
      </c>
      <c r="L1" s="2" t="s">
        <v>6308</v>
      </c>
      <c r="M1" s="2" t="s">
        <v>6309</v>
      </c>
      <c r="N1" s="2" t="s">
        <v>6310</v>
      </c>
    </row>
    <row r="2" spans="1:14" ht="75" x14ac:dyDescent="0.25">
      <c r="A2" s="3" t="s">
        <v>2956</v>
      </c>
      <c r="B2" s="3" t="s">
        <v>2957</v>
      </c>
      <c r="C2" s="3" t="s">
        <v>12</v>
      </c>
      <c r="D2" s="3"/>
      <c r="E2" s="3" t="s">
        <v>5167</v>
      </c>
      <c r="F2" s="3" t="s">
        <v>73</v>
      </c>
      <c r="G2" s="3" t="s">
        <v>11349</v>
      </c>
      <c r="H2" s="3"/>
      <c r="I2" s="3" t="s">
        <v>2959</v>
      </c>
      <c r="J2" s="3"/>
      <c r="K2" s="3" t="s">
        <v>2960</v>
      </c>
      <c r="L2" s="3"/>
      <c r="M2" s="3" t="str">
        <f>HYPERLINK("https://ceds.ed.gov/cedselementdetails.aspx?termid=14495")</f>
        <v>https://ceds.ed.gov/cedselementdetails.aspx?termid=14495</v>
      </c>
      <c r="N2" s="3" t="str">
        <f>HYPERLINK("https://ceds.ed.gov/elementComment.aspx?elementName=Foster Care End Date &amp;elementID=14495", "Click here to submit comment")</f>
        <v>Click here to submit comment</v>
      </c>
    </row>
    <row r="3" spans="1:14" ht="15" customHeight="1" x14ac:dyDescent="0.25">
      <c r="A3" s="3" t="s">
        <v>2961</v>
      </c>
      <c r="B3" s="3" t="s">
        <v>2962</v>
      </c>
      <c r="C3" s="3" t="s">
        <v>12</v>
      </c>
      <c r="D3" s="3"/>
      <c r="E3" s="3" t="s">
        <v>5167</v>
      </c>
      <c r="F3" s="3" t="s">
        <v>73</v>
      </c>
      <c r="G3" s="3" t="s">
        <v>11350</v>
      </c>
      <c r="H3" s="3"/>
      <c r="I3" s="3" t="s">
        <v>2963</v>
      </c>
      <c r="J3" s="3"/>
      <c r="K3" s="3" t="s">
        <v>2964</v>
      </c>
      <c r="L3" s="3"/>
      <c r="M3" s="3" t="str">
        <f>HYPERLINK("https://ceds.ed.gov/cedselementdetails.aspx?termid=14496")</f>
        <v>https://ceds.ed.gov/cedselementdetails.aspx?termid=14496</v>
      </c>
      <c r="N3" s="3" t="str">
        <f>HYPERLINK("https://ceds.ed.gov/elementComment.aspx?elementName=Foster Care Start Date &amp;elementID=14496", "Click here to submit comment")</f>
        <v>Click here to submit comment</v>
      </c>
    </row>
    <row r="4" spans="1:14" ht="225" x14ac:dyDescent="0.25">
      <c r="A4" s="18" t="s">
        <v>5501</v>
      </c>
      <c r="B4" s="18" t="s">
        <v>5502</v>
      </c>
      <c r="C4" s="18" t="s">
        <v>12</v>
      </c>
      <c r="D4" s="18"/>
      <c r="E4" s="18" t="s">
        <v>5167</v>
      </c>
      <c r="F4" s="18" t="s">
        <v>11732</v>
      </c>
      <c r="G4" s="18" t="s">
        <v>11733</v>
      </c>
      <c r="H4" s="3" t="s">
        <v>5503</v>
      </c>
      <c r="I4" s="18" t="s">
        <v>5505</v>
      </c>
      <c r="J4" s="18" t="s">
        <v>5506</v>
      </c>
      <c r="K4" s="18" t="s">
        <v>5507</v>
      </c>
      <c r="L4" s="18" t="s">
        <v>6279</v>
      </c>
      <c r="M4" s="18" t="str">
        <f>HYPERLINK("https://ceds.ed.gov/cedselementdetails.aspx?termid=13259")</f>
        <v>https://ceds.ed.gov/cedselementdetails.aspx?termid=13259</v>
      </c>
      <c r="N4" s="18" t="str">
        <f>HYPERLINK("https://ceds.ed.gov/elementComment.aspx?elementName=Social Security Number &amp;elementID=13259", "Click here to submit comment")</f>
        <v>Click here to submit comment</v>
      </c>
    </row>
    <row r="5" spans="1:14" x14ac:dyDescent="0.25">
      <c r="A5" s="18"/>
      <c r="B5" s="18"/>
      <c r="C5" s="18"/>
      <c r="D5" s="18"/>
      <c r="E5" s="18"/>
      <c r="F5" s="18"/>
      <c r="G5" s="18"/>
      <c r="H5" s="3"/>
      <c r="I5" s="18"/>
      <c r="J5" s="18"/>
      <c r="K5" s="18"/>
      <c r="L5" s="18"/>
      <c r="M5" s="18"/>
      <c r="N5" s="18"/>
    </row>
    <row r="6" spans="1:14" ht="180" x14ac:dyDescent="0.25">
      <c r="A6" s="18"/>
      <c r="B6" s="18"/>
      <c r="C6" s="18"/>
      <c r="D6" s="18"/>
      <c r="E6" s="18"/>
      <c r="F6" s="18"/>
      <c r="G6" s="18"/>
      <c r="H6" s="3" t="s">
        <v>5504</v>
      </c>
      <c r="I6" s="18"/>
      <c r="J6" s="18"/>
      <c r="K6" s="18"/>
      <c r="L6" s="18"/>
      <c r="M6" s="18"/>
      <c r="N6" s="18"/>
    </row>
    <row r="7" spans="1:14" ht="345" x14ac:dyDescent="0.25">
      <c r="A7" s="3" t="s">
        <v>6020</v>
      </c>
      <c r="B7" s="3" t="s">
        <v>6021</v>
      </c>
      <c r="C7" s="4" t="s">
        <v>6732</v>
      </c>
      <c r="D7" s="3"/>
      <c r="E7" s="3" t="s">
        <v>5167</v>
      </c>
      <c r="F7" s="3"/>
      <c r="G7" s="3" t="s">
        <v>11771</v>
      </c>
      <c r="H7" s="3"/>
      <c r="I7" s="3" t="s">
        <v>6022</v>
      </c>
      <c r="J7" s="3"/>
      <c r="K7" s="3" t="s">
        <v>6023</v>
      </c>
      <c r="L7" s="3" t="s">
        <v>188</v>
      </c>
      <c r="M7" s="3" t="str">
        <f>HYPERLINK("https://ceds.ed.gov/cedselementdetails.aspx?termid=13449")</f>
        <v>https://ceds.ed.gov/cedselementdetails.aspx?termid=13449</v>
      </c>
      <c r="N7" s="3" t="str">
        <f>HYPERLINK("https://ceds.ed.gov/elementComment.aspx?elementName=Uses of Funds for Purposes other than Standards and Assessment Development &amp;elementID=13449", "Click here to submit comment")</f>
        <v>Click here to submit comment</v>
      </c>
    </row>
  </sheetData>
  <autoFilter ref="A1:N7" xr:uid="{A13338AC-93B9-48A8-834A-4585B49C0C1C}"/>
  <mergeCells count="13">
    <mergeCell ref="F4:F6"/>
    <mergeCell ref="A4:A6"/>
    <mergeCell ref="B4:B6"/>
    <mergeCell ref="C4:C6"/>
    <mergeCell ref="D4:D6"/>
    <mergeCell ref="E4:E6"/>
    <mergeCell ref="N4:N6"/>
    <mergeCell ref="G4:G6"/>
    <mergeCell ref="I4:I6"/>
    <mergeCell ref="J4:J6"/>
    <mergeCell ref="K4:K6"/>
    <mergeCell ref="L4:L6"/>
    <mergeCell ref="M4:M6"/>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FBE0-AE5C-4275-A645-FA4941C217A8}">
  <dimension ref="A1:N1904"/>
  <sheetViews>
    <sheetView showGridLines="0" topLeftCell="D880" workbookViewId="0">
      <selection activeCell="K887" sqref="K887"/>
    </sheetView>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8" customFormat="1" x14ac:dyDescent="0.25">
      <c r="A1" s="2" t="s">
        <v>6297</v>
      </c>
      <c r="B1" s="2" t="s">
        <v>6298</v>
      </c>
      <c r="C1" s="2" t="s">
        <v>6299</v>
      </c>
      <c r="D1" s="2" t="s">
        <v>6300</v>
      </c>
      <c r="E1" s="2" t="s">
        <v>6301</v>
      </c>
      <c r="F1" s="2" t="s">
        <v>6302</v>
      </c>
      <c r="G1" s="2" t="s">
        <v>6303</v>
      </c>
      <c r="H1" s="2" t="s">
        <v>6304</v>
      </c>
      <c r="I1" s="7" t="s">
        <v>6305</v>
      </c>
      <c r="J1" s="2" t="s">
        <v>6306</v>
      </c>
      <c r="K1" s="2" t="s">
        <v>6307</v>
      </c>
      <c r="L1" s="2" t="s">
        <v>6308</v>
      </c>
      <c r="M1" s="2" t="s">
        <v>6309</v>
      </c>
      <c r="N1" s="2" t="s">
        <v>6310</v>
      </c>
    </row>
    <row r="2" spans="1:14" ht="150" x14ac:dyDescent="0.25">
      <c r="A2" s="9" t="s">
        <v>0</v>
      </c>
      <c r="B2" s="9" t="s">
        <v>1</v>
      </c>
      <c r="C2" s="9" t="s">
        <v>6106</v>
      </c>
      <c r="D2" s="9" t="s">
        <v>10463</v>
      </c>
      <c r="E2" s="9"/>
      <c r="F2" s="9"/>
      <c r="G2" s="9"/>
      <c r="H2" s="9"/>
      <c r="I2" s="9" t="s">
        <v>2</v>
      </c>
      <c r="J2" s="9"/>
      <c r="K2" s="9" t="s">
        <v>3</v>
      </c>
      <c r="L2" s="9" t="s">
        <v>4</v>
      </c>
      <c r="M2" s="9" t="str">
        <f>HYPERLINK("https://ceds.ed.gov/cedselementdetails.aspx?termid=13000")</f>
        <v>https://ceds.ed.gov/cedselementdetails.aspx?termid=13000</v>
      </c>
      <c r="N2" s="9" t="str">
        <f>HYPERLINK("https://ceds.ed.gov/elementComment.aspx?elementName=Ability Grouping Status &amp;elementID=13000", "Click here to submit comment")</f>
        <v>Click here to submit comment</v>
      </c>
    </row>
    <row r="3" spans="1:14" ht="300" x14ac:dyDescent="0.25">
      <c r="A3" s="9" t="s">
        <v>5</v>
      </c>
      <c r="B3" s="9" t="s">
        <v>6</v>
      </c>
      <c r="C3" s="10" t="s">
        <v>11783</v>
      </c>
      <c r="D3" s="9" t="s">
        <v>7</v>
      </c>
      <c r="E3" s="9" t="s">
        <v>91</v>
      </c>
      <c r="F3" s="9"/>
      <c r="G3" s="9"/>
      <c r="H3" s="9"/>
      <c r="I3" s="9" t="s">
        <v>8</v>
      </c>
      <c r="J3" s="9"/>
      <c r="K3" s="9" t="s">
        <v>9</v>
      </c>
      <c r="L3" s="9"/>
      <c r="M3" s="9" t="str">
        <f>HYPERLINK("https://ceds.ed.gov/cedselementdetails.aspx?termid=13592")</f>
        <v>https://ceds.ed.gov/cedselementdetails.aspx?termid=13592</v>
      </c>
      <c r="N3" s="9" t="str">
        <f>HYPERLINK("https://ceds.ed.gov/elementComment.aspx?elementName=Absent Attendance Category &amp;elementID=13592", "Click here to submit comment")</f>
        <v>Click here to submit comment</v>
      </c>
    </row>
    <row r="4" spans="1:14" ht="285" x14ac:dyDescent="0.25">
      <c r="A4" s="9" t="s">
        <v>10</v>
      </c>
      <c r="B4" s="9" t="s">
        <v>11</v>
      </c>
      <c r="C4" s="9" t="s">
        <v>12</v>
      </c>
      <c r="D4" s="9" t="s">
        <v>10464</v>
      </c>
      <c r="E4" s="9"/>
      <c r="F4" s="9" t="s">
        <v>13</v>
      </c>
      <c r="G4" s="9"/>
      <c r="H4" s="9"/>
      <c r="I4" s="9" t="s">
        <v>14</v>
      </c>
      <c r="J4" s="9"/>
      <c r="K4" s="9" t="s">
        <v>15</v>
      </c>
      <c r="L4" s="9" t="s">
        <v>6107</v>
      </c>
      <c r="M4" s="9" t="str">
        <f>HYPERLINK("https://ceds.ed.gov/cedselementdetails.aspx?termid=13001")</f>
        <v>https://ceds.ed.gov/cedselementdetails.aspx?termid=13001</v>
      </c>
      <c r="N4" s="9" t="str">
        <f>HYPERLINK("https://ceds.ed.gov/elementComment.aspx?elementName=Academic Award Date &amp;elementID=13001", "Click here to submit comment")</f>
        <v>Click here to submit comment</v>
      </c>
    </row>
    <row r="5" spans="1:14" ht="285" x14ac:dyDescent="0.25">
      <c r="A5" s="9" t="s">
        <v>16</v>
      </c>
      <c r="B5" s="9" t="s">
        <v>17</v>
      </c>
      <c r="C5" s="10" t="s">
        <v>6311</v>
      </c>
      <c r="D5" s="9" t="s">
        <v>10464</v>
      </c>
      <c r="E5" s="9"/>
      <c r="F5" s="9"/>
      <c r="G5" s="9"/>
      <c r="H5" s="9"/>
      <c r="I5" s="9" t="s">
        <v>18</v>
      </c>
      <c r="J5" s="9"/>
      <c r="K5" s="9" t="s">
        <v>19</v>
      </c>
      <c r="L5" s="9" t="s">
        <v>6108</v>
      </c>
      <c r="M5" s="9" t="str">
        <f>HYPERLINK("https://ceds.ed.gov/cedselementdetails.aspx?termid=13002")</f>
        <v>https://ceds.ed.gov/cedselementdetails.aspx?termid=13002</v>
      </c>
      <c r="N5" s="9" t="str">
        <f>HYPERLINK("https://ceds.ed.gov/elementComment.aspx?elementName=Academic Award Level Conferred &amp;elementID=13002", "Click here to submit comment")</f>
        <v>Click here to submit comment</v>
      </c>
    </row>
    <row r="6" spans="1:14" ht="90" x14ac:dyDescent="0.25">
      <c r="A6" s="9" t="s">
        <v>10465</v>
      </c>
      <c r="B6" s="9" t="s">
        <v>10466</v>
      </c>
      <c r="C6" s="10" t="s">
        <v>11784</v>
      </c>
      <c r="D6" s="9" t="s">
        <v>10467</v>
      </c>
      <c r="E6" s="9"/>
      <c r="F6" s="9"/>
      <c r="G6" s="9"/>
      <c r="H6" s="9"/>
      <c r="I6" s="9" t="s">
        <v>10468</v>
      </c>
      <c r="J6" s="9"/>
      <c r="K6" s="9" t="s">
        <v>10469</v>
      </c>
      <c r="L6" s="9"/>
      <c r="M6" s="9" t="str">
        <f>HYPERLINK("https://ceds.ed.gov/cedselementdetails.aspx?termid=14647")</f>
        <v>https://ceds.ed.gov/cedselementdetails.aspx?termid=14647</v>
      </c>
      <c r="N6" s="9" t="str">
        <f>HYPERLINK("https://ceds.ed.gov/elementComment.aspx?elementName=Academic Award Prerequisite Type &amp;elementID=14647", "Click here to submit comment")</f>
        <v>Click here to submit comment</v>
      </c>
    </row>
    <row r="7" spans="1:14" ht="90" x14ac:dyDescent="0.25">
      <c r="A7" s="9" t="s">
        <v>10470</v>
      </c>
      <c r="B7" s="9" t="s">
        <v>10471</v>
      </c>
      <c r="C7" s="9" t="s">
        <v>12</v>
      </c>
      <c r="D7" s="9" t="s">
        <v>10467</v>
      </c>
      <c r="E7" s="9"/>
      <c r="F7" s="9" t="s">
        <v>1143</v>
      </c>
      <c r="G7" s="9"/>
      <c r="H7" s="9"/>
      <c r="I7" s="9" t="s">
        <v>10472</v>
      </c>
      <c r="J7" s="9"/>
      <c r="K7" s="9" t="s">
        <v>10473</v>
      </c>
      <c r="L7" s="9"/>
      <c r="M7" s="9" t="str">
        <f>HYPERLINK("https://ceds.ed.gov/cedselementdetails.aspx?termid=14646")</f>
        <v>https://ceds.ed.gov/cedselementdetails.aspx?termid=14646</v>
      </c>
      <c r="N7" s="9" t="str">
        <f>HYPERLINK("https://ceds.ed.gov/elementComment.aspx?elementName=Academic Award Requirements URL &amp;elementID=14646", "Click here to submit comment")</f>
        <v>Click here to submit comment</v>
      </c>
    </row>
    <row r="8" spans="1:14" ht="285" x14ac:dyDescent="0.25">
      <c r="A8" s="9" t="s">
        <v>20</v>
      </c>
      <c r="B8" s="9" t="s">
        <v>21</v>
      </c>
      <c r="C8" s="9" t="s">
        <v>12</v>
      </c>
      <c r="D8" s="9" t="s">
        <v>10464</v>
      </c>
      <c r="E8" s="9"/>
      <c r="F8" s="9" t="s">
        <v>22</v>
      </c>
      <c r="G8" s="9"/>
      <c r="H8" s="9"/>
      <c r="I8" s="9" t="s">
        <v>23</v>
      </c>
      <c r="J8" s="9"/>
      <c r="K8" s="9" t="s">
        <v>24</v>
      </c>
      <c r="L8" s="9" t="s">
        <v>25</v>
      </c>
      <c r="M8" s="9" t="str">
        <f>HYPERLINK("https://ceds.ed.gov/cedselementdetails.aspx?termid=13003")</f>
        <v>https://ceds.ed.gov/cedselementdetails.aspx?termid=13003</v>
      </c>
      <c r="N8" s="9" t="str">
        <f>HYPERLINK("https://ceds.ed.gov/elementComment.aspx?elementName=Academic Award Title &amp;elementID=13003", "Click here to submit comment")</f>
        <v>Click here to submit comment</v>
      </c>
    </row>
    <row r="9" spans="1:14" ht="345" x14ac:dyDescent="0.25">
      <c r="A9" s="9" t="s">
        <v>26</v>
      </c>
      <c r="B9" s="9" t="s">
        <v>27</v>
      </c>
      <c r="C9" s="10" t="s">
        <v>6312</v>
      </c>
      <c r="D9" s="9" t="s">
        <v>28</v>
      </c>
      <c r="E9" s="9"/>
      <c r="F9" s="9"/>
      <c r="G9" s="9"/>
      <c r="H9" s="9"/>
      <c r="I9" s="9" t="s">
        <v>29</v>
      </c>
      <c r="J9" s="9"/>
      <c r="K9" s="9" t="s">
        <v>30</v>
      </c>
      <c r="L9" s="9" t="s">
        <v>6109</v>
      </c>
      <c r="M9" s="9" t="str">
        <f>HYPERLINK("https://ceds.ed.gov/cedselementdetails.aspx?termid=13004")</f>
        <v>https://ceds.ed.gov/cedselementdetails.aspx?termid=13004</v>
      </c>
      <c r="N9" s="9" t="str">
        <f>HYPERLINK("https://ceds.ed.gov/elementComment.aspx?elementName=Academic Honors Type &amp;elementID=13004", "Click here to submit comment")</f>
        <v>Click here to submit comment</v>
      </c>
    </row>
    <row r="10" spans="1:14" ht="135" x14ac:dyDescent="0.25">
      <c r="A10" s="9" t="s">
        <v>31</v>
      </c>
      <c r="B10" s="9" t="s">
        <v>32</v>
      </c>
      <c r="C10" s="10" t="s">
        <v>6313</v>
      </c>
      <c r="D10" s="9" t="s">
        <v>33</v>
      </c>
      <c r="E10" s="9"/>
      <c r="F10" s="9"/>
      <c r="G10" s="9"/>
      <c r="H10" s="9" t="s">
        <v>34</v>
      </c>
      <c r="I10" s="9" t="s">
        <v>35</v>
      </c>
      <c r="J10" s="9"/>
      <c r="K10" s="9" t="s">
        <v>36</v>
      </c>
      <c r="L10" s="9" t="s">
        <v>37</v>
      </c>
      <c r="M10" s="9" t="str">
        <f>HYPERLINK("https://ceds.ed.gov/cedselementdetails.aspx?termid=13717")</f>
        <v>https://ceds.ed.gov/cedselementdetails.aspx?termid=13717</v>
      </c>
      <c r="N10" s="9" t="str">
        <f>HYPERLINK("https://ceds.ed.gov/elementComment.aspx?elementName=Academic Rank &amp;elementID=13717", "Click here to submit comment")</f>
        <v>Click here to submit comment</v>
      </c>
    </row>
    <row r="11" spans="1:14" ht="180" x14ac:dyDescent="0.25">
      <c r="A11" s="9" t="s">
        <v>38</v>
      </c>
      <c r="B11" s="9" t="s">
        <v>39</v>
      </c>
      <c r="C11" s="10" t="s">
        <v>6314</v>
      </c>
      <c r="D11" s="9" t="s">
        <v>6110</v>
      </c>
      <c r="E11" s="9"/>
      <c r="F11" s="9"/>
      <c r="G11" s="9"/>
      <c r="H11" s="9" t="s">
        <v>40</v>
      </c>
      <c r="I11" s="9" t="s">
        <v>41</v>
      </c>
      <c r="J11" s="9"/>
      <c r="K11" s="9" t="s">
        <v>42</v>
      </c>
      <c r="L11" s="9" t="s">
        <v>6111</v>
      </c>
      <c r="M11" s="9" t="str">
        <f>HYPERLINK("https://ceds.ed.gov/cedselementdetails.aspx?termid=13703")</f>
        <v>https://ceds.ed.gov/cedselementdetails.aspx?termid=13703</v>
      </c>
      <c r="N11" s="9" t="str">
        <f>HYPERLINK("https://ceds.ed.gov/elementComment.aspx?elementName=Academic Term Designator &amp;elementID=13703", "Click here to submit comment")</f>
        <v>Click here to submit comment</v>
      </c>
    </row>
    <row r="12" spans="1:14" ht="75" x14ac:dyDescent="0.25">
      <c r="A12" s="9" t="s">
        <v>43</v>
      </c>
      <c r="B12" s="9" t="s">
        <v>44</v>
      </c>
      <c r="C12" s="9" t="s">
        <v>12</v>
      </c>
      <c r="D12" s="9" t="s">
        <v>6110</v>
      </c>
      <c r="E12" s="9"/>
      <c r="F12" s="9" t="s">
        <v>45</v>
      </c>
      <c r="G12" s="9"/>
      <c r="H12" s="9"/>
      <c r="I12" s="9" t="s">
        <v>46</v>
      </c>
      <c r="J12" s="9"/>
      <c r="K12" s="9" t="s">
        <v>47</v>
      </c>
      <c r="L12" s="9" t="s">
        <v>6111</v>
      </c>
      <c r="M12" s="9" t="str">
        <f>HYPERLINK("https://ceds.ed.gov/cedselementdetails.aspx?termid=13702")</f>
        <v>https://ceds.ed.gov/cedselementdetails.aspx?termid=13702</v>
      </c>
      <c r="N12" s="9" t="str">
        <f>HYPERLINK("https://ceds.ed.gov/elementComment.aspx?elementName=Academic Year Designator &amp;elementID=13702", "Click here to submit comment")</f>
        <v>Click here to submit comment</v>
      </c>
    </row>
    <row r="13" spans="1:14" ht="165" x14ac:dyDescent="0.25">
      <c r="A13" s="9" t="s">
        <v>10474</v>
      </c>
      <c r="B13" s="9" t="s">
        <v>10475</v>
      </c>
      <c r="C13" s="9" t="s">
        <v>12</v>
      </c>
      <c r="D13" s="9" t="s">
        <v>10476</v>
      </c>
      <c r="E13" s="9"/>
      <c r="F13" s="9" t="s">
        <v>87</v>
      </c>
      <c r="G13" s="9"/>
      <c r="H13" s="9"/>
      <c r="I13" s="9" t="s">
        <v>387</v>
      </c>
      <c r="J13" s="9"/>
      <c r="K13" s="9" t="s">
        <v>10477</v>
      </c>
      <c r="L13" s="9"/>
      <c r="M13" s="9" t="str">
        <f>HYPERLINK("https://ceds.ed.gov/cedselementdetails.aspx?termid=14116")</f>
        <v>https://ceds.ed.gov/cedselementdetails.aspx?termid=14116</v>
      </c>
      <c r="N13" s="9" t="str">
        <f>HYPERLINK("https://ceds.ed.gov/elementComment.aspx?elementName=Accommodation Other Description &amp;elementID=14116", "Click here to submit comment")</f>
        <v>Click here to submit comment</v>
      </c>
    </row>
    <row r="14" spans="1:14" ht="409.5" x14ac:dyDescent="0.25">
      <c r="A14" s="9" t="s">
        <v>10478</v>
      </c>
      <c r="B14" s="9" t="s">
        <v>10479</v>
      </c>
      <c r="C14" s="10" t="s">
        <v>11785</v>
      </c>
      <c r="D14" s="9" t="s">
        <v>10480</v>
      </c>
      <c r="E14" s="9"/>
      <c r="F14" s="9"/>
      <c r="G14" s="9"/>
      <c r="H14" s="9"/>
      <c r="I14" s="9" t="s">
        <v>389</v>
      </c>
      <c r="J14" s="9"/>
      <c r="K14" s="9" t="s">
        <v>10481</v>
      </c>
      <c r="L14" s="9" t="s">
        <v>6127</v>
      </c>
      <c r="M14" s="9" t="str">
        <f>HYPERLINK("https://ceds.ed.gov/cedselementdetails.aspx?termid=13376")</f>
        <v>https://ceds.ed.gov/cedselementdetails.aspx?termid=13376</v>
      </c>
      <c r="N14" s="9" t="str">
        <f>HYPERLINK("https://ceds.ed.gov/elementComment.aspx?elementName=Accommodation Type &amp;elementID=13376", "Click here to submit comment")</f>
        <v>Click here to submit comment</v>
      </c>
    </row>
    <row r="15" spans="1:14" ht="375" x14ac:dyDescent="0.25">
      <c r="A15" s="9" t="s">
        <v>48</v>
      </c>
      <c r="B15" s="9" t="s">
        <v>49</v>
      </c>
      <c r="C15" s="10" t="s">
        <v>6315</v>
      </c>
      <c r="D15" s="9" t="s">
        <v>50</v>
      </c>
      <c r="E15" s="9"/>
      <c r="F15" s="9"/>
      <c r="G15" s="9"/>
      <c r="H15" s="9"/>
      <c r="I15" s="9" t="s">
        <v>51</v>
      </c>
      <c r="J15" s="9"/>
      <c r="K15" s="9" t="s">
        <v>52</v>
      </c>
      <c r="L15" s="9"/>
      <c r="M15" s="9" t="str">
        <f>HYPERLINK("https://ceds.ed.gov/cedselementdetails.aspx?termid=14243")</f>
        <v>https://ceds.ed.gov/cedselementdetails.aspx?termid=14243</v>
      </c>
      <c r="N15" s="9" t="str">
        <f>HYPERLINK("https://ceds.ed.gov/elementComment.aspx?elementName=Accommodations Needed Type &amp;elementID=14243", "Click here to submit comment")</f>
        <v>Click here to submit comment</v>
      </c>
    </row>
    <row r="16" spans="1:14" ht="45" x14ac:dyDescent="0.25">
      <c r="A16" s="9" t="s">
        <v>53</v>
      </c>
      <c r="B16" s="9" t="s">
        <v>54</v>
      </c>
      <c r="C16" s="9" t="s">
        <v>12</v>
      </c>
      <c r="D16" s="9" t="s">
        <v>55</v>
      </c>
      <c r="E16" s="9"/>
      <c r="F16" s="9" t="s">
        <v>22</v>
      </c>
      <c r="G16" s="9"/>
      <c r="H16" s="9"/>
      <c r="I16" s="9" t="s">
        <v>56</v>
      </c>
      <c r="J16" s="9"/>
      <c r="K16" s="9" t="s">
        <v>57</v>
      </c>
      <c r="L16" s="9"/>
      <c r="M16" s="9" t="str">
        <f>HYPERLINK("https://ceds.ed.gov/cedselementdetails.aspx?termid=13005")</f>
        <v>https://ceds.ed.gov/cedselementdetails.aspx?termid=13005</v>
      </c>
      <c r="N16" s="9" t="str">
        <f>HYPERLINK("https://ceds.ed.gov/elementComment.aspx?elementName=Accountability Report Title &amp;elementID=13005", "Click here to submit comment")</f>
        <v>Click here to submit comment</v>
      </c>
    </row>
    <row r="17" spans="1:14" ht="210" x14ac:dyDescent="0.25">
      <c r="A17" s="9" t="s">
        <v>58</v>
      </c>
      <c r="B17" s="9" t="s">
        <v>59</v>
      </c>
      <c r="C17" s="10" t="s">
        <v>6316</v>
      </c>
      <c r="D17" s="9" t="s">
        <v>60</v>
      </c>
      <c r="E17" s="9"/>
      <c r="F17" s="9"/>
      <c r="G17" s="9"/>
      <c r="H17" s="9" t="s">
        <v>61</v>
      </c>
      <c r="I17" s="9" t="s">
        <v>62</v>
      </c>
      <c r="J17" s="9"/>
      <c r="K17" s="9" t="s">
        <v>63</v>
      </c>
      <c r="L17" s="9" t="s">
        <v>64</v>
      </c>
      <c r="M17" s="9" t="str">
        <f>HYPERLINK("https://ceds.ed.gov/cedselementdetails.aspx?termid=13983")</f>
        <v>https://ceds.ed.gov/cedselementdetails.aspx?termid=13983</v>
      </c>
      <c r="N17" s="9" t="str">
        <f>HYPERLINK("https://ceds.ed.gov/elementComment.aspx?elementName=Accreditation Agency &amp;elementID=13983", "Click here to submit comment")</f>
        <v>Click here to submit comment</v>
      </c>
    </row>
    <row r="18" spans="1:14" ht="45" x14ac:dyDescent="0.25">
      <c r="A18" s="9" t="s">
        <v>65</v>
      </c>
      <c r="B18" s="9" t="s">
        <v>66</v>
      </c>
      <c r="C18" s="9" t="s">
        <v>12</v>
      </c>
      <c r="D18" s="9" t="s">
        <v>67</v>
      </c>
      <c r="E18" s="9"/>
      <c r="F18" s="9" t="s">
        <v>68</v>
      </c>
      <c r="G18" s="9"/>
      <c r="H18" s="9"/>
      <c r="I18" s="9" t="s">
        <v>69</v>
      </c>
      <c r="J18" s="9"/>
      <c r="K18" s="9" t="s">
        <v>70</v>
      </c>
      <c r="L18" s="9"/>
      <c r="M18" s="9" t="str">
        <f>HYPERLINK("https://ceds.ed.gov/cedselementdetails.aspx?termid=14500")</f>
        <v>https://ceds.ed.gov/cedselementdetails.aspx?termid=14500</v>
      </c>
      <c r="N18" s="9" t="str">
        <f>HYPERLINK("https://ceds.ed.gov/elementComment.aspx?elementName=Accreditation Agency Name &amp;elementID=14500", "Click here to submit comment")</f>
        <v>Click here to submit comment</v>
      </c>
    </row>
    <row r="19" spans="1:14" ht="75" x14ac:dyDescent="0.25">
      <c r="A19" s="9" t="s">
        <v>71</v>
      </c>
      <c r="B19" s="9" t="s">
        <v>72</v>
      </c>
      <c r="C19" s="9" t="s">
        <v>12</v>
      </c>
      <c r="D19" s="9" t="s">
        <v>6112</v>
      </c>
      <c r="E19" s="9"/>
      <c r="F19" s="9" t="s">
        <v>73</v>
      </c>
      <c r="G19" s="9"/>
      <c r="H19" s="9"/>
      <c r="I19" s="9" t="s">
        <v>74</v>
      </c>
      <c r="J19" s="9"/>
      <c r="K19" s="9" t="s">
        <v>75</v>
      </c>
      <c r="L19" s="9" t="s">
        <v>64</v>
      </c>
      <c r="M19" s="9" t="str">
        <f>HYPERLINK("https://ceds.ed.gov/cedselementdetails.aspx?termid=13840")</f>
        <v>https://ceds.ed.gov/cedselementdetails.aspx?termid=13840</v>
      </c>
      <c r="N19" s="9" t="str">
        <f>HYPERLINK("https://ceds.ed.gov/elementComment.aspx?elementName=Accreditation Award Date &amp;elementID=13840", "Click here to submit comment")</f>
        <v>Click here to submit comment</v>
      </c>
    </row>
    <row r="20" spans="1:14" ht="75" x14ac:dyDescent="0.25">
      <c r="A20" s="9" t="s">
        <v>76</v>
      </c>
      <c r="B20" s="9" t="s">
        <v>77</v>
      </c>
      <c r="C20" s="9" t="s">
        <v>12</v>
      </c>
      <c r="D20" s="9" t="s">
        <v>6112</v>
      </c>
      <c r="E20" s="9"/>
      <c r="F20" s="9" t="s">
        <v>73</v>
      </c>
      <c r="G20" s="9"/>
      <c r="H20" s="9"/>
      <c r="I20" s="9" t="s">
        <v>78</v>
      </c>
      <c r="J20" s="9"/>
      <c r="K20" s="9" t="s">
        <v>79</v>
      </c>
      <c r="L20" s="9" t="s">
        <v>64</v>
      </c>
      <c r="M20" s="9" t="str">
        <f>HYPERLINK("https://ceds.ed.gov/cedselementdetails.aspx?termid=13841")</f>
        <v>https://ceds.ed.gov/cedselementdetails.aspx?termid=13841</v>
      </c>
      <c r="N20" s="9" t="str">
        <f>HYPERLINK("https://ceds.ed.gov/elementComment.aspx?elementName=Accreditation Expiration Date &amp;elementID=13841", "Click here to submit comment")</f>
        <v>Click here to submit comment</v>
      </c>
    </row>
    <row r="21" spans="1:14" ht="120" x14ac:dyDescent="0.25">
      <c r="A21" s="9" t="s">
        <v>113</v>
      </c>
      <c r="B21" s="9" t="s">
        <v>114</v>
      </c>
      <c r="C21" s="9" t="s">
        <v>12</v>
      </c>
      <c r="D21" s="9" t="s">
        <v>10482</v>
      </c>
      <c r="E21" s="9"/>
      <c r="F21" s="9" t="s">
        <v>68</v>
      </c>
      <c r="G21" s="9"/>
      <c r="H21" s="9"/>
      <c r="I21" s="9" t="s">
        <v>115</v>
      </c>
      <c r="J21" s="9"/>
      <c r="K21" s="9" t="s">
        <v>116</v>
      </c>
      <c r="L21" s="9"/>
      <c r="M21" s="9" t="str">
        <f>HYPERLINK("https://ceds.ed.gov/cedselementdetails.aspx?termid=14505")</f>
        <v>https://ceds.ed.gov/cedselementdetails.aspx?termid=14505</v>
      </c>
      <c r="N21" s="9" t="str">
        <f>HYPERLINK("https://ceds.ed.gov/elementComment.aspx?elementName=Activity Description &amp;elementID=14505", "Click here to submit comment")</f>
        <v>Click here to submit comment</v>
      </c>
    </row>
    <row r="22" spans="1:14" ht="105" customHeight="1" x14ac:dyDescent="0.25">
      <c r="A22" s="18" t="s">
        <v>117</v>
      </c>
      <c r="B22" s="18" t="s">
        <v>118</v>
      </c>
      <c r="C22" s="18" t="s">
        <v>12</v>
      </c>
      <c r="D22" s="18" t="s">
        <v>10482</v>
      </c>
      <c r="E22" s="18"/>
      <c r="F22" s="18" t="s">
        <v>119</v>
      </c>
      <c r="G22" s="18"/>
      <c r="H22" s="9" t="s">
        <v>120</v>
      </c>
      <c r="I22" s="18" t="s">
        <v>122</v>
      </c>
      <c r="J22" s="18"/>
      <c r="K22" s="18" t="s">
        <v>123</v>
      </c>
      <c r="L22" s="18" t="s">
        <v>6109</v>
      </c>
      <c r="M22" s="18" t="str">
        <f>HYPERLINK("https://ceds.ed.gov/cedselementdetails.aspx?termid=13006")</f>
        <v>https://ceds.ed.gov/cedselementdetails.aspx?termid=13006</v>
      </c>
      <c r="N22" s="18" t="str">
        <f>HYPERLINK("https://ceds.ed.gov/elementComment.aspx?elementName=Activity Identifier &amp;elementID=13006", "Click here to submit comment")</f>
        <v>Click here to submit comment</v>
      </c>
    </row>
    <row r="23" spans="1:14" x14ac:dyDescent="0.25">
      <c r="A23" s="18"/>
      <c r="B23" s="18"/>
      <c r="C23" s="18"/>
      <c r="D23" s="18"/>
      <c r="E23" s="18"/>
      <c r="F23" s="18"/>
      <c r="G23" s="18"/>
      <c r="H23" s="9"/>
      <c r="I23" s="18"/>
      <c r="J23" s="18"/>
      <c r="K23" s="18"/>
      <c r="L23" s="18"/>
      <c r="M23" s="18"/>
      <c r="N23" s="18"/>
    </row>
    <row r="24" spans="1:14" ht="90" x14ac:dyDescent="0.25">
      <c r="A24" s="18"/>
      <c r="B24" s="18"/>
      <c r="C24" s="18"/>
      <c r="D24" s="18"/>
      <c r="E24" s="18"/>
      <c r="F24" s="18"/>
      <c r="G24" s="18"/>
      <c r="H24" s="9" t="s">
        <v>121</v>
      </c>
      <c r="I24" s="18"/>
      <c r="J24" s="18"/>
      <c r="K24" s="18"/>
      <c r="L24" s="18"/>
      <c r="M24" s="18"/>
      <c r="N24" s="18"/>
    </row>
    <row r="25" spans="1:14" ht="120" x14ac:dyDescent="0.25">
      <c r="A25" s="9" t="s">
        <v>124</v>
      </c>
      <c r="B25" s="9" t="s">
        <v>125</v>
      </c>
      <c r="C25" s="9" t="s">
        <v>12</v>
      </c>
      <c r="D25" s="9" t="s">
        <v>10482</v>
      </c>
      <c r="E25" s="9"/>
      <c r="F25" s="9" t="s">
        <v>73</v>
      </c>
      <c r="G25" s="9"/>
      <c r="H25" s="9"/>
      <c r="I25" s="9" t="s">
        <v>126</v>
      </c>
      <c r="J25" s="9"/>
      <c r="K25" s="9" t="s">
        <v>127</v>
      </c>
      <c r="L25" s="9" t="s">
        <v>6109</v>
      </c>
      <c r="M25" s="9" t="str">
        <f>HYPERLINK("https://ceds.ed.gov/cedselementdetails.aspx?termid=13007")</f>
        <v>https://ceds.ed.gov/cedselementdetails.aspx?termid=13007</v>
      </c>
      <c r="N25" s="9" t="str">
        <f>HYPERLINK("https://ceds.ed.gov/elementComment.aspx?elementName=Activity Involvement Begin Date &amp;elementID=13007", "Click here to submit comment")</f>
        <v>Click here to submit comment</v>
      </c>
    </row>
    <row r="26" spans="1:14" ht="120" x14ac:dyDescent="0.25">
      <c r="A26" s="9" t="s">
        <v>128</v>
      </c>
      <c r="B26" s="9" t="s">
        <v>129</v>
      </c>
      <c r="C26" s="9" t="s">
        <v>12</v>
      </c>
      <c r="D26" s="9" t="s">
        <v>10482</v>
      </c>
      <c r="E26" s="9"/>
      <c r="F26" s="9" t="s">
        <v>73</v>
      </c>
      <c r="G26" s="9"/>
      <c r="H26" s="9"/>
      <c r="I26" s="9" t="s">
        <v>130</v>
      </c>
      <c r="J26" s="9"/>
      <c r="K26" s="9" t="s">
        <v>131</v>
      </c>
      <c r="L26" s="9" t="s">
        <v>6109</v>
      </c>
      <c r="M26" s="9" t="str">
        <f>HYPERLINK("https://ceds.ed.gov/cedselementdetails.aspx?termid=13008")</f>
        <v>https://ceds.ed.gov/cedselementdetails.aspx?termid=13008</v>
      </c>
      <c r="N26" s="9" t="str">
        <f>HYPERLINK("https://ceds.ed.gov/elementComment.aspx?elementName=Activity Involvement End Date &amp;elementID=13008", "Click here to submit comment")</f>
        <v>Click here to submit comment</v>
      </c>
    </row>
    <row r="27" spans="1:14" ht="120" x14ac:dyDescent="0.25">
      <c r="A27" s="9" t="s">
        <v>132</v>
      </c>
      <c r="B27" s="9" t="s">
        <v>133</v>
      </c>
      <c r="C27" s="9" t="s">
        <v>12</v>
      </c>
      <c r="D27" s="9" t="s">
        <v>10482</v>
      </c>
      <c r="E27" s="9"/>
      <c r="F27" s="9" t="s">
        <v>134</v>
      </c>
      <c r="G27" s="9"/>
      <c r="H27" s="9"/>
      <c r="I27" s="9" t="s">
        <v>135</v>
      </c>
      <c r="J27" s="9"/>
      <c r="K27" s="9" t="s">
        <v>136</v>
      </c>
      <c r="L27" s="9"/>
      <c r="M27" s="9" t="str">
        <f>HYPERLINK("https://ceds.ed.gov/cedselementdetails.aspx?termid=14502")</f>
        <v>https://ceds.ed.gov/cedselementdetails.aspx?termid=14502</v>
      </c>
      <c r="N27" s="9" t="str">
        <f>HYPERLINK("https://ceds.ed.gov/elementComment.aspx?elementName=Activity Time Involved &amp;elementID=14502", "Click here to submit comment")</f>
        <v>Click here to submit comment</v>
      </c>
    </row>
    <row r="28" spans="1:14" ht="120" x14ac:dyDescent="0.25">
      <c r="A28" s="9" t="s">
        <v>137</v>
      </c>
      <c r="B28" s="9" t="s">
        <v>138</v>
      </c>
      <c r="C28" s="10" t="s">
        <v>6317</v>
      </c>
      <c r="D28" s="9" t="s">
        <v>10482</v>
      </c>
      <c r="E28" s="9"/>
      <c r="F28" s="9"/>
      <c r="G28" s="9"/>
      <c r="H28" s="9"/>
      <c r="I28" s="9" t="s">
        <v>139</v>
      </c>
      <c r="J28" s="9"/>
      <c r="K28" s="9" t="s">
        <v>140</v>
      </c>
      <c r="L28" s="9"/>
      <c r="M28" s="9" t="str">
        <f>HYPERLINK("https://ceds.ed.gov/cedselementdetails.aspx?termid=14503")</f>
        <v>https://ceds.ed.gov/cedselementdetails.aspx?termid=14503</v>
      </c>
      <c r="N28" s="9" t="str">
        <f>HYPERLINK("https://ceds.ed.gov/elementComment.aspx?elementName=Activity Time Measurement Type &amp;elementID=14503", "Click here to submit comment")</f>
        <v>Click here to submit comment</v>
      </c>
    </row>
    <row r="29" spans="1:14" ht="120" x14ac:dyDescent="0.25">
      <c r="A29" s="9" t="s">
        <v>141</v>
      </c>
      <c r="B29" s="9" t="s">
        <v>142</v>
      </c>
      <c r="C29" s="9" t="s">
        <v>12</v>
      </c>
      <c r="D29" s="9" t="s">
        <v>10482</v>
      </c>
      <c r="E29" s="9"/>
      <c r="F29" s="9" t="s">
        <v>92</v>
      </c>
      <c r="G29" s="9"/>
      <c r="H29" s="9"/>
      <c r="I29" s="9" t="s">
        <v>143</v>
      </c>
      <c r="J29" s="9"/>
      <c r="K29" s="9" t="s">
        <v>144</v>
      </c>
      <c r="L29" s="9" t="s">
        <v>6109</v>
      </c>
      <c r="M29" s="9" t="str">
        <f>HYPERLINK("https://ceds.ed.gov/cedselementdetails.aspx?termid=13009")</f>
        <v>https://ceds.ed.gov/cedselementdetails.aspx?termid=13009</v>
      </c>
      <c r="N29" s="9" t="str">
        <f>HYPERLINK("https://ceds.ed.gov/elementComment.aspx?elementName=Activity Title &amp;elementID=13009", "Click here to submit comment")</f>
        <v>Click here to submit comment</v>
      </c>
    </row>
    <row r="30" spans="1:14" ht="96" customHeight="1" x14ac:dyDescent="0.25">
      <c r="A30" s="9" t="s">
        <v>145</v>
      </c>
      <c r="B30" s="9" t="s">
        <v>146</v>
      </c>
      <c r="C30" s="10" t="s">
        <v>6318</v>
      </c>
      <c r="D30" s="9" t="s">
        <v>10483</v>
      </c>
      <c r="E30" s="9"/>
      <c r="F30" s="9"/>
      <c r="G30" s="9"/>
      <c r="H30" s="9"/>
      <c r="I30" s="9" t="s">
        <v>147</v>
      </c>
      <c r="J30" s="9"/>
      <c r="K30" s="9" t="s">
        <v>148</v>
      </c>
      <c r="L30" s="9"/>
      <c r="M30" s="9" t="str">
        <f>HYPERLINK("https://ceds.ed.gov/cedselementdetails.aspx?termid=13589")</f>
        <v>https://ceds.ed.gov/cedselementdetails.aspx?termid=13589</v>
      </c>
      <c r="N30" s="9" t="str">
        <f>HYPERLINK("https://ceds.ed.gov/elementComment.aspx?elementName=Additional Credit Type &amp;elementID=13589", "Click here to submit comment")</f>
        <v>Click here to submit comment</v>
      </c>
    </row>
    <row r="31" spans="1:14" ht="409.5" x14ac:dyDescent="0.25">
      <c r="A31" s="9" t="s">
        <v>149</v>
      </c>
      <c r="B31" s="9" t="s">
        <v>150</v>
      </c>
      <c r="C31" s="9" t="s">
        <v>12</v>
      </c>
      <c r="D31" s="9" t="s">
        <v>10484</v>
      </c>
      <c r="E31" s="9"/>
      <c r="F31" s="9" t="s">
        <v>87</v>
      </c>
      <c r="G31" s="9"/>
      <c r="H31" s="9"/>
      <c r="I31" s="9" t="s">
        <v>151</v>
      </c>
      <c r="J31" s="9"/>
      <c r="K31" s="9" t="s">
        <v>152</v>
      </c>
      <c r="L31" s="9" t="s">
        <v>6113</v>
      </c>
      <c r="M31" s="9" t="str">
        <f>HYPERLINK("https://ceds.ed.gov/cedselementdetails.aspx?termid=13019")</f>
        <v>https://ceds.ed.gov/cedselementdetails.aspx?termid=13019</v>
      </c>
      <c r="N31" s="9" t="str">
        <f>HYPERLINK("https://ceds.ed.gov/elementComment.aspx?elementName=Address Apartment Room or Suite Number &amp;elementID=13019", "Click here to submit comment")</f>
        <v>Click here to submit comment</v>
      </c>
    </row>
    <row r="32" spans="1:14" ht="409.5" x14ac:dyDescent="0.25">
      <c r="A32" s="9" t="s">
        <v>153</v>
      </c>
      <c r="B32" s="9" t="s">
        <v>154</v>
      </c>
      <c r="C32" s="9" t="s">
        <v>12</v>
      </c>
      <c r="D32" s="9" t="s">
        <v>10484</v>
      </c>
      <c r="E32" s="9"/>
      <c r="F32" s="9" t="s">
        <v>87</v>
      </c>
      <c r="G32" s="9"/>
      <c r="H32" s="9"/>
      <c r="I32" s="9" t="s">
        <v>155</v>
      </c>
      <c r="J32" s="9"/>
      <c r="K32" s="9" t="s">
        <v>156</v>
      </c>
      <c r="L32" s="9" t="s">
        <v>6113</v>
      </c>
      <c r="M32" s="9" t="str">
        <f>HYPERLINK("https://ceds.ed.gov/cedselementdetails.aspx?termid=13040")</f>
        <v>https://ceds.ed.gov/cedselementdetails.aspx?termid=13040</v>
      </c>
      <c r="N32" s="9" t="str">
        <f>HYPERLINK("https://ceds.ed.gov/elementComment.aspx?elementName=Address City &amp;elementID=13040", "Click here to submit comment")</f>
        <v>Click here to submit comment</v>
      </c>
    </row>
    <row r="33" spans="1:14" ht="409.5" x14ac:dyDescent="0.25">
      <c r="A33" s="9" t="s">
        <v>157</v>
      </c>
      <c r="B33" s="9" t="s">
        <v>158</v>
      </c>
      <c r="C33" s="9" t="s">
        <v>12</v>
      </c>
      <c r="D33" s="9" t="s">
        <v>10485</v>
      </c>
      <c r="E33" s="9"/>
      <c r="F33" s="9" t="s">
        <v>87</v>
      </c>
      <c r="G33" s="9"/>
      <c r="H33" s="9"/>
      <c r="I33" s="9" t="s">
        <v>159</v>
      </c>
      <c r="J33" s="9"/>
      <c r="K33" s="9" t="s">
        <v>160</v>
      </c>
      <c r="L33" s="9" t="s">
        <v>6113</v>
      </c>
      <c r="M33" s="9" t="str">
        <f>HYPERLINK("https://ceds.ed.gov/cedselementdetails.aspx?termid=13190")</f>
        <v>https://ceds.ed.gov/cedselementdetails.aspx?termid=13190</v>
      </c>
      <c r="N33" s="9" t="str">
        <f>HYPERLINK("https://ceds.ed.gov/elementComment.aspx?elementName=Address County Name &amp;elementID=13190", "Click here to submit comment")</f>
        <v>Click here to submit comment</v>
      </c>
    </row>
    <row r="34" spans="1:14" ht="409.5" x14ac:dyDescent="0.25">
      <c r="A34" s="9" t="s">
        <v>161</v>
      </c>
      <c r="B34" s="9" t="s">
        <v>162</v>
      </c>
      <c r="C34" s="9" t="s">
        <v>12</v>
      </c>
      <c r="D34" s="9" t="s">
        <v>10484</v>
      </c>
      <c r="E34" s="9"/>
      <c r="F34" s="9" t="s">
        <v>163</v>
      </c>
      <c r="G34" s="9"/>
      <c r="H34" s="9"/>
      <c r="I34" s="9" t="s">
        <v>164</v>
      </c>
      <c r="J34" s="9"/>
      <c r="K34" s="9" t="s">
        <v>165</v>
      </c>
      <c r="L34" s="9" t="s">
        <v>6113</v>
      </c>
      <c r="M34" s="9" t="str">
        <f>HYPERLINK("https://ceds.ed.gov/cedselementdetails.aspx?termid=13214")</f>
        <v>https://ceds.ed.gov/cedselementdetails.aspx?termid=13214</v>
      </c>
      <c r="N34" s="9" t="str">
        <f>HYPERLINK("https://ceds.ed.gov/elementComment.aspx?elementName=Address Postal Code &amp;elementID=13214", "Click here to submit comment")</f>
        <v>Click here to submit comment</v>
      </c>
    </row>
    <row r="35" spans="1:14" ht="409.5" x14ac:dyDescent="0.25">
      <c r="A35" s="9" t="s">
        <v>166</v>
      </c>
      <c r="B35" s="9" t="s">
        <v>167</v>
      </c>
      <c r="C35" s="9" t="s">
        <v>12</v>
      </c>
      <c r="D35" s="9" t="s">
        <v>10484</v>
      </c>
      <c r="E35" s="9"/>
      <c r="F35" s="9" t="s">
        <v>119</v>
      </c>
      <c r="G35" s="9"/>
      <c r="H35" s="9"/>
      <c r="I35" s="9" t="s">
        <v>168</v>
      </c>
      <c r="J35" s="9"/>
      <c r="K35" s="9" t="s">
        <v>169</v>
      </c>
      <c r="L35" s="9" t="s">
        <v>6113</v>
      </c>
      <c r="M35" s="9" t="str">
        <f>HYPERLINK("https://ceds.ed.gov/cedselementdetails.aspx?termid=13269")</f>
        <v>https://ceds.ed.gov/cedselementdetails.aspx?termid=13269</v>
      </c>
      <c r="N35" s="9" t="str">
        <f>HYPERLINK("https://ceds.ed.gov/elementComment.aspx?elementName=Address Street Number and Name &amp;elementID=13269", "Click here to submit comment")</f>
        <v>Click here to submit comment</v>
      </c>
    </row>
    <row r="36" spans="1:14" ht="390" x14ac:dyDescent="0.25">
      <c r="A36" s="9" t="s">
        <v>170</v>
      </c>
      <c r="B36" s="9" t="s">
        <v>171</v>
      </c>
      <c r="C36" s="10" t="s">
        <v>6319</v>
      </c>
      <c r="D36" s="9" t="s">
        <v>6114</v>
      </c>
      <c r="E36" s="9"/>
      <c r="F36" s="9" t="s">
        <v>87</v>
      </c>
      <c r="G36" s="9"/>
      <c r="H36" s="9"/>
      <c r="I36" s="9" t="s">
        <v>172</v>
      </c>
      <c r="J36" s="9"/>
      <c r="K36" s="9" t="s">
        <v>173</v>
      </c>
      <c r="L36" s="9" t="s">
        <v>6115</v>
      </c>
      <c r="M36" s="9" t="str">
        <f>HYPERLINK("https://ceds.ed.gov/cedselementdetails.aspx?termid=13358")</f>
        <v>https://ceds.ed.gov/cedselementdetails.aspx?termid=13358</v>
      </c>
      <c r="N36" s="9" t="str">
        <f>HYPERLINK("https://ceds.ed.gov/elementComment.aspx?elementName=Address Type for Learner or Family &amp;elementID=13358", "Click here to submit comment")</f>
        <v>Click here to submit comment</v>
      </c>
    </row>
    <row r="37" spans="1:14" ht="409.5" x14ac:dyDescent="0.25">
      <c r="A37" s="9" t="s">
        <v>174</v>
      </c>
      <c r="B37" s="9" t="s">
        <v>175</v>
      </c>
      <c r="C37" s="10" t="s">
        <v>6320</v>
      </c>
      <c r="D37" s="9" t="s">
        <v>10486</v>
      </c>
      <c r="E37" s="9"/>
      <c r="F37" s="9" t="s">
        <v>87</v>
      </c>
      <c r="G37" s="9"/>
      <c r="H37" s="9"/>
      <c r="I37" s="9" t="s">
        <v>176</v>
      </c>
      <c r="J37" s="9"/>
      <c r="K37" s="9" t="s">
        <v>177</v>
      </c>
      <c r="L37" s="9" t="s">
        <v>6109</v>
      </c>
      <c r="M37" s="9" t="str">
        <f>HYPERLINK("https://ceds.ed.gov/cedselementdetails.aspx?termid=13644")</f>
        <v>https://ceds.ed.gov/cedselementdetails.aspx?termid=13644</v>
      </c>
      <c r="N37" s="9" t="str">
        <f>HYPERLINK("https://ceds.ed.gov/elementComment.aspx?elementName=Address Type for Organization &amp;elementID=13644", "Click here to submit comment")</f>
        <v>Click here to submit comment</v>
      </c>
    </row>
    <row r="38" spans="1:14" ht="315" x14ac:dyDescent="0.25">
      <c r="A38" s="9" t="s">
        <v>178</v>
      </c>
      <c r="B38" s="9" t="s">
        <v>179</v>
      </c>
      <c r="C38" s="10" t="s">
        <v>6321</v>
      </c>
      <c r="D38" s="9" t="s">
        <v>10487</v>
      </c>
      <c r="E38" s="9"/>
      <c r="F38" s="9" t="s">
        <v>87</v>
      </c>
      <c r="G38" s="9"/>
      <c r="H38" s="9"/>
      <c r="I38" s="9" t="s">
        <v>180</v>
      </c>
      <c r="J38" s="9"/>
      <c r="K38" s="9" t="s">
        <v>181</v>
      </c>
      <c r="L38" s="9" t="s">
        <v>182</v>
      </c>
      <c r="M38" s="9" t="str">
        <f>HYPERLINK("https://ceds.ed.gov/cedselementdetails.aspx?termid=13698")</f>
        <v>https://ceds.ed.gov/cedselementdetails.aspx?termid=13698</v>
      </c>
      <c r="N38" s="9" t="str">
        <f>HYPERLINK("https://ceds.ed.gov/elementComment.aspx?elementName=Address Type for Staff &amp;elementID=13698", "Click here to submit comment")</f>
        <v>Click here to submit comment</v>
      </c>
    </row>
    <row r="39" spans="1:14" ht="45" x14ac:dyDescent="0.25">
      <c r="A39" s="9" t="s">
        <v>183</v>
      </c>
      <c r="B39" s="9" t="s">
        <v>184</v>
      </c>
      <c r="C39" s="9" t="s">
        <v>6106</v>
      </c>
      <c r="D39" s="9" t="s">
        <v>6116</v>
      </c>
      <c r="E39" s="9"/>
      <c r="F39" s="9"/>
      <c r="G39" s="9"/>
      <c r="H39" s="9"/>
      <c r="I39" s="9" t="s">
        <v>185</v>
      </c>
      <c r="J39" s="9" t="s">
        <v>186</v>
      </c>
      <c r="K39" s="9" t="s">
        <v>187</v>
      </c>
      <c r="L39" s="9" t="s">
        <v>188</v>
      </c>
      <c r="M39" s="9" t="str">
        <f>HYPERLINK("https://ceds.ed.gov/cedselementdetails.aspx?termid=13433")</f>
        <v>https://ceds.ed.gov/cedselementdetails.aspx?termid=13433</v>
      </c>
      <c r="N39" s="9" t="str">
        <f>HYPERLINK("https://ceds.ed.gov/elementComment.aspx?elementName=Adequate Yearly Progress Appeal Changed Designation &amp;elementID=13433", "Click here to submit comment")</f>
        <v>Click here to submit comment</v>
      </c>
    </row>
    <row r="40" spans="1:14" ht="45" x14ac:dyDescent="0.25">
      <c r="A40" s="9" t="s">
        <v>189</v>
      </c>
      <c r="B40" s="9" t="s">
        <v>190</v>
      </c>
      <c r="C40" s="9" t="s">
        <v>12</v>
      </c>
      <c r="D40" s="9" t="s">
        <v>6116</v>
      </c>
      <c r="E40" s="9"/>
      <c r="F40" s="9" t="s">
        <v>73</v>
      </c>
      <c r="G40" s="9"/>
      <c r="H40" s="9"/>
      <c r="I40" s="9" t="s">
        <v>191</v>
      </c>
      <c r="J40" s="9" t="s">
        <v>192</v>
      </c>
      <c r="K40" s="9" t="s">
        <v>193</v>
      </c>
      <c r="L40" s="9" t="s">
        <v>188</v>
      </c>
      <c r="M40" s="9" t="str">
        <f>HYPERLINK("https://ceds.ed.gov/cedselementdetails.aspx?termid=13434")</f>
        <v>https://ceds.ed.gov/cedselementdetails.aspx?termid=13434</v>
      </c>
      <c r="N40" s="9" t="str">
        <f>HYPERLINK("https://ceds.ed.gov/elementComment.aspx?elementName=Adequate Yearly Progress Appeal Process Date &amp;elementID=13434", "Click here to submit comment")</f>
        <v>Click here to submit comment</v>
      </c>
    </row>
    <row r="41" spans="1:14" ht="75" x14ac:dyDescent="0.25">
      <c r="A41" s="9" t="s">
        <v>194</v>
      </c>
      <c r="B41" s="9" t="s">
        <v>195</v>
      </c>
      <c r="C41" s="10" t="s">
        <v>6322</v>
      </c>
      <c r="D41" s="9" t="s">
        <v>6117</v>
      </c>
      <c r="E41" s="9"/>
      <c r="F41" s="9"/>
      <c r="G41" s="9"/>
      <c r="H41" s="9"/>
      <c r="I41" s="9" t="s">
        <v>196</v>
      </c>
      <c r="J41" s="9" t="s">
        <v>197</v>
      </c>
      <c r="K41" s="9" t="s">
        <v>198</v>
      </c>
      <c r="L41" s="9" t="s">
        <v>199</v>
      </c>
      <c r="M41" s="9" t="str">
        <f>HYPERLINK("https://ceds.ed.gov/cedselementdetails.aspx?termid=13011")</f>
        <v>https://ceds.ed.gov/cedselementdetails.aspx?termid=13011</v>
      </c>
      <c r="N41" s="9" t="str">
        <f>HYPERLINK("https://ceds.ed.gov/elementComment.aspx?elementName=Adequate Yearly Progress Status &amp;elementID=13011", "Click here to submit comment")</f>
        <v>Click here to submit comment</v>
      </c>
    </row>
    <row r="42" spans="1:14" ht="60" x14ac:dyDescent="0.25">
      <c r="A42" s="9" t="s">
        <v>200</v>
      </c>
      <c r="B42" s="9" t="s">
        <v>201</v>
      </c>
      <c r="C42" s="10" t="s">
        <v>6323</v>
      </c>
      <c r="D42" s="9" t="s">
        <v>202</v>
      </c>
      <c r="E42" s="9"/>
      <c r="F42" s="9"/>
      <c r="G42" s="9"/>
      <c r="H42" s="9"/>
      <c r="I42" s="9" t="s">
        <v>203</v>
      </c>
      <c r="J42" s="9"/>
      <c r="K42" s="9" t="s">
        <v>204</v>
      </c>
      <c r="L42" s="9"/>
      <c r="M42" s="9" t="str">
        <f>HYPERLINK("https://ceds.ed.gov/cedselementdetails.aspx?termid=13012")</f>
        <v>https://ceds.ed.gov/cedselementdetails.aspx?termid=13012</v>
      </c>
      <c r="N42" s="9" t="str">
        <f>HYPERLINK("https://ceds.ed.gov/elementComment.aspx?elementName=Administrative Funding Control &amp;elementID=13012", "Click here to submit comment")</f>
        <v>Click here to submit comment</v>
      </c>
    </row>
    <row r="43" spans="1:14" ht="120" x14ac:dyDescent="0.25">
      <c r="A43" s="9" t="s">
        <v>205</v>
      </c>
      <c r="B43" s="9" t="s">
        <v>206</v>
      </c>
      <c r="C43" s="10" t="s">
        <v>6324</v>
      </c>
      <c r="D43" s="9" t="s">
        <v>207</v>
      </c>
      <c r="E43" s="9"/>
      <c r="F43" s="9"/>
      <c r="G43" s="9"/>
      <c r="H43" s="9" t="s">
        <v>208</v>
      </c>
      <c r="I43" s="9" t="s">
        <v>209</v>
      </c>
      <c r="J43" s="9"/>
      <c r="K43" s="9" t="s">
        <v>210</v>
      </c>
      <c r="L43" s="9" t="s">
        <v>64</v>
      </c>
      <c r="M43" s="9" t="str">
        <f>HYPERLINK("https://ceds.ed.gov/cedselementdetails.aspx?termid=13984")</f>
        <v>https://ceds.ed.gov/cedselementdetails.aspx?termid=13984</v>
      </c>
      <c r="N43" s="9" t="str">
        <f>HYPERLINK("https://ceds.ed.gov/elementComment.aspx?elementName=Administrative Policy Type &amp;elementID=13984", "Click here to submit comment")</f>
        <v>Click here to submit comment</v>
      </c>
    </row>
    <row r="44" spans="1:14" ht="90" x14ac:dyDescent="0.25">
      <c r="A44" s="9" t="s">
        <v>211</v>
      </c>
      <c r="B44" s="9" t="s">
        <v>212</v>
      </c>
      <c r="C44" s="10" t="s">
        <v>6325</v>
      </c>
      <c r="D44" s="9" t="s">
        <v>213</v>
      </c>
      <c r="E44" s="9"/>
      <c r="F44" s="9"/>
      <c r="G44" s="9"/>
      <c r="H44" s="9"/>
      <c r="I44" s="9" t="s">
        <v>214</v>
      </c>
      <c r="J44" s="9"/>
      <c r="K44" s="9" t="s">
        <v>215</v>
      </c>
      <c r="L44" s="9" t="s">
        <v>216</v>
      </c>
      <c r="M44" s="9" t="str">
        <f>HYPERLINK("https://ceds.ed.gov/cedselementdetails.aspx?termid=14558")</f>
        <v>https://ceds.ed.gov/cedselementdetails.aspx?termid=14558</v>
      </c>
      <c r="N44" s="9" t="str">
        <f>HYPERLINK("https://ceds.ed.gov/elementComment.aspx?elementName=Admission Consideration Level &amp;elementID=14558", "Click here to submit comment")</f>
        <v>Click here to submit comment</v>
      </c>
    </row>
    <row r="45" spans="1:14" ht="345" x14ac:dyDescent="0.25">
      <c r="A45" s="9" t="s">
        <v>217</v>
      </c>
      <c r="B45" s="9" t="s">
        <v>218</v>
      </c>
      <c r="C45" s="10" t="s">
        <v>6326</v>
      </c>
      <c r="D45" s="9" t="s">
        <v>213</v>
      </c>
      <c r="E45" s="9"/>
      <c r="F45" s="9"/>
      <c r="G45" s="9"/>
      <c r="H45" s="9"/>
      <c r="I45" s="9" t="s">
        <v>219</v>
      </c>
      <c r="J45" s="9"/>
      <c r="K45" s="9" t="s">
        <v>220</v>
      </c>
      <c r="L45" s="9" t="s">
        <v>216</v>
      </c>
      <c r="M45" s="9" t="str">
        <f>HYPERLINK("https://ceds.ed.gov/cedselementdetails.aspx?termid=14559")</f>
        <v>https://ceds.ed.gov/cedselementdetails.aspx?termid=14559</v>
      </c>
      <c r="N45" s="9" t="str">
        <f>HYPERLINK("https://ceds.ed.gov/elementComment.aspx?elementName=Admission Consideration Type &amp;elementID=14559", "Click here to submit comment")</f>
        <v>Click here to submit comment</v>
      </c>
    </row>
    <row r="46" spans="1:14" ht="135" x14ac:dyDescent="0.25">
      <c r="A46" s="9" t="s">
        <v>221</v>
      </c>
      <c r="B46" s="9" t="s">
        <v>222</v>
      </c>
      <c r="C46" s="10" t="s">
        <v>6327</v>
      </c>
      <c r="D46" s="9" t="s">
        <v>223</v>
      </c>
      <c r="E46" s="9"/>
      <c r="F46" s="9"/>
      <c r="G46" s="9"/>
      <c r="H46" s="9" t="s">
        <v>224</v>
      </c>
      <c r="I46" s="9" t="s">
        <v>225</v>
      </c>
      <c r="J46" s="9"/>
      <c r="K46" s="9" t="s">
        <v>226</v>
      </c>
      <c r="L46" s="9" t="s">
        <v>227</v>
      </c>
      <c r="M46" s="9" t="str">
        <f>HYPERLINK("https://ceds.ed.gov/cedselementdetails.aspx?termid=13736")</f>
        <v>https://ceds.ed.gov/cedselementdetails.aspx?termid=13736</v>
      </c>
      <c r="N46" s="9" t="str">
        <f>HYPERLINK("https://ceds.ed.gov/elementComment.aspx?elementName=Admitted Student &amp;elementID=13736", "Click here to submit comment")</f>
        <v>Click here to submit comment</v>
      </c>
    </row>
    <row r="47" spans="1:14" ht="150" x14ac:dyDescent="0.25">
      <c r="A47" s="9" t="s">
        <v>228</v>
      </c>
      <c r="B47" s="9" t="s">
        <v>229</v>
      </c>
      <c r="C47" s="10" t="s">
        <v>6328</v>
      </c>
      <c r="D47" s="9" t="s">
        <v>230</v>
      </c>
      <c r="E47" s="9"/>
      <c r="F47" s="9"/>
      <c r="G47" s="9"/>
      <c r="H47" s="9"/>
      <c r="I47" s="9" t="s">
        <v>231</v>
      </c>
      <c r="J47" s="9"/>
      <c r="K47" s="9" t="s">
        <v>232</v>
      </c>
      <c r="L47" s="9"/>
      <c r="M47" s="9" t="str">
        <f>HYPERLINK("https://ceds.ed.gov/cedselementdetails.aspx?termid=13775")</f>
        <v>https://ceds.ed.gov/cedselementdetails.aspx?termid=13775</v>
      </c>
      <c r="N47" s="9" t="str">
        <f>HYPERLINK("https://ceds.ed.gov/elementComment.aspx?elementName=Adult Education Certification Type &amp;elementID=13775", "Click here to submit comment")</f>
        <v>Click here to submit comment</v>
      </c>
    </row>
    <row r="48" spans="1:14" ht="75" x14ac:dyDescent="0.25">
      <c r="A48" s="9" t="s">
        <v>233</v>
      </c>
      <c r="B48" s="9" t="s">
        <v>234</v>
      </c>
      <c r="C48" s="10" t="s">
        <v>6329</v>
      </c>
      <c r="D48" s="9" t="s">
        <v>235</v>
      </c>
      <c r="E48" s="9"/>
      <c r="F48" s="9"/>
      <c r="G48" s="9"/>
      <c r="H48" s="9"/>
      <c r="I48" s="9" t="s">
        <v>236</v>
      </c>
      <c r="J48" s="9"/>
      <c r="K48" s="9" t="s">
        <v>237</v>
      </c>
      <c r="L48" s="9"/>
      <c r="M48" s="9" t="str">
        <f>HYPERLINK("https://ceds.ed.gov/cedselementdetails.aspx?termid=13765")</f>
        <v>https://ceds.ed.gov/cedselementdetails.aspx?termid=13765</v>
      </c>
      <c r="N48" s="9" t="str">
        <f>HYPERLINK("https://ceds.ed.gov/elementComment.aspx?elementName=Adult Education Instructional Program Type &amp;elementID=13765", "Click here to submit comment")</f>
        <v>Click here to submit comment</v>
      </c>
    </row>
    <row r="49" spans="1:14" ht="120" x14ac:dyDescent="0.25">
      <c r="A49" s="9" t="s">
        <v>238</v>
      </c>
      <c r="B49" s="9" t="s">
        <v>239</v>
      </c>
      <c r="C49" s="10" t="s">
        <v>6330</v>
      </c>
      <c r="D49" s="9" t="s">
        <v>235</v>
      </c>
      <c r="E49" s="9"/>
      <c r="F49" s="9"/>
      <c r="G49" s="9"/>
      <c r="H49" s="9"/>
      <c r="I49" s="9" t="s">
        <v>240</v>
      </c>
      <c r="J49" s="9"/>
      <c r="K49" s="9" t="s">
        <v>241</v>
      </c>
      <c r="L49" s="9"/>
      <c r="M49" s="9" t="str">
        <f>HYPERLINK("https://ceds.ed.gov/cedselementdetails.aspx?termid=13768")</f>
        <v>https://ceds.ed.gov/cedselementdetails.aspx?termid=13768</v>
      </c>
      <c r="N49" s="9" t="str">
        <f>HYPERLINK("https://ceds.ed.gov/elementComment.aspx?elementName=Adult Education Postsecondary Transition Action &amp;elementID=13768", "Click here to submit comment")</f>
        <v>Click here to submit comment</v>
      </c>
    </row>
    <row r="50" spans="1:14" ht="75" x14ac:dyDescent="0.25">
      <c r="A50" s="9" t="s">
        <v>242</v>
      </c>
      <c r="B50" s="9" t="s">
        <v>243</v>
      </c>
      <c r="C50" s="9" t="s">
        <v>12</v>
      </c>
      <c r="D50" s="9" t="s">
        <v>235</v>
      </c>
      <c r="E50" s="9"/>
      <c r="F50" s="9" t="s">
        <v>73</v>
      </c>
      <c r="G50" s="9"/>
      <c r="H50" s="9"/>
      <c r="I50" s="9" t="s">
        <v>244</v>
      </c>
      <c r="J50" s="9"/>
      <c r="K50" s="9" t="s">
        <v>245</v>
      </c>
      <c r="L50" s="9"/>
      <c r="M50" s="9" t="str">
        <f>HYPERLINK("https://ceds.ed.gov/cedselementdetails.aspx?termid=13769")</f>
        <v>https://ceds.ed.gov/cedselementdetails.aspx?termid=13769</v>
      </c>
      <c r="N50" s="9" t="str">
        <f>HYPERLINK("https://ceds.ed.gov/elementComment.aspx?elementName=Adult Education Postsecondary Transition Date &amp;elementID=13769", "Click here to submit comment")</f>
        <v>Click here to submit comment</v>
      </c>
    </row>
    <row r="51" spans="1:14" ht="195" x14ac:dyDescent="0.25">
      <c r="A51" s="9" t="s">
        <v>246</v>
      </c>
      <c r="B51" s="9" t="s">
        <v>247</v>
      </c>
      <c r="C51" s="10" t="s">
        <v>6331</v>
      </c>
      <c r="D51" s="9" t="s">
        <v>248</v>
      </c>
      <c r="E51" s="9"/>
      <c r="F51" s="9"/>
      <c r="G51" s="9"/>
      <c r="H51" s="9"/>
      <c r="I51" s="9" t="s">
        <v>249</v>
      </c>
      <c r="J51" s="9"/>
      <c r="K51" s="9" t="s">
        <v>250</v>
      </c>
      <c r="L51" s="9"/>
      <c r="M51" s="9" t="str">
        <f>HYPERLINK("https://ceds.ed.gov/cedselementdetails.aspx?termid=13779")</f>
        <v>https://ceds.ed.gov/cedselementdetails.aspx?termid=13779</v>
      </c>
      <c r="N51" s="9" t="str">
        <f>HYPERLINK("https://ceds.ed.gov/elementComment.aspx?elementName=Adult Education Provider Type &amp;elementID=13779", "Click here to submit comment")</f>
        <v>Click here to submit comment</v>
      </c>
    </row>
    <row r="52" spans="1:14" ht="240" x14ac:dyDescent="0.25">
      <c r="A52" s="9" t="s">
        <v>251</v>
      </c>
      <c r="B52" s="9" t="s">
        <v>252</v>
      </c>
      <c r="C52" s="10" t="s">
        <v>6332</v>
      </c>
      <c r="D52" s="9" t="s">
        <v>6118</v>
      </c>
      <c r="E52" s="9"/>
      <c r="F52" s="9"/>
      <c r="G52" s="9"/>
      <c r="H52" s="9"/>
      <c r="I52" s="9" t="s">
        <v>253</v>
      </c>
      <c r="J52" s="9"/>
      <c r="K52" s="9" t="s">
        <v>254</v>
      </c>
      <c r="L52" s="9"/>
      <c r="M52" s="9" t="str">
        <f>HYPERLINK("https://ceds.ed.gov/cedselementdetails.aspx?termid=13778")</f>
        <v>https://ceds.ed.gov/cedselementdetails.aspx?termid=13778</v>
      </c>
      <c r="N52" s="9" t="str">
        <f>HYPERLINK("https://ceds.ed.gov/elementComment.aspx?elementName=Adult Education Service Provider Identification System &amp;elementID=13778", "Click here to submit comment")</f>
        <v>Click here to submit comment</v>
      </c>
    </row>
    <row r="53" spans="1:14" ht="105" x14ac:dyDescent="0.25">
      <c r="A53" s="18" t="s">
        <v>255</v>
      </c>
      <c r="B53" s="18" t="s">
        <v>256</v>
      </c>
      <c r="C53" s="18" t="s">
        <v>12</v>
      </c>
      <c r="D53" s="18" t="s">
        <v>6118</v>
      </c>
      <c r="E53" s="18"/>
      <c r="F53" s="18" t="s">
        <v>119</v>
      </c>
      <c r="G53" s="18"/>
      <c r="H53" s="9" t="s">
        <v>120</v>
      </c>
      <c r="I53" s="18" t="s">
        <v>257</v>
      </c>
      <c r="J53" s="18"/>
      <c r="K53" s="18" t="s">
        <v>258</v>
      </c>
      <c r="L53" s="18"/>
      <c r="M53" s="18" t="str">
        <f>HYPERLINK("https://ceds.ed.gov/cedselementdetails.aspx?termid=13777")</f>
        <v>https://ceds.ed.gov/cedselementdetails.aspx?termid=13777</v>
      </c>
      <c r="N53" s="18" t="str">
        <f>HYPERLINK("https://ceds.ed.gov/elementComment.aspx?elementName=Adult Education Service Provider Identifier &amp;elementID=13777", "Click here to submit comment")</f>
        <v>Click here to submit comment</v>
      </c>
    </row>
    <row r="54" spans="1:14" x14ac:dyDescent="0.25">
      <c r="A54" s="18"/>
      <c r="B54" s="18"/>
      <c r="C54" s="18"/>
      <c r="D54" s="18"/>
      <c r="E54" s="18"/>
      <c r="F54" s="18"/>
      <c r="G54" s="18"/>
      <c r="H54" s="9"/>
      <c r="I54" s="18"/>
      <c r="J54" s="18"/>
      <c r="K54" s="18"/>
      <c r="L54" s="18"/>
      <c r="M54" s="18"/>
      <c r="N54" s="18"/>
    </row>
    <row r="55" spans="1:14" ht="90" x14ac:dyDescent="0.25">
      <c r="A55" s="18"/>
      <c r="B55" s="18"/>
      <c r="C55" s="18"/>
      <c r="D55" s="18"/>
      <c r="E55" s="18"/>
      <c r="F55" s="18"/>
      <c r="G55" s="18"/>
      <c r="H55" s="9" t="s">
        <v>121</v>
      </c>
      <c r="I55" s="18"/>
      <c r="J55" s="18"/>
      <c r="K55" s="18"/>
      <c r="L55" s="18"/>
      <c r="M55" s="18"/>
      <c r="N55" s="18"/>
    </row>
    <row r="56" spans="1:14" ht="165" x14ac:dyDescent="0.25">
      <c r="A56" s="9" t="s">
        <v>259</v>
      </c>
      <c r="B56" s="9" t="s">
        <v>260</v>
      </c>
      <c r="C56" s="10" t="s">
        <v>6333</v>
      </c>
      <c r="D56" s="9" t="s">
        <v>235</v>
      </c>
      <c r="E56" s="9"/>
      <c r="F56" s="9"/>
      <c r="G56" s="9"/>
      <c r="H56" s="9" t="s">
        <v>261</v>
      </c>
      <c r="I56" s="9" t="s">
        <v>262</v>
      </c>
      <c r="J56" s="9"/>
      <c r="K56" s="9" t="s">
        <v>263</v>
      </c>
      <c r="L56" s="9"/>
      <c r="M56" s="9" t="str">
        <f>HYPERLINK("https://ceds.ed.gov/cedselementdetails.aspx?termid=13766")</f>
        <v>https://ceds.ed.gov/cedselementdetails.aspx?termid=13766</v>
      </c>
      <c r="N56" s="9" t="str">
        <f>HYPERLINK("https://ceds.ed.gov/elementComment.aspx?elementName=Adult Education Special Program Type &amp;elementID=13766", "Click here to submit comment")</f>
        <v>Click here to submit comment</v>
      </c>
    </row>
    <row r="57" spans="1:14" ht="240" x14ac:dyDescent="0.25">
      <c r="A57" s="9" t="s">
        <v>264</v>
      </c>
      <c r="B57" s="9" t="s">
        <v>265</v>
      </c>
      <c r="C57" s="10" t="s">
        <v>6334</v>
      </c>
      <c r="D57" s="9" t="s">
        <v>266</v>
      </c>
      <c r="E57" s="9"/>
      <c r="F57" s="9"/>
      <c r="G57" s="9"/>
      <c r="H57" s="9"/>
      <c r="I57" s="9" t="s">
        <v>267</v>
      </c>
      <c r="J57" s="9"/>
      <c r="K57" s="9" t="s">
        <v>268</v>
      </c>
      <c r="L57" s="9"/>
      <c r="M57" s="9" t="str">
        <f>HYPERLINK("https://ceds.ed.gov/cedselementdetails.aspx?termid=13770")</f>
        <v>https://ceds.ed.gov/cedselementdetails.aspx?termid=13770</v>
      </c>
      <c r="N57" s="9" t="str">
        <f>HYPERLINK("https://ceds.ed.gov/elementComment.aspx?elementName=Adult Education Staff Classification &amp;elementID=13770", "Click here to submit comment")</f>
        <v>Click here to submit comment</v>
      </c>
    </row>
    <row r="58" spans="1:14" ht="105" x14ac:dyDescent="0.25">
      <c r="A58" s="9" t="s">
        <v>269</v>
      </c>
      <c r="B58" s="9" t="s">
        <v>270</v>
      </c>
      <c r="C58" s="10" t="s">
        <v>6335</v>
      </c>
      <c r="D58" s="9" t="s">
        <v>266</v>
      </c>
      <c r="E58" s="9"/>
      <c r="F58" s="9"/>
      <c r="G58" s="9"/>
      <c r="H58" s="9"/>
      <c r="I58" s="9" t="s">
        <v>271</v>
      </c>
      <c r="J58" s="9"/>
      <c r="K58" s="9" t="s">
        <v>272</v>
      </c>
      <c r="L58" s="9"/>
      <c r="M58" s="9" t="str">
        <f>HYPERLINK("https://ceds.ed.gov/cedselementdetails.aspx?termid=13771")</f>
        <v>https://ceds.ed.gov/cedselementdetails.aspx?termid=13771</v>
      </c>
      <c r="N58" s="9" t="str">
        <f>HYPERLINK("https://ceds.ed.gov/elementComment.aspx?elementName=Adult Education Staff Employment Status &amp;elementID=13771", "Click here to submit comment")</f>
        <v>Click here to submit comment</v>
      </c>
    </row>
    <row r="59" spans="1:14" ht="270" x14ac:dyDescent="0.25">
      <c r="A59" s="9" t="s">
        <v>273</v>
      </c>
      <c r="B59" s="9" t="s">
        <v>274</v>
      </c>
      <c r="C59" s="10" t="s">
        <v>6336</v>
      </c>
      <c r="D59" s="9" t="s">
        <v>235</v>
      </c>
      <c r="E59" s="9"/>
      <c r="F59" s="9"/>
      <c r="G59" s="9"/>
      <c r="H59" s="9"/>
      <c r="I59" s="9" t="s">
        <v>275</v>
      </c>
      <c r="J59" s="9"/>
      <c r="K59" s="9" t="s">
        <v>276</v>
      </c>
      <c r="L59" s="9"/>
      <c r="M59" s="9" t="str">
        <f>HYPERLINK("https://ceds.ed.gov/cedselementdetails.aspx?termid=13763")</f>
        <v>https://ceds.ed.gov/cedselementdetails.aspx?termid=13763</v>
      </c>
      <c r="N59" s="9" t="str">
        <f>HYPERLINK("https://ceds.ed.gov/elementComment.aspx?elementName=Adult Educational Functioning Level at Intake &amp;elementID=13763", "Click here to submit comment")</f>
        <v>Click here to submit comment</v>
      </c>
    </row>
    <row r="60" spans="1:14" ht="270" x14ac:dyDescent="0.25">
      <c r="A60" s="9" t="s">
        <v>277</v>
      </c>
      <c r="B60" s="9" t="s">
        <v>278</v>
      </c>
      <c r="C60" s="10" t="s">
        <v>6336</v>
      </c>
      <c r="D60" s="9" t="s">
        <v>235</v>
      </c>
      <c r="E60" s="9"/>
      <c r="F60" s="9"/>
      <c r="G60" s="9"/>
      <c r="H60" s="9"/>
      <c r="I60" s="9" t="s">
        <v>279</v>
      </c>
      <c r="J60" s="9"/>
      <c r="K60" s="9" t="s">
        <v>280</v>
      </c>
      <c r="L60" s="9"/>
      <c r="M60" s="9" t="str">
        <f>HYPERLINK("https://ceds.ed.gov/cedselementdetails.aspx?termid=13764")</f>
        <v>https://ceds.ed.gov/cedselementdetails.aspx?termid=13764</v>
      </c>
      <c r="N60" s="9" t="str">
        <f>HYPERLINK("https://ceds.ed.gov/elementComment.aspx?elementName=Adult Educational Functioning Level at Posttest &amp;elementID=13764", "Click here to submit comment")</f>
        <v>Click here to submit comment</v>
      </c>
    </row>
    <row r="61" spans="1:14" ht="409.5" x14ac:dyDescent="0.25">
      <c r="A61" s="9" t="s">
        <v>281</v>
      </c>
      <c r="B61" s="9" t="s">
        <v>282</v>
      </c>
      <c r="C61" s="10" t="s">
        <v>6337</v>
      </c>
      <c r="D61" s="9" t="s">
        <v>10488</v>
      </c>
      <c r="E61" s="9"/>
      <c r="F61" s="9" t="s">
        <v>92</v>
      </c>
      <c r="G61" s="9"/>
      <c r="H61" s="9"/>
      <c r="I61" s="9" t="s">
        <v>283</v>
      </c>
      <c r="J61" s="9" t="s">
        <v>284</v>
      </c>
      <c r="K61" s="9" t="s">
        <v>285</v>
      </c>
      <c r="L61" s="9"/>
      <c r="M61" s="9" t="str">
        <f>HYPERLINK("https://ceds.ed.gov/cedselementdetails.aspx?termid=14244")</f>
        <v>https://ceds.ed.gov/cedselementdetails.aspx?termid=14244</v>
      </c>
      <c r="N61" s="9" t="str">
        <f>HYPERLINK("https://ceds.ed.gov/elementComment.aspx?elementName=Advanced Placement Course Code &amp;elementID=14244", "Click here to submit comment")</f>
        <v>Click here to submit comment</v>
      </c>
    </row>
    <row r="62" spans="1:14" ht="60" x14ac:dyDescent="0.25">
      <c r="A62" s="9" t="s">
        <v>286</v>
      </c>
      <c r="B62" s="9" t="s">
        <v>287</v>
      </c>
      <c r="C62" s="9" t="s">
        <v>6106</v>
      </c>
      <c r="D62" s="9" t="s">
        <v>202</v>
      </c>
      <c r="E62" s="9"/>
      <c r="F62" s="9"/>
      <c r="G62" s="9"/>
      <c r="H62" s="9"/>
      <c r="I62" s="9" t="s">
        <v>288</v>
      </c>
      <c r="J62" s="9" t="s">
        <v>289</v>
      </c>
      <c r="K62" s="9" t="s">
        <v>290</v>
      </c>
      <c r="L62" s="9" t="s">
        <v>4</v>
      </c>
      <c r="M62" s="9" t="str">
        <f>HYPERLINK("https://ceds.ed.gov/cedselementdetails.aspx?termid=13017")</f>
        <v>https://ceds.ed.gov/cedselementdetails.aspx?termid=13017</v>
      </c>
      <c r="N62" s="9" t="str">
        <f>HYPERLINK("https://ceds.ed.gov/elementComment.aspx?elementName=Advanced Placement Course Self Selection &amp;elementID=13017", "Click here to submit comment")</f>
        <v>Click here to submit comment</v>
      </c>
    </row>
    <row r="63" spans="1:14" ht="90" x14ac:dyDescent="0.25">
      <c r="A63" s="9" t="s">
        <v>291</v>
      </c>
      <c r="B63" s="9" t="s">
        <v>292</v>
      </c>
      <c r="C63" s="9" t="s">
        <v>12</v>
      </c>
      <c r="D63" s="9" t="s">
        <v>293</v>
      </c>
      <c r="E63" s="9"/>
      <c r="F63" s="9" t="s">
        <v>10489</v>
      </c>
      <c r="G63" s="9"/>
      <c r="H63" s="9"/>
      <c r="I63" s="9" t="s">
        <v>294</v>
      </c>
      <c r="J63" s="9" t="s">
        <v>295</v>
      </c>
      <c r="K63" s="9" t="s">
        <v>296</v>
      </c>
      <c r="L63" s="9" t="s">
        <v>25</v>
      </c>
      <c r="M63" s="9" t="str">
        <f>HYPERLINK("https://ceds.ed.gov/cedselementdetails.aspx?termid=13018")</f>
        <v>https://ceds.ed.gov/cedselementdetails.aspx?termid=13018</v>
      </c>
      <c r="N63" s="9" t="str">
        <f>HYPERLINK("https://ceds.ed.gov/elementComment.aspx?elementName=Advanced Placement Credits Awarded &amp;elementID=13018", "Click here to submit comment")</f>
        <v>Click here to submit comment</v>
      </c>
    </row>
    <row r="64" spans="1:14" ht="105" customHeight="1" x14ac:dyDescent="0.25">
      <c r="A64" s="18" t="s">
        <v>297</v>
      </c>
      <c r="B64" s="18" t="s">
        <v>298</v>
      </c>
      <c r="C64" s="18" t="s">
        <v>12</v>
      </c>
      <c r="D64" s="18" t="s">
        <v>10490</v>
      </c>
      <c r="E64" s="18"/>
      <c r="F64" s="18" t="s">
        <v>119</v>
      </c>
      <c r="G64" s="18"/>
      <c r="H64" s="9" t="s">
        <v>120</v>
      </c>
      <c r="I64" s="18" t="s">
        <v>299</v>
      </c>
      <c r="J64" s="18"/>
      <c r="K64" s="18" t="s">
        <v>300</v>
      </c>
      <c r="L64" s="18"/>
      <c r="M64" s="18" t="str">
        <f>HYPERLINK("https://ceds.ed.gov/cedselementdetails.aspx?termid=14246")</f>
        <v>https://ceds.ed.gov/cedselementdetails.aspx?termid=14246</v>
      </c>
      <c r="N64" s="18" t="str">
        <f>HYPERLINK("https://ceds.ed.gov/elementComment.aspx?elementName=Agency Course Identifier &amp;elementID=14246", "Click here to submit comment")</f>
        <v>Click here to submit comment</v>
      </c>
    </row>
    <row r="65" spans="1:14" x14ac:dyDescent="0.25">
      <c r="A65" s="18"/>
      <c r="B65" s="18"/>
      <c r="C65" s="18"/>
      <c r="D65" s="18"/>
      <c r="E65" s="18"/>
      <c r="F65" s="18"/>
      <c r="G65" s="18"/>
      <c r="H65" s="9"/>
      <c r="I65" s="18"/>
      <c r="J65" s="18"/>
      <c r="K65" s="18"/>
      <c r="L65" s="18"/>
      <c r="M65" s="18"/>
      <c r="N65" s="18"/>
    </row>
    <row r="66" spans="1:14" ht="90" x14ac:dyDescent="0.25">
      <c r="A66" s="18"/>
      <c r="B66" s="18"/>
      <c r="C66" s="18"/>
      <c r="D66" s="18"/>
      <c r="E66" s="18"/>
      <c r="F66" s="18"/>
      <c r="G66" s="18"/>
      <c r="H66" s="9" t="s">
        <v>121</v>
      </c>
      <c r="I66" s="18"/>
      <c r="J66" s="18"/>
      <c r="K66" s="18"/>
      <c r="L66" s="18"/>
      <c r="M66" s="18"/>
      <c r="N66" s="18"/>
    </row>
    <row r="67" spans="1:14" ht="45" x14ac:dyDescent="0.25">
      <c r="A67" s="9" t="s">
        <v>301</v>
      </c>
      <c r="B67" s="9" t="s">
        <v>302</v>
      </c>
      <c r="C67" s="9" t="s">
        <v>12</v>
      </c>
      <c r="D67" s="9" t="s">
        <v>6119</v>
      </c>
      <c r="E67" s="9"/>
      <c r="F67" s="9" t="s">
        <v>303</v>
      </c>
      <c r="G67" s="9"/>
      <c r="H67" s="9"/>
      <c r="I67" s="9" t="s">
        <v>304</v>
      </c>
      <c r="J67" s="9"/>
      <c r="K67" s="9" t="s">
        <v>305</v>
      </c>
      <c r="L67" s="9"/>
      <c r="M67" s="9" t="str">
        <f>HYPERLINK("https://ceds.ed.gov/cedselementdetails.aspx?termid=14247")</f>
        <v>https://ceds.ed.gov/cedselementdetails.aspx?termid=14247</v>
      </c>
      <c r="N67" s="9" t="str">
        <f>HYPERLINK("https://ceds.ed.gov/elementComment.aspx?elementName=Allergy Reaction Description &amp;elementID=14247", "Click here to submit comment")</f>
        <v>Click here to submit comment</v>
      </c>
    </row>
    <row r="68" spans="1:14" ht="45" x14ac:dyDescent="0.25">
      <c r="A68" s="9" t="s">
        <v>306</v>
      </c>
      <c r="B68" s="9" t="s">
        <v>307</v>
      </c>
      <c r="C68" s="10" t="s">
        <v>6338</v>
      </c>
      <c r="D68" s="9" t="s">
        <v>6119</v>
      </c>
      <c r="E68" s="9"/>
      <c r="F68" s="9"/>
      <c r="G68" s="9"/>
      <c r="H68" s="9"/>
      <c r="I68" s="9" t="s">
        <v>308</v>
      </c>
      <c r="J68" s="9"/>
      <c r="K68" s="9" t="s">
        <v>309</v>
      </c>
      <c r="L68" s="9"/>
      <c r="M68" s="9" t="str">
        <f>HYPERLINK("https://ceds.ed.gov/cedselementdetails.aspx?termid=14248")</f>
        <v>https://ceds.ed.gov/cedselementdetails.aspx?termid=14248</v>
      </c>
      <c r="N68" s="9" t="str">
        <f>HYPERLINK("https://ceds.ed.gov/elementComment.aspx?elementName=Allergy Severity &amp;elementID=14248", "Click here to submit comment")</f>
        <v>Click here to submit comment</v>
      </c>
    </row>
    <row r="69" spans="1:14" ht="409.5" x14ac:dyDescent="0.25">
      <c r="A69" s="9" t="s">
        <v>310</v>
      </c>
      <c r="B69" s="9" t="s">
        <v>311</v>
      </c>
      <c r="C69" s="10" t="s">
        <v>6339</v>
      </c>
      <c r="D69" s="9" t="s">
        <v>6119</v>
      </c>
      <c r="E69" s="9"/>
      <c r="F69" s="9"/>
      <c r="G69" s="9"/>
      <c r="H69" s="9" t="s">
        <v>10491</v>
      </c>
      <c r="I69" s="9" t="s">
        <v>312</v>
      </c>
      <c r="J69" s="9"/>
      <c r="K69" s="9" t="s">
        <v>313</v>
      </c>
      <c r="L69" s="9"/>
      <c r="M69" s="9" t="str">
        <f>HYPERLINK("https://ceds.ed.gov/cedselementdetails.aspx?termid=14249")</f>
        <v>https://ceds.ed.gov/cedselementdetails.aspx?termid=14249</v>
      </c>
      <c r="N69" s="9" t="str">
        <f>HYPERLINK("https://ceds.ed.gov/elementComment.aspx?elementName=Allergy Type &amp;elementID=14249", "Click here to submit comment")</f>
        <v>Click here to submit comment</v>
      </c>
    </row>
    <row r="70" spans="1:14" ht="60" x14ac:dyDescent="0.25">
      <c r="A70" s="9" t="s">
        <v>314</v>
      </c>
      <c r="B70" s="9" t="s">
        <v>315</v>
      </c>
      <c r="C70" s="9" t="s">
        <v>6106</v>
      </c>
      <c r="D70" s="9" t="s">
        <v>6116</v>
      </c>
      <c r="E70" s="9"/>
      <c r="F70" s="9"/>
      <c r="G70" s="9"/>
      <c r="H70" s="9"/>
      <c r="I70" s="9" t="s">
        <v>316</v>
      </c>
      <c r="J70" s="9" t="s">
        <v>317</v>
      </c>
      <c r="K70" s="9" t="s">
        <v>318</v>
      </c>
      <c r="L70" s="9" t="s">
        <v>199</v>
      </c>
      <c r="M70" s="9" t="str">
        <f>HYPERLINK("https://ceds.ed.gov/cedselementdetails.aspx?termid=13014")</f>
        <v>https://ceds.ed.gov/cedselementdetails.aspx?termid=13014</v>
      </c>
      <c r="N70" s="9" t="str">
        <f>HYPERLINK("https://ceds.ed.gov/elementComment.aspx?elementName=Alternate Adequate Yearly Progress Approach Indicator &amp;elementID=13014", "Click here to submit comment")</f>
        <v>Click here to submit comment</v>
      </c>
    </row>
    <row r="71" spans="1:14" ht="45" x14ac:dyDescent="0.25">
      <c r="A71" s="9" t="s">
        <v>319</v>
      </c>
      <c r="B71" s="9" t="s">
        <v>320</v>
      </c>
      <c r="C71" s="9" t="s">
        <v>12</v>
      </c>
      <c r="D71" s="9" t="s">
        <v>321</v>
      </c>
      <c r="E71" s="9"/>
      <c r="F71" s="9" t="s">
        <v>87</v>
      </c>
      <c r="G71" s="9"/>
      <c r="H71" s="9"/>
      <c r="I71" s="9" t="s">
        <v>322</v>
      </c>
      <c r="J71" s="9"/>
      <c r="K71" s="9" t="s">
        <v>323</v>
      </c>
      <c r="L71" s="9"/>
      <c r="M71" s="9" t="str">
        <f>HYPERLINK("https://ceds.ed.gov/cedselementdetails.aspx?termid=13591")</f>
        <v>https://ceds.ed.gov/cedselementdetails.aspx?termid=13591</v>
      </c>
      <c r="N71" s="9" t="str">
        <f>HYPERLINK("https://ceds.ed.gov/elementComment.aspx?elementName=Alternate Day Name &amp;elementID=13591", "Click here to submit comment")</f>
        <v>Click here to submit comment</v>
      </c>
    </row>
    <row r="72" spans="1:14" ht="60" x14ac:dyDescent="0.25">
      <c r="A72" s="9" t="s">
        <v>324</v>
      </c>
      <c r="B72" s="9" t="s">
        <v>325</v>
      </c>
      <c r="C72" s="10" t="s">
        <v>6340</v>
      </c>
      <c r="D72" s="9" t="s">
        <v>326</v>
      </c>
      <c r="E72" s="9"/>
      <c r="F72" s="9"/>
      <c r="G72" s="9"/>
      <c r="H72" s="9"/>
      <c r="I72" s="9" t="s">
        <v>327</v>
      </c>
      <c r="J72" s="9"/>
      <c r="K72" s="9" t="s">
        <v>328</v>
      </c>
      <c r="L72" s="9" t="s">
        <v>329</v>
      </c>
      <c r="M72" s="9" t="str">
        <f>HYPERLINK("https://ceds.ed.gov/cedselementdetails.aspx?termid=13751")</f>
        <v>https://ceds.ed.gov/cedselementdetails.aspx?termid=13751</v>
      </c>
      <c r="N72" s="9" t="str">
        <f>HYPERLINK("https://ceds.ed.gov/elementComment.aspx?elementName=Alternative Route to Certification or Licensure &amp;elementID=13751", "Click here to submit comment")</f>
        <v>Click here to submit comment</v>
      </c>
    </row>
    <row r="73" spans="1:14" ht="120" x14ac:dyDescent="0.25">
      <c r="A73" s="9" t="s">
        <v>330</v>
      </c>
      <c r="B73" s="9" t="s">
        <v>331</v>
      </c>
      <c r="C73" s="10" t="s">
        <v>6341</v>
      </c>
      <c r="D73" s="9" t="s">
        <v>202</v>
      </c>
      <c r="E73" s="9"/>
      <c r="F73" s="9"/>
      <c r="G73" s="9"/>
      <c r="H73" s="9"/>
      <c r="I73" s="9" t="s">
        <v>332</v>
      </c>
      <c r="J73" s="9"/>
      <c r="K73" s="9" t="s">
        <v>333</v>
      </c>
      <c r="L73" s="9" t="s">
        <v>4</v>
      </c>
      <c r="M73" s="9" t="str">
        <f>HYPERLINK("https://ceds.ed.gov/cedselementdetails.aspx?termid=13015")</f>
        <v>https://ceds.ed.gov/cedselementdetails.aspx?termid=13015</v>
      </c>
      <c r="N73" s="9" t="str">
        <f>HYPERLINK("https://ceds.ed.gov/elementComment.aspx?elementName=Alternative School Focus Type &amp;elementID=13015", "Click here to submit comment")</f>
        <v>Click here to submit comment</v>
      </c>
    </row>
    <row r="74" spans="1:14" ht="30" customHeight="1" x14ac:dyDescent="0.25">
      <c r="A74" s="18" t="s">
        <v>334</v>
      </c>
      <c r="B74" s="18" t="s">
        <v>335</v>
      </c>
      <c r="C74" s="19" t="s">
        <v>6342</v>
      </c>
      <c r="D74" s="18" t="s">
        <v>6120</v>
      </c>
      <c r="E74" s="18"/>
      <c r="F74" s="18"/>
      <c r="G74" s="18"/>
      <c r="H74" s="9" t="s">
        <v>336</v>
      </c>
      <c r="I74" s="18" t="s">
        <v>340</v>
      </c>
      <c r="J74" s="18"/>
      <c r="K74" s="18" t="s">
        <v>341</v>
      </c>
      <c r="L74" s="18" t="s">
        <v>6121</v>
      </c>
      <c r="M74" s="18" t="str">
        <f>HYPERLINK("https://ceds.ed.gov/cedselementdetails.aspx?termid=13655")</f>
        <v>https://ceds.ed.gov/cedselementdetails.aspx?termid=13655</v>
      </c>
      <c r="N74" s="18" t="str">
        <f>HYPERLINK("https://ceds.ed.gov/elementComment.aspx?elementName=American Indian or Alaska Native &amp;elementID=13655", "Click here to submit comment")</f>
        <v>Click here to submit comment</v>
      </c>
    </row>
    <row r="75" spans="1:14" x14ac:dyDescent="0.25">
      <c r="A75" s="18"/>
      <c r="B75" s="18"/>
      <c r="C75" s="19"/>
      <c r="D75" s="18"/>
      <c r="E75" s="18"/>
      <c r="F75" s="18"/>
      <c r="G75" s="18"/>
      <c r="H75" s="9"/>
      <c r="I75" s="18"/>
      <c r="J75" s="18"/>
      <c r="K75" s="18"/>
      <c r="L75" s="18"/>
      <c r="M75" s="18"/>
      <c r="N75" s="18"/>
    </row>
    <row r="76" spans="1:14" x14ac:dyDescent="0.25">
      <c r="A76" s="18"/>
      <c r="B76" s="18"/>
      <c r="C76" s="19"/>
      <c r="D76" s="18"/>
      <c r="E76" s="18"/>
      <c r="F76" s="18"/>
      <c r="G76" s="18"/>
      <c r="H76" s="9" t="s">
        <v>337</v>
      </c>
      <c r="I76" s="18"/>
      <c r="J76" s="18"/>
      <c r="K76" s="18"/>
      <c r="L76" s="18"/>
      <c r="M76" s="18"/>
      <c r="N76" s="18"/>
    </row>
    <row r="77" spans="1:14" ht="30" x14ac:dyDescent="0.25">
      <c r="A77" s="18"/>
      <c r="B77" s="18"/>
      <c r="C77" s="19"/>
      <c r="D77" s="18"/>
      <c r="E77" s="18"/>
      <c r="F77" s="18"/>
      <c r="G77" s="18"/>
      <c r="H77" s="9" t="s">
        <v>338</v>
      </c>
      <c r="I77" s="18"/>
      <c r="J77" s="18"/>
      <c r="K77" s="18"/>
      <c r="L77" s="18"/>
      <c r="M77" s="18"/>
      <c r="N77" s="18"/>
    </row>
    <row r="78" spans="1:14" x14ac:dyDescent="0.25">
      <c r="A78" s="18"/>
      <c r="B78" s="18"/>
      <c r="C78" s="19"/>
      <c r="D78" s="18"/>
      <c r="E78" s="18"/>
      <c r="F78" s="18"/>
      <c r="G78" s="18"/>
      <c r="H78" s="9" t="s">
        <v>339</v>
      </c>
      <c r="I78" s="18"/>
      <c r="J78" s="18"/>
      <c r="K78" s="18"/>
      <c r="L78" s="18"/>
      <c r="M78" s="18"/>
      <c r="N78" s="18"/>
    </row>
    <row r="79" spans="1:14" ht="45" x14ac:dyDescent="0.25">
      <c r="A79" s="9" t="s">
        <v>342</v>
      </c>
      <c r="B79" s="9" t="s">
        <v>343</v>
      </c>
      <c r="C79" s="9" t="s">
        <v>12</v>
      </c>
      <c r="D79" s="9" t="s">
        <v>33</v>
      </c>
      <c r="E79" s="9"/>
      <c r="F79" s="9" t="s">
        <v>10489</v>
      </c>
      <c r="G79" s="9"/>
      <c r="H79" s="9" t="s">
        <v>344</v>
      </c>
      <c r="I79" s="9" t="s">
        <v>345</v>
      </c>
      <c r="J79" s="9"/>
      <c r="K79" s="9" t="s">
        <v>346</v>
      </c>
      <c r="L79" s="9" t="s">
        <v>37</v>
      </c>
      <c r="M79" s="9" t="str">
        <f>HYPERLINK("https://ceds.ed.gov/cedselementdetails.aspx?termid=13722")</f>
        <v>https://ceds.ed.gov/cedselementdetails.aspx?termid=13722</v>
      </c>
      <c r="N79" s="9" t="str">
        <f>HYPERLINK("https://ceds.ed.gov/elementComment.aspx?elementName=Annual Base Contractual Salary &amp;elementID=13722", "Click here to submit comment")</f>
        <v>Click here to submit comment</v>
      </c>
    </row>
    <row r="80" spans="1:14" ht="90" x14ac:dyDescent="0.25">
      <c r="A80" s="9" t="s">
        <v>347</v>
      </c>
      <c r="B80" s="9" t="s">
        <v>348</v>
      </c>
      <c r="C80" s="10" t="s">
        <v>6343</v>
      </c>
      <c r="D80" s="9" t="s">
        <v>6122</v>
      </c>
      <c r="E80" s="9"/>
      <c r="F80" s="9"/>
      <c r="G80" s="9"/>
      <c r="H80" s="9"/>
      <c r="I80" s="9" t="s">
        <v>349</v>
      </c>
      <c r="J80" s="9" t="s">
        <v>350</v>
      </c>
      <c r="K80" s="9" t="s">
        <v>351</v>
      </c>
      <c r="L80" s="9" t="s">
        <v>199</v>
      </c>
      <c r="M80" s="9" t="str">
        <f>HYPERLINK("https://ceds.ed.gov/cedselementdetails.aspx?termid=13572")</f>
        <v>https://ceds.ed.gov/cedselementdetails.aspx?termid=13572</v>
      </c>
      <c r="N80" s="9" t="str">
        <f>HYPERLINK("https://ceds.ed.gov/elementComment.aspx?elementName=Annual Measurable Achievement Objective AYP Progress Attainment Status for LEP Students &amp;elementID=13572", "Click here to submit comment")</f>
        <v>Click here to submit comment</v>
      </c>
    </row>
    <row r="81" spans="1:14" ht="105" x14ac:dyDescent="0.25">
      <c r="A81" s="9" t="s">
        <v>352</v>
      </c>
      <c r="B81" s="9" t="s">
        <v>353</v>
      </c>
      <c r="C81" s="10" t="s">
        <v>6343</v>
      </c>
      <c r="D81" s="9" t="s">
        <v>6117</v>
      </c>
      <c r="E81" s="9"/>
      <c r="F81" s="9"/>
      <c r="G81" s="9"/>
      <c r="H81" s="9"/>
      <c r="I81" s="9" t="s">
        <v>354</v>
      </c>
      <c r="J81" s="9" t="s">
        <v>355</v>
      </c>
      <c r="K81" s="9" t="s">
        <v>356</v>
      </c>
      <c r="L81" s="9" t="s">
        <v>199</v>
      </c>
      <c r="M81" s="9" t="str">
        <f>HYPERLINK("https://ceds.ed.gov/cedselementdetails.aspx?termid=13535")</f>
        <v>https://ceds.ed.gov/cedselementdetails.aspx?termid=13535</v>
      </c>
      <c r="N81" s="9" t="str">
        <f>HYPERLINK("https://ceds.ed.gov/elementComment.aspx?elementName=Annual Measurable Achievement Objective Proficiency Attainment Status for LEP Students &amp;elementID=13535", "Click here to submit comment")</f>
        <v>Click here to submit comment</v>
      </c>
    </row>
    <row r="82" spans="1:14" ht="145.5" customHeight="1" x14ac:dyDescent="0.25">
      <c r="A82" s="9" t="s">
        <v>357</v>
      </c>
      <c r="B82" s="9" t="s">
        <v>358</v>
      </c>
      <c r="C82" s="10" t="s">
        <v>6343</v>
      </c>
      <c r="D82" s="9" t="s">
        <v>6117</v>
      </c>
      <c r="E82" s="9"/>
      <c r="F82" s="9"/>
      <c r="G82" s="9"/>
      <c r="H82" s="9"/>
      <c r="I82" s="9" t="s">
        <v>359</v>
      </c>
      <c r="J82" s="9" t="s">
        <v>360</v>
      </c>
      <c r="K82" s="9" t="s">
        <v>361</v>
      </c>
      <c r="L82" s="9" t="s">
        <v>199</v>
      </c>
      <c r="M82" s="9" t="str">
        <f>HYPERLINK("https://ceds.ed.gov/cedselementdetails.aspx?termid=13545")</f>
        <v>https://ceds.ed.gov/cedselementdetails.aspx?termid=13545</v>
      </c>
      <c r="N82" s="9" t="str">
        <f>HYPERLINK("https://ceds.ed.gov/elementComment.aspx?elementName=Annual Measurable Achievement Objective Progress Attainment Status for LEP Students &amp;elementID=13545", "Click here to submit comment")</f>
        <v>Click here to submit comment</v>
      </c>
    </row>
    <row r="83" spans="1:14" ht="45" x14ac:dyDescent="0.25">
      <c r="A83" s="9" t="s">
        <v>362</v>
      </c>
      <c r="B83" s="9" t="s">
        <v>363</v>
      </c>
      <c r="C83" s="9" t="s">
        <v>12</v>
      </c>
      <c r="D83" s="9" t="s">
        <v>364</v>
      </c>
      <c r="E83" s="9"/>
      <c r="F83" s="9" t="s">
        <v>134</v>
      </c>
      <c r="G83" s="9"/>
      <c r="H83" s="9"/>
      <c r="I83" s="9" t="s">
        <v>365</v>
      </c>
      <c r="J83" s="9"/>
      <c r="K83" s="9" t="s">
        <v>366</v>
      </c>
      <c r="L83" s="9"/>
      <c r="M83" s="9" t="str">
        <f>HYPERLINK("https://ceds.ed.gov/cedselementdetails.aspx?termid=14504")</f>
        <v>https://ceds.ed.gov/cedselementdetails.aspx?termid=14504</v>
      </c>
      <c r="N83" s="9" t="str">
        <f>HYPERLINK("https://ceds.ed.gov/elementComment.aspx?elementName=APIP Interaction Sequence Number &amp;elementID=14504", "Click here to submit comment")</f>
        <v>Click here to submit comment</v>
      </c>
    </row>
    <row r="84" spans="1:14" ht="45" x14ac:dyDescent="0.25">
      <c r="A84" s="9" t="s">
        <v>367</v>
      </c>
      <c r="B84" s="9" t="s">
        <v>368</v>
      </c>
      <c r="C84" s="9" t="s">
        <v>6106</v>
      </c>
      <c r="D84" s="9" t="s">
        <v>6116</v>
      </c>
      <c r="E84" s="9"/>
      <c r="F84" s="9"/>
      <c r="G84" s="9"/>
      <c r="H84" s="9"/>
      <c r="I84" s="9" t="s">
        <v>369</v>
      </c>
      <c r="J84" s="9" t="s">
        <v>370</v>
      </c>
      <c r="K84" s="9" t="s">
        <v>371</v>
      </c>
      <c r="L84" s="9" t="s">
        <v>188</v>
      </c>
      <c r="M84" s="9" t="str">
        <f>HYPERLINK("https://ceds.ed.gov/cedselementdetails.aspx?termid=13432")</f>
        <v>https://ceds.ed.gov/cedselementdetails.aspx?termid=13432</v>
      </c>
      <c r="N84" s="9" t="str">
        <f>HYPERLINK("https://ceds.ed.gov/elementComment.aspx?elementName=Appealed Adequate Yearly Progress Designation &amp;elementID=13432", "Click here to submit comment")</f>
        <v>Click here to submit comment</v>
      </c>
    </row>
    <row r="85" spans="1:14" ht="60" x14ac:dyDescent="0.25">
      <c r="A85" s="9" t="s">
        <v>372</v>
      </c>
      <c r="B85" s="9" t="s">
        <v>373</v>
      </c>
      <c r="C85" s="9" t="s">
        <v>12</v>
      </c>
      <c r="D85" s="9" t="s">
        <v>6123</v>
      </c>
      <c r="E85" s="9"/>
      <c r="F85" s="9" t="s">
        <v>73</v>
      </c>
      <c r="G85" s="9"/>
      <c r="H85" s="9"/>
      <c r="I85" s="9" t="s">
        <v>374</v>
      </c>
      <c r="J85" s="9"/>
      <c r="K85" s="9" t="s">
        <v>375</v>
      </c>
      <c r="L85" s="9" t="s">
        <v>6124</v>
      </c>
      <c r="M85" s="9" t="str">
        <f>HYPERLINK("https://ceds.ed.gov/cedselementdetails.aspx?termid=13323")</f>
        <v>https://ceds.ed.gov/cedselementdetails.aspx?termid=13323</v>
      </c>
      <c r="N85" s="9" t="str">
        <f>HYPERLINK("https://ceds.ed.gov/elementComment.aspx?elementName=Application Date &amp;elementID=13323", "Click here to submit comment")</f>
        <v>Click here to submit comment</v>
      </c>
    </row>
    <row r="86" spans="1:14" ht="30" customHeight="1" x14ac:dyDescent="0.25">
      <c r="A86" s="18" t="s">
        <v>376</v>
      </c>
      <c r="B86" s="18" t="s">
        <v>377</v>
      </c>
      <c r="C86" s="19" t="s">
        <v>6342</v>
      </c>
      <c r="D86" s="18" t="s">
        <v>6120</v>
      </c>
      <c r="E86" s="18"/>
      <c r="F86" s="18"/>
      <c r="G86" s="18"/>
      <c r="H86" s="9" t="s">
        <v>336</v>
      </c>
      <c r="I86" s="18" t="s">
        <v>378</v>
      </c>
      <c r="J86" s="18"/>
      <c r="K86" s="18" t="s">
        <v>376</v>
      </c>
      <c r="L86" s="18" t="s">
        <v>6121</v>
      </c>
      <c r="M86" s="18" t="str">
        <f>HYPERLINK("https://ceds.ed.gov/cedselementdetails.aspx?termid=13656")</f>
        <v>https://ceds.ed.gov/cedselementdetails.aspx?termid=13656</v>
      </c>
      <c r="N86" s="18" t="str">
        <f>HYPERLINK("https://ceds.ed.gov/elementComment.aspx?elementName=Asian &amp;elementID=13656", "Click here to submit comment")</f>
        <v>Click here to submit comment</v>
      </c>
    </row>
    <row r="87" spans="1:14" x14ac:dyDescent="0.25">
      <c r="A87" s="18"/>
      <c r="B87" s="18"/>
      <c r="C87" s="19"/>
      <c r="D87" s="18"/>
      <c r="E87" s="18"/>
      <c r="F87" s="18"/>
      <c r="G87" s="18"/>
      <c r="H87" s="9"/>
      <c r="I87" s="18"/>
      <c r="J87" s="18"/>
      <c r="K87" s="18"/>
      <c r="L87" s="18"/>
      <c r="M87" s="18"/>
      <c r="N87" s="18"/>
    </row>
    <row r="88" spans="1:14" x14ac:dyDescent="0.25">
      <c r="A88" s="18"/>
      <c r="B88" s="18"/>
      <c r="C88" s="19"/>
      <c r="D88" s="18"/>
      <c r="E88" s="18"/>
      <c r="F88" s="18"/>
      <c r="G88" s="18"/>
      <c r="H88" s="9" t="s">
        <v>337</v>
      </c>
      <c r="I88" s="18"/>
      <c r="J88" s="18"/>
      <c r="K88" s="18"/>
      <c r="L88" s="18"/>
      <c r="M88" s="18"/>
      <c r="N88" s="18"/>
    </row>
    <row r="89" spans="1:14" ht="30" x14ac:dyDescent="0.25">
      <c r="A89" s="18"/>
      <c r="B89" s="18"/>
      <c r="C89" s="19"/>
      <c r="D89" s="18"/>
      <c r="E89" s="18"/>
      <c r="F89" s="18"/>
      <c r="G89" s="18"/>
      <c r="H89" s="9" t="s">
        <v>338</v>
      </c>
      <c r="I89" s="18"/>
      <c r="J89" s="18"/>
      <c r="K89" s="18"/>
      <c r="L89" s="18"/>
      <c r="M89" s="18"/>
      <c r="N89" s="18"/>
    </row>
    <row r="90" spans="1:14" x14ac:dyDescent="0.25">
      <c r="A90" s="18"/>
      <c r="B90" s="18"/>
      <c r="C90" s="19"/>
      <c r="D90" s="18"/>
      <c r="E90" s="18"/>
      <c r="F90" s="18"/>
      <c r="G90" s="18"/>
      <c r="H90" s="9" t="s">
        <v>339</v>
      </c>
      <c r="I90" s="18"/>
      <c r="J90" s="18"/>
      <c r="K90" s="18"/>
      <c r="L90" s="18"/>
      <c r="M90" s="18"/>
      <c r="N90" s="18"/>
    </row>
    <row r="91" spans="1:14" ht="330" x14ac:dyDescent="0.25">
      <c r="A91" s="9" t="s">
        <v>379</v>
      </c>
      <c r="B91" s="9" t="s">
        <v>380</v>
      </c>
      <c r="C91" s="10" t="s">
        <v>6344</v>
      </c>
      <c r="D91" s="9" t="s">
        <v>6125</v>
      </c>
      <c r="E91" s="9"/>
      <c r="F91" s="9"/>
      <c r="G91" s="9"/>
      <c r="H91" s="9"/>
      <c r="I91" s="9" t="s">
        <v>381</v>
      </c>
      <c r="J91" s="9"/>
      <c r="K91" s="9" t="s">
        <v>382</v>
      </c>
      <c r="L91" s="9" t="s">
        <v>6126</v>
      </c>
      <c r="M91" s="9" t="str">
        <f>HYPERLINK("https://ceds.ed.gov/cedselementdetails.aspx?termid=13021")</f>
        <v>https://ceds.ed.gov/cedselementdetails.aspx?termid=13021</v>
      </c>
      <c r="N91" s="9" t="str">
        <f>HYPERLINK("https://ceds.ed.gov/elementComment.aspx?elementName=Assessment Academic Subject &amp;elementID=13021", "Click here to submit comment")</f>
        <v>Click here to submit comment</v>
      </c>
    </row>
    <row r="92" spans="1:14" ht="240" x14ac:dyDescent="0.25">
      <c r="A92" s="9" t="s">
        <v>383</v>
      </c>
      <c r="B92" s="9" t="s">
        <v>384</v>
      </c>
      <c r="C92" s="10" t="s">
        <v>11786</v>
      </c>
      <c r="D92" s="9" t="s">
        <v>10492</v>
      </c>
      <c r="E92" s="9" t="s">
        <v>91</v>
      </c>
      <c r="F92" s="9"/>
      <c r="G92" s="9"/>
      <c r="H92" s="9"/>
      <c r="I92" s="9" t="s">
        <v>385</v>
      </c>
      <c r="J92" s="9"/>
      <c r="K92" s="9" t="s">
        <v>386</v>
      </c>
      <c r="L92" s="9" t="s">
        <v>6127</v>
      </c>
      <c r="M92" s="9" t="str">
        <f>HYPERLINK("https://ceds.ed.gov/cedselementdetails.aspx?termid=13374")</f>
        <v>https://ceds.ed.gov/cedselementdetails.aspx?termid=13374</v>
      </c>
      <c r="N92" s="9" t="str">
        <f>HYPERLINK("https://ceds.ed.gov/elementComment.aspx?elementName=Assessment Accommodation Category &amp;elementID=13374", "Click here to submit comment")</f>
        <v>Click here to submit comment</v>
      </c>
    </row>
    <row r="93" spans="1:14" ht="75" x14ac:dyDescent="0.25">
      <c r="A93" s="9" t="s">
        <v>390</v>
      </c>
      <c r="B93" s="9" t="s">
        <v>391</v>
      </c>
      <c r="C93" s="9" t="s">
        <v>12</v>
      </c>
      <c r="D93" s="9" t="s">
        <v>392</v>
      </c>
      <c r="E93" s="9"/>
      <c r="F93" s="9" t="s">
        <v>92</v>
      </c>
      <c r="G93" s="9"/>
      <c r="H93" s="9" t="s">
        <v>393</v>
      </c>
      <c r="I93" s="9" t="s">
        <v>394</v>
      </c>
      <c r="J93" s="9"/>
      <c r="K93" s="9" t="s">
        <v>395</v>
      </c>
      <c r="L93" s="9"/>
      <c r="M93" s="9" t="str">
        <f>HYPERLINK("https://ceds.ed.gov/cedselementdetails.aspx?termid=13968")</f>
        <v>https://ceds.ed.gov/cedselementdetails.aspx?termid=13968</v>
      </c>
      <c r="N93" s="9" t="str">
        <f>HYPERLINK("https://ceds.ed.gov/elementComment.aspx?elementName=Assessment Administration Assessment Family &amp;elementID=13968", "Click here to submit comment")</f>
        <v>Click here to submit comment</v>
      </c>
    </row>
    <row r="94" spans="1:14" ht="145.5" customHeight="1" x14ac:dyDescent="0.25">
      <c r="A94" s="9" t="s">
        <v>396</v>
      </c>
      <c r="B94" s="9" t="s">
        <v>397</v>
      </c>
      <c r="C94" s="9" t="s">
        <v>12</v>
      </c>
      <c r="D94" s="9" t="s">
        <v>392</v>
      </c>
      <c r="E94" s="9"/>
      <c r="F94" s="9" t="s">
        <v>87</v>
      </c>
      <c r="G94" s="9"/>
      <c r="H94" s="9"/>
      <c r="I94" s="9" t="s">
        <v>398</v>
      </c>
      <c r="J94" s="9"/>
      <c r="K94" s="9" t="s">
        <v>399</v>
      </c>
      <c r="L94" s="9"/>
      <c r="M94" s="9" t="str">
        <f>HYPERLINK("https://ceds.ed.gov/cedselementdetails.aspx?termid=13962")</f>
        <v>https://ceds.ed.gov/cedselementdetails.aspx?termid=13962</v>
      </c>
      <c r="N94" s="9" t="str">
        <f>HYPERLINK("https://ceds.ed.gov/elementComment.aspx?elementName=Assessment Administration Code &amp;elementID=13962", "Click here to submit comment")</f>
        <v>Click here to submit comment</v>
      </c>
    </row>
    <row r="95" spans="1:14" ht="45" x14ac:dyDescent="0.25">
      <c r="A95" s="9" t="s">
        <v>400</v>
      </c>
      <c r="B95" s="9" t="s">
        <v>401</v>
      </c>
      <c r="C95" s="9" t="s">
        <v>12</v>
      </c>
      <c r="D95" s="9" t="s">
        <v>392</v>
      </c>
      <c r="E95" s="9"/>
      <c r="F95" s="9" t="s">
        <v>73</v>
      </c>
      <c r="G95" s="9"/>
      <c r="H95" s="9"/>
      <c r="I95" s="9" t="s">
        <v>402</v>
      </c>
      <c r="J95" s="9"/>
      <c r="K95" s="9" t="s">
        <v>403</v>
      </c>
      <c r="L95" s="9"/>
      <c r="M95" s="9" t="str">
        <f>HYPERLINK("https://ceds.ed.gov/cedselementdetails.aspx?termid=13965")</f>
        <v>https://ceds.ed.gov/cedselementdetails.aspx?termid=13965</v>
      </c>
      <c r="N95" s="9" t="str">
        <f>HYPERLINK("https://ceds.ed.gov/elementComment.aspx?elementName=Assessment Administration Finish Date &amp;elementID=13965", "Click here to submit comment")</f>
        <v>Click here to submit comment</v>
      </c>
    </row>
    <row r="96" spans="1:14" ht="45" x14ac:dyDescent="0.25">
      <c r="A96" s="9" t="s">
        <v>404</v>
      </c>
      <c r="B96" s="9" t="s">
        <v>405</v>
      </c>
      <c r="C96" s="9" t="s">
        <v>12</v>
      </c>
      <c r="D96" s="9" t="s">
        <v>392</v>
      </c>
      <c r="E96" s="9"/>
      <c r="F96" s="9" t="s">
        <v>406</v>
      </c>
      <c r="G96" s="9"/>
      <c r="H96" s="9"/>
      <c r="I96" s="9" t="s">
        <v>407</v>
      </c>
      <c r="J96" s="9"/>
      <c r="K96" s="9" t="s">
        <v>408</v>
      </c>
      <c r="L96" s="9"/>
      <c r="M96" s="9" t="str">
        <f>HYPERLINK("https://ceds.ed.gov/cedselementdetails.aspx?termid=13966")</f>
        <v>https://ceds.ed.gov/cedselementdetails.aspx?termid=13966</v>
      </c>
      <c r="N96" s="9" t="str">
        <f>HYPERLINK("https://ceds.ed.gov/elementComment.aspx?elementName=Assessment Administration Finish Time &amp;elementID=13966", "Click here to submit comment")</f>
        <v>Click here to submit comment</v>
      </c>
    </row>
    <row r="97" spans="1:14" ht="45" x14ac:dyDescent="0.25">
      <c r="A97" s="9" t="s">
        <v>409</v>
      </c>
      <c r="B97" s="9" t="s">
        <v>410</v>
      </c>
      <c r="C97" s="9" t="s">
        <v>12</v>
      </c>
      <c r="D97" s="9" t="s">
        <v>392</v>
      </c>
      <c r="E97" s="9"/>
      <c r="F97" s="9" t="s">
        <v>87</v>
      </c>
      <c r="G97" s="9"/>
      <c r="H97" s="9"/>
      <c r="I97" s="9" t="s">
        <v>411</v>
      </c>
      <c r="J97" s="9"/>
      <c r="K97" s="9" t="s">
        <v>412</v>
      </c>
      <c r="L97" s="9"/>
      <c r="M97" s="9" t="str">
        <f>HYPERLINK("https://ceds.ed.gov/cedselementdetails.aspx?termid=13978")</f>
        <v>https://ceds.ed.gov/cedselementdetails.aspx?termid=13978</v>
      </c>
      <c r="N97" s="9" t="str">
        <f>HYPERLINK("https://ceds.ed.gov/elementComment.aspx?elementName=Assessment Administration Name &amp;elementID=13978", "Click here to submit comment")</f>
        <v>Click here to submit comment</v>
      </c>
    </row>
    <row r="98" spans="1:14" ht="45" x14ac:dyDescent="0.25">
      <c r="A98" s="9" t="s">
        <v>413</v>
      </c>
      <c r="B98" s="9" t="s">
        <v>414</v>
      </c>
      <c r="C98" s="9" t="s">
        <v>12</v>
      </c>
      <c r="D98" s="9" t="s">
        <v>392</v>
      </c>
      <c r="E98" s="9"/>
      <c r="F98" s="9" t="s">
        <v>92</v>
      </c>
      <c r="G98" s="9"/>
      <c r="H98" s="9"/>
      <c r="I98" s="9" t="s">
        <v>415</v>
      </c>
      <c r="J98" s="9"/>
      <c r="K98" s="9" t="s">
        <v>416</v>
      </c>
      <c r="L98" s="9"/>
      <c r="M98" s="9" t="str">
        <f>HYPERLINK("https://ceds.ed.gov/cedselementdetails.aspx?termid=13967")</f>
        <v>https://ceds.ed.gov/cedselementdetails.aspx?termid=13967</v>
      </c>
      <c r="N98" s="9" t="str">
        <f>HYPERLINK("https://ceds.ed.gov/elementComment.aspx?elementName=Assessment Administration Organization Name &amp;elementID=13967", "Click here to submit comment")</f>
        <v>Click here to submit comment</v>
      </c>
    </row>
    <row r="99" spans="1:14" ht="45" x14ac:dyDescent="0.25">
      <c r="A99" s="9" t="s">
        <v>417</v>
      </c>
      <c r="B99" s="9" t="s">
        <v>418</v>
      </c>
      <c r="C99" s="9" t="s">
        <v>12</v>
      </c>
      <c r="D99" s="9" t="s">
        <v>392</v>
      </c>
      <c r="E99" s="9"/>
      <c r="F99" s="9" t="s">
        <v>68</v>
      </c>
      <c r="G99" s="9"/>
      <c r="H99" s="9"/>
      <c r="I99" s="9" t="s">
        <v>419</v>
      </c>
      <c r="J99" s="9"/>
      <c r="K99" s="9" t="s">
        <v>420</v>
      </c>
      <c r="L99" s="9"/>
      <c r="M99" s="9" t="str">
        <f>HYPERLINK("https://ceds.ed.gov/cedselementdetails.aspx?termid=14506")</f>
        <v>https://ceds.ed.gov/cedselementdetails.aspx?termid=14506</v>
      </c>
      <c r="N99" s="9" t="str">
        <f>HYPERLINK("https://ceds.ed.gov/elementComment.aspx?elementName=Assessment Administration Period Description &amp;elementID=14506", "Click here to submit comment")</f>
        <v>Click here to submit comment</v>
      </c>
    </row>
    <row r="100" spans="1:14" ht="45" x14ac:dyDescent="0.25">
      <c r="A100" s="9" t="s">
        <v>421</v>
      </c>
      <c r="B100" s="9" t="s">
        <v>422</v>
      </c>
      <c r="C100" s="9" t="s">
        <v>12</v>
      </c>
      <c r="D100" s="9" t="s">
        <v>392</v>
      </c>
      <c r="E100" s="9"/>
      <c r="F100" s="9" t="s">
        <v>73</v>
      </c>
      <c r="G100" s="9"/>
      <c r="H100" s="9"/>
      <c r="I100" s="9" t="s">
        <v>423</v>
      </c>
      <c r="J100" s="9"/>
      <c r="K100" s="9" t="s">
        <v>424</v>
      </c>
      <c r="L100" s="9"/>
      <c r="M100" s="9" t="str">
        <f>HYPERLINK("https://ceds.ed.gov/cedselementdetails.aspx?termid=13963")</f>
        <v>https://ceds.ed.gov/cedselementdetails.aspx?termid=13963</v>
      </c>
      <c r="N100" s="9" t="str">
        <f>HYPERLINK("https://ceds.ed.gov/elementComment.aspx?elementName=Assessment Administration Start Date &amp;elementID=13963", "Click here to submit comment")</f>
        <v>Click here to submit comment</v>
      </c>
    </row>
    <row r="101" spans="1:14" ht="45" x14ac:dyDescent="0.25">
      <c r="A101" s="9" t="s">
        <v>425</v>
      </c>
      <c r="B101" s="9" t="s">
        <v>426</v>
      </c>
      <c r="C101" s="9" t="s">
        <v>12</v>
      </c>
      <c r="D101" s="9" t="s">
        <v>392</v>
      </c>
      <c r="E101" s="9"/>
      <c r="F101" s="9" t="s">
        <v>406</v>
      </c>
      <c r="G101" s="9"/>
      <c r="H101" s="9"/>
      <c r="I101" s="9" t="s">
        <v>427</v>
      </c>
      <c r="J101" s="9"/>
      <c r="K101" s="9" t="s">
        <v>428</v>
      </c>
      <c r="L101" s="9"/>
      <c r="M101" s="9" t="str">
        <f>HYPERLINK("https://ceds.ed.gov/cedselementdetails.aspx?termid=13964")</f>
        <v>https://ceds.ed.gov/cedselementdetails.aspx?termid=13964</v>
      </c>
      <c r="N101" s="9" t="str">
        <f>HYPERLINK("https://ceds.ed.gov/elementComment.aspx?elementName=Assessment Administration Start Time &amp;elementID=13964", "Click here to submit comment")</f>
        <v>Click here to submit comment</v>
      </c>
    </row>
    <row r="102" spans="1:14" ht="45" x14ac:dyDescent="0.25">
      <c r="A102" s="9" t="s">
        <v>429</v>
      </c>
      <c r="B102" s="9" t="s">
        <v>430</v>
      </c>
      <c r="C102" s="9" t="s">
        <v>12</v>
      </c>
      <c r="D102" s="9" t="s">
        <v>431</v>
      </c>
      <c r="E102" s="9"/>
      <c r="F102" s="9" t="s">
        <v>303</v>
      </c>
      <c r="G102" s="9"/>
      <c r="H102" s="9"/>
      <c r="I102" s="9" t="s">
        <v>432</v>
      </c>
      <c r="J102" s="9"/>
      <c r="K102" s="9" t="s">
        <v>433</v>
      </c>
      <c r="L102" s="9"/>
      <c r="M102" s="9" t="str">
        <f>HYPERLINK("https://ceds.ed.gov/cedselementdetails.aspx?termid=14154")</f>
        <v>https://ceds.ed.gov/cedselementdetails.aspx?termid=14154</v>
      </c>
      <c r="N102" s="9" t="str">
        <f>HYPERLINK("https://ceds.ed.gov/elementComment.aspx?elementName=Assessment Asset Content Mime Type &amp;elementID=14154", "Click here to submit comment")</f>
        <v>Click here to submit comment</v>
      </c>
    </row>
    <row r="103" spans="1:14" ht="45" x14ac:dyDescent="0.25">
      <c r="A103" s="9" t="s">
        <v>434</v>
      </c>
      <c r="B103" s="9" t="s">
        <v>435</v>
      </c>
      <c r="C103" s="9" t="s">
        <v>12</v>
      </c>
      <c r="D103" s="9" t="s">
        <v>431</v>
      </c>
      <c r="E103" s="9"/>
      <c r="F103" s="9" t="s">
        <v>1143</v>
      </c>
      <c r="G103" s="9"/>
      <c r="H103" s="9"/>
      <c r="I103" s="9" t="s">
        <v>436</v>
      </c>
      <c r="J103" s="9"/>
      <c r="K103" s="9" t="s">
        <v>437</v>
      </c>
      <c r="L103" s="9"/>
      <c r="M103" s="9" t="str">
        <f>HYPERLINK("https://ceds.ed.gov/cedselementdetails.aspx?termid=14155")</f>
        <v>https://ceds.ed.gov/cedselementdetails.aspx?termid=14155</v>
      </c>
      <c r="N103" s="9" t="str">
        <f>HYPERLINK("https://ceds.ed.gov/elementComment.aspx?elementName=Assessment Asset Content URL &amp;elementID=14155", "Click here to submit comment")</f>
        <v>Click here to submit comment</v>
      </c>
    </row>
    <row r="104" spans="1:14" ht="45" x14ac:dyDescent="0.25">
      <c r="A104" s="9" t="s">
        <v>438</v>
      </c>
      <c r="B104" s="9" t="s">
        <v>439</v>
      </c>
      <c r="C104" s="9" t="s">
        <v>12</v>
      </c>
      <c r="D104" s="9" t="s">
        <v>431</v>
      </c>
      <c r="E104" s="9"/>
      <c r="F104" s="9" t="s">
        <v>303</v>
      </c>
      <c r="G104" s="9"/>
      <c r="H104" s="9"/>
      <c r="I104" s="9" t="s">
        <v>440</v>
      </c>
      <c r="J104" s="9"/>
      <c r="K104" s="9" t="s">
        <v>441</v>
      </c>
      <c r="L104" s="9"/>
      <c r="M104" s="9" t="str">
        <f>HYPERLINK("https://ceds.ed.gov/cedselementdetails.aspx?termid=14153")</f>
        <v>https://ceds.ed.gov/cedselementdetails.aspx?termid=14153</v>
      </c>
      <c r="N104" s="9" t="str">
        <f>HYPERLINK("https://ceds.ed.gov/elementComment.aspx?elementName=Assessment Asset Content XML &amp;elementID=14153", "Click here to submit comment")</f>
        <v>Click here to submit comment</v>
      </c>
    </row>
    <row r="105" spans="1:14" ht="105" x14ac:dyDescent="0.25">
      <c r="A105" s="18" t="s">
        <v>442</v>
      </c>
      <c r="B105" s="18" t="s">
        <v>443</v>
      </c>
      <c r="C105" s="18" t="s">
        <v>12</v>
      </c>
      <c r="D105" s="18" t="s">
        <v>431</v>
      </c>
      <c r="E105" s="18"/>
      <c r="F105" s="18" t="s">
        <v>119</v>
      </c>
      <c r="G105" s="18"/>
      <c r="H105" s="9" t="s">
        <v>120</v>
      </c>
      <c r="I105" s="18" t="s">
        <v>444</v>
      </c>
      <c r="J105" s="18"/>
      <c r="K105" s="18" t="s">
        <v>445</v>
      </c>
      <c r="L105" s="18"/>
      <c r="M105" s="18" t="str">
        <f>HYPERLINK("https://ceds.ed.gov/cedselementdetails.aspx?termid=14149")</f>
        <v>https://ceds.ed.gov/cedselementdetails.aspx?termid=14149</v>
      </c>
      <c r="N105" s="18" t="str">
        <f>HYPERLINK("https://ceds.ed.gov/elementComment.aspx?elementName=Assessment Asset Identifier &amp;elementID=14149", "Click here to submit comment")</f>
        <v>Click here to submit comment</v>
      </c>
    </row>
    <row r="106" spans="1:14" x14ac:dyDescent="0.25">
      <c r="A106" s="18"/>
      <c r="B106" s="18"/>
      <c r="C106" s="18"/>
      <c r="D106" s="18"/>
      <c r="E106" s="18"/>
      <c r="F106" s="18"/>
      <c r="G106" s="18"/>
      <c r="H106" s="9"/>
      <c r="I106" s="18"/>
      <c r="J106" s="18"/>
      <c r="K106" s="18"/>
      <c r="L106" s="18"/>
      <c r="M106" s="18"/>
      <c r="N106" s="18"/>
    </row>
    <row r="107" spans="1:14" ht="90" x14ac:dyDescent="0.25">
      <c r="A107" s="18"/>
      <c r="B107" s="18"/>
      <c r="C107" s="18"/>
      <c r="D107" s="18"/>
      <c r="E107" s="18"/>
      <c r="F107" s="18"/>
      <c r="G107" s="18"/>
      <c r="H107" s="9" t="s">
        <v>121</v>
      </c>
      <c r="I107" s="18"/>
      <c r="J107" s="18"/>
      <c r="K107" s="18"/>
      <c r="L107" s="18"/>
      <c r="M107" s="18"/>
      <c r="N107" s="18"/>
    </row>
    <row r="108" spans="1:14" ht="105" x14ac:dyDescent="0.25">
      <c r="A108" s="9" t="s">
        <v>446</v>
      </c>
      <c r="B108" s="9" t="s">
        <v>447</v>
      </c>
      <c r="C108" s="10" t="s">
        <v>6345</v>
      </c>
      <c r="D108" s="9" t="s">
        <v>431</v>
      </c>
      <c r="E108" s="9"/>
      <c r="F108" s="9"/>
      <c r="G108" s="9"/>
      <c r="H108" s="9"/>
      <c r="I108" s="9" t="s">
        <v>448</v>
      </c>
      <c r="J108" s="9"/>
      <c r="K108" s="9" t="s">
        <v>449</v>
      </c>
      <c r="L108" s="9"/>
      <c r="M108" s="9" t="str">
        <f>HYPERLINK("https://ceds.ed.gov/cedselementdetails.aspx?termid=14150")</f>
        <v>https://ceds.ed.gov/cedselementdetails.aspx?termid=14150</v>
      </c>
      <c r="N108" s="9" t="str">
        <f>HYPERLINK("https://ceds.ed.gov/elementComment.aspx?elementName=Assessment Asset Identifier Type &amp;elementID=14150", "Click here to submit comment")</f>
        <v>Click here to submit comment</v>
      </c>
    </row>
    <row r="109" spans="1:14" ht="45" x14ac:dyDescent="0.25">
      <c r="A109" s="9" t="s">
        <v>450</v>
      </c>
      <c r="B109" s="9" t="s">
        <v>451</v>
      </c>
      <c r="C109" s="9" t="s">
        <v>12</v>
      </c>
      <c r="D109" s="9" t="s">
        <v>431</v>
      </c>
      <c r="E109" s="9"/>
      <c r="F109" s="9" t="s">
        <v>92</v>
      </c>
      <c r="G109" s="9"/>
      <c r="H109" s="9"/>
      <c r="I109" s="9" t="s">
        <v>452</v>
      </c>
      <c r="J109" s="9"/>
      <c r="K109" s="9" t="s">
        <v>453</v>
      </c>
      <c r="L109" s="9"/>
      <c r="M109" s="9" t="str">
        <f>HYPERLINK("https://ceds.ed.gov/cedselementdetails.aspx?termid=14151")</f>
        <v>https://ceds.ed.gov/cedselementdetails.aspx?termid=14151</v>
      </c>
      <c r="N109" s="9" t="str">
        <f>HYPERLINK("https://ceds.ed.gov/elementComment.aspx?elementName=Assessment Asset Name &amp;elementID=14151", "Click here to submit comment")</f>
        <v>Click here to submit comment</v>
      </c>
    </row>
    <row r="110" spans="1:14" ht="45" x14ac:dyDescent="0.25">
      <c r="A110" s="9" t="s">
        <v>454</v>
      </c>
      <c r="B110" s="9" t="s">
        <v>455</v>
      </c>
      <c r="C110" s="9" t="s">
        <v>12</v>
      </c>
      <c r="D110" s="9" t="s">
        <v>431</v>
      </c>
      <c r="E110" s="9"/>
      <c r="F110" s="9" t="s">
        <v>92</v>
      </c>
      <c r="G110" s="9"/>
      <c r="H110" s="9"/>
      <c r="I110" s="9" t="s">
        <v>456</v>
      </c>
      <c r="J110" s="9"/>
      <c r="K110" s="9" t="s">
        <v>457</v>
      </c>
      <c r="L110" s="9"/>
      <c r="M110" s="9" t="str">
        <f>HYPERLINK("https://ceds.ed.gov/cedselementdetails.aspx?termid=14152")</f>
        <v>https://ceds.ed.gov/cedselementdetails.aspx?termid=14152</v>
      </c>
      <c r="N110" s="9" t="str">
        <f>HYPERLINK("https://ceds.ed.gov/elementComment.aspx?elementName=Assessment Asset Owner &amp;elementID=14152", "Click here to submit comment")</f>
        <v>Click here to submit comment</v>
      </c>
    </row>
    <row r="111" spans="1:14" ht="45" x14ac:dyDescent="0.25">
      <c r="A111" s="9" t="s">
        <v>458</v>
      </c>
      <c r="B111" s="9" t="s">
        <v>459</v>
      </c>
      <c r="C111" s="9" t="s">
        <v>12</v>
      </c>
      <c r="D111" s="9" t="s">
        <v>431</v>
      </c>
      <c r="E111" s="9"/>
      <c r="F111" s="9" t="s">
        <v>73</v>
      </c>
      <c r="G111" s="9"/>
      <c r="H111" s="9"/>
      <c r="I111" s="9" t="s">
        <v>460</v>
      </c>
      <c r="J111" s="9"/>
      <c r="K111" s="9" t="s">
        <v>461</v>
      </c>
      <c r="L111" s="9"/>
      <c r="M111" s="9" t="str">
        <f>HYPERLINK("https://ceds.ed.gov/cedselementdetails.aspx?termid=14148")</f>
        <v>https://ceds.ed.gov/cedselementdetails.aspx?termid=14148</v>
      </c>
      <c r="N111" s="9" t="str">
        <f>HYPERLINK("https://ceds.ed.gov/elementComment.aspx?elementName=Assessment Asset Published Date &amp;elementID=14148", "Click here to submit comment")</f>
        <v>Click here to submit comment</v>
      </c>
    </row>
    <row r="112" spans="1:14" ht="409.5" x14ac:dyDescent="0.25">
      <c r="A112" s="9" t="s">
        <v>462</v>
      </c>
      <c r="B112" s="9" t="s">
        <v>463</v>
      </c>
      <c r="C112" s="10" t="s">
        <v>6346</v>
      </c>
      <c r="D112" s="9" t="s">
        <v>431</v>
      </c>
      <c r="E112" s="9"/>
      <c r="F112" s="9"/>
      <c r="G112" s="9"/>
      <c r="H112" s="9" t="s">
        <v>464</v>
      </c>
      <c r="I112" s="9" t="s">
        <v>465</v>
      </c>
      <c r="J112" s="9"/>
      <c r="K112" s="9" t="s">
        <v>466</v>
      </c>
      <c r="L112" s="9"/>
      <c r="M112" s="9" t="str">
        <f>HYPERLINK("https://ceds.ed.gov/cedselementdetails.aspx?termid=14147")</f>
        <v>https://ceds.ed.gov/cedselementdetails.aspx?termid=14147</v>
      </c>
      <c r="N112" s="9" t="str">
        <f>HYPERLINK("https://ceds.ed.gov/elementComment.aspx?elementName=Assessment Asset Type &amp;elementID=14147", "Click here to submit comment")</f>
        <v>Click here to submit comment</v>
      </c>
    </row>
    <row r="113" spans="1:14" ht="150" x14ac:dyDescent="0.25">
      <c r="A113" s="9" t="s">
        <v>467</v>
      </c>
      <c r="B113" s="9" t="s">
        <v>468</v>
      </c>
      <c r="C113" s="9" t="s">
        <v>12</v>
      </c>
      <c r="D113" s="9" t="s">
        <v>431</v>
      </c>
      <c r="E113" s="9"/>
      <c r="F113" s="9" t="s">
        <v>87</v>
      </c>
      <c r="G113" s="9"/>
      <c r="H113" s="9" t="s">
        <v>469</v>
      </c>
      <c r="I113" s="9" t="s">
        <v>470</v>
      </c>
      <c r="J113" s="9"/>
      <c r="K113" s="9" t="s">
        <v>471</v>
      </c>
      <c r="L113" s="9"/>
      <c r="M113" s="9" t="str">
        <f>HYPERLINK("https://ceds.ed.gov/cedselementdetails.aspx?termid=14146")</f>
        <v>https://ceds.ed.gov/cedselementdetails.aspx?termid=14146</v>
      </c>
      <c r="N113" s="9" t="str">
        <f>HYPERLINK("https://ceds.ed.gov/elementComment.aspx?elementName=Assessment Asset Version &amp;elementID=14146", "Click here to submit comment")</f>
        <v>Click here to submit comment</v>
      </c>
    </row>
    <row r="114" spans="1:14" ht="165" x14ac:dyDescent="0.25">
      <c r="A114" s="9" t="s">
        <v>472</v>
      </c>
      <c r="B114" s="9" t="s">
        <v>473</v>
      </c>
      <c r="C114" s="10" t="s">
        <v>6347</v>
      </c>
      <c r="D114" s="9" t="s">
        <v>474</v>
      </c>
      <c r="E114" s="9"/>
      <c r="F114" s="9"/>
      <c r="G114" s="9"/>
      <c r="H114" s="9"/>
      <c r="I114" s="9" t="s">
        <v>475</v>
      </c>
      <c r="J114" s="9"/>
      <c r="K114" s="9" t="s">
        <v>476</v>
      </c>
      <c r="L114" s="9" t="s">
        <v>6129</v>
      </c>
      <c r="M114" s="9" t="str">
        <f>HYPERLINK("https://ceds.ed.gov/cedselementdetails.aspx?termid=13598")</f>
        <v>https://ceds.ed.gov/cedselementdetails.aspx?termid=13598</v>
      </c>
      <c r="N114" s="9" t="str">
        <f>HYPERLINK("https://ceds.ed.gov/elementComment.aspx?elementName=Assessment Content Standard Type &amp;elementID=13598", "Click here to submit comment")</f>
        <v>Click here to submit comment</v>
      </c>
    </row>
    <row r="115" spans="1:14" ht="60" customHeight="1" x14ac:dyDescent="0.25">
      <c r="A115" s="18" t="s">
        <v>477</v>
      </c>
      <c r="B115" s="18" t="s">
        <v>478</v>
      </c>
      <c r="C115" s="19" t="s">
        <v>6348</v>
      </c>
      <c r="D115" s="18" t="s">
        <v>10493</v>
      </c>
      <c r="E115" s="18"/>
      <c r="F115" s="18"/>
      <c r="G115" s="18"/>
      <c r="H115" s="9" t="s">
        <v>479</v>
      </c>
      <c r="I115" s="18" t="s">
        <v>484</v>
      </c>
      <c r="J115" s="18"/>
      <c r="K115" s="18" t="s">
        <v>485</v>
      </c>
      <c r="L115" s="18" t="s">
        <v>6139</v>
      </c>
      <c r="M115" s="18" t="str">
        <f>HYPERLINK("https://ceds.ed.gov/cedselementdetails.aspx?termid=14003")</f>
        <v>https://ceds.ed.gov/cedselementdetails.aspx?termid=14003</v>
      </c>
      <c r="N115" s="18" t="str">
        <f>HYPERLINK("https://ceds.ed.gov/elementComment.aspx?elementName=Assessment Early Learning Developmental Domain &amp;elementID=14003", "Click here to submit comment")</f>
        <v>Click here to submit comment</v>
      </c>
    </row>
    <row r="116" spans="1:14" x14ac:dyDescent="0.25">
      <c r="A116" s="18"/>
      <c r="B116" s="18"/>
      <c r="C116" s="19"/>
      <c r="D116" s="18"/>
      <c r="E116" s="18"/>
      <c r="F116" s="18"/>
      <c r="G116" s="18"/>
      <c r="H116" s="9"/>
      <c r="I116" s="18"/>
      <c r="J116" s="18"/>
      <c r="K116" s="18"/>
      <c r="L116" s="18"/>
      <c r="M116" s="18"/>
      <c r="N116" s="18"/>
    </row>
    <row r="117" spans="1:14" ht="30" x14ac:dyDescent="0.25">
      <c r="A117" s="18"/>
      <c r="B117" s="18"/>
      <c r="C117" s="19"/>
      <c r="D117" s="18"/>
      <c r="E117" s="18"/>
      <c r="F117" s="18"/>
      <c r="G117" s="18"/>
      <c r="H117" s="9" t="s">
        <v>480</v>
      </c>
      <c r="I117" s="18"/>
      <c r="J117" s="18"/>
      <c r="K117" s="18"/>
      <c r="L117" s="18"/>
      <c r="M117" s="18"/>
      <c r="N117" s="18"/>
    </row>
    <row r="118" spans="1:14" ht="45" x14ac:dyDescent="0.25">
      <c r="A118" s="18"/>
      <c r="B118" s="18"/>
      <c r="C118" s="19"/>
      <c r="D118" s="18"/>
      <c r="E118" s="18"/>
      <c r="F118" s="18"/>
      <c r="G118" s="18"/>
      <c r="H118" s="9" t="s">
        <v>481</v>
      </c>
      <c r="I118" s="18"/>
      <c r="J118" s="18"/>
      <c r="K118" s="18"/>
      <c r="L118" s="18"/>
      <c r="M118" s="18"/>
      <c r="N118" s="18"/>
    </row>
    <row r="119" spans="1:14" ht="75" x14ac:dyDescent="0.25">
      <c r="A119" s="18"/>
      <c r="B119" s="18"/>
      <c r="C119" s="19"/>
      <c r="D119" s="18"/>
      <c r="E119" s="18"/>
      <c r="F119" s="18"/>
      <c r="G119" s="18"/>
      <c r="H119" s="9" t="s">
        <v>482</v>
      </c>
      <c r="I119" s="18"/>
      <c r="J119" s="18"/>
      <c r="K119" s="18"/>
      <c r="L119" s="18"/>
      <c r="M119" s="18"/>
      <c r="N119" s="18"/>
    </row>
    <row r="120" spans="1:14" x14ac:dyDescent="0.25">
      <c r="A120" s="18"/>
      <c r="B120" s="18"/>
      <c r="C120" s="19"/>
      <c r="D120" s="18"/>
      <c r="E120" s="18"/>
      <c r="F120" s="18"/>
      <c r="G120" s="18"/>
      <c r="H120" s="9"/>
      <c r="I120" s="18"/>
      <c r="J120" s="18"/>
      <c r="K120" s="18"/>
      <c r="L120" s="18"/>
      <c r="M120" s="18"/>
      <c r="N120" s="18"/>
    </row>
    <row r="121" spans="1:14" ht="105" x14ac:dyDescent="0.25">
      <c r="A121" s="18"/>
      <c r="B121" s="18"/>
      <c r="C121" s="19"/>
      <c r="D121" s="18"/>
      <c r="E121" s="18"/>
      <c r="F121" s="18"/>
      <c r="G121" s="18"/>
      <c r="H121" s="9" t="s">
        <v>483</v>
      </c>
      <c r="I121" s="18"/>
      <c r="J121" s="18"/>
      <c r="K121" s="18"/>
      <c r="L121" s="18"/>
      <c r="M121" s="18"/>
      <c r="N121" s="18"/>
    </row>
    <row r="122" spans="1:14" ht="60" x14ac:dyDescent="0.25">
      <c r="A122" s="9" t="s">
        <v>486</v>
      </c>
      <c r="B122" s="9" t="s">
        <v>487</v>
      </c>
      <c r="C122" s="9" t="s">
        <v>12</v>
      </c>
      <c r="D122" s="9" t="s">
        <v>488</v>
      </c>
      <c r="E122" s="9"/>
      <c r="F122" s="9" t="s">
        <v>87</v>
      </c>
      <c r="G122" s="9"/>
      <c r="H122" s="9" t="s">
        <v>489</v>
      </c>
      <c r="I122" s="9" t="s">
        <v>490</v>
      </c>
      <c r="J122" s="9"/>
      <c r="K122" s="9" t="s">
        <v>491</v>
      </c>
      <c r="L122" s="9"/>
      <c r="M122" s="9" t="str">
        <f>HYPERLINK("https://ceds.ed.gov/cedselementdetails.aspx?termid=13934")</f>
        <v>https://ceds.ed.gov/cedselementdetails.aspx?termid=13934</v>
      </c>
      <c r="N122" s="9" t="str">
        <f>HYPERLINK("https://ceds.ed.gov/elementComment.aspx?elementName=Assessment Family Short Name &amp;elementID=13934", "Click here to submit comment")</f>
        <v>Click here to submit comment</v>
      </c>
    </row>
    <row r="123" spans="1:14" ht="90" x14ac:dyDescent="0.25">
      <c r="A123" s="9" t="s">
        <v>492</v>
      </c>
      <c r="B123" s="9" t="s">
        <v>493</v>
      </c>
      <c r="C123" s="9" t="s">
        <v>12</v>
      </c>
      <c r="D123" s="9" t="s">
        <v>488</v>
      </c>
      <c r="E123" s="9"/>
      <c r="F123" s="9" t="s">
        <v>92</v>
      </c>
      <c r="G123" s="9"/>
      <c r="H123" s="9"/>
      <c r="I123" s="9" t="s">
        <v>494</v>
      </c>
      <c r="J123" s="9"/>
      <c r="K123" s="9" t="s">
        <v>495</v>
      </c>
      <c r="L123" s="9"/>
      <c r="M123" s="9" t="str">
        <f>HYPERLINK("https://ceds.ed.gov/cedselementdetails.aspx?termid=13933")</f>
        <v>https://ceds.ed.gov/cedselementdetails.aspx?termid=13933</v>
      </c>
      <c r="N123" s="9" t="str">
        <f>HYPERLINK("https://ceds.ed.gov/elementComment.aspx?elementName=Assessment Family Title &amp;elementID=13933", "Click here to submit comment")</f>
        <v>Click here to submit comment</v>
      </c>
    </row>
    <row r="124" spans="1:14" ht="75" x14ac:dyDescent="0.25">
      <c r="A124" s="9" t="s">
        <v>496</v>
      </c>
      <c r="B124" s="9" t="s">
        <v>497</v>
      </c>
      <c r="C124" s="9" t="s">
        <v>12</v>
      </c>
      <c r="D124" s="9" t="s">
        <v>498</v>
      </c>
      <c r="E124" s="9"/>
      <c r="F124" s="9" t="s">
        <v>303</v>
      </c>
      <c r="G124" s="9"/>
      <c r="H124" s="9"/>
      <c r="I124" s="9" t="s">
        <v>499</v>
      </c>
      <c r="J124" s="9"/>
      <c r="K124" s="9" t="s">
        <v>500</v>
      </c>
      <c r="L124" s="9"/>
      <c r="M124" s="9" t="str">
        <f>HYPERLINK("https://ceds.ed.gov/cedselementdetails.aspx?termid=14136")</f>
        <v>https://ceds.ed.gov/cedselementdetails.aspx?termid=14136</v>
      </c>
      <c r="N124" s="9" t="str">
        <f>HYPERLINK("https://ceds.ed.gov/elementComment.aspx?elementName=Assessment Form Accommodation List &amp;elementID=14136", "Click here to submit comment")</f>
        <v>Click here to submit comment</v>
      </c>
    </row>
    <row r="125" spans="1:14" ht="45" x14ac:dyDescent="0.25">
      <c r="A125" s="9" t="s">
        <v>501</v>
      </c>
      <c r="B125" s="9" t="s">
        <v>502</v>
      </c>
      <c r="C125" s="9" t="s">
        <v>6106</v>
      </c>
      <c r="D125" s="9" t="s">
        <v>498</v>
      </c>
      <c r="E125" s="9"/>
      <c r="F125" s="9"/>
      <c r="G125" s="9"/>
      <c r="H125" s="9"/>
      <c r="I125" s="9" t="s">
        <v>503</v>
      </c>
      <c r="J125" s="9"/>
      <c r="K125" s="9" t="s">
        <v>504</v>
      </c>
      <c r="L125" s="9"/>
      <c r="M125" s="9" t="str">
        <f>HYPERLINK("https://ceds.ed.gov/cedselementdetails.aspx?termid=14507")</f>
        <v>https://ceds.ed.gov/cedselementdetails.aspx?termid=14507</v>
      </c>
      <c r="N125" s="9" t="str">
        <f>HYPERLINK("https://ceds.ed.gov/elementComment.aspx?elementName=Assessment Form Adaptive Indicator &amp;elementID=14507", "Click here to submit comment")</f>
        <v>Click here to submit comment</v>
      </c>
    </row>
    <row r="126" spans="1:14" ht="75" x14ac:dyDescent="0.25">
      <c r="A126" s="18" t="s">
        <v>505</v>
      </c>
      <c r="B126" s="18" t="s">
        <v>506</v>
      </c>
      <c r="C126" s="18" t="s">
        <v>12</v>
      </c>
      <c r="D126" s="18" t="s">
        <v>6130</v>
      </c>
      <c r="E126" s="18"/>
      <c r="F126" s="18" t="s">
        <v>119</v>
      </c>
      <c r="G126" s="18"/>
      <c r="H126" s="9" t="s">
        <v>507</v>
      </c>
      <c r="I126" s="18" t="s">
        <v>508</v>
      </c>
      <c r="J126" s="18"/>
      <c r="K126" s="18" t="s">
        <v>509</v>
      </c>
      <c r="L126" s="18"/>
      <c r="M126" s="18" t="str">
        <f>HYPERLINK("https://ceds.ed.gov/cedselementdetails.aspx?termid=14508")</f>
        <v>https://ceds.ed.gov/cedselementdetails.aspx?termid=14508</v>
      </c>
      <c r="N126" s="18" t="str">
        <f>HYPERLINK("https://ceds.ed.gov/elementComment.aspx?elementName=Assessment Form Algorithm Identifier &amp;elementID=14508", "Click here to submit comment")</f>
        <v>Click here to submit comment</v>
      </c>
    </row>
    <row r="127" spans="1:14" x14ac:dyDescent="0.25">
      <c r="A127" s="18"/>
      <c r="B127" s="18"/>
      <c r="C127" s="18"/>
      <c r="D127" s="18"/>
      <c r="E127" s="18"/>
      <c r="F127" s="18"/>
      <c r="G127" s="18"/>
      <c r="H127" s="9"/>
      <c r="I127" s="18"/>
      <c r="J127" s="18"/>
      <c r="K127" s="18"/>
      <c r="L127" s="18"/>
      <c r="M127" s="18"/>
      <c r="N127" s="18"/>
    </row>
    <row r="128" spans="1:14" ht="105" x14ac:dyDescent="0.25">
      <c r="A128" s="18"/>
      <c r="B128" s="18"/>
      <c r="C128" s="18"/>
      <c r="D128" s="18"/>
      <c r="E128" s="18"/>
      <c r="F128" s="18"/>
      <c r="G128" s="18"/>
      <c r="H128" s="9" t="s">
        <v>120</v>
      </c>
      <c r="I128" s="18"/>
      <c r="J128" s="18"/>
      <c r="K128" s="18"/>
      <c r="L128" s="18"/>
      <c r="M128" s="18"/>
      <c r="N128" s="18"/>
    </row>
    <row r="129" spans="1:14" x14ac:dyDescent="0.25">
      <c r="A129" s="18"/>
      <c r="B129" s="18"/>
      <c r="C129" s="18"/>
      <c r="D129" s="18"/>
      <c r="E129" s="18"/>
      <c r="F129" s="18"/>
      <c r="G129" s="18"/>
      <c r="H129" s="9"/>
      <c r="I129" s="18"/>
      <c r="J129" s="18"/>
      <c r="K129" s="18"/>
      <c r="L129" s="18"/>
      <c r="M129" s="18"/>
      <c r="N129" s="18"/>
    </row>
    <row r="130" spans="1:14" ht="90" x14ac:dyDescent="0.25">
      <c r="A130" s="18"/>
      <c r="B130" s="18"/>
      <c r="C130" s="18"/>
      <c r="D130" s="18"/>
      <c r="E130" s="18"/>
      <c r="F130" s="18"/>
      <c r="G130" s="18"/>
      <c r="H130" s="9" t="s">
        <v>121</v>
      </c>
      <c r="I130" s="18"/>
      <c r="J130" s="18"/>
      <c r="K130" s="18"/>
      <c r="L130" s="18"/>
      <c r="M130" s="18"/>
      <c r="N130" s="18"/>
    </row>
    <row r="131" spans="1:14" ht="75" x14ac:dyDescent="0.25">
      <c r="A131" s="9" t="s">
        <v>510</v>
      </c>
      <c r="B131" s="9" t="s">
        <v>511</v>
      </c>
      <c r="C131" s="9" t="s">
        <v>12</v>
      </c>
      <c r="D131" s="9" t="s">
        <v>498</v>
      </c>
      <c r="E131" s="9"/>
      <c r="F131" s="9" t="s">
        <v>119</v>
      </c>
      <c r="G131" s="9"/>
      <c r="H131" s="9" t="s">
        <v>507</v>
      </c>
      <c r="I131" s="9" t="s">
        <v>512</v>
      </c>
      <c r="J131" s="9"/>
      <c r="K131" s="9" t="s">
        <v>513</v>
      </c>
      <c r="L131" s="9"/>
      <c r="M131" s="9" t="str">
        <f>HYPERLINK("https://ceds.ed.gov/cedselementdetails.aspx?termid=14509")</f>
        <v>https://ceds.ed.gov/cedselementdetails.aspx?termid=14509</v>
      </c>
      <c r="N131" s="9" t="str">
        <f>HYPERLINK("https://ceds.ed.gov/elementComment.aspx?elementName=Assessment Form Algorithm Version &amp;elementID=14509", "Click here to submit comment")</f>
        <v>Click here to submit comment</v>
      </c>
    </row>
    <row r="132" spans="1:14" ht="75" x14ac:dyDescent="0.25">
      <c r="A132" s="18" t="s">
        <v>514</v>
      </c>
      <c r="B132" s="18" t="s">
        <v>515</v>
      </c>
      <c r="C132" s="18" t="s">
        <v>12</v>
      </c>
      <c r="D132" s="18" t="s">
        <v>498</v>
      </c>
      <c r="E132" s="18"/>
      <c r="F132" s="18" t="s">
        <v>119</v>
      </c>
      <c r="G132" s="18"/>
      <c r="H132" s="9" t="s">
        <v>516</v>
      </c>
      <c r="I132" s="18" t="s">
        <v>518</v>
      </c>
      <c r="J132" s="18"/>
      <c r="K132" s="18" t="s">
        <v>519</v>
      </c>
      <c r="L132" s="18"/>
      <c r="M132" s="18" t="str">
        <f>HYPERLINK("https://ceds.ed.gov/cedselementdetails.aspx?termid=14510")</f>
        <v>https://ceds.ed.gov/cedselementdetails.aspx?termid=14510</v>
      </c>
      <c r="N132" s="18" t="str">
        <f>HYPERLINK("https://ceds.ed.gov/elementComment.aspx?elementName=Assessment Form GUID &amp;elementID=14510", "Click here to submit comment")</f>
        <v>Click here to submit comment</v>
      </c>
    </row>
    <row r="133" spans="1:14" x14ac:dyDescent="0.25">
      <c r="A133" s="18"/>
      <c r="B133" s="18"/>
      <c r="C133" s="18"/>
      <c r="D133" s="18"/>
      <c r="E133" s="18"/>
      <c r="F133" s="18"/>
      <c r="G133" s="18"/>
      <c r="H133" s="9"/>
      <c r="I133" s="18"/>
      <c r="J133" s="18"/>
      <c r="K133" s="18"/>
      <c r="L133" s="18"/>
      <c r="M133" s="18"/>
      <c r="N133" s="18"/>
    </row>
    <row r="134" spans="1:14" ht="60" x14ac:dyDescent="0.25">
      <c r="A134" s="18"/>
      <c r="B134" s="18"/>
      <c r="C134" s="18"/>
      <c r="D134" s="18"/>
      <c r="E134" s="18"/>
      <c r="F134" s="18"/>
      <c r="G134" s="18"/>
      <c r="H134" s="9" t="s">
        <v>517</v>
      </c>
      <c r="I134" s="18"/>
      <c r="J134" s="18"/>
      <c r="K134" s="18"/>
      <c r="L134" s="18"/>
      <c r="M134" s="18"/>
      <c r="N134" s="18"/>
    </row>
    <row r="135" spans="1:14" ht="45" x14ac:dyDescent="0.25">
      <c r="A135" s="9" t="s">
        <v>520</v>
      </c>
      <c r="B135" s="9" t="s">
        <v>521</v>
      </c>
      <c r="C135" s="9" t="s">
        <v>12</v>
      </c>
      <c r="D135" s="9" t="s">
        <v>498</v>
      </c>
      <c r="E135" s="9"/>
      <c r="F135" s="9" t="s">
        <v>73</v>
      </c>
      <c r="G135" s="9"/>
      <c r="H135" s="9"/>
      <c r="I135" s="9" t="s">
        <v>522</v>
      </c>
      <c r="J135" s="9"/>
      <c r="K135" s="9" t="s">
        <v>523</v>
      </c>
      <c r="L135" s="9"/>
      <c r="M135" s="9" t="str">
        <f>HYPERLINK("https://ceds.ed.gov/cedselementdetails.aspx?termid=14138")</f>
        <v>https://ceds.ed.gov/cedselementdetails.aspx?termid=14138</v>
      </c>
      <c r="N135" s="9" t="str">
        <f>HYPERLINK("https://ceds.ed.gov/elementComment.aspx?elementName=Assessment Form Intended Administration End Date &amp;elementID=14138", "Click here to submit comment")</f>
        <v>Click here to submit comment</v>
      </c>
    </row>
    <row r="136" spans="1:14" ht="150" x14ac:dyDescent="0.25">
      <c r="A136" s="9" t="s">
        <v>524</v>
      </c>
      <c r="B136" s="9" t="s">
        <v>525</v>
      </c>
      <c r="C136" s="9" t="s">
        <v>12</v>
      </c>
      <c r="D136" s="9" t="s">
        <v>498</v>
      </c>
      <c r="E136" s="9"/>
      <c r="F136" s="9" t="s">
        <v>119</v>
      </c>
      <c r="G136" s="9"/>
      <c r="H136" s="9"/>
      <c r="I136" s="9" t="s">
        <v>526</v>
      </c>
      <c r="J136" s="9"/>
      <c r="K136" s="9" t="s">
        <v>527</v>
      </c>
      <c r="L136" s="9" t="s">
        <v>6131</v>
      </c>
      <c r="M136" s="9" t="str">
        <f>HYPERLINK("https://ceds.ed.gov/cedselementdetails.aspx?termid=13024")</f>
        <v>https://ceds.ed.gov/cedselementdetails.aspx?termid=13024</v>
      </c>
      <c r="N136" s="9" t="str">
        <f>HYPERLINK("https://ceds.ed.gov/elementComment.aspx?elementName=Assessment Form Name &amp;elementID=13024", "Click here to submit comment")</f>
        <v>Click here to submit comment</v>
      </c>
    </row>
    <row r="137" spans="1:14" ht="60" x14ac:dyDescent="0.25">
      <c r="A137" s="9" t="s">
        <v>528</v>
      </c>
      <c r="B137" s="9" t="s">
        <v>529</v>
      </c>
      <c r="C137" s="9" t="s">
        <v>12</v>
      </c>
      <c r="D137" s="9" t="s">
        <v>6132</v>
      </c>
      <c r="E137" s="9"/>
      <c r="F137" s="9" t="s">
        <v>87</v>
      </c>
      <c r="G137" s="9"/>
      <c r="H137" s="9"/>
      <c r="I137" s="9" t="s">
        <v>530</v>
      </c>
      <c r="J137" s="9"/>
      <c r="K137" s="9" t="s">
        <v>531</v>
      </c>
      <c r="L137" s="9" t="s">
        <v>6127</v>
      </c>
      <c r="M137" s="9" t="str">
        <f>HYPERLINK("https://ceds.ed.gov/cedselementdetails.aspx?termid=13365")</f>
        <v>https://ceds.ed.gov/cedselementdetails.aspx?termid=13365</v>
      </c>
      <c r="N137" s="9" t="str">
        <f>HYPERLINK("https://ceds.ed.gov/elementComment.aspx?elementName=Assessment Form Number &amp;elementID=13365", "Click here to submit comment")</f>
        <v>Click here to submit comment</v>
      </c>
    </row>
    <row r="138" spans="1:14" ht="45" x14ac:dyDescent="0.25">
      <c r="A138" s="9" t="s">
        <v>532</v>
      </c>
      <c r="B138" s="9" t="s">
        <v>533</v>
      </c>
      <c r="C138" s="9" t="s">
        <v>12</v>
      </c>
      <c r="D138" s="9" t="s">
        <v>498</v>
      </c>
      <c r="E138" s="9"/>
      <c r="F138" s="9" t="s">
        <v>303</v>
      </c>
      <c r="G138" s="9"/>
      <c r="H138" s="9"/>
      <c r="I138" s="9" t="s">
        <v>534</v>
      </c>
      <c r="J138" s="9"/>
      <c r="K138" s="9" t="s">
        <v>535</v>
      </c>
      <c r="L138" s="9"/>
      <c r="M138" s="9" t="str">
        <f>HYPERLINK("https://ceds.ed.gov/cedselementdetails.aspx?termid=14139")</f>
        <v>https://ceds.ed.gov/cedselementdetails.aspx?termid=14139</v>
      </c>
      <c r="N138" s="9" t="str">
        <f>HYPERLINK("https://ceds.ed.gov/elementComment.aspx?elementName=Assessment Form Platforms Supported &amp;elementID=14139", "Click here to submit comment")</f>
        <v>Click here to submit comment</v>
      </c>
    </row>
    <row r="139" spans="1:14" ht="75" x14ac:dyDescent="0.25">
      <c r="A139" s="18" t="s">
        <v>536</v>
      </c>
      <c r="B139" s="18" t="s">
        <v>537</v>
      </c>
      <c r="C139" s="18" t="s">
        <v>12</v>
      </c>
      <c r="D139" s="18" t="s">
        <v>538</v>
      </c>
      <c r="E139" s="18"/>
      <c r="F139" s="18" t="s">
        <v>119</v>
      </c>
      <c r="G139" s="18"/>
      <c r="H139" s="9" t="s">
        <v>516</v>
      </c>
      <c r="I139" s="18" t="s">
        <v>539</v>
      </c>
      <c r="J139" s="18"/>
      <c r="K139" s="18" t="s">
        <v>540</v>
      </c>
      <c r="L139" s="18"/>
      <c r="M139" s="18" t="str">
        <f>HYPERLINK("https://ceds.ed.gov/cedselementdetails.aspx?termid=13981")</f>
        <v>https://ceds.ed.gov/cedselementdetails.aspx?termid=13981</v>
      </c>
      <c r="N139" s="18" t="str">
        <f>HYPERLINK("https://ceds.ed.gov/elementComment.aspx?elementName=Assessment Form Section GUID &amp;elementID=13981", "Click here to submit comment")</f>
        <v>Click here to submit comment</v>
      </c>
    </row>
    <row r="140" spans="1:14" x14ac:dyDescent="0.25">
      <c r="A140" s="18"/>
      <c r="B140" s="18"/>
      <c r="C140" s="18"/>
      <c r="D140" s="18"/>
      <c r="E140" s="18"/>
      <c r="F140" s="18"/>
      <c r="G140" s="18"/>
      <c r="H140" s="9"/>
      <c r="I140" s="18"/>
      <c r="J140" s="18"/>
      <c r="K140" s="18"/>
      <c r="L140" s="18"/>
      <c r="M140" s="18"/>
      <c r="N140" s="18"/>
    </row>
    <row r="141" spans="1:14" ht="60" x14ac:dyDescent="0.25">
      <c r="A141" s="18"/>
      <c r="B141" s="18"/>
      <c r="C141" s="18"/>
      <c r="D141" s="18"/>
      <c r="E141" s="18"/>
      <c r="F141" s="18"/>
      <c r="G141" s="18"/>
      <c r="H141" s="9" t="s">
        <v>517</v>
      </c>
      <c r="I141" s="18"/>
      <c r="J141" s="18"/>
      <c r="K141" s="18"/>
      <c r="L141" s="18"/>
      <c r="M141" s="18"/>
      <c r="N141" s="18"/>
    </row>
    <row r="142" spans="1:14" ht="105" x14ac:dyDescent="0.25">
      <c r="A142" s="18" t="s">
        <v>541</v>
      </c>
      <c r="B142" s="18" t="s">
        <v>542</v>
      </c>
      <c r="C142" s="18" t="s">
        <v>12</v>
      </c>
      <c r="D142" s="18" t="s">
        <v>538</v>
      </c>
      <c r="E142" s="18"/>
      <c r="F142" s="18" t="s">
        <v>119</v>
      </c>
      <c r="G142" s="18"/>
      <c r="H142" s="9" t="s">
        <v>120</v>
      </c>
      <c r="I142" s="18" t="s">
        <v>543</v>
      </c>
      <c r="J142" s="18"/>
      <c r="K142" s="18" t="s">
        <v>544</v>
      </c>
      <c r="L142" s="18"/>
      <c r="M142" s="18" t="str">
        <f>HYPERLINK("https://ceds.ed.gov/cedselementdetails.aspx?termid=14142")</f>
        <v>https://ceds.ed.gov/cedselementdetails.aspx?termid=14142</v>
      </c>
      <c r="N142" s="18" t="str">
        <f>HYPERLINK("https://ceds.ed.gov/elementComment.aspx?elementName=Assessment Form Section Identifier &amp;elementID=14142", "Click here to submit comment")</f>
        <v>Click here to submit comment</v>
      </c>
    </row>
    <row r="143" spans="1:14" x14ac:dyDescent="0.25">
      <c r="A143" s="18"/>
      <c r="B143" s="18"/>
      <c r="C143" s="18"/>
      <c r="D143" s="18"/>
      <c r="E143" s="18"/>
      <c r="F143" s="18"/>
      <c r="G143" s="18"/>
      <c r="H143" s="9"/>
      <c r="I143" s="18"/>
      <c r="J143" s="18"/>
      <c r="K143" s="18"/>
      <c r="L143" s="18"/>
      <c r="M143" s="18"/>
      <c r="N143" s="18"/>
    </row>
    <row r="144" spans="1:14" ht="90" x14ac:dyDescent="0.25">
      <c r="A144" s="18"/>
      <c r="B144" s="18"/>
      <c r="C144" s="18"/>
      <c r="D144" s="18"/>
      <c r="E144" s="18"/>
      <c r="F144" s="18"/>
      <c r="G144" s="18"/>
      <c r="H144" s="9" t="s">
        <v>121</v>
      </c>
      <c r="I144" s="18"/>
      <c r="J144" s="18"/>
      <c r="K144" s="18"/>
      <c r="L144" s="18"/>
      <c r="M144" s="18"/>
      <c r="N144" s="18"/>
    </row>
    <row r="145" spans="1:14" ht="60" x14ac:dyDescent="0.25">
      <c r="A145" s="9" t="s">
        <v>545</v>
      </c>
      <c r="B145" s="9" t="s">
        <v>546</v>
      </c>
      <c r="C145" s="9" t="s">
        <v>6106</v>
      </c>
      <c r="D145" s="9" t="s">
        <v>547</v>
      </c>
      <c r="E145" s="9"/>
      <c r="F145" s="9"/>
      <c r="G145" s="9"/>
      <c r="H145" s="9"/>
      <c r="I145" s="9" t="s">
        <v>548</v>
      </c>
      <c r="J145" s="9"/>
      <c r="K145" s="9" t="s">
        <v>549</v>
      </c>
      <c r="L145" s="9"/>
      <c r="M145" s="9" t="str">
        <f>HYPERLINK("https://ceds.ed.gov/cedselementdetails.aspx?termid=14511")</f>
        <v>https://ceds.ed.gov/cedselementdetails.aspx?termid=14511</v>
      </c>
      <c r="N145" s="9" t="str">
        <f>HYPERLINK("https://ceds.ed.gov/elementComment.aspx?elementName=Assessment Form Section Item Field Test Indicator &amp;elementID=14511", "Click here to submit comment")</f>
        <v>Click here to submit comment</v>
      </c>
    </row>
    <row r="146" spans="1:14" ht="150" x14ac:dyDescent="0.25">
      <c r="A146" s="9" t="s">
        <v>550</v>
      </c>
      <c r="B146" s="9" t="s">
        <v>551</v>
      </c>
      <c r="C146" s="9" t="s">
        <v>6106</v>
      </c>
      <c r="D146" s="9" t="s">
        <v>538</v>
      </c>
      <c r="E146" s="9"/>
      <c r="F146" s="9"/>
      <c r="G146" s="9"/>
      <c r="H146" s="9"/>
      <c r="I146" s="9" t="s">
        <v>552</v>
      </c>
      <c r="J146" s="9"/>
      <c r="K146" s="9" t="s">
        <v>553</v>
      </c>
      <c r="L146" s="9"/>
      <c r="M146" s="9" t="str">
        <f>HYPERLINK("https://ceds.ed.gov/cedselementdetails.aspx?termid=14145")</f>
        <v>https://ceds.ed.gov/cedselementdetails.aspx?termid=14145</v>
      </c>
      <c r="N146" s="9" t="str">
        <f>HYPERLINK("https://ceds.ed.gov/elementComment.aspx?elementName=Assessment Form Section Reentry &amp;elementID=14145", "Click here to submit comment")</f>
        <v>Click here to submit comment</v>
      </c>
    </row>
    <row r="147" spans="1:14" ht="60" x14ac:dyDescent="0.25">
      <c r="A147" s="9" t="s">
        <v>554</v>
      </c>
      <c r="B147" s="9" t="s">
        <v>555</v>
      </c>
      <c r="C147" s="9" t="s">
        <v>6106</v>
      </c>
      <c r="D147" s="9" t="s">
        <v>538</v>
      </c>
      <c r="E147" s="9"/>
      <c r="F147" s="9"/>
      <c r="G147" s="9"/>
      <c r="H147" s="9"/>
      <c r="I147" s="9" t="s">
        <v>556</v>
      </c>
      <c r="J147" s="9"/>
      <c r="K147" s="9" t="s">
        <v>557</v>
      </c>
      <c r="L147" s="9"/>
      <c r="M147" s="9" t="str">
        <f>HYPERLINK("https://ceds.ed.gov/cedselementdetails.aspx?termid=14144")</f>
        <v>https://ceds.ed.gov/cedselementdetails.aspx?termid=14144</v>
      </c>
      <c r="N147" s="9" t="str">
        <f>HYPERLINK("https://ceds.ed.gov/elementComment.aspx?elementName=Assessment Form Section Sealed &amp;elementID=14144", "Click here to submit comment")</f>
        <v>Click here to submit comment</v>
      </c>
    </row>
    <row r="148" spans="1:14" ht="45" x14ac:dyDescent="0.25">
      <c r="A148" s="9" t="s">
        <v>558</v>
      </c>
      <c r="B148" s="9" t="s">
        <v>559</v>
      </c>
      <c r="C148" s="9" t="s">
        <v>12</v>
      </c>
      <c r="D148" s="9" t="s">
        <v>538</v>
      </c>
      <c r="E148" s="9"/>
      <c r="F148" s="9" t="s">
        <v>134</v>
      </c>
      <c r="G148" s="9"/>
      <c r="H148" s="9"/>
      <c r="I148" s="9" t="s">
        <v>560</v>
      </c>
      <c r="J148" s="9"/>
      <c r="K148" s="9" t="s">
        <v>561</v>
      </c>
      <c r="L148" s="9"/>
      <c r="M148" s="9" t="str">
        <f>HYPERLINK("https://ceds.ed.gov/cedselementdetails.aspx?termid=13980")</f>
        <v>https://ceds.ed.gov/cedselementdetails.aspx?termid=13980</v>
      </c>
      <c r="N148" s="9" t="str">
        <f>HYPERLINK("https://ceds.ed.gov/elementComment.aspx?elementName=Assessment Form Section Sequence Number &amp;elementID=13980", "Click here to submit comment")</f>
        <v>Click here to submit comment</v>
      </c>
    </row>
    <row r="149" spans="1:14" ht="60" x14ac:dyDescent="0.25">
      <c r="A149" s="9" t="s">
        <v>562</v>
      </c>
      <c r="B149" s="9" t="s">
        <v>563</v>
      </c>
      <c r="C149" s="9" t="s">
        <v>12</v>
      </c>
      <c r="D149" s="9" t="s">
        <v>538</v>
      </c>
      <c r="E149" s="9"/>
      <c r="F149" s="9" t="s">
        <v>406</v>
      </c>
      <c r="G149" s="9"/>
      <c r="H149" s="9"/>
      <c r="I149" s="9" t="s">
        <v>564</v>
      </c>
      <c r="J149" s="9"/>
      <c r="K149" s="9" t="s">
        <v>565</v>
      </c>
      <c r="L149" s="9"/>
      <c r="M149" s="9" t="str">
        <f>HYPERLINK("https://ceds.ed.gov/cedselementdetails.aspx?termid=14143")</f>
        <v>https://ceds.ed.gov/cedselementdetails.aspx?termid=14143</v>
      </c>
      <c r="N149" s="9" t="str">
        <f>HYPERLINK("https://ceds.ed.gov/elementComment.aspx?elementName=Assessment Form Section Time Limit &amp;elementID=14143", "Click here to submit comment")</f>
        <v>Click here to submit comment</v>
      </c>
    </row>
    <row r="150" spans="1:14" ht="45" x14ac:dyDescent="0.25">
      <c r="A150" s="9" t="s">
        <v>566</v>
      </c>
      <c r="B150" s="9" t="s">
        <v>567</v>
      </c>
      <c r="C150" s="9" t="s">
        <v>12</v>
      </c>
      <c r="D150" s="9" t="s">
        <v>538</v>
      </c>
      <c r="E150" s="9"/>
      <c r="F150" s="9" t="s">
        <v>87</v>
      </c>
      <c r="G150" s="9"/>
      <c r="H150" s="9"/>
      <c r="I150" s="9" t="s">
        <v>568</v>
      </c>
      <c r="J150" s="9"/>
      <c r="K150" s="9" t="s">
        <v>569</v>
      </c>
      <c r="L150" s="9"/>
      <c r="M150" s="9" t="str">
        <f>HYPERLINK("https://ceds.ed.gov/cedselementdetails.aspx?termid=14140")</f>
        <v>https://ceds.ed.gov/cedselementdetails.aspx?termid=14140</v>
      </c>
      <c r="N150" s="9" t="str">
        <f>HYPERLINK("https://ceds.ed.gov/elementComment.aspx?elementName=Assessment Form Section Version &amp;elementID=14140", "Click here to submit comment")</f>
        <v>Click here to submit comment</v>
      </c>
    </row>
    <row r="151" spans="1:14" ht="60" x14ac:dyDescent="0.25">
      <c r="A151" s="9" t="s">
        <v>570</v>
      </c>
      <c r="B151" s="9" t="s">
        <v>571</v>
      </c>
      <c r="C151" s="9" t="s">
        <v>6106</v>
      </c>
      <c r="D151" s="9" t="s">
        <v>474</v>
      </c>
      <c r="E151" s="9"/>
      <c r="F151" s="9"/>
      <c r="G151" s="9"/>
      <c r="H151" s="9"/>
      <c r="I151" s="9" t="s">
        <v>572</v>
      </c>
      <c r="J151" s="9"/>
      <c r="K151" s="9" t="s">
        <v>573</v>
      </c>
      <c r="L151" s="9"/>
      <c r="M151" s="9" t="str">
        <f>HYPERLINK("https://ceds.ed.gov/cedselementdetails.aspx?termid=14181")</f>
        <v>https://ceds.ed.gov/cedselementdetails.aspx?termid=14181</v>
      </c>
      <c r="N151" s="9" t="str">
        <f>HYPERLINK("https://ceds.ed.gov/elementComment.aspx?elementName=Assessment Form Subtest Container Only &amp;elementID=14181", "Click here to submit comment")</f>
        <v>Click here to submit comment</v>
      </c>
    </row>
    <row r="152" spans="1:14" ht="150" x14ac:dyDescent="0.25">
      <c r="A152" s="9" t="s">
        <v>574</v>
      </c>
      <c r="B152" s="9" t="s">
        <v>575</v>
      </c>
      <c r="C152" s="9" t="s">
        <v>12</v>
      </c>
      <c r="D152" s="9" t="s">
        <v>576</v>
      </c>
      <c r="E152" s="9"/>
      <c r="F152" s="9" t="s">
        <v>134</v>
      </c>
      <c r="G152" s="9"/>
      <c r="H152" s="9"/>
      <c r="I152" s="9" t="s">
        <v>577</v>
      </c>
      <c r="J152" s="9"/>
      <c r="K152" s="9" t="s">
        <v>578</v>
      </c>
      <c r="L152" s="9"/>
      <c r="M152" s="9" t="str">
        <f>HYPERLINK("https://ceds.ed.gov/cedselementdetails.aspx?termid=14013")</f>
        <v>https://ceds.ed.gov/cedselementdetails.aspx?termid=14013</v>
      </c>
      <c r="N152" s="9" t="str">
        <f>HYPERLINK("https://ceds.ed.gov/elementComment.aspx?elementName=Assessment Form Subtest Item Weight Correct &amp;elementID=14013", "Click here to submit comment")</f>
        <v>Click here to submit comment</v>
      </c>
    </row>
    <row r="153" spans="1:14" ht="90" x14ac:dyDescent="0.25">
      <c r="A153" s="9" t="s">
        <v>579</v>
      </c>
      <c r="B153" s="9" t="s">
        <v>580</v>
      </c>
      <c r="C153" s="9" t="s">
        <v>12</v>
      </c>
      <c r="D153" s="9" t="s">
        <v>576</v>
      </c>
      <c r="E153" s="9"/>
      <c r="F153" s="9" t="s">
        <v>134</v>
      </c>
      <c r="G153" s="9"/>
      <c r="H153" s="9"/>
      <c r="I153" s="9" t="s">
        <v>581</v>
      </c>
      <c r="J153" s="9"/>
      <c r="K153" s="9" t="s">
        <v>582</v>
      </c>
      <c r="L153" s="9"/>
      <c r="M153" s="9" t="str">
        <f>HYPERLINK("https://ceds.ed.gov/cedselementdetails.aspx?termid=14014")</f>
        <v>https://ceds.ed.gov/cedselementdetails.aspx?termid=14014</v>
      </c>
      <c r="N153" s="9" t="str">
        <f>HYPERLINK("https://ceds.ed.gov/elementComment.aspx?elementName=Assessment Form Subtest Item Weight Incorrect &amp;elementID=14014", "Click here to submit comment")</f>
        <v>Click here to submit comment</v>
      </c>
    </row>
    <row r="154" spans="1:14" ht="105" x14ac:dyDescent="0.25">
      <c r="A154" s="9" t="s">
        <v>583</v>
      </c>
      <c r="B154" s="9" t="s">
        <v>584</v>
      </c>
      <c r="C154" s="9" t="s">
        <v>12</v>
      </c>
      <c r="D154" s="9" t="s">
        <v>576</v>
      </c>
      <c r="E154" s="9"/>
      <c r="F154" s="9" t="s">
        <v>134</v>
      </c>
      <c r="G154" s="9"/>
      <c r="H154" s="9"/>
      <c r="I154" s="9" t="s">
        <v>585</v>
      </c>
      <c r="J154" s="9"/>
      <c r="K154" s="9" t="s">
        <v>586</v>
      </c>
      <c r="L154" s="9"/>
      <c r="M154" s="9" t="str">
        <f>HYPERLINK("https://ceds.ed.gov/cedselementdetails.aspx?termid=14015")</f>
        <v>https://ceds.ed.gov/cedselementdetails.aspx?termid=14015</v>
      </c>
      <c r="N154" s="9" t="str">
        <f>HYPERLINK("https://ceds.ed.gov/elementComment.aspx?elementName=Assessment Form Subtest Item Weight Not Attempted &amp;elementID=14015", "Click here to submit comment")</f>
        <v>Click here to submit comment</v>
      </c>
    </row>
    <row r="155" spans="1:14" ht="60" x14ac:dyDescent="0.25">
      <c r="A155" s="9" t="s">
        <v>587</v>
      </c>
      <c r="B155" s="9" t="s">
        <v>588</v>
      </c>
      <c r="C155" s="9" t="s">
        <v>12</v>
      </c>
      <c r="D155" s="9" t="s">
        <v>474</v>
      </c>
      <c r="E155" s="9"/>
      <c r="F155" s="9" t="s">
        <v>10489</v>
      </c>
      <c r="G155" s="9"/>
      <c r="H155" s="9"/>
      <c r="I155" s="9" t="s">
        <v>590</v>
      </c>
      <c r="J155" s="9"/>
      <c r="K155" s="9" t="s">
        <v>591</v>
      </c>
      <c r="L155" s="9"/>
      <c r="M155" s="9" t="str">
        <f>HYPERLINK("https://ceds.ed.gov/cedselementdetails.aspx?termid=14180")</f>
        <v>https://ceds.ed.gov/cedselementdetails.aspx?termid=14180</v>
      </c>
      <c r="N155" s="9" t="str">
        <f>HYPERLINK("https://ceds.ed.gov/elementComment.aspx?elementName=Assessment Form Subtest Tier &amp;elementID=14180", "Click here to submit comment")</f>
        <v>Click here to submit comment</v>
      </c>
    </row>
    <row r="156" spans="1:14" ht="45" x14ac:dyDescent="0.25">
      <c r="A156" s="9" t="s">
        <v>592</v>
      </c>
      <c r="B156" s="9" t="s">
        <v>593</v>
      </c>
      <c r="C156" s="9" t="s">
        <v>12</v>
      </c>
      <c r="D156" s="9" t="s">
        <v>498</v>
      </c>
      <c r="E156" s="9"/>
      <c r="F156" s="9" t="s">
        <v>87</v>
      </c>
      <c r="G156" s="9"/>
      <c r="H156" s="9"/>
      <c r="I156" s="9" t="s">
        <v>594</v>
      </c>
      <c r="J156" s="9"/>
      <c r="K156" s="9" t="s">
        <v>595</v>
      </c>
      <c r="L156" s="9"/>
      <c r="M156" s="9" t="str">
        <f>HYPERLINK("https://ceds.ed.gov/cedselementdetails.aspx?termid=14134")</f>
        <v>https://ceds.ed.gov/cedselementdetails.aspx?termid=14134</v>
      </c>
      <c r="N156" s="9" t="str">
        <f>HYPERLINK("https://ceds.ed.gov/elementComment.aspx?elementName=Assessment Form Version &amp;elementID=14134", "Click here to submit comment")</f>
        <v>Click here to submit comment</v>
      </c>
    </row>
    <row r="157" spans="1:14" ht="75" x14ac:dyDescent="0.25">
      <c r="A157" s="18" t="s">
        <v>596</v>
      </c>
      <c r="B157" s="18" t="s">
        <v>597</v>
      </c>
      <c r="C157" s="18" t="s">
        <v>12</v>
      </c>
      <c r="D157" s="18" t="s">
        <v>488</v>
      </c>
      <c r="E157" s="18"/>
      <c r="F157" s="18" t="s">
        <v>119</v>
      </c>
      <c r="G157" s="18"/>
      <c r="H157" s="9" t="s">
        <v>516</v>
      </c>
      <c r="I157" s="18" t="s">
        <v>598</v>
      </c>
      <c r="J157" s="18"/>
      <c r="K157" s="18" t="s">
        <v>599</v>
      </c>
      <c r="L157" s="18"/>
      <c r="M157" s="18" t="str">
        <f>HYPERLINK("https://ceds.ed.gov/cedselementdetails.aspx?termid=13982")</f>
        <v>https://ceds.ed.gov/cedselementdetails.aspx?termid=13982</v>
      </c>
      <c r="N157" s="18" t="str">
        <f>HYPERLINK("https://ceds.ed.gov/elementComment.aspx?elementName=Assessment GUID &amp;elementID=13982", "Click here to submit comment")</f>
        <v>Click here to submit comment</v>
      </c>
    </row>
    <row r="158" spans="1:14" x14ac:dyDescent="0.25">
      <c r="A158" s="18"/>
      <c r="B158" s="18"/>
      <c r="C158" s="18"/>
      <c r="D158" s="18"/>
      <c r="E158" s="18"/>
      <c r="F158" s="18"/>
      <c r="G158" s="18"/>
      <c r="H158" s="9"/>
      <c r="I158" s="18"/>
      <c r="J158" s="18"/>
      <c r="K158" s="18"/>
      <c r="L158" s="18"/>
      <c r="M158" s="18"/>
      <c r="N158" s="18"/>
    </row>
    <row r="159" spans="1:14" ht="60" x14ac:dyDescent="0.25">
      <c r="A159" s="18"/>
      <c r="B159" s="18"/>
      <c r="C159" s="18"/>
      <c r="D159" s="18"/>
      <c r="E159" s="18"/>
      <c r="F159" s="18"/>
      <c r="G159" s="18"/>
      <c r="H159" s="9" t="s">
        <v>517</v>
      </c>
      <c r="I159" s="18"/>
      <c r="J159" s="18"/>
      <c r="K159" s="18"/>
      <c r="L159" s="18"/>
      <c r="M159" s="18"/>
      <c r="N159" s="18"/>
    </row>
    <row r="160" spans="1:14" ht="165" x14ac:dyDescent="0.25">
      <c r="A160" s="9" t="s">
        <v>600</v>
      </c>
      <c r="B160" s="9" t="s">
        <v>601</v>
      </c>
      <c r="C160" s="10" t="s">
        <v>6349</v>
      </c>
      <c r="D160" s="9" t="s">
        <v>10494</v>
      </c>
      <c r="E160" s="9"/>
      <c r="F160" s="9"/>
      <c r="G160" s="9"/>
      <c r="H160" s="9"/>
      <c r="I160" s="9" t="s">
        <v>602</v>
      </c>
      <c r="J160" s="9"/>
      <c r="K160" s="9" t="s">
        <v>603</v>
      </c>
      <c r="L160" s="9" t="s">
        <v>6133</v>
      </c>
      <c r="M160" s="9" t="str">
        <f>HYPERLINK("https://ceds.ed.gov/cedselementdetails.aspx?termid=13158")</f>
        <v>https://ceds.ed.gov/cedselementdetails.aspx?termid=13158</v>
      </c>
      <c r="N160" s="9" t="str">
        <f>HYPERLINK("https://ceds.ed.gov/elementComment.aspx?elementName=Assessment Identification System &amp;elementID=13158", "Click here to submit comment")</f>
        <v>Click here to submit comment</v>
      </c>
    </row>
    <row r="161" spans="1:14" ht="105" customHeight="1" x14ac:dyDescent="0.25">
      <c r="A161" s="18" t="s">
        <v>604</v>
      </c>
      <c r="B161" s="18" t="s">
        <v>605</v>
      </c>
      <c r="C161" s="18" t="s">
        <v>12</v>
      </c>
      <c r="D161" s="18" t="s">
        <v>10495</v>
      </c>
      <c r="E161" s="18"/>
      <c r="F161" s="18" t="s">
        <v>119</v>
      </c>
      <c r="G161" s="18"/>
      <c r="H161" s="9" t="s">
        <v>120</v>
      </c>
      <c r="I161" s="18" t="s">
        <v>606</v>
      </c>
      <c r="J161" s="18"/>
      <c r="K161" s="18" t="s">
        <v>607</v>
      </c>
      <c r="L161" s="18" t="s">
        <v>6134</v>
      </c>
      <c r="M161" s="18" t="str">
        <f>HYPERLINK("https://ceds.ed.gov/cedselementdetails.aspx?termid=13152")</f>
        <v>https://ceds.ed.gov/cedselementdetails.aspx?termid=13152</v>
      </c>
      <c r="N161" s="18" t="str">
        <f>HYPERLINK("https://ceds.ed.gov/elementComment.aspx?elementName=Assessment Identifier &amp;elementID=13152", "Click here to submit comment")</f>
        <v>Click here to submit comment</v>
      </c>
    </row>
    <row r="162" spans="1:14" x14ac:dyDescent="0.25">
      <c r="A162" s="18"/>
      <c r="B162" s="18"/>
      <c r="C162" s="18"/>
      <c r="D162" s="18"/>
      <c r="E162" s="18"/>
      <c r="F162" s="18"/>
      <c r="G162" s="18"/>
      <c r="H162" s="9"/>
      <c r="I162" s="18"/>
      <c r="J162" s="18"/>
      <c r="K162" s="18"/>
      <c r="L162" s="18"/>
      <c r="M162" s="18"/>
      <c r="N162" s="18"/>
    </row>
    <row r="163" spans="1:14" ht="90" x14ac:dyDescent="0.25">
      <c r="A163" s="18"/>
      <c r="B163" s="18"/>
      <c r="C163" s="18"/>
      <c r="D163" s="18"/>
      <c r="E163" s="18"/>
      <c r="F163" s="18"/>
      <c r="G163" s="18"/>
      <c r="H163" s="9" t="s">
        <v>121</v>
      </c>
      <c r="I163" s="18"/>
      <c r="J163" s="18"/>
      <c r="K163" s="18"/>
      <c r="L163" s="18"/>
      <c r="M163" s="18"/>
      <c r="N163" s="18"/>
    </row>
    <row r="164" spans="1:14" ht="45" x14ac:dyDescent="0.25">
      <c r="A164" s="9" t="s">
        <v>608</v>
      </c>
      <c r="B164" s="9" t="s">
        <v>609</v>
      </c>
      <c r="C164" s="9" t="s">
        <v>6106</v>
      </c>
      <c r="D164" s="9" t="s">
        <v>610</v>
      </c>
      <c r="E164" s="9"/>
      <c r="F164" s="9"/>
      <c r="G164" s="9"/>
      <c r="H164" s="9"/>
      <c r="I164" s="9" t="s">
        <v>611</v>
      </c>
      <c r="J164" s="9"/>
      <c r="K164" s="9" t="s">
        <v>612</v>
      </c>
      <c r="L164" s="9"/>
      <c r="M164" s="9" t="str">
        <f>HYPERLINK("https://ceds.ed.gov/cedselementdetails.aspx?termid=14111")</f>
        <v>https://ceds.ed.gov/cedselementdetails.aspx?termid=14111</v>
      </c>
      <c r="N164" s="9" t="str">
        <f>HYPERLINK("https://ceds.ed.gov/elementComment.aspx?elementName=Assessment Item Adaptive Indicator &amp;elementID=14111", "Click here to submit comment")</f>
        <v>Click here to submit comment</v>
      </c>
    </row>
    <row r="165" spans="1:14" ht="45" x14ac:dyDescent="0.25">
      <c r="A165" s="9" t="s">
        <v>613</v>
      </c>
      <c r="B165" s="9" t="s">
        <v>614</v>
      </c>
      <c r="C165" s="9" t="s">
        <v>12</v>
      </c>
      <c r="D165" s="9" t="s">
        <v>615</v>
      </c>
      <c r="E165" s="9"/>
      <c r="F165" s="9" t="s">
        <v>406</v>
      </c>
      <c r="G165" s="9"/>
      <c r="H165" s="9"/>
      <c r="I165" s="9" t="s">
        <v>616</v>
      </c>
      <c r="J165" s="9"/>
      <c r="K165" s="9" t="s">
        <v>617</v>
      </c>
      <c r="L165" s="9" t="s">
        <v>6135</v>
      </c>
      <c r="M165" s="9" t="str">
        <f>HYPERLINK("https://ceds.ed.gov/cedselementdetails.aspx?termid=13395")</f>
        <v>https://ceds.ed.gov/cedselementdetails.aspx?termid=13395</v>
      </c>
      <c r="N165" s="9" t="str">
        <f>HYPERLINK("https://ceds.ed.gov/elementComment.aspx?elementName=Assessment Item Allotted Time &amp;elementID=13395", "Click here to submit comment")</f>
        <v>Click here to submit comment</v>
      </c>
    </row>
    <row r="166" spans="1:14" ht="195" x14ac:dyDescent="0.25">
      <c r="A166" s="9" t="s">
        <v>618</v>
      </c>
      <c r="B166" s="9" t="s">
        <v>619</v>
      </c>
      <c r="C166" s="9" t="s">
        <v>12</v>
      </c>
      <c r="D166" s="9" t="s">
        <v>610</v>
      </c>
      <c r="E166" s="9"/>
      <c r="F166" s="9" t="s">
        <v>303</v>
      </c>
      <c r="G166" s="9"/>
      <c r="H166" s="9"/>
      <c r="I166" s="9" t="s">
        <v>620</v>
      </c>
      <c r="J166" s="9"/>
      <c r="K166" s="9" t="s">
        <v>621</v>
      </c>
      <c r="L166" s="9"/>
      <c r="M166" s="9" t="str">
        <f>HYPERLINK("https://ceds.ed.gov/cedselementdetails.aspx?termid=14110")</f>
        <v>https://ceds.ed.gov/cedselementdetails.aspx?termid=14110</v>
      </c>
      <c r="N166" s="9" t="str">
        <f>HYPERLINK("https://ceds.ed.gov/elementComment.aspx?elementName=Assessment Item APIP Item Body XML &amp;elementID=14110", "Click here to submit comment")</f>
        <v>Click here to submit comment</v>
      </c>
    </row>
    <row r="167" spans="1:14" ht="150" x14ac:dyDescent="0.25">
      <c r="A167" s="9" t="s">
        <v>622</v>
      </c>
      <c r="B167" s="9" t="s">
        <v>623</v>
      </c>
      <c r="C167" s="9" t="s">
        <v>12</v>
      </c>
      <c r="D167" s="9" t="s">
        <v>610</v>
      </c>
      <c r="E167" s="9"/>
      <c r="F167" s="9" t="s">
        <v>303</v>
      </c>
      <c r="G167" s="9"/>
      <c r="H167" s="9"/>
      <c r="I167" s="9" t="s">
        <v>624</v>
      </c>
      <c r="J167" s="9"/>
      <c r="K167" s="9" t="s">
        <v>625</v>
      </c>
      <c r="L167" s="9"/>
      <c r="M167" s="9" t="str">
        <f>HYPERLINK("https://ceds.ed.gov/cedselementdetails.aspx?termid=14109")</f>
        <v>https://ceds.ed.gov/cedselementdetails.aspx?termid=14109</v>
      </c>
      <c r="N167" s="9" t="str">
        <f>HYPERLINK("https://ceds.ed.gov/elementComment.aspx?elementName=Assessment Item APIP Modal Feedback XML &amp;elementID=14109", "Click here to submit comment")</f>
        <v>Click here to submit comment</v>
      </c>
    </row>
    <row r="168" spans="1:14" ht="105" x14ac:dyDescent="0.25">
      <c r="A168" s="9" t="s">
        <v>626</v>
      </c>
      <c r="B168" s="9" t="s">
        <v>627</v>
      </c>
      <c r="C168" s="9" t="s">
        <v>12</v>
      </c>
      <c r="D168" s="9" t="s">
        <v>610</v>
      </c>
      <c r="E168" s="9"/>
      <c r="F168" s="9" t="s">
        <v>303</v>
      </c>
      <c r="G168" s="9"/>
      <c r="H168" s="9"/>
      <c r="I168" s="9" t="s">
        <v>628</v>
      </c>
      <c r="J168" s="9"/>
      <c r="K168" s="9" t="s">
        <v>629</v>
      </c>
      <c r="L168" s="9"/>
      <c r="M168" s="9" t="str">
        <f>HYPERLINK("https://ceds.ed.gov/cedselementdetails.aspx?termid=14106")</f>
        <v>https://ceds.ed.gov/cedselementdetails.aspx?termid=14106</v>
      </c>
      <c r="N168" s="9" t="str">
        <f>HYPERLINK("https://ceds.ed.gov/elementComment.aspx?elementName=Assessment Item APIP Outcome Declaration XML &amp;elementID=14106", "Click here to submit comment")</f>
        <v>Click here to submit comment</v>
      </c>
    </row>
    <row r="169" spans="1:14" ht="90" x14ac:dyDescent="0.25">
      <c r="A169" s="9" t="s">
        <v>630</v>
      </c>
      <c r="B169" s="9" t="s">
        <v>631</v>
      </c>
      <c r="C169" s="9" t="s">
        <v>12</v>
      </c>
      <c r="D169" s="9" t="s">
        <v>610</v>
      </c>
      <c r="E169" s="9"/>
      <c r="F169" s="9" t="s">
        <v>303</v>
      </c>
      <c r="G169" s="9"/>
      <c r="H169" s="9"/>
      <c r="I169" s="9" t="s">
        <v>632</v>
      </c>
      <c r="J169" s="9"/>
      <c r="K169" s="9" t="s">
        <v>633</v>
      </c>
      <c r="L169" s="9"/>
      <c r="M169" s="9" t="str">
        <f>HYPERLINK("https://ceds.ed.gov/cedselementdetails.aspx?termid=14105")</f>
        <v>https://ceds.ed.gov/cedselementdetails.aspx?termid=14105</v>
      </c>
      <c r="N169" s="9" t="str">
        <f>HYPERLINK("https://ceds.ed.gov/elementComment.aspx?elementName=Assessment Item APIP Response Declaration XML &amp;elementID=14105", "Click here to submit comment")</f>
        <v>Click here to submit comment</v>
      </c>
    </row>
    <row r="170" spans="1:14" ht="180" x14ac:dyDescent="0.25">
      <c r="A170" s="9" t="s">
        <v>634</v>
      </c>
      <c r="B170" s="9" t="s">
        <v>635</v>
      </c>
      <c r="C170" s="9" t="s">
        <v>12</v>
      </c>
      <c r="D170" s="9" t="s">
        <v>610</v>
      </c>
      <c r="E170" s="9"/>
      <c r="F170" s="9" t="s">
        <v>1143</v>
      </c>
      <c r="G170" s="9"/>
      <c r="H170" s="9"/>
      <c r="I170" s="9" t="s">
        <v>636</v>
      </c>
      <c r="J170" s="9"/>
      <c r="K170" s="9" t="s">
        <v>637</v>
      </c>
      <c r="L170" s="9"/>
      <c r="M170" s="9" t="str">
        <f>HYPERLINK("https://ceds.ed.gov/cedselementdetails.aspx?termid=14103")</f>
        <v>https://ceds.ed.gov/cedselementdetails.aspx?termid=14103</v>
      </c>
      <c r="N170" s="9" t="str">
        <f>HYPERLINK("https://ceds.ed.gov/elementComment.aspx?elementName=Assessment Item APIP Response Processing Template URL &amp;elementID=14103", "Click here to submit comment")</f>
        <v>Click here to submit comment</v>
      </c>
    </row>
    <row r="171" spans="1:14" ht="180" x14ac:dyDescent="0.25">
      <c r="A171" s="9" t="s">
        <v>638</v>
      </c>
      <c r="B171" s="9" t="s">
        <v>639</v>
      </c>
      <c r="C171" s="9" t="s">
        <v>12</v>
      </c>
      <c r="D171" s="9" t="s">
        <v>610</v>
      </c>
      <c r="E171" s="9"/>
      <c r="F171" s="9" t="s">
        <v>303</v>
      </c>
      <c r="G171" s="9"/>
      <c r="H171" s="9"/>
      <c r="I171" s="9" t="s">
        <v>640</v>
      </c>
      <c r="J171" s="9"/>
      <c r="K171" s="9" t="s">
        <v>641</v>
      </c>
      <c r="L171" s="9"/>
      <c r="M171" s="9" t="str">
        <f>HYPERLINK("https://ceds.ed.gov/cedselementdetails.aspx?termid=14104")</f>
        <v>https://ceds.ed.gov/cedselementdetails.aspx?termid=14104</v>
      </c>
      <c r="N171" s="9" t="str">
        <f>HYPERLINK("https://ceds.ed.gov/elementComment.aspx?elementName=Assessment Item APIP Response Processing XML &amp;elementID=14104", "Click here to submit comment")</f>
        <v>Click here to submit comment</v>
      </c>
    </row>
    <row r="172" spans="1:14" ht="180" x14ac:dyDescent="0.25">
      <c r="A172" s="9" t="s">
        <v>642</v>
      </c>
      <c r="B172" s="9" t="s">
        <v>643</v>
      </c>
      <c r="C172" s="9" t="s">
        <v>12</v>
      </c>
      <c r="D172" s="9" t="s">
        <v>610</v>
      </c>
      <c r="E172" s="9"/>
      <c r="F172" s="9" t="s">
        <v>303</v>
      </c>
      <c r="G172" s="9"/>
      <c r="H172" s="9"/>
      <c r="I172" s="9" t="s">
        <v>644</v>
      </c>
      <c r="J172" s="9"/>
      <c r="K172" s="9" t="s">
        <v>645</v>
      </c>
      <c r="L172" s="9"/>
      <c r="M172" s="9" t="str">
        <f>HYPERLINK("https://ceds.ed.gov/cedselementdetails.aspx?termid=14107")</f>
        <v>https://ceds.ed.gov/cedselementdetails.aspx?termid=14107</v>
      </c>
      <c r="N172" s="9" t="str">
        <f>HYPERLINK("https://ceds.ed.gov/elementComment.aspx?elementName=Assessment Item APIP Template Declaration XML &amp;elementID=14107", "Click here to submit comment")</f>
        <v>Click here to submit comment</v>
      </c>
    </row>
    <row r="173" spans="1:14" ht="165" x14ac:dyDescent="0.25">
      <c r="A173" s="9" t="s">
        <v>646</v>
      </c>
      <c r="B173" s="9" t="s">
        <v>647</v>
      </c>
      <c r="C173" s="9" t="s">
        <v>12</v>
      </c>
      <c r="D173" s="9" t="s">
        <v>610</v>
      </c>
      <c r="E173" s="9"/>
      <c r="F173" s="9" t="s">
        <v>303</v>
      </c>
      <c r="G173" s="9"/>
      <c r="H173" s="9"/>
      <c r="I173" s="9" t="s">
        <v>648</v>
      </c>
      <c r="J173" s="9"/>
      <c r="K173" s="9" t="s">
        <v>649</v>
      </c>
      <c r="L173" s="9"/>
      <c r="M173" s="9" t="str">
        <f>HYPERLINK("https://ceds.ed.gov/cedselementdetails.aspx?termid=14108")</f>
        <v>https://ceds.ed.gov/cedselementdetails.aspx?termid=14108</v>
      </c>
      <c r="N173" s="9" t="str">
        <f>HYPERLINK("https://ceds.ed.gov/elementComment.aspx?elementName=Assessment Item APIP Template Processing XML &amp;elementID=14108", "Click here to submit comment")</f>
        <v>Click here to submit comment</v>
      </c>
    </row>
    <row r="174" spans="1:14" ht="105" x14ac:dyDescent="0.25">
      <c r="A174" s="18" t="s">
        <v>650</v>
      </c>
      <c r="B174" s="18" t="s">
        <v>651</v>
      </c>
      <c r="C174" s="18" t="s">
        <v>12</v>
      </c>
      <c r="D174" s="18" t="s">
        <v>615</v>
      </c>
      <c r="E174" s="18"/>
      <c r="F174" s="18" t="s">
        <v>119</v>
      </c>
      <c r="G174" s="18"/>
      <c r="H174" s="9" t="s">
        <v>120</v>
      </c>
      <c r="I174" s="18" t="s">
        <v>652</v>
      </c>
      <c r="J174" s="18"/>
      <c r="K174" s="18" t="s">
        <v>653</v>
      </c>
      <c r="L174" s="18"/>
      <c r="M174" s="18" t="str">
        <f>HYPERLINK("https://ceds.ed.gov/cedselementdetails.aspx?termid=14132")</f>
        <v>https://ceds.ed.gov/cedselementdetails.aspx?termid=14132</v>
      </c>
      <c r="N174" s="18" t="str">
        <f>HYPERLINK("https://ceds.ed.gov/elementComment.aspx?elementName=Assessment Item Bank Identifier &amp;elementID=14132", "Click here to submit comment")</f>
        <v>Click here to submit comment</v>
      </c>
    </row>
    <row r="175" spans="1:14" x14ac:dyDescent="0.25">
      <c r="A175" s="18"/>
      <c r="B175" s="18"/>
      <c r="C175" s="18"/>
      <c r="D175" s="18"/>
      <c r="E175" s="18"/>
      <c r="F175" s="18"/>
      <c r="G175" s="18"/>
      <c r="H175" s="9"/>
      <c r="I175" s="18"/>
      <c r="J175" s="18"/>
      <c r="K175" s="18"/>
      <c r="L175" s="18"/>
      <c r="M175" s="18"/>
      <c r="N175" s="18"/>
    </row>
    <row r="176" spans="1:14" ht="90" x14ac:dyDescent="0.25">
      <c r="A176" s="18"/>
      <c r="B176" s="18"/>
      <c r="C176" s="18"/>
      <c r="D176" s="18"/>
      <c r="E176" s="18"/>
      <c r="F176" s="18"/>
      <c r="G176" s="18"/>
      <c r="H176" s="9" t="s">
        <v>121</v>
      </c>
      <c r="I176" s="18"/>
      <c r="J176" s="18"/>
      <c r="K176" s="18"/>
      <c r="L176" s="18"/>
      <c r="M176" s="18"/>
      <c r="N176" s="18"/>
    </row>
    <row r="177" spans="1:14" ht="45" x14ac:dyDescent="0.25">
      <c r="A177" s="9" t="s">
        <v>654</v>
      </c>
      <c r="B177" s="9" t="s">
        <v>655</v>
      </c>
      <c r="C177" s="9" t="s">
        <v>12</v>
      </c>
      <c r="D177" s="9" t="s">
        <v>615</v>
      </c>
      <c r="E177" s="9"/>
      <c r="F177" s="9" t="s">
        <v>92</v>
      </c>
      <c r="G177" s="9"/>
      <c r="H177" s="9"/>
      <c r="I177" s="9" t="s">
        <v>656</v>
      </c>
      <c r="J177" s="9"/>
      <c r="K177" s="9" t="s">
        <v>657</v>
      </c>
      <c r="L177" s="9"/>
      <c r="M177" s="9" t="str">
        <f>HYPERLINK("https://ceds.ed.gov/cedselementdetails.aspx?termid=14133")</f>
        <v>https://ceds.ed.gov/cedselementdetails.aspx?termid=14133</v>
      </c>
      <c r="N177" s="9" t="str">
        <f>HYPERLINK("https://ceds.ed.gov/elementComment.aspx?elementName=Assessment Item Bank Name &amp;elementID=14133", "Click here to submit comment")</f>
        <v>Click here to submit comment</v>
      </c>
    </row>
    <row r="178" spans="1:14" ht="90" x14ac:dyDescent="0.25">
      <c r="A178" s="9" t="s">
        <v>658</v>
      </c>
      <c r="B178" s="9" t="s">
        <v>659</v>
      </c>
      <c r="C178" s="9" t="s">
        <v>12</v>
      </c>
      <c r="D178" s="9" t="s">
        <v>364</v>
      </c>
      <c r="E178" s="9"/>
      <c r="F178" s="9" t="s">
        <v>303</v>
      </c>
      <c r="G178" s="9"/>
      <c r="H178" s="9"/>
      <c r="I178" s="9" t="s">
        <v>660</v>
      </c>
      <c r="J178" s="9"/>
      <c r="K178" s="9" t="s">
        <v>661</v>
      </c>
      <c r="L178" s="9"/>
      <c r="M178" s="9" t="str">
        <f>HYPERLINK("https://ceds.ed.gov/cedselementdetails.aspx?termid=14100")</f>
        <v>https://ceds.ed.gov/cedselementdetails.aspx?termid=14100</v>
      </c>
      <c r="N178" s="9" t="str">
        <f>HYPERLINK("https://ceds.ed.gov/elementComment.aspx?elementName=Assessment Item Body Associate Interaction XML &amp;elementID=14100", "Click here to submit comment")</f>
        <v>Click here to submit comment</v>
      </c>
    </row>
    <row r="179" spans="1:14" ht="120" x14ac:dyDescent="0.25">
      <c r="A179" s="9" t="s">
        <v>662</v>
      </c>
      <c r="B179" s="9" t="s">
        <v>663</v>
      </c>
      <c r="C179" s="9" t="s">
        <v>12</v>
      </c>
      <c r="D179" s="9" t="s">
        <v>364</v>
      </c>
      <c r="E179" s="9"/>
      <c r="F179" s="9" t="s">
        <v>303</v>
      </c>
      <c r="G179" s="9"/>
      <c r="H179" s="9"/>
      <c r="I179" s="9" t="s">
        <v>664</v>
      </c>
      <c r="J179" s="9"/>
      <c r="K179" s="9" t="s">
        <v>665</v>
      </c>
      <c r="L179" s="9"/>
      <c r="M179" s="9" t="str">
        <f>HYPERLINK("https://ceds.ed.gov/cedselementdetails.aspx?termid=14090")</f>
        <v>https://ceds.ed.gov/cedselementdetails.aspx?termid=14090</v>
      </c>
      <c r="N179" s="9" t="str">
        <f>HYPERLINK("https://ceds.ed.gov/elementComment.aspx?elementName=Assessment Item Body Choice Interaction XML &amp;elementID=14090", "Click here to submit comment")</f>
        <v>Click here to submit comment</v>
      </c>
    </row>
    <row r="180" spans="1:14" ht="90" x14ac:dyDescent="0.25">
      <c r="A180" s="9" t="s">
        <v>666</v>
      </c>
      <c r="B180" s="9" t="s">
        <v>667</v>
      </c>
      <c r="C180" s="9" t="s">
        <v>12</v>
      </c>
      <c r="D180" s="9" t="s">
        <v>668</v>
      </c>
      <c r="E180" s="9"/>
      <c r="F180" s="9" t="s">
        <v>303</v>
      </c>
      <c r="G180" s="9"/>
      <c r="H180" s="9"/>
      <c r="I180" s="9" t="s">
        <v>669</v>
      </c>
      <c r="J180" s="9"/>
      <c r="K180" s="9" t="s">
        <v>670</v>
      </c>
      <c r="L180" s="9"/>
      <c r="M180" s="9" t="str">
        <f>HYPERLINK("https://ceds.ed.gov/cedselementdetails.aspx?termid=14079")</f>
        <v>https://ceds.ed.gov/cedselementdetails.aspx?termid=14079</v>
      </c>
      <c r="N180" s="9" t="str">
        <f>HYPERLINK("https://ceds.ed.gov/elementComment.aspx?elementName=Assessment Item Body Custom Interaction XML &amp;elementID=14079", "Click here to submit comment")</f>
        <v>Click here to submit comment</v>
      </c>
    </row>
    <row r="181" spans="1:14" ht="150" x14ac:dyDescent="0.25">
      <c r="A181" s="9" t="s">
        <v>671</v>
      </c>
      <c r="B181" s="9" t="s">
        <v>672</v>
      </c>
      <c r="C181" s="9" t="s">
        <v>12</v>
      </c>
      <c r="D181" s="9" t="s">
        <v>364</v>
      </c>
      <c r="E181" s="9"/>
      <c r="F181" s="9" t="s">
        <v>303</v>
      </c>
      <c r="G181" s="9"/>
      <c r="H181" s="9"/>
      <c r="I181" s="9" t="s">
        <v>673</v>
      </c>
      <c r="J181" s="9"/>
      <c r="K181" s="9" t="s">
        <v>674</v>
      </c>
      <c r="L181" s="9"/>
      <c r="M181" s="9" t="str">
        <f>HYPERLINK("https://ceds.ed.gov/cedselementdetails.aspx?termid=14080")</f>
        <v>https://ceds.ed.gov/cedselementdetails.aspx?termid=14080</v>
      </c>
      <c r="N181" s="9" t="str">
        <f>HYPERLINK("https://ceds.ed.gov/elementComment.aspx?elementName=Assessment Item Body Drawing Interaction XML &amp;elementID=14080", "Click here to submit comment")</f>
        <v>Click here to submit comment</v>
      </c>
    </row>
    <row r="182" spans="1:14" ht="195" x14ac:dyDescent="0.25">
      <c r="A182" s="9" t="s">
        <v>675</v>
      </c>
      <c r="B182" s="9" t="s">
        <v>676</v>
      </c>
      <c r="C182" s="9" t="s">
        <v>12</v>
      </c>
      <c r="D182" s="9" t="s">
        <v>364</v>
      </c>
      <c r="E182" s="9"/>
      <c r="F182" s="9" t="s">
        <v>303</v>
      </c>
      <c r="G182" s="9"/>
      <c r="H182" s="9"/>
      <c r="I182" s="9" t="s">
        <v>677</v>
      </c>
      <c r="J182" s="9"/>
      <c r="K182" s="9" t="s">
        <v>678</v>
      </c>
      <c r="L182" s="9"/>
      <c r="M182" s="9" t="str">
        <f>HYPERLINK("https://ceds.ed.gov/cedselementdetails.aspx?termid=14098")</f>
        <v>https://ceds.ed.gov/cedselementdetails.aspx?termid=14098</v>
      </c>
      <c r="N182" s="9" t="str">
        <f>HYPERLINK("https://ceds.ed.gov/elementComment.aspx?elementName=Assessment Item Body End Attempt Interaction XML &amp;elementID=14098", "Click here to submit comment")</f>
        <v>Click here to submit comment</v>
      </c>
    </row>
    <row r="183" spans="1:14" ht="75" x14ac:dyDescent="0.25">
      <c r="A183" s="9" t="s">
        <v>679</v>
      </c>
      <c r="B183" s="9" t="s">
        <v>680</v>
      </c>
      <c r="C183" s="9" t="s">
        <v>12</v>
      </c>
      <c r="D183" s="9" t="s">
        <v>364</v>
      </c>
      <c r="E183" s="9"/>
      <c r="F183" s="9" t="s">
        <v>303</v>
      </c>
      <c r="G183" s="9"/>
      <c r="H183" s="9"/>
      <c r="I183" s="9" t="s">
        <v>681</v>
      </c>
      <c r="J183" s="9"/>
      <c r="K183" s="9" t="s">
        <v>682</v>
      </c>
      <c r="L183" s="9"/>
      <c r="M183" s="9" t="str">
        <f>HYPERLINK("https://ceds.ed.gov/cedselementdetails.aspx?termid=14097")</f>
        <v>https://ceds.ed.gov/cedselementdetails.aspx?termid=14097</v>
      </c>
      <c r="N183" s="9" t="str">
        <f>HYPERLINK("https://ceds.ed.gov/elementComment.aspx?elementName=Assessment Item Body Extended Text Interaction XML &amp;elementID=14097", "Click here to submit comment")</f>
        <v>Click here to submit comment</v>
      </c>
    </row>
    <row r="184" spans="1:14" ht="120" x14ac:dyDescent="0.25">
      <c r="A184" s="9" t="s">
        <v>683</v>
      </c>
      <c r="B184" s="9" t="s">
        <v>684</v>
      </c>
      <c r="C184" s="9" t="s">
        <v>12</v>
      </c>
      <c r="D184" s="9" t="s">
        <v>364</v>
      </c>
      <c r="E184" s="9"/>
      <c r="F184" s="9" t="s">
        <v>303</v>
      </c>
      <c r="G184" s="9"/>
      <c r="H184" s="9"/>
      <c r="I184" s="9" t="s">
        <v>685</v>
      </c>
      <c r="J184" s="9"/>
      <c r="K184" s="9" t="s">
        <v>686</v>
      </c>
      <c r="L184" s="9"/>
      <c r="M184" s="9" t="str">
        <f>HYPERLINK("https://ceds.ed.gov/cedselementdetails.aspx?termid=14081")</f>
        <v>https://ceds.ed.gov/cedselementdetails.aspx?termid=14081</v>
      </c>
      <c r="N184" s="9" t="str">
        <f>HYPERLINK("https://ceds.ed.gov/elementComment.aspx?elementName=Assessment Item Body Gap Match Interaction XML &amp;elementID=14081", "Click here to submit comment")</f>
        <v>Click here to submit comment</v>
      </c>
    </row>
    <row r="185" spans="1:14" ht="409.5" x14ac:dyDescent="0.25">
      <c r="A185" s="9" t="s">
        <v>687</v>
      </c>
      <c r="B185" s="9" t="s">
        <v>688</v>
      </c>
      <c r="C185" s="9" t="s">
        <v>12</v>
      </c>
      <c r="D185" s="9" t="s">
        <v>364</v>
      </c>
      <c r="E185" s="9"/>
      <c r="F185" s="9" t="s">
        <v>303</v>
      </c>
      <c r="G185" s="9"/>
      <c r="H185" s="9"/>
      <c r="I185" s="9" t="s">
        <v>689</v>
      </c>
      <c r="J185" s="9"/>
      <c r="K185" s="9" t="s">
        <v>690</v>
      </c>
      <c r="L185" s="9"/>
      <c r="M185" s="9" t="str">
        <f>HYPERLINK("https://ceds.ed.gov/cedselementdetails.aspx?termid=14083")</f>
        <v>https://ceds.ed.gov/cedselementdetails.aspx?termid=14083</v>
      </c>
      <c r="N185" s="9" t="str">
        <f>HYPERLINK("https://ceds.ed.gov/elementComment.aspx?elementName=Assessment Item Body Graphic Gap Match Interaction XML &amp;elementID=14083", "Click here to submit comment")</f>
        <v>Click here to submit comment</v>
      </c>
    </row>
    <row r="186" spans="1:14" ht="240" x14ac:dyDescent="0.25">
      <c r="A186" s="9" t="s">
        <v>691</v>
      </c>
      <c r="B186" s="9" t="s">
        <v>692</v>
      </c>
      <c r="C186" s="9" t="s">
        <v>12</v>
      </c>
      <c r="D186" s="9" t="s">
        <v>364</v>
      </c>
      <c r="E186" s="9"/>
      <c r="F186" s="9" t="s">
        <v>303</v>
      </c>
      <c r="G186" s="9"/>
      <c r="H186" s="9"/>
      <c r="I186" s="9" t="s">
        <v>693</v>
      </c>
      <c r="J186" s="9"/>
      <c r="K186" s="9" t="s">
        <v>694</v>
      </c>
      <c r="L186" s="9"/>
      <c r="M186" s="9" t="str">
        <f>HYPERLINK("https://ceds.ed.gov/cedselementdetails.aspx?termid=14085")</f>
        <v>https://ceds.ed.gov/cedselementdetails.aspx?termid=14085</v>
      </c>
      <c r="N186" s="9" t="str">
        <f>HYPERLINK("https://ceds.ed.gov/elementComment.aspx?elementName=Assessment Item Body Graphic Order Interaction XML &amp;elementID=14085", "Click here to submit comment")</f>
        <v>Click here to submit comment</v>
      </c>
    </row>
    <row r="187" spans="1:14" ht="225" x14ac:dyDescent="0.25">
      <c r="A187" s="9" t="s">
        <v>695</v>
      </c>
      <c r="B187" s="9" t="s">
        <v>696</v>
      </c>
      <c r="C187" s="9" t="s">
        <v>12</v>
      </c>
      <c r="D187" s="9" t="s">
        <v>364</v>
      </c>
      <c r="E187" s="9"/>
      <c r="F187" s="9" t="s">
        <v>303</v>
      </c>
      <c r="G187" s="9"/>
      <c r="H187" s="9"/>
      <c r="I187" s="9" t="s">
        <v>697</v>
      </c>
      <c r="J187" s="9"/>
      <c r="K187" s="9" t="s">
        <v>698</v>
      </c>
      <c r="L187" s="9"/>
      <c r="M187" s="9" t="str">
        <f>HYPERLINK("https://ceds.ed.gov/cedselementdetails.aspx?termid=14084")</f>
        <v>https://ceds.ed.gov/cedselementdetails.aspx?termid=14084</v>
      </c>
      <c r="N187" s="9" t="str">
        <f>HYPERLINK("https://ceds.ed.gov/elementComment.aspx?elementName=Assessment Item Body Hot Spot Interaction XML &amp;elementID=14084", "Click here to submit comment")</f>
        <v>Click here to submit comment</v>
      </c>
    </row>
    <row r="188" spans="1:14" ht="225" x14ac:dyDescent="0.25">
      <c r="A188" s="9" t="s">
        <v>699</v>
      </c>
      <c r="B188" s="9" t="s">
        <v>700</v>
      </c>
      <c r="C188" s="9" t="s">
        <v>12</v>
      </c>
      <c r="D188" s="9" t="s">
        <v>364</v>
      </c>
      <c r="E188" s="9"/>
      <c r="F188" s="9" t="s">
        <v>303</v>
      </c>
      <c r="G188" s="9"/>
      <c r="H188" s="9"/>
      <c r="I188" s="9" t="s">
        <v>701</v>
      </c>
      <c r="J188" s="9"/>
      <c r="K188" s="9" t="s">
        <v>702</v>
      </c>
      <c r="L188" s="9"/>
      <c r="M188" s="9" t="str">
        <f>HYPERLINK("https://ceds.ed.gov/cedselementdetails.aspx?termid=14093")</f>
        <v>https://ceds.ed.gov/cedselementdetails.aspx?termid=14093</v>
      </c>
      <c r="N188" s="9" t="str">
        <f>HYPERLINK("https://ceds.ed.gov/elementComment.aspx?elementName=Assessment Item Body Hottext Interaction XML &amp;elementID=14093", "Click here to submit comment")</f>
        <v>Click here to submit comment</v>
      </c>
    </row>
    <row r="189" spans="1:14" ht="135" x14ac:dyDescent="0.25">
      <c r="A189" s="9" t="s">
        <v>703</v>
      </c>
      <c r="B189" s="9" t="s">
        <v>704</v>
      </c>
      <c r="C189" s="9" t="s">
        <v>12</v>
      </c>
      <c r="D189" s="9" t="s">
        <v>364</v>
      </c>
      <c r="E189" s="9"/>
      <c r="F189" s="9" t="s">
        <v>303</v>
      </c>
      <c r="G189" s="9"/>
      <c r="H189" s="9"/>
      <c r="I189" s="9" t="s">
        <v>705</v>
      </c>
      <c r="J189" s="9"/>
      <c r="K189" s="9" t="s">
        <v>706</v>
      </c>
      <c r="L189" s="9"/>
      <c r="M189" s="9" t="str">
        <f>HYPERLINK("https://ceds.ed.gov/cedselementdetails.aspx?termid=14091")</f>
        <v>https://ceds.ed.gov/cedselementdetails.aspx?termid=14091</v>
      </c>
      <c r="N189" s="9" t="str">
        <f>HYPERLINK("https://ceds.ed.gov/elementComment.aspx?elementName=Assessment Item Body Inline Choice Interaction XML &amp;elementID=14091", "Click here to submit comment")</f>
        <v>Click here to submit comment</v>
      </c>
    </row>
    <row r="190" spans="1:14" ht="165" x14ac:dyDescent="0.25">
      <c r="A190" s="9" t="s">
        <v>707</v>
      </c>
      <c r="B190" s="9" t="s">
        <v>708</v>
      </c>
      <c r="C190" s="9" t="s">
        <v>12</v>
      </c>
      <c r="D190" s="9" t="s">
        <v>364</v>
      </c>
      <c r="E190" s="9"/>
      <c r="F190" s="9" t="s">
        <v>303</v>
      </c>
      <c r="G190" s="9"/>
      <c r="H190" s="9"/>
      <c r="I190" s="9" t="s">
        <v>709</v>
      </c>
      <c r="J190" s="9"/>
      <c r="K190" s="9" t="s">
        <v>710</v>
      </c>
      <c r="L190" s="9"/>
      <c r="M190" s="9" t="str">
        <f>HYPERLINK("https://ceds.ed.gov/cedselementdetails.aspx?termid=14082")</f>
        <v>https://ceds.ed.gov/cedselementdetails.aspx?termid=14082</v>
      </c>
      <c r="N190" s="9" t="str">
        <f>HYPERLINK("https://ceds.ed.gov/elementComment.aspx?elementName=Assessment Item Body Match Interaction XML &amp;elementID=14082", "Click here to submit comment")</f>
        <v>Click here to submit comment</v>
      </c>
    </row>
    <row r="191" spans="1:14" ht="165" x14ac:dyDescent="0.25">
      <c r="A191" s="9" t="s">
        <v>711</v>
      </c>
      <c r="B191" s="9" t="s">
        <v>712</v>
      </c>
      <c r="C191" s="9" t="s">
        <v>12</v>
      </c>
      <c r="D191" s="9" t="s">
        <v>364</v>
      </c>
      <c r="E191" s="9"/>
      <c r="F191" s="9" t="s">
        <v>303</v>
      </c>
      <c r="G191" s="9"/>
      <c r="H191" s="9"/>
      <c r="I191" s="9" t="s">
        <v>713</v>
      </c>
      <c r="J191" s="9"/>
      <c r="K191" s="9" t="s">
        <v>714</v>
      </c>
      <c r="L191" s="9"/>
      <c r="M191" s="9" t="str">
        <f>HYPERLINK("https://ceds.ed.gov/cedselementdetails.aspx?termid=14092")</f>
        <v>https://ceds.ed.gov/cedselementdetails.aspx?termid=14092</v>
      </c>
      <c r="N191" s="9" t="str">
        <f>HYPERLINK("https://ceds.ed.gov/elementComment.aspx?elementName=Assessment Item Body Media Interaction XML &amp;elementID=14092", "Click here to submit comment")</f>
        <v>Click here to submit comment</v>
      </c>
    </row>
    <row r="192" spans="1:14" ht="195" x14ac:dyDescent="0.25">
      <c r="A192" s="9" t="s">
        <v>715</v>
      </c>
      <c r="B192" s="9" t="s">
        <v>716</v>
      </c>
      <c r="C192" s="9" t="s">
        <v>12</v>
      </c>
      <c r="D192" s="9" t="s">
        <v>364</v>
      </c>
      <c r="E192" s="9"/>
      <c r="F192" s="9" t="s">
        <v>303</v>
      </c>
      <c r="G192" s="9"/>
      <c r="H192" s="9"/>
      <c r="I192" s="9" t="s">
        <v>717</v>
      </c>
      <c r="J192" s="9"/>
      <c r="K192" s="9" t="s">
        <v>718</v>
      </c>
      <c r="L192" s="9"/>
      <c r="M192" s="9" t="str">
        <f>HYPERLINK("https://ceds.ed.gov/cedselementdetails.aspx?termid=14094")</f>
        <v>https://ceds.ed.gov/cedselementdetails.aspx?termid=14094</v>
      </c>
      <c r="N192" s="9" t="str">
        <f>HYPERLINK("https://ceds.ed.gov/elementComment.aspx?elementName=Assessment Item Body Order Interaction XML &amp;elementID=14094", "Click here to submit comment")</f>
        <v>Click here to submit comment</v>
      </c>
    </row>
    <row r="193" spans="1:14" ht="210" x14ac:dyDescent="0.25">
      <c r="A193" s="9" t="s">
        <v>719</v>
      </c>
      <c r="B193" s="9" t="s">
        <v>720</v>
      </c>
      <c r="C193" s="9" t="s">
        <v>12</v>
      </c>
      <c r="D193" s="9" t="s">
        <v>364</v>
      </c>
      <c r="E193" s="9"/>
      <c r="F193" s="9" t="s">
        <v>303</v>
      </c>
      <c r="G193" s="9"/>
      <c r="H193" s="9"/>
      <c r="I193" s="9" t="s">
        <v>721</v>
      </c>
      <c r="J193" s="9"/>
      <c r="K193" s="9" t="s">
        <v>722</v>
      </c>
      <c r="L193" s="9"/>
      <c r="M193" s="9" t="str">
        <f>HYPERLINK("https://ceds.ed.gov/cedselementdetails.aspx?termid=14095")</f>
        <v>https://ceds.ed.gov/cedselementdetails.aspx?termid=14095</v>
      </c>
      <c r="N193" s="9" t="str">
        <f>HYPERLINK("https://ceds.ed.gov/elementComment.aspx?elementName=Assessment Item Body Position Object Interaction XML &amp;elementID=14095", "Click here to submit comment")</f>
        <v>Click here to submit comment</v>
      </c>
    </row>
    <row r="194" spans="1:14" ht="240" x14ac:dyDescent="0.25">
      <c r="A194" s="9" t="s">
        <v>723</v>
      </c>
      <c r="B194" s="9" t="s">
        <v>724</v>
      </c>
      <c r="C194" s="9" t="s">
        <v>12</v>
      </c>
      <c r="D194" s="9" t="s">
        <v>364</v>
      </c>
      <c r="E194" s="9"/>
      <c r="F194" s="9" t="s">
        <v>303</v>
      </c>
      <c r="G194" s="9"/>
      <c r="H194" s="9"/>
      <c r="I194" s="9" t="s">
        <v>725</v>
      </c>
      <c r="J194" s="9"/>
      <c r="K194" s="9" t="s">
        <v>726</v>
      </c>
      <c r="L194" s="9"/>
      <c r="M194" s="9" t="str">
        <f>HYPERLINK("https://ceds.ed.gov/cedselementdetails.aspx?termid=14088")</f>
        <v>https://ceds.ed.gov/cedselementdetails.aspx?termid=14088</v>
      </c>
      <c r="N194" s="9" t="str">
        <f>HYPERLINK("https://ceds.ed.gov/elementComment.aspx?elementName=Assessment Item Body Select Point Interaction &amp;elementID=14088", "Click here to submit comment")</f>
        <v>Click here to submit comment</v>
      </c>
    </row>
    <row r="195" spans="1:14" ht="195" x14ac:dyDescent="0.25">
      <c r="A195" s="9" t="s">
        <v>727</v>
      </c>
      <c r="B195" s="9" t="s">
        <v>728</v>
      </c>
      <c r="C195" s="9" t="s">
        <v>12</v>
      </c>
      <c r="D195" s="9" t="s">
        <v>364</v>
      </c>
      <c r="E195" s="9"/>
      <c r="F195" s="9" t="s">
        <v>303</v>
      </c>
      <c r="G195" s="9"/>
      <c r="H195" s="9"/>
      <c r="I195" s="9" t="s">
        <v>729</v>
      </c>
      <c r="J195" s="9"/>
      <c r="K195" s="9" t="s">
        <v>730</v>
      </c>
      <c r="L195" s="9"/>
      <c r="M195" s="9" t="str">
        <f>HYPERLINK("https://ceds.ed.gov/cedselementdetails.aspx?termid=14087")</f>
        <v>https://ceds.ed.gov/cedselementdetails.aspx?termid=14087</v>
      </c>
      <c r="N195" s="9" t="str">
        <f>HYPERLINK("https://ceds.ed.gov/elementComment.aspx?elementName=Assessment Item Body Select Point Interaction XML &amp;elementID=14087", "Click here to submit comment")</f>
        <v>Click here to submit comment</v>
      </c>
    </row>
    <row r="196" spans="1:14" ht="135" x14ac:dyDescent="0.25">
      <c r="A196" s="9" t="s">
        <v>731</v>
      </c>
      <c r="B196" s="9" t="s">
        <v>732</v>
      </c>
      <c r="C196" s="9" t="s">
        <v>12</v>
      </c>
      <c r="D196" s="9" t="s">
        <v>364</v>
      </c>
      <c r="E196" s="9"/>
      <c r="F196" s="9" t="s">
        <v>303</v>
      </c>
      <c r="G196" s="9"/>
      <c r="H196" s="9"/>
      <c r="I196" s="9" t="s">
        <v>733</v>
      </c>
      <c r="J196" s="9"/>
      <c r="K196" s="9" t="s">
        <v>734</v>
      </c>
      <c r="L196" s="9"/>
      <c r="M196" s="9" t="str">
        <f>HYPERLINK("https://ceds.ed.gov/cedselementdetails.aspx?termid=14089")</f>
        <v>https://ceds.ed.gov/cedselementdetails.aspx?termid=14089</v>
      </c>
      <c r="N196" s="9" t="str">
        <f>HYPERLINK("https://ceds.ed.gov/elementComment.aspx?elementName=Assessment Item Body Slider Interaction XML &amp;elementID=14089", "Click here to submit comment")</f>
        <v>Click here to submit comment</v>
      </c>
    </row>
    <row r="197" spans="1:14" ht="60" x14ac:dyDescent="0.25">
      <c r="A197" s="9" t="s">
        <v>735</v>
      </c>
      <c r="B197" s="9" t="s">
        <v>736</v>
      </c>
      <c r="C197" s="9" t="s">
        <v>12</v>
      </c>
      <c r="D197" s="9" t="s">
        <v>615</v>
      </c>
      <c r="E197" s="9"/>
      <c r="F197" s="9" t="s">
        <v>303</v>
      </c>
      <c r="G197" s="9"/>
      <c r="H197" s="9"/>
      <c r="I197" s="9" t="s">
        <v>737</v>
      </c>
      <c r="J197" s="9"/>
      <c r="K197" s="9" t="s">
        <v>738</v>
      </c>
      <c r="L197" s="9"/>
      <c r="M197" s="9" t="str">
        <f>HYPERLINK("https://ceds.ed.gov/cedselementdetails.aspx?termid=14233")</f>
        <v>https://ceds.ed.gov/cedselementdetails.aspx?termid=14233</v>
      </c>
      <c r="N197" s="9" t="str">
        <f>HYPERLINK("https://ceds.ed.gov/elementComment.aspx?elementName=Assessment Item Body Text &amp;elementID=14233", "Click here to submit comment")</f>
        <v>Click here to submit comment</v>
      </c>
    </row>
    <row r="198" spans="1:14" ht="135" x14ac:dyDescent="0.25">
      <c r="A198" s="9" t="s">
        <v>739</v>
      </c>
      <c r="B198" s="9" t="s">
        <v>740</v>
      </c>
      <c r="C198" s="9" t="s">
        <v>12</v>
      </c>
      <c r="D198" s="9" t="s">
        <v>364</v>
      </c>
      <c r="E198" s="9"/>
      <c r="F198" s="9" t="s">
        <v>303</v>
      </c>
      <c r="G198" s="9"/>
      <c r="H198" s="9"/>
      <c r="I198" s="9" t="s">
        <v>741</v>
      </c>
      <c r="J198" s="9"/>
      <c r="K198" s="9" t="s">
        <v>742</v>
      </c>
      <c r="L198" s="9"/>
      <c r="M198" s="9" t="str">
        <f>HYPERLINK("https://ceds.ed.gov/cedselementdetails.aspx?termid=14096")</f>
        <v>https://ceds.ed.gov/cedselementdetails.aspx?termid=14096</v>
      </c>
      <c r="N198" s="9" t="str">
        <f>HYPERLINK("https://ceds.ed.gov/elementComment.aspx?elementName=Assessment Item Body Text Entry Interaction XML &amp;elementID=14096", "Click here to submit comment")</f>
        <v>Click here to submit comment</v>
      </c>
    </row>
    <row r="199" spans="1:14" ht="105" x14ac:dyDescent="0.25">
      <c r="A199" s="9" t="s">
        <v>743</v>
      </c>
      <c r="B199" s="9" t="s">
        <v>744</v>
      </c>
      <c r="C199" s="9" t="s">
        <v>12</v>
      </c>
      <c r="D199" s="9" t="s">
        <v>364</v>
      </c>
      <c r="E199" s="9"/>
      <c r="F199" s="9" t="s">
        <v>303</v>
      </c>
      <c r="G199" s="9"/>
      <c r="H199" s="9"/>
      <c r="I199" s="9" t="s">
        <v>745</v>
      </c>
      <c r="J199" s="9"/>
      <c r="K199" s="9" t="s">
        <v>746</v>
      </c>
      <c r="L199" s="9"/>
      <c r="M199" s="9" t="str">
        <f>HYPERLINK("https://ceds.ed.gov/cedselementdetails.aspx?termid=14099")</f>
        <v>https://ceds.ed.gov/cedselementdetails.aspx?termid=14099</v>
      </c>
      <c r="N199" s="9" t="str">
        <f>HYPERLINK("https://ceds.ed.gov/elementComment.aspx?elementName=Assessment Item Body Upload Interaction XML &amp;elementID=14099", "Click here to submit comment")</f>
        <v>Click here to submit comment</v>
      </c>
    </row>
    <row r="200" spans="1:14" ht="390" x14ac:dyDescent="0.25">
      <c r="A200" s="9" t="s">
        <v>747</v>
      </c>
      <c r="B200" s="9" t="s">
        <v>748</v>
      </c>
      <c r="C200" s="10" t="s">
        <v>6350</v>
      </c>
      <c r="D200" s="9" t="s">
        <v>749</v>
      </c>
      <c r="E200" s="9"/>
      <c r="F200" s="9"/>
      <c r="G200" s="9"/>
      <c r="H200" s="9"/>
      <c r="I200" s="9" t="s">
        <v>750</v>
      </c>
      <c r="J200" s="9"/>
      <c r="K200" s="9" t="s">
        <v>751</v>
      </c>
      <c r="L200" s="9" t="s">
        <v>6135</v>
      </c>
      <c r="M200" s="9" t="str">
        <f>HYPERLINK("https://ceds.ed.gov/cedselementdetails.aspx?termid=13384")</f>
        <v>https://ceds.ed.gov/cedselementdetails.aspx?termid=13384</v>
      </c>
      <c r="N200" s="9" t="str">
        <f>HYPERLINK("https://ceds.ed.gov/elementComment.aspx?elementName=Assessment Item Characteristic Type &amp;elementID=13384", "Click here to submit comment")</f>
        <v>Click here to submit comment</v>
      </c>
    </row>
    <row r="201" spans="1:14" ht="45" x14ac:dyDescent="0.25">
      <c r="A201" s="9" t="s">
        <v>752</v>
      </c>
      <c r="B201" s="9" t="s">
        <v>753</v>
      </c>
      <c r="C201" s="9" t="s">
        <v>12</v>
      </c>
      <c r="D201" s="9" t="s">
        <v>749</v>
      </c>
      <c r="E201" s="9"/>
      <c r="F201" s="9" t="s">
        <v>87</v>
      </c>
      <c r="G201" s="9"/>
      <c r="H201" s="9"/>
      <c r="I201" s="9" t="s">
        <v>754</v>
      </c>
      <c r="J201" s="9"/>
      <c r="K201" s="9" t="s">
        <v>755</v>
      </c>
      <c r="L201" s="9"/>
      <c r="M201" s="9" t="str">
        <f>HYPERLINK("https://ceds.ed.gov/cedselementdetails.aspx?termid=13685")</f>
        <v>https://ceds.ed.gov/cedselementdetails.aspx?termid=13685</v>
      </c>
      <c r="N201" s="9" t="str">
        <f>HYPERLINK("https://ceds.ed.gov/elementComment.aspx?elementName=Assessment Item Characteristic Value &amp;elementID=13685", "Click here to submit comment")</f>
        <v>Click here to submit comment</v>
      </c>
    </row>
    <row r="202" spans="1:14" ht="45" x14ac:dyDescent="0.25">
      <c r="A202" s="9" t="s">
        <v>756</v>
      </c>
      <c r="B202" s="9" t="s">
        <v>757</v>
      </c>
      <c r="C202" s="9" t="s">
        <v>12</v>
      </c>
      <c r="D202" s="9" t="s">
        <v>615</v>
      </c>
      <c r="E202" s="9"/>
      <c r="F202" s="9" t="s">
        <v>10496</v>
      </c>
      <c r="G202" s="9"/>
      <c r="H202" s="9"/>
      <c r="I202" s="9" t="s">
        <v>758</v>
      </c>
      <c r="J202" s="9"/>
      <c r="K202" s="9" t="s">
        <v>759</v>
      </c>
      <c r="L202" s="9" t="s">
        <v>6135</v>
      </c>
      <c r="M202" s="9" t="str">
        <f>HYPERLINK("https://ceds.ed.gov/cedselementdetails.aspx?termid=13383")</f>
        <v>https://ceds.ed.gov/cedselementdetails.aspx?termid=13383</v>
      </c>
      <c r="N202" s="9" t="str">
        <f>HYPERLINK("https://ceds.ed.gov/elementComment.aspx?elementName=Assessment Item Difficulty &amp;elementID=13383", "Click here to submit comment")</f>
        <v>Click here to submit comment</v>
      </c>
    </row>
    <row r="203" spans="1:14" ht="45" x14ac:dyDescent="0.25">
      <c r="A203" s="9" t="s">
        <v>760</v>
      </c>
      <c r="B203" s="9" t="s">
        <v>761</v>
      </c>
      <c r="C203" s="9" t="s">
        <v>12</v>
      </c>
      <c r="D203" s="9" t="s">
        <v>615</v>
      </c>
      <c r="E203" s="9"/>
      <c r="F203" s="9" t="s">
        <v>762</v>
      </c>
      <c r="G203" s="9"/>
      <c r="H203" s="9"/>
      <c r="I203" s="9" t="s">
        <v>763</v>
      </c>
      <c r="J203" s="9"/>
      <c r="K203" s="9" t="s">
        <v>764</v>
      </c>
      <c r="L203" s="9" t="s">
        <v>6135</v>
      </c>
      <c r="M203" s="9" t="str">
        <f>HYPERLINK("https://ceds.ed.gov/cedselementdetails.aspx?termid=13390")</f>
        <v>https://ceds.ed.gov/cedselementdetails.aspx?termid=13390</v>
      </c>
      <c r="N203" s="9" t="str">
        <f>HYPERLINK("https://ceds.ed.gov/elementComment.aspx?elementName=Assessment Item Distractor Analysis &amp;elementID=13390", "Click here to submit comment")</f>
        <v>Click here to submit comment</v>
      </c>
    </row>
    <row r="204" spans="1:14" ht="105" customHeight="1" x14ac:dyDescent="0.25">
      <c r="A204" s="18" t="s">
        <v>765</v>
      </c>
      <c r="B204" s="18" t="s">
        <v>766</v>
      </c>
      <c r="C204" s="18" t="s">
        <v>12</v>
      </c>
      <c r="D204" s="18" t="s">
        <v>615</v>
      </c>
      <c r="E204" s="18"/>
      <c r="F204" s="18" t="s">
        <v>119</v>
      </c>
      <c r="G204" s="18"/>
      <c r="H204" s="9" t="s">
        <v>120</v>
      </c>
      <c r="I204" s="18" t="s">
        <v>767</v>
      </c>
      <c r="J204" s="18"/>
      <c r="K204" s="18" t="s">
        <v>768</v>
      </c>
      <c r="L204" s="18" t="s">
        <v>6135</v>
      </c>
      <c r="M204" s="18" t="str">
        <f>HYPERLINK("https://ceds.ed.gov/cedselementdetails.aspx?termid=13623")</f>
        <v>https://ceds.ed.gov/cedselementdetails.aspx?termid=13623</v>
      </c>
      <c r="N204" s="18" t="str">
        <f>HYPERLINK("https://ceds.ed.gov/elementComment.aspx?elementName=Assessment Item Identifier &amp;elementID=13623", "Click here to submit comment")</f>
        <v>Click here to submit comment</v>
      </c>
    </row>
    <row r="205" spans="1:14" x14ac:dyDescent="0.25">
      <c r="A205" s="18"/>
      <c r="B205" s="18"/>
      <c r="C205" s="18"/>
      <c r="D205" s="18"/>
      <c r="E205" s="18"/>
      <c r="F205" s="18"/>
      <c r="G205" s="18"/>
      <c r="H205" s="9"/>
      <c r="I205" s="18"/>
      <c r="J205" s="18"/>
      <c r="K205" s="18"/>
      <c r="L205" s="18"/>
      <c r="M205" s="18"/>
      <c r="N205" s="18"/>
    </row>
    <row r="206" spans="1:14" ht="90" x14ac:dyDescent="0.25">
      <c r="A206" s="18"/>
      <c r="B206" s="18"/>
      <c r="C206" s="18"/>
      <c r="D206" s="18"/>
      <c r="E206" s="18"/>
      <c r="F206" s="18"/>
      <c r="G206" s="18"/>
      <c r="H206" s="9" t="s">
        <v>121</v>
      </c>
      <c r="I206" s="18"/>
      <c r="J206" s="18"/>
      <c r="K206" s="18"/>
      <c r="L206" s="18"/>
      <c r="M206" s="18"/>
      <c r="N206" s="18"/>
    </row>
    <row r="207" spans="1:14" ht="409.5" x14ac:dyDescent="0.25">
      <c r="A207" s="9" t="s">
        <v>769</v>
      </c>
      <c r="B207" s="9" t="s">
        <v>770</v>
      </c>
      <c r="C207" s="10" t="s">
        <v>6351</v>
      </c>
      <c r="D207" s="9" t="s">
        <v>364</v>
      </c>
      <c r="E207" s="9"/>
      <c r="F207" s="9"/>
      <c r="G207" s="9"/>
      <c r="H207" s="9"/>
      <c r="I207" s="9" t="s">
        <v>771</v>
      </c>
      <c r="J207" s="9"/>
      <c r="K207" s="9" t="s">
        <v>772</v>
      </c>
      <c r="L207" s="9"/>
      <c r="M207" s="9" t="str">
        <f>HYPERLINK("https://ceds.ed.gov/cedselementdetails.aspx?termid=14117")</f>
        <v>https://ceds.ed.gov/cedselementdetails.aspx?termid=14117</v>
      </c>
      <c r="N207" s="9" t="str">
        <f>HYPERLINK("https://ceds.ed.gov/elementComment.aspx?elementName=Assessment Item Interaction Type &amp;elementID=14117", "Click here to submit comment")</f>
        <v>Click here to submit comment</v>
      </c>
    </row>
    <row r="208" spans="1:14" ht="60" x14ac:dyDescent="0.25">
      <c r="A208" s="9" t="s">
        <v>773</v>
      </c>
      <c r="B208" s="9" t="s">
        <v>774</v>
      </c>
      <c r="C208" s="9" t="s">
        <v>6106</v>
      </c>
      <c r="D208" s="9" t="s">
        <v>615</v>
      </c>
      <c r="E208" s="9"/>
      <c r="F208" s="9"/>
      <c r="G208" s="9"/>
      <c r="H208" s="9"/>
      <c r="I208" s="9" t="s">
        <v>775</v>
      </c>
      <c r="J208" s="9"/>
      <c r="K208" s="9" t="s">
        <v>776</v>
      </c>
      <c r="L208" s="9"/>
      <c r="M208" s="9" t="str">
        <f>HYPERLINK("https://ceds.ed.gov/cedselementdetails.aspx?termid=14227")</f>
        <v>https://ceds.ed.gov/cedselementdetails.aspx?termid=14227</v>
      </c>
      <c r="N208" s="9" t="str">
        <f>HYPERLINK("https://ceds.ed.gov/elementComment.aspx?elementName=Assessment Item Linking Item Indicator &amp;elementID=14227", "Click here to submit comment")</f>
        <v>Click here to submit comment</v>
      </c>
    </row>
    <row r="209" spans="1:14" ht="45" x14ac:dyDescent="0.25">
      <c r="A209" s="9" t="s">
        <v>777</v>
      </c>
      <c r="B209" s="9" t="s">
        <v>778</v>
      </c>
      <c r="C209" s="9" t="s">
        <v>12</v>
      </c>
      <c r="D209" s="9" t="s">
        <v>615</v>
      </c>
      <c r="E209" s="9"/>
      <c r="F209" s="9" t="s">
        <v>134</v>
      </c>
      <c r="G209" s="9"/>
      <c r="H209" s="9"/>
      <c r="I209" s="9" t="s">
        <v>779</v>
      </c>
      <c r="J209" s="9"/>
      <c r="K209" s="9" t="s">
        <v>780</v>
      </c>
      <c r="L209" s="9"/>
      <c r="M209" s="9" t="str">
        <f>HYPERLINK("https://ceds.ed.gov/cedselementdetails.aspx?termid=13683")</f>
        <v>https://ceds.ed.gov/cedselementdetails.aspx?termid=13683</v>
      </c>
      <c r="N209" s="9" t="str">
        <f>HYPERLINK("https://ceds.ed.gov/elementComment.aspx?elementName=Assessment Item Maximum Score &amp;elementID=13683", "Click here to submit comment")</f>
        <v>Click here to submit comment</v>
      </c>
    </row>
    <row r="210" spans="1:14" ht="45" x14ac:dyDescent="0.25">
      <c r="A210" s="9" t="s">
        <v>781</v>
      </c>
      <c r="B210" s="9" t="s">
        <v>782</v>
      </c>
      <c r="C210" s="9" t="s">
        <v>12</v>
      </c>
      <c r="D210" s="9" t="s">
        <v>615</v>
      </c>
      <c r="E210" s="9"/>
      <c r="F210" s="9" t="s">
        <v>134</v>
      </c>
      <c r="G210" s="9"/>
      <c r="H210" s="9"/>
      <c r="I210" s="9" t="s">
        <v>783</v>
      </c>
      <c r="J210" s="9"/>
      <c r="K210" s="9" t="s">
        <v>784</v>
      </c>
      <c r="L210" s="9"/>
      <c r="M210" s="9" t="str">
        <f>HYPERLINK("https://ceds.ed.gov/cedselementdetails.aspx?termid=13684")</f>
        <v>https://ceds.ed.gov/cedselementdetails.aspx?termid=13684</v>
      </c>
      <c r="N210" s="9" t="str">
        <f>HYPERLINK("https://ceds.ed.gov/elementComment.aspx?elementName=Assessment Item Minimum Score &amp;elementID=13684", "Click here to submit comment")</f>
        <v>Click here to submit comment</v>
      </c>
    </row>
    <row r="211" spans="1:14" ht="45" x14ac:dyDescent="0.25">
      <c r="A211" s="9" t="s">
        <v>785</v>
      </c>
      <c r="B211" s="9" t="s">
        <v>786</v>
      </c>
      <c r="C211" s="9" t="s">
        <v>6106</v>
      </c>
      <c r="D211" s="9" t="s">
        <v>787</v>
      </c>
      <c r="E211" s="9"/>
      <c r="F211" s="9"/>
      <c r="G211" s="9"/>
      <c r="H211" s="9"/>
      <c r="I211" s="9" t="s">
        <v>788</v>
      </c>
      <c r="J211" s="9"/>
      <c r="K211" s="9" t="s">
        <v>789</v>
      </c>
      <c r="L211" s="9"/>
      <c r="M211" s="9" t="str">
        <f>HYPERLINK("https://ceds.ed.gov/cedselementdetails.aspx?termid=14183")</f>
        <v>https://ceds.ed.gov/cedselementdetails.aspx?termid=14183</v>
      </c>
      <c r="N211" s="9" t="str">
        <f>HYPERLINK("https://ceds.ed.gov/elementComment.aspx?elementName=Assessment Item Possible Response Correct Indicator &amp;elementID=14183", "Click here to submit comment")</f>
        <v>Click here to submit comment</v>
      </c>
    </row>
    <row r="212" spans="1:14" ht="120" x14ac:dyDescent="0.25">
      <c r="A212" s="9" t="s">
        <v>790</v>
      </c>
      <c r="B212" s="9" t="s">
        <v>791</v>
      </c>
      <c r="C212" s="9" t="s">
        <v>12</v>
      </c>
      <c r="D212" s="9" t="s">
        <v>787</v>
      </c>
      <c r="E212" s="9"/>
      <c r="F212" s="9" t="s">
        <v>68</v>
      </c>
      <c r="G212" s="9"/>
      <c r="H212" s="9" t="s">
        <v>792</v>
      </c>
      <c r="I212" s="9" t="s">
        <v>793</v>
      </c>
      <c r="J212" s="9"/>
      <c r="K212" s="9" t="s">
        <v>794</v>
      </c>
      <c r="L212" s="9" t="s">
        <v>795</v>
      </c>
      <c r="M212" s="9" t="str">
        <f>HYPERLINK("https://ceds.ed.gov/cedselementdetails.aspx?termid=13904")</f>
        <v>https://ceds.ed.gov/cedselementdetails.aspx?termid=13904</v>
      </c>
      <c r="N212" s="9" t="str">
        <f>HYPERLINK("https://ceds.ed.gov/elementComment.aspx?elementName=Assessment Item Possible Response Feedback Message &amp;elementID=13904", "Click here to submit comment")</f>
        <v>Click here to submit comment</v>
      </c>
    </row>
    <row r="213" spans="1:14" ht="60" x14ac:dyDescent="0.25">
      <c r="A213" s="9" t="s">
        <v>796</v>
      </c>
      <c r="B213" s="9" t="s">
        <v>797</v>
      </c>
      <c r="C213" s="9" t="s">
        <v>12</v>
      </c>
      <c r="D213" s="9" t="s">
        <v>787</v>
      </c>
      <c r="E213" s="9"/>
      <c r="F213" s="9" t="s">
        <v>303</v>
      </c>
      <c r="G213" s="9"/>
      <c r="H213" s="9"/>
      <c r="I213" s="9" t="s">
        <v>798</v>
      </c>
      <c r="J213" s="9"/>
      <c r="K213" s="9" t="s">
        <v>799</v>
      </c>
      <c r="L213" s="9"/>
      <c r="M213" s="9" t="str">
        <f>HYPERLINK("https://ceds.ed.gov/cedselementdetails.aspx?termid=14235")</f>
        <v>https://ceds.ed.gov/cedselementdetails.aspx?termid=14235</v>
      </c>
      <c r="N213" s="9" t="str">
        <f>HYPERLINK("https://ceds.ed.gov/elementComment.aspx?elementName=Assessment Item Possible Response Option &amp;elementID=14235", "Click here to submit comment")</f>
        <v>Click here to submit comment</v>
      </c>
    </row>
    <row r="214" spans="1:14" ht="45" x14ac:dyDescent="0.25">
      <c r="A214" s="9" t="s">
        <v>800</v>
      </c>
      <c r="B214" s="9" t="s">
        <v>801</v>
      </c>
      <c r="C214" s="9" t="s">
        <v>12</v>
      </c>
      <c r="D214" s="9" t="s">
        <v>787</v>
      </c>
      <c r="E214" s="9"/>
      <c r="F214" s="9" t="s">
        <v>10489</v>
      </c>
      <c r="G214" s="9"/>
      <c r="H214" s="9"/>
      <c r="I214" s="9" t="s">
        <v>802</v>
      </c>
      <c r="J214" s="9"/>
      <c r="K214" s="9" t="s">
        <v>803</v>
      </c>
      <c r="L214" s="9"/>
      <c r="M214" s="9" t="str">
        <f>HYPERLINK("https://ceds.ed.gov/cedselementdetails.aspx?termid=13905")</f>
        <v>https://ceds.ed.gov/cedselementdetails.aspx?termid=13905</v>
      </c>
      <c r="N214" s="9" t="str">
        <f>HYPERLINK("https://ceds.ed.gov/elementComment.aspx?elementName=Assessment Item Possible Response Sequence Number &amp;elementID=13905", "Click here to submit comment")</f>
        <v>Click here to submit comment</v>
      </c>
    </row>
    <row r="215" spans="1:14" ht="60" x14ac:dyDescent="0.25">
      <c r="A215" s="9" t="s">
        <v>804</v>
      </c>
      <c r="B215" s="9" t="s">
        <v>805</v>
      </c>
      <c r="C215" s="9" t="s">
        <v>12</v>
      </c>
      <c r="D215" s="9" t="s">
        <v>787</v>
      </c>
      <c r="E215" s="9"/>
      <c r="F215" s="9" t="s">
        <v>68</v>
      </c>
      <c r="G215" s="9"/>
      <c r="H215" s="9"/>
      <c r="I215" s="9" t="s">
        <v>806</v>
      </c>
      <c r="J215" s="9"/>
      <c r="K215" s="9" t="s">
        <v>807</v>
      </c>
      <c r="L215" s="9"/>
      <c r="M215" s="9" t="str">
        <f>HYPERLINK("https://ceds.ed.gov/cedselementdetails.aspx?termid=13908")</f>
        <v>https://ceds.ed.gov/cedselementdetails.aspx?termid=13908</v>
      </c>
      <c r="N215" s="9" t="str">
        <f>HYPERLINK("https://ceds.ed.gov/elementComment.aspx?elementName=Assessment Item Possible Response Value &amp;elementID=13908", "Click here to submit comment")</f>
        <v>Click here to submit comment</v>
      </c>
    </row>
    <row r="216" spans="1:14" ht="45" x14ac:dyDescent="0.25">
      <c r="A216" s="9" t="s">
        <v>808</v>
      </c>
      <c r="B216" s="9" t="s">
        <v>809</v>
      </c>
      <c r="C216" s="9" t="s">
        <v>6106</v>
      </c>
      <c r="D216" s="9" t="s">
        <v>615</v>
      </c>
      <c r="E216" s="9"/>
      <c r="F216" s="9"/>
      <c r="G216" s="9"/>
      <c r="H216" s="9"/>
      <c r="I216" s="9" t="s">
        <v>810</v>
      </c>
      <c r="J216" s="9"/>
      <c r="K216" s="9" t="s">
        <v>811</v>
      </c>
      <c r="L216" s="9"/>
      <c r="M216" s="9" t="str">
        <f>HYPERLINK("https://ceds.ed.gov/cedselementdetails.aspx?termid=14229")</f>
        <v>https://ceds.ed.gov/cedselementdetails.aspx?termid=14229</v>
      </c>
      <c r="N216" s="9" t="str">
        <f>HYPERLINK("https://ceds.ed.gov/elementComment.aspx?elementName=Assessment Item Release Status &amp;elementID=14229", "Click here to submit comment")</f>
        <v>Click here to submit comment</v>
      </c>
    </row>
    <row r="217" spans="1:14" ht="60" x14ac:dyDescent="0.25">
      <c r="A217" s="9" t="s">
        <v>812</v>
      </c>
      <c r="B217" s="9" t="s">
        <v>813</v>
      </c>
      <c r="C217" s="9" t="s">
        <v>12</v>
      </c>
      <c r="D217" s="9" t="s">
        <v>814</v>
      </c>
      <c r="E217" s="9"/>
      <c r="F217" s="9" t="s">
        <v>87</v>
      </c>
      <c r="G217" s="9"/>
      <c r="H217" s="9" t="s">
        <v>815</v>
      </c>
      <c r="I217" s="9" t="s">
        <v>816</v>
      </c>
      <c r="J217" s="9"/>
      <c r="K217" s="9" t="s">
        <v>817</v>
      </c>
      <c r="L217" s="9" t="s">
        <v>6135</v>
      </c>
      <c r="M217" s="9" t="str">
        <f>HYPERLINK("https://ceds.ed.gov/cedselementdetails.aspx?termid=13397")</f>
        <v>https://ceds.ed.gov/cedselementdetails.aspx?termid=13397</v>
      </c>
      <c r="N217" s="9" t="str">
        <f>HYPERLINK("https://ceds.ed.gov/elementComment.aspx?elementName=Assessment Item Response Aid Set Used &amp;elementID=13397", "Click here to submit comment")</f>
        <v>Click here to submit comment</v>
      </c>
    </row>
    <row r="218" spans="1:14" ht="45" x14ac:dyDescent="0.25">
      <c r="A218" s="9" t="s">
        <v>818</v>
      </c>
      <c r="B218" s="9" t="s">
        <v>819</v>
      </c>
      <c r="C218" s="9" t="s">
        <v>12</v>
      </c>
      <c r="D218" s="9" t="s">
        <v>814</v>
      </c>
      <c r="E218" s="9"/>
      <c r="F218" s="9" t="s">
        <v>762</v>
      </c>
      <c r="G218" s="9"/>
      <c r="H218" s="9"/>
      <c r="I218" s="9" t="s">
        <v>820</v>
      </c>
      <c r="J218" s="9"/>
      <c r="K218" s="9" t="s">
        <v>821</v>
      </c>
      <c r="L218" s="9" t="s">
        <v>6135</v>
      </c>
      <c r="M218" s="9" t="str">
        <f>HYPERLINK("https://ceds.ed.gov/cedselementdetails.aspx?termid=13385")</f>
        <v>https://ceds.ed.gov/cedselementdetails.aspx?termid=13385</v>
      </c>
      <c r="N218" s="9" t="str">
        <f>HYPERLINK("https://ceds.ed.gov/elementComment.aspx?elementName=Assessment Item Response Choice Pattern &amp;elementID=13385", "Click here to submit comment")</f>
        <v>Click here to submit comment</v>
      </c>
    </row>
    <row r="219" spans="1:14" ht="60" x14ac:dyDescent="0.25">
      <c r="A219" s="9" t="s">
        <v>822</v>
      </c>
      <c r="B219" s="9" t="s">
        <v>823</v>
      </c>
      <c r="C219" s="9" t="s">
        <v>12</v>
      </c>
      <c r="D219" s="9" t="s">
        <v>814</v>
      </c>
      <c r="E219" s="9"/>
      <c r="F219" s="9" t="s">
        <v>68</v>
      </c>
      <c r="G219" s="9"/>
      <c r="H219" s="9"/>
      <c r="I219" s="9" t="s">
        <v>824</v>
      </c>
      <c r="J219" s="9"/>
      <c r="K219" s="9" t="s">
        <v>825</v>
      </c>
      <c r="L219" s="9" t="s">
        <v>795</v>
      </c>
      <c r="M219" s="9" t="str">
        <f>HYPERLINK("https://ceds.ed.gov/cedselementdetails.aspx?termid=13891")</f>
        <v>https://ceds.ed.gov/cedselementdetails.aspx?termid=13891</v>
      </c>
      <c r="N219" s="9" t="str">
        <f>HYPERLINK("https://ceds.ed.gov/elementComment.aspx?elementName=Assessment Item Response Descriptive Feedback &amp;elementID=13891", "Click here to submit comment")</f>
        <v>Click here to submit comment</v>
      </c>
    </row>
    <row r="220" spans="1:14" ht="60" x14ac:dyDescent="0.25">
      <c r="A220" s="9" t="s">
        <v>826</v>
      </c>
      <c r="B220" s="9" t="s">
        <v>827</v>
      </c>
      <c r="C220" s="9" t="s">
        <v>12</v>
      </c>
      <c r="D220" s="9" t="s">
        <v>814</v>
      </c>
      <c r="E220" s="9"/>
      <c r="F220" s="9" t="s">
        <v>828</v>
      </c>
      <c r="G220" s="9"/>
      <c r="H220" s="9"/>
      <c r="I220" s="9" t="s">
        <v>829</v>
      </c>
      <c r="J220" s="9"/>
      <c r="K220" s="9" t="s">
        <v>830</v>
      </c>
      <c r="L220" s="9"/>
      <c r="M220" s="9" t="str">
        <f>HYPERLINK("https://ceds.ed.gov/cedselementdetails.aspx?termid=14512")</f>
        <v>https://ceds.ed.gov/cedselementdetails.aspx?termid=14512</v>
      </c>
      <c r="N220" s="9" t="str">
        <f>HYPERLINK("https://ceds.ed.gov/elementComment.aspx?elementName=Assessment Item Response Descriptive Feedback Date &amp;elementID=14512", "Click here to submit comment")</f>
        <v>Click here to submit comment</v>
      </c>
    </row>
    <row r="221" spans="1:14" ht="60" x14ac:dyDescent="0.25">
      <c r="A221" s="9" t="s">
        <v>831</v>
      </c>
      <c r="B221" s="9" t="s">
        <v>832</v>
      </c>
      <c r="C221" s="9" t="s">
        <v>12</v>
      </c>
      <c r="D221" s="9" t="s">
        <v>814</v>
      </c>
      <c r="E221" s="9"/>
      <c r="F221" s="9" t="s">
        <v>833</v>
      </c>
      <c r="G221" s="9"/>
      <c r="H221" s="9"/>
      <c r="I221" s="9" t="s">
        <v>834</v>
      </c>
      <c r="J221" s="9"/>
      <c r="K221" s="9" t="s">
        <v>835</v>
      </c>
      <c r="L221" s="9" t="s">
        <v>6135</v>
      </c>
      <c r="M221" s="9" t="str">
        <f>HYPERLINK("https://ceds.ed.gov/cedselementdetails.aspx?termid=13394")</f>
        <v>https://ceds.ed.gov/cedselementdetails.aspx?termid=13394</v>
      </c>
      <c r="N221" s="9" t="str">
        <f>HYPERLINK("https://ceds.ed.gov/elementComment.aspx?elementName=Assessment Item Response Duration &amp;elementID=13394", "Click here to submit comment")</f>
        <v>Click here to submit comment</v>
      </c>
    </row>
    <row r="222" spans="1:14" ht="105" x14ac:dyDescent="0.25">
      <c r="A222" s="9" t="s">
        <v>836</v>
      </c>
      <c r="B222" s="9" t="s">
        <v>837</v>
      </c>
      <c r="C222" s="9" t="s">
        <v>12</v>
      </c>
      <c r="D222" s="9" t="s">
        <v>814</v>
      </c>
      <c r="E222" s="9"/>
      <c r="F222" s="9" t="s">
        <v>833</v>
      </c>
      <c r="G222" s="9"/>
      <c r="H222" s="9" t="s">
        <v>838</v>
      </c>
      <c r="I222" s="9" t="s">
        <v>839</v>
      </c>
      <c r="J222" s="9"/>
      <c r="K222" s="9" t="s">
        <v>840</v>
      </c>
      <c r="L222" s="9"/>
      <c r="M222" s="9" t="str">
        <f>HYPERLINK("https://ceds.ed.gov/cedselementdetails.aspx?termid=13958")</f>
        <v>https://ceds.ed.gov/cedselementdetails.aspx?termid=13958</v>
      </c>
      <c r="N222" s="9" t="str">
        <f>HYPERLINK("https://ceds.ed.gov/elementComment.aspx?elementName=Assessment Item Response First Attempt Duration &amp;elementID=13958", "Click here to submit comment")</f>
        <v>Click here to submit comment</v>
      </c>
    </row>
    <row r="223" spans="1:14" ht="135" x14ac:dyDescent="0.25">
      <c r="A223" s="9" t="s">
        <v>841</v>
      </c>
      <c r="B223" s="9" t="s">
        <v>842</v>
      </c>
      <c r="C223" s="9" t="s">
        <v>12</v>
      </c>
      <c r="D223" s="9" t="s">
        <v>814</v>
      </c>
      <c r="E223" s="9"/>
      <c r="F223" s="9" t="s">
        <v>10489</v>
      </c>
      <c r="G223" s="9"/>
      <c r="H223" s="9"/>
      <c r="I223" s="9" t="s">
        <v>843</v>
      </c>
      <c r="J223" s="9"/>
      <c r="K223" s="9" t="s">
        <v>844</v>
      </c>
      <c r="L223" s="9"/>
      <c r="M223" s="9" t="str">
        <f>HYPERLINK("https://ceds.ed.gov/cedselementdetails.aspx?termid=13956")</f>
        <v>https://ceds.ed.gov/cedselementdetails.aspx?termid=13956</v>
      </c>
      <c r="N223" s="9" t="str">
        <f>HYPERLINK("https://ceds.ed.gov/elementComment.aspx?elementName=Assessment Item Response Hint Count &amp;elementID=13956", "Click here to submit comment")</f>
        <v>Click here to submit comment</v>
      </c>
    </row>
    <row r="224" spans="1:14" ht="135" x14ac:dyDescent="0.25">
      <c r="A224" s="9" t="s">
        <v>845</v>
      </c>
      <c r="B224" s="9" t="s">
        <v>846</v>
      </c>
      <c r="C224" s="9" t="s">
        <v>6106</v>
      </c>
      <c r="D224" s="9" t="s">
        <v>814</v>
      </c>
      <c r="E224" s="9"/>
      <c r="F224" s="9"/>
      <c r="G224" s="9"/>
      <c r="H224" s="9" t="s">
        <v>847</v>
      </c>
      <c r="I224" s="9" t="s">
        <v>848</v>
      </c>
      <c r="J224" s="9"/>
      <c r="K224" s="9" t="s">
        <v>849</v>
      </c>
      <c r="L224" s="9"/>
      <c r="M224" s="9" t="str">
        <f>HYPERLINK("https://ceds.ed.gov/cedselementdetails.aspx?termid=13957")</f>
        <v>https://ceds.ed.gov/cedselementdetails.aspx?termid=13957</v>
      </c>
      <c r="N224" s="9" t="str">
        <f>HYPERLINK("https://ceds.ed.gov/elementComment.aspx?elementName=Assessment Item Response Hint Included Answer &amp;elementID=13957", "Click here to submit comment")</f>
        <v>Click here to submit comment</v>
      </c>
    </row>
    <row r="225" spans="1:14" ht="135" x14ac:dyDescent="0.25">
      <c r="A225" s="9" t="s">
        <v>850</v>
      </c>
      <c r="B225" s="9" t="s">
        <v>851</v>
      </c>
      <c r="C225" s="9" t="s">
        <v>6106</v>
      </c>
      <c r="D225" s="9" t="s">
        <v>814</v>
      </c>
      <c r="E225" s="9"/>
      <c r="F225" s="9"/>
      <c r="G225" s="9"/>
      <c r="H225" s="9"/>
      <c r="I225" s="9" t="s">
        <v>852</v>
      </c>
      <c r="J225" s="9"/>
      <c r="K225" s="9" t="s">
        <v>853</v>
      </c>
      <c r="L225" s="9"/>
      <c r="M225" s="9" t="str">
        <f>HYPERLINK("https://ceds.ed.gov/cedselementdetails.aspx?termid=13955")</f>
        <v>https://ceds.ed.gov/cedselementdetails.aspx?termid=13955</v>
      </c>
      <c r="N225" s="9" t="str">
        <f>HYPERLINK("https://ceds.ed.gov/elementComment.aspx?elementName=Assessment Item Response Scaffolding Item Flag &amp;elementID=13955", "Click here to submit comment")</f>
        <v>Click here to submit comment</v>
      </c>
    </row>
    <row r="226" spans="1:14" ht="90" x14ac:dyDescent="0.25">
      <c r="A226" s="9" t="s">
        <v>854</v>
      </c>
      <c r="B226" s="9" t="s">
        <v>855</v>
      </c>
      <c r="C226" s="10" t="s">
        <v>6352</v>
      </c>
      <c r="D226" s="9" t="s">
        <v>814</v>
      </c>
      <c r="E226" s="9"/>
      <c r="F226" s="9"/>
      <c r="G226" s="9"/>
      <c r="H226" s="9"/>
      <c r="I226" s="9" t="s">
        <v>856</v>
      </c>
      <c r="J226" s="9"/>
      <c r="K226" s="9" t="s">
        <v>857</v>
      </c>
      <c r="L226" s="9"/>
      <c r="M226" s="9" t="str">
        <f>HYPERLINK("https://ceds.ed.gov/cedselementdetails.aspx?termid=14513")</f>
        <v>https://ceds.ed.gov/cedselementdetails.aspx?termid=14513</v>
      </c>
      <c r="N226" s="9" t="str">
        <f>HYPERLINK("https://ceds.ed.gov/elementComment.aspx?elementName=Assessment Item Response Score Status &amp;elementID=14513", "Click here to submit comment")</f>
        <v>Click here to submit comment</v>
      </c>
    </row>
    <row r="227" spans="1:14" ht="45" x14ac:dyDescent="0.25">
      <c r="A227" s="9" t="s">
        <v>858</v>
      </c>
      <c r="B227" s="9" t="s">
        <v>859</v>
      </c>
      <c r="C227" s="9" t="s">
        <v>12</v>
      </c>
      <c r="D227" s="9" t="s">
        <v>814</v>
      </c>
      <c r="E227" s="9"/>
      <c r="F227" s="9" t="s">
        <v>92</v>
      </c>
      <c r="G227" s="9"/>
      <c r="H227" s="9"/>
      <c r="I227" s="9" t="s">
        <v>860</v>
      </c>
      <c r="J227" s="9"/>
      <c r="K227" s="9" t="s">
        <v>861</v>
      </c>
      <c r="L227" s="9" t="s">
        <v>795</v>
      </c>
      <c r="M227" s="9" t="str">
        <f>HYPERLINK("https://ceds.ed.gov/cedselementdetails.aspx?termid=13700")</f>
        <v>https://ceds.ed.gov/cedselementdetails.aspx?termid=13700</v>
      </c>
      <c r="N227" s="9" t="str">
        <f>HYPERLINK("https://ceds.ed.gov/elementComment.aspx?elementName=Assessment Item Response Score Value &amp;elementID=13700", "Click here to submit comment")</f>
        <v>Click here to submit comment</v>
      </c>
    </row>
    <row r="228" spans="1:14" ht="150" x14ac:dyDescent="0.25">
      <c r="A228" s="9" t="s">
        <v>862</v>
      </c>
      <c r="B228" s="9" t="s">
        <v>863</v>
      </c>
      <c r="C228" s="9" t="s">
        <v>12</v>
      </c>
      <c r="D228" s="9" t="s">
        <v>615</v>
      </c>
      <c r="E228" s="9"/>
      <c r="F228" s="9" t="s">
        <v>68</v>
      </c>
      <c r="G228" s="9"/>
      <c r="H228" s="9" t="s">
        <v>864</v>
      </c>
      <c r="I228" s="9" t="s">
        <v>865</v>
      </c>
      <c r="J228" s="9"/>
      <c r="K228" s="9" t="s">
        <v>866</v>
      </c>
      <c r="L228" s="9"/>
      <c r="M228" s="9" t="str">
        <f>HYPERLINK("https://ceds.ed.gov/cedselementdetails.aspx?termid=13970")</f>
        <v>https://ceds.ed.gov/cedselementdetails.aspx?termid=13970</v>
      </c>
      <c r="N228" s="9" t="str">
        <f>HYPERLINK("https://ceds.ed.gov/elementComment.aspx?elementName=Assessment Item Response Security Issue &amp;elementID=13970", "Click here to submit comment")</f>
        <v>Click here to submit comment</v>
      </c>
    </row>
    <row r="229" spans="1:14" ht="45" x14ac:dyDescent="0.25">
      <c r="A229" s="9" t="s">
        <v>867</v>
      </c>
      <c r="B229" s="9" t="s">
        <v>868</v>
      </c>
      <c r="C229" s="9" t="s">
        <v>12</v>
      </c>
      <c r="D229" s="9" t="s">
        <v>814</v>
      </c>
      <c r="E229" s="9"/>
      <c r="F229" s="9" t="s">
        <v>73</v>
      </c>
      <c r="G229" s="9"/>
      <c r="H229" s="9"/>
      <c r="I229" s="9" t="s">
        <v>869</v>
      </c>
      <c r="J229" s="9"/>
      <c r="K229" s="9" t="s">
        <v>870</v>
      </c>
      <c r="L229" s="9"/>
      <c r="M229" s="9" t="str">
        <f>HYPERLINK("https://ceds.ed.gov/cedselementdetails.aspx?termid=13960")</f>
        <v>https://ceds.ed.gov/cedselementdetails.aspx?termid=13960</v>
      </c>
      <c r="N229" s="9" t="str">
        <f>HYPERLINK("https://ceds.ed.gov/elementComment.aspx?elementName=Assessment Item Response Start Date &amp;elementID=13960", "Click here to submit comment")</f>
        <v>Click here to submit comment</v>
      </c>
    </row>
    <row r="230" spans="1:14" ht="45" x14ac:dyDescent="0.25">
      <c r="A230" s="9" t="s">
        <v>871</v>
      </c>
      <c r="B230" s="9" t="s">
        <v>872</v>
      </c>
      <c r="C230" s="9" t="s">
        <v>12</v>
      </c>
      <c r="D230" s="9" t="s">
        <v>814</v>
      </c>
      <c r="E230" s="9"/>
      <c r="F230" s="9" t="s">
        <v>833</v>
      </c>
      <c r="G230" s="9"/>
      <c r="H230" s="9"/>
      <c r="I230" s="9" t="s">
        <v>873</v>
      </c>
      <c r="J230" s="9"/>
      <c r="K230" s="9" t="s">
        <v>874</v>
      </c>
      <c r="L230" s="9"/>
      <c r="M230" s="9" t="str">
        <f>HYPERLINK("https://ceds.ed.gov/cedselementdetails.aspx?termid=13959")</f>
        <v>https://ceds.ed.gov/cedselementdetails.aspx?termid=13959</v>
      </c>
      <c r="N230" s="9" t="str">
        <f>HYPERLINK("https://ceds.ed.gov/elementComment.aspx?elementName=Assessment Item Response Start Time &amp;elementID=13959", "Click here to submit comment")</f>
        <v>Click here to submit comment</v>
      </c>
    </row>
    <row r="231" spans="1:14" ht="180" x14ac:dyDescent="0.25">
      <c r="A231" s="9" t="s">
        <v>875</v>
      </c>
      <c r="B231" s="9" t="s">
        <v>876</v>
      </c>
      <c r="C231" s="10" t="s">
        <v>6353</v>
      </c>
      <c r="D231" s="9" t="s">
        <v>814</v>
      </c>
      <c r="E231" s="9"/>
      <c r="F231" s="9"/>
      <c r="G231" s="9"/>
      <c r="H231" s="9"/>
      <c r="I231" s="9" t="s">
        <v>877</v>
      </c>
      <c r="J231" s="9"/>
      <c r="K231" s="9" t="s">
        <v>878</v>
      </c>
      <c r="L231" s="9" t="s">
        <v>6135</v>
      </c>
      <c r="M231" s="9" t="str">
        <f>HYPERLINK("https://ceds.ed.gov/cedselementdetails.aspx?termid=13396")</f>
        <v>https://ceds.ed.gov/cedselementdetails.aspx?termid=13396</v>
      </c>
      <c r="N231" s="9" t="str">
        <f>HYPERLINK("https://ceds.ed.gov/elementComment.aspx?elementName=Assessment Item Response Status &amp;elementID=13396", "Click here to submit comment")</f>
        <v>Click here to submit comment</v>
      </c>
    </row>
    <row r="232" spans="1:14" ht="165" x14ac:dyDescent="0.25">
      <c r="A232" s="9" t="s">
        <v>879</v>
      </c>
      <c r="B232" s="9" t="s">
        <v>880</v>
      </c>
      <c r="C232" s="9" t="s">
        <v>12</v>
      </c>
      <c r="D232" s="9" t="s">
        <v>881</v>
      </c>
      <c r="E232" s="9"/>
      <c r="F232" s="9" t="s">
        <v>134</v>
      </c>
      <c r="G232" s="9"/>
      <c r="H232" s="9"/>
      <c r="I232" s="9" t="s">
        <v>882</v>
      </c>
      <c r="J232" s="9"/>
      <c r="K232" s="9" t="s">
        <v>883</v>
      </c>
      <c r="L232" s="9"/>
      <c r="M232" s="9" t="str">
        <f>HYPERLINK("https://ceds.ed.gov/cedselementdetails.aspx?termid=14230")</f>
        <v>https://ceds.ed.gov/cedselementdetails.aspx?termid=14230</v>
      </c>
      <c r="N232" s="9" t="str">
        <f>HYPERLINK("https://ceds.ed.gov/elementComment.aspx?elementName=Assessment Item Response Theory DIF Value &amp;elementID=14230", "Click here to submit comment")</f>
        <v>Click here to submit comment</v>
      </c>
    </row>
    <row r="233" spans="1:14" ht="90" x14ac:dyDescent="0.25">
      <c r="A233" s="9" t="s">
        <v>884</v>
      </c>
      <c r="B233" s="9" t="s">
        <v>885</v>
      </c>
      <c r="C233" s="10" t="s">
        <v>6354</v>
      </c>
      <c r="D233" s="9" t="s">
        <v>881</v>
      </c>
      <c r="E233" s="9"/>
      <c r="F233" s="9"/>
      <c r="G233" s="9"/>
      <c r="H233" s="9"/>
      <c r="I233" s="9" t="s">
        <v>886</v>
      </c>
      <c r="J233" s="9"/>
      <c r="K233" s="9" t="s">
        <v>887</v>
      </c>
      <c r="L233" s="9"/>
      <c r="M233" s="9" t="str">
        <f>HYPERLINK("https://ceds.ed.gov/cedselementdetails.aspx?termid=14232")</f>
        <v>https://ceds.ed.gov/cedselementdetails.aspx?termid=14232</v>
      </c>
      <c r="N233" s="9" t="str">
        <f>HYPERLINK("https://ceds.ed.gov/elementComment.aspx?elementName=Assessment Item Response Theory Kappa Algorithm &amp;elementID=14232", "Click here to submit comment")</f>
        <v>Click here to submit comment</v>
      </c>
    </row>
    <row r="234" spans="1:14" ht="45" x14ac:dyDescent="0.25">
      <c r="A234" s="9" t="s">
        <v>888</v>
      </c>
      <c r="B234" s="9" t="s">
        <v>889</v>
      </c>
      <c r="C234" s="9" t="s">
        <v>12</v>
      </c>
      <c r="D234" s="9" t="s">
        <v>881</v>
      </c>
      <c r="E234" s="9"/>
      <c r="F234" s="9" t="s">
        <v>134</v>
      </c>
      <c r="G234" s="9"/>
      <c r="H234" s="9"/>
      <c r="I234" s="9" t="s">
        <v>890</v>
      </c>
      <c r="J234" s="9"/>
      <c r="K234" s="9" t="s">
        <v>891</v>
      </c>
      <c r="L234" s="9"/>
      <c r="M234" s="9" t="str">
        <f>HYPERLINK("https://ceds.ed.gov/cedselementdetails.aspx?termid=14231")</f>
        <v>https://ceds.ed.gov/cedselementdetails.aspx?termid=14231</v>
      </c>
      <c r="N234" s="9" t="str">
        <f>HYPERLINK("https://ceds.ed.gov/elementComment.aspx?elementName=Assessment Item Response Theory Kappa Value &amp;elementID=14231", "Click here to submit comment")</f>
        <v>Click here to submit comment</v>
      </c>
    </row>
    <row r="235" spans="1:14" ht="120" x14ac:dyDescent="0.25">
      <c r="A235" s="9" t="s">
        <v>892</v>
      </c>
      <c r="B235" s="9" t="s">
        <v>893</v>
      </c>
      <c r="C235" s="9" t="s">
        <v>12</v>
      </c>
      <c r="D235" s="9" t="s">
        <v>881</v>
      </c>
      <c r="E235" s="9"/>
      <c r="F235" s="9" t="s">
        <v>134</v>
      </c>
      <c r="G235" s="9"/>
      <c r="H235" s="9"/>
      <c r="I235" s="9" t="s">
        <v>894</v>
      </c>
      <c r="J235" s="9"/>
      <c r="K235" s="9" t="s">
        <v>895</v>
      </c>
      <c r="L235" s="9"/>
      <c r="M235" s="9" t="str">
        <f>HYPERLINK("https://ceds.ed.gov/cedselementdetails.aspx?termid=14217")</f>
        <v>https://ceds.ed.gov/cedselementdetails.aspx?termid=14217</v>
      </c>
      <c r="N235" s="9" t="str">
        <f>HYPERLINK("https://ceds.ed.gov/elementComment.aspx?elementName=Assessment Item Response Theory Parameter A &amp;elementID=14217", "Click here to submit comment")</f>
        <v>Click here to submit comment</v>
      </c>
    </row>
    <row r="236" spans="1:14" ht="75" x14ac:dyDescent="0.25">
      <c r="A236" s="9" t="s">
        <v>896</v>
      </c>
      <c r="B236" s="9" t="s">
        <v>897</v>
      </c>
      <c r="C236" s="9" t="s">
        <v>12</v>
      </c>
      <c r="D236" s="9" t="s">
        <v>881</v>
      </c>
      <c r="E236" s="9"/>
      <c r="F236" s="9" t="s">
        <v>134</v>
      </c>
      <c r="G236" s="9"/>
      <c r="H236" s="9"/>
      <c r="I236" s="9" t="s">
        <v>898</v>
      </c>
      <c r="J236" s="9"/>
      <c r="K236" s="9" t="s">
        <v>899</v>
      </c>
      <c r="L236" s="9"/>
      <c r="M236" s="9" t="str">
        <f>HYPERLINK("https://ceds.ed.gov/cedselementdetails.aspx?termid=14218")</f>
        <v>https://ceds.ed.gov/cedselementdetails.aspx?termid=14218</v>
      </c>
      <c r="N236" s="9" t="str">
        <f>HYPERLINK("https://ceds.ed.gov/elementComment.aspx?elementName=Assessment Item Response Theory Parameter B &amp;elementID=14218", "Click here to submit comment")</f>
        <v>Click here to submit comment</v>
      </c>
    </row>
    <row r="237" spans="1:14" ht="120" x14ac:dyDescent="0.25">
      <c r="A237" s="9" t="s">
        <v>900</v>
      </c>
      <c r="B237" s="9" t="s">
        <v>10497</v>
      </c>
      <c r="C237" s="9" t="s">
        <v>12</v>
      </c>
      <c r="D237" s="9" t="s">
        <v>881</v>
      </c>
      <c r="E237" s="9"/>
      <c r="F237" s="9" t="s">
        <v>134</v>
      </c>
      <c r="G237" s="9"/>
      <c r="H237" s="9"/>
      <c r="I237" s="9" t="s">
        <v>901</v>
      </c>
      <c r="J237" s="9"/>
      <c r="K237" s="9" t="s">
        <v>902</v>
      </c>
      <c r="L237" s="9"/>
      <c r="M237" s="9" t="str">
        <f>HYPERLINK("https://ceds.ed.gov/cedselementdetails.aspx?termid=14220")</f>
        <v>https://ceds.ed.gov/cedselementdetails.aspx?termid=14220</v>
      </c>
      <c r="N237" s="9" t="str">
        <f>HYPERLINK("https://ceds.ed.gov/elementComment.aspx?elementName=Assessment Item Response Theory Parameter C &amp;elementID=14220", "Click here to submit comment")</f>
        <v>Click here to submit comment</v>
      </c>
    </row>
    <row r="238" spans="1:14" ht="90" x14ac:dyDescent="0.25">
      <c r="A238" s="9" t="s">
        <v>903</v>
      </c>
      <c r="B238" s="9" t="s">
        <v>904</v>
      </c>
      <c r="C238" s="9" t="s">
        <v>12</v>
      </c>
      <c r="D238" s="9" t="s">
        <v>881</v>
      </c>
      <c r="E238" s="9"/>
      <c r="F238" s="9" t="s">
        <v>134</v>
      </c>
      <c r="G238" s="9"/>
      <c r="H238" s="9"/>
      <c r="I238" s="9" t="s">
        <v>905</v>
      </c>
      <c r="J238" s="9"/>
      <c r="K238" s="9" t="s">
        <v>906</v>
      </c>
      <c r="L238" s="9"/>
      <c r="M238" s="9" t="str">
        <f>HYPERLINK("https://ceds.ed.gov/cedselementdetails.aspx?termid=14221")</f>
        <v>https://ceds.ed.gov/cedselementdetails.aspx?termid=14221</v>
      </c>
      <c r="N238" s="9" t="str">
        <f>HYPERLINK("https://ceds.ed.gov/elementComment.aspx?elementName=Assessment Item Response Theory Parameter D1 &amp;elementID=14221", "Click here to submit comment")</f>
        <v>Click here to submit comment</v>
      </c>
    </row>
    <row r="239" spans="1:14" ht="90" x14ac:dyDescent="0.25">
      <c r="A239" s="9" t="s">
        <v>907</v>
      </c>
      <c r="B239" s="9" t="s">
        <v>908</v>
      </c>
      <c r="C239" s="9" t="s">
        <v>12</v>
      </c>
      <c r="D239" s="9" t="s">
        <v>881</v>
      </c>
      <c r="E239" s="9"/>
      <c r="F239" s="9" t="s">
        <v>134</v>
      </c>
      <c r="G239" s="9"/>
      <c r="H239" s="9"/>
      <c r="I239" s="9" t="s">
        <v>909</v>
      </c>
      <c r="J239" s="9"/>
      <c r="K239" s="9" t="s">
        <v>910</v>
      </c>
      <c r="L239" s="9"/>
      <c r="M239" s="9" t="str">
        <f>HYPERLINK("https://ceds.ed.gov/cedselementdetails.aspx?termid=14222")</f>
        <v>https://ceds.ed.gov/cedselementdetails.aspx?termid=14222</v>
      </c>
      <c r="N239" s="9" t="str">
        <f>HYPERLINK("https://ceds.ed.gov/elementComment.aspx?elementName=Assessment Item Response Theory Parameter D2 &amp;elementID=14222", "Click here to submit comment")</f>
        <v>Click here to submit comment</v>
      </c>
    </row>
    <row r="240" spans="1:14" ht="90" x14ac:dyDescent="0.25">
      <c r="A240" s="9" t="s">
        <v>911</v>
      </c>
      <c r="B240" s="9" t="s">
        <v>912</v>
      </c>
      <c r="C240" s="9" t="s">
        <v>12</v>
      </c>
      <c r="D240" s="9" t="s">
        <v>881</v>
      </c>
      <c r="E240" s="9"/>
      <c r="F240" s="9" t="s">
        <v>134</v>
      </c>
      <c r="G240" s="9"/>
      <c r="H240" s="9"/>
      <c r="I240" s="9" t="s">
        <v>913</v>
      </c>
      <c r="J240" s="9"/>
      <c r="K240" s="9" t="s">
        <v>914</v>
      </c>
      <c r="L240" s="9"/>
      <c r="M240" s="9" t="str">
        <f>HYPERLINK("https://ceds.ed.gov/cedselementdetails.aspx?termid=14223")</f>
        <v>https://ceds.ed.gov/cedselementdetails.aspx?termid=14223</v>
      </c>
      <c r="N240" s="9" t="str">
        <f>HYPERLINK("https://ceds.ed.gov/elementComment.aspx?elementName=Assessment Item Response Theory Parameter D3 &amp;elementID=14223", "Click here to submit comment")</f>
        <v>Click here to submit comment</v>
      </c>
    </row>
    <row r="241" spans="1:14" ht="90" x14ac:dyDescent="0.25">
      <c r="A241" s="9" t="s">
        <v>915</v>
      </c>
      <c r="B241" s="9" t="s">
        <v>916</v>
      </c>
      <c r="C241" s="9" t="s">
        <v>12</v>
      </c>
      <c r="D241" s="9" t="s">
        <v>881</v>
      </c>
      <c r="E241" s="9"/>
      <c r="F241" s="9" t="s">
        <v>134</v>
      </c>
      <c r="G241" s="9"/>
      <c r="H241" s="9"/>
      <c r="I241" s="9" t="s">
        <v>917</v>
      </c>
      <c r="J241" s="9"/>
      <c r="K241" s="9" t="s">
        <v>918</v>
      </c>
      <c r="L241" s="9"/>
      <c r="M241" s="9" t="str">
        <f>HYPERLINK("https://ceds.ed.gov/cedselementdetails.aspx?termid=14224")</f>
        <v>https://ceds.ed.gov/cedselementdetails.aspx?termid=14224</v>
      </c>
      <c r="N241" s="9" t="str">
        <f>HYPERLINK("https://ceds.ed.gov/elementComment.aspx?elementName=Assessment Item Response Theory Parameter D4 &amp;elementID=14224", "Click here to submit comment")</f>
        <v>Click here to submit comment</v>
      </c>
    </row>
    <row r="242" spans="1:14" ht="90" x14ac:dyDescent="0.25">
      <c r="A242" s="9" t="s">
        <v>919</v>
      </c>
      <c r="B242" s="9" t="s">
        <v>920</v>
      </c>
      <c r="C242" s="9" t="s">
        <v>12</v>
      </c>
      <c r="D242" s="9" t="s">
        <v>881</v>
      </c>
      <c r="E242" s="9"/>
      <c r="F242" s="9" t="s">
        <v>134</v>
      </c>
      <c r="G242" s="9"/>
      <c r="H242" s="9"/>
      <c r="I242" s="9" t="s">
        <v>921</v>
      </c>
      <c r="J242" s="9"/>
      <c r="K242" s="9" t="s">
        <v>922</v>
      </c>
      <c r="L242" s="9"/>
      <c r="M242" s="9" t="str">
        <f>HYPERLINK("https://ceds.ed.gov/cedselementdetails.aspx?termid=14225")</f>
        <v>https://ceds.ed.gov/cedselementdetails.aspx?termid=14225</v>
      </c>
      <c r="N242" s="9" t="str">
        <f>HYPERLINK("https://ceds.ed.gov/elementComment.aspx?elementName=Assessment Item Response Theory Parameter D5 &amp;elementID=14225", "Click here to submit comment")</f>
        <v>Click here to submit comment</v>
      </c>
    </row>
    <row r="243" spans="1:14" ht="90" x14ac:dyDescent="0.25">
      <c r="A243" s="9" t="s">
        <v>923</v>
      </c>
      <c r="B243" s="9" t="s">
        <v>924</v>
      </c>
      <c r="C243" s="9" t="s">
        <v>12</v>
      </c>
      <c r="D243" s="9" t="s">
        <v>881</v>
      </c>
      <c r="E243" s="9"/>
      <c r="F243" s="9" t="s">
        <v>134</v>
      </c>
      <c r="G243" s="9"/>
      <c r="H243" s="9"/>
      <c r="I243" s="9" t="s">
        <v>925</v>
      </c>
      <c r="J243" s="9"/>
      <c r="K243" s="9" t="s">
        <v>926</v>
      </c>
      <c r="L243" s="9"/>
      <c r="M243" s="9" t="str">
        <f>HYPERLINK("https://ceds.ed.gov/cedselementdetails.aspx?termid=14226")</f>
        <v>https://ceds.ed.gov/cedselementdetails.aspx?termid=14226</v>
      </c>
      <c r="N243" s="9" t="str">
        <f>HYPERLINK("https://ceds.ed.gov/elementComment.aspx?elementName=Assessment Item Response Theory Parameter D6 &amp;elementID=14226", "Click here to submit comment")</f>
        <v>Click here to submit comment</v>
      </c>
    </row>
    <row r="244" spans="1:14" ht="120" x14ac:dyDescent="0.25">
      <c r="A244" s="9" t="s">
        <v>927</v>
      </c>
      <c r="B244" s="9" t="s">
        <v>928</v>
      </c>
      <c r="C244" s="10" t="s">
        <v>6355</v>
      </c>
      <c r="D244" s="9" t="s">
        <v>881</v>
      </c>
      <c r="E244" s="9"/>
      <c r="F244" s="9"/>
      <c r="G244" s="9"/>
      <c r="H244" s="9"/>
      <c r="I244" s="9" t="s">
        <v>929</v>
      </c>
      <c r="J244" s="9"/>
      <c r="K244" s="9" t="s">
        <v>930</v>
      </c>
      <c r="L244" s="9"/>
      <c r="M244" s="9" t="str">
        <f>HYPERLINK("https://ceds.ed.gov/cedselementdetails.aspx?termid=14219")</f>
        <v>https://ceds.ed.gov/cedselementdetails.aspx?termid=14219</v>
      </c>
      <c r="N244" s="9" t="str">
        <f>HYPERLINK("https://ceds.ed.gov/elementComment.aspx?elementName=Assessment Item Response Theory Parameter Difficulty Category &amp;elementID=14219", "Click here to submit comment")</f>
        <v>Click here to submit comment</v>
      </c>
    </row>
    <row r="245" spans="1:14" ht="60" x14ac:dyDescent="0.25">
      <c r="A245" s="9" t="s">
        <v>931</v>
      </c>
      <c r="B245" s="9" t="s">
        <v>932</v>
      </c>
      <c r="C245" s="9" t="s">
        <v>12</v>
      </c>
      <c r="D245" s="9" t="s">
        <v>881</v>
      </c>
      <c r="E245" s="9"/>
      <c r="F245" s="9" t="s">
        <v>134</v>
      </c>
      <c r="G245" s="9"/>
      <c r="H245" s="9"/>
      <c r="I245" s="9" t="s">
        <v>933</v>
      </c>
      <c r="J245" s="9"/>
      <c r="K245" s="9" t="s">
        <v>934</v>
      </c>
      <c r="L245" s="9"/>
      <c r="M245" s="9" t="str">
        <f>HYPERLINK("https://ceds.ed.gov/cedselementdetails.aspx?termid=14228")</f>
        <v>https://ceds.ed.gov/cedselementdetails.aspx?termid=14228</v>
      </c>
      <c r="N245" s="9" t="str">
        <f>HYPERLINK("https://ceds.ed.gov/elementComment.aspx?elementName=Assessment Item Response Theory Point Biserial Correlation Value &amp;elementID=14228", "Click here to submit comment")</f>
        <v>Click here to submit comment</v>
      </c>
    </row>
    <row r="246" spans="1:14" ht="45" x14ac:dyDescent="0.25">
      <c r="A246" s="9" t="s">
        <v>935</v>
      </c>
      <c r="B246" s="9" t="s">
        <v>936</v>
      </c>
      <c r="C246" s="9" t="s">
        <v>12</v>
      </c>
      <c r="D246" s="9" t="s">
        <v>814</v>
      </c>
      <c r="E246" s="9"/>
      <c r="F246" s="9" t="s">
        <v>68</v>
      </c>
      <c r="G246" s="9"/>
      <c r="H246" s="9"/>
      <c r="I246" s="9" t="s">
        <v>937</v>
      </c>
      <c r="J246" s="9"/>
      <c r="K246" s="9" t="s">
        <v>938</v>
      </c>
      <c r="L246" s="9" t="s">
        <v>795</v>
      </c>
      <c r="M246" s="9" t="str">
        <f>HYPERLINK("https://ceds.ed.gov/cedselementdetails.aspx?termid=14069")</f>
        <v>https://ceds.ed.gov/cedselementdetails.aspx?termid=14069</v>
      </c>
      <c r="N246" s="9" t="str">
        <f>HYPERLINK("https://ceds.ed.gov/elementComment.aspx?elementName=Assessment Item Response Value &amp;elementID=14069", "Click here to submit comment")</f>
        <v>Click here to submit comment</v>
      </c>
    </row>
    <row r="247" spans="1:14" ht="60" x14ac:dyDescent="0.25">
      <c r="A247" s="9" t="s">
        <v>939</v>
      </c>
      <c r="B247" s="9" t="s">
        <v>940</v>
      </c>
      <c r="C247" s="9" t="s">
        <v>12</v>
      </c>
      <c r="D247" s="9" t="s">
        <v>610</v>
      </c>
      <c r="E247" s="9"/>
      <c r="F247" s="9" t="s">
        <v>303</v>
      </c>
      <c r="G247" s="9"/>
      <c r="H247" s="9" t="s">
        <v>941</v>
      </c>
      <c r="I247" s="9" t="s">
        <v>942</v>
      </c>
      <c r="J247" s="9"/>
      <c r="K247" s="9" t="s">
        <v>943</v>
      </c>
      <c r="L247" s="9"/>
      <c r="M247" s="9" t="str">
        <f>HYPERLINK("https://ceds.ed.gov/cedselementdetails.aspx?termid=14250")</f>
        <v>https://ceds.ed.gov/cedselementdetails.aspx?termid=14250</v>
      </c>
      <c r="N247" s="9" t="str">
        <f>HYPERLINK("https://ceds.ed.gov/elementComment.aspx?elementName=Assessment Item Result XML &amp;elementID=14250", "Click here to submit comment")</f>
        <v>Click here to submit comment</v>
      </c>
    </row>
    <row r="248" spans="1:14" ht="45" x14ac:dyDescent="0.25">
      <c r="A248" s="9" t="s">
        <v>944</v>
      </c>
      <c r="B248" s="9" t="s">
        <v>945</v>
      </c>
      <c r="C248" s="9" t="s">
        <v>12</v>
      </c>
      <c r="D248" s="9" t="s">
        <v>615</v>
      </c>
      <c r="E248" s="9"/>
      <c r="F248" s="9" t="s">
        <v>303</v>
      </c>
      <c r="G248" s="9"/>
      <c r="H248" s="9"/>
      <c r="I248" s="9" t="s">
        <v>946</v>
      </c>
      <c r="J248" s="9"/>
      <c r="K248" s="9" t="s">
        <v>947</v>
      </c>
      <c r="L248" s="9" t="s">
        <v>6135</v>
      </c>
      <c r="M248" s="9" t="str">
        <f>HYPERLINK("https://ceds.ed.gov/cedselementdetails.aspx?termid=13392")</f>
        <v>https://ceds.ed.gov/cedselementdetails.aspx?termid=13392</v>
      </c>
      <c r="N248" s="9" t="str">
        <f>HYPERLINK("https://ceds.ed.gov/elementComment.aspx?elementName=Assessment Item Stem &amp;elementID=13392", "Click here to submit comment")</f>
        <v>Click here to submit comment</v>
      </c>
    </row>
    <row r="249" spans="1:14" ht="90" x14ac:dyDescent="0.25">
      <c r="A249" s="9" t="s">
        <v>948</v>
      </c>
      <c r="B249" s="9" t="s">
        <v>949</v>
      </c>
      <c r="C249" s="9" t="s">
        <v>12</v>
      </c>
      <c r="D249" s="9" t="s">
        <v>615</v>
      </c>
      <c r="E249" s="9"/>
      <c r="F249" s="9" t="s">
        <v>303</v>
      </c>
      <c r="G249" s="9"/>
      <c r="H249" s="9"/>
      <c r="I249" s="9" t="s">
        <v>950</v>
      </c>
      <c r="J249" s="9"/>
      <c r="K249" s="9" t="s">
        <v>951</v>
      </c>
      <c r="L249" s="9"/>
      <c r="M249" s="9" t="str">
        <f>HYPERLINK("https://ceds.ed.gov/cedselementdetails.aspx?termid=14234")</f>
        <v>https://ceds.ed.gov/cedselementdetails.aspx?termid=14234</v>
      </c>
      <c r="N249" s="9" t="str">
        <f>HYPERLINK("https://ceds.ed.gov/elementComment.aspx?elementName=Assessment Item Stimulus &amp;elementID=14234", "Click here to submit comment")</f>
        <v>Click here to submit comment</v>
      </c>
    </row>
    <row r="250" spans="1:14" ht="300" x14ac:dyDescent="0.25">
      <c r="A250" s="9" t="s">
        <v>952</v>
      </c>
      <c r="B250" s="9" t="s">
        <v>953</v>
      </c>
      <c r="C250" s="10" t="s">
        <v>6356</v>
      </c>
      <c r="D250" s="9" t="s">
        <v>615</v>
      </c>
      <c r="E250" s="9"/>
      <c r="F250" s="9"/>
      <c r="G250" s="9"/>
      <c r="H250" s="9"/>
      <c r="I250" s="9" t="s">
        <v>954</v>
      </c>
      <c r="J250" s="9"/>
      <c r="K250" s="9" t="s">
        <v>955</v>
      </c>
      <c r="L250" s="9"/>
      <c r="M250" s="9" t="str">
        <f>HYPERLINK("https://ceds.ed.gov/cedselementdetails.aspx?termid=13907")</f>
        <v>https://ceds.ed.gov/cedselementdetails.aspx?termid=13907</v>
      </c>
      <c r="N250" s="9" t="str">
        <f>HYPERLINK("https://ceds.ed.gov/elementComment.aspx?elementName=Assessment Item Text Complexity System &amp;elementID=13907", "Click here to submit comment")</f>
        <v>Click here to submit comment</v>
      </c>
    </row>
    <row r="251" spans="1:14" ht="75" x14ac:dyDescent="0.25">
      <c r="A251" s="9" t="s">
        <v>956</v>
      </c>
      <c r="B251" s="9" t="s">
        <v>957</v>
      </c>
      <c r="C251" s="9" t="s">
        <v>12</v>
      </c>
      <c r="D251" s="9" t="s">
        <v>615</v>
      </c>
      <c r="E251" s="9"/>
      <c r="F251" s="9" t="s">
        <v>87</v>
      </c>
      <c r="G251" s="9"/>
      <c r="H251" s="9"/>
      <c r="I251" s="9" t="s">
        <v>958</v>
      </c>
      <c r="J251" s="9"/>
      <c r="K251" s="9" t="s">
        <v>959</v>
      </c>
      <c r="L251" s="9"/>
      <c r="M251" s="9" t="str">
        <f>HYPERLINK("https://ceds.ed.gov/cedselementdetails.aspx?termid=13906")</f>
        <v>https://ceds.ed.gov/cedselementdetails.aspx?termid=13906</v>
      </c>
      <c r="N251" s="9" t="str">
        <f>HYPERLINK("https://ceds.ed.gov/elementComment.aspx?elementName=Assessment Item Text Complexity Value &amp;elementID=13906", "Click here to submit comment")</f>
        <v>Click here to submit comment</v>
      </c>
    </row>
    <row r="252" spans="1:14" ht="315" x14ac:dyDescent="0.25">
      <c r="A252" s="9" t="s">
        <v>960</v>
      </c>
      <c r="B252" s="9" t="s">
        <v>961</v>
      </c>
      <c r="C252" s="10" t="s">
        <v>6357</v>
      </c>
      <c r="D252" s="9" t="s">
        <v>615</v>
      </c>
      <c r="E252" s="9"/>
      <c r="F252" s="9"/>
      <c r="G252" s="9"/>
      <c r="H252" s="9"/>
      <c r="I252" s="9" t="s">
        <v>962</v>
      </c>
      <c r="J252" s="9"/>
      <c r="K252" s="9" t="s">
        <v>963</v>
      </c>
      <c r="L252" s="9" t="s">
        <v>6135</v>
      </c>
      <c r="M252" s="9" t="str">
        <f>HYPERLINK("https://ceds.ed.gov/cedselementdetails.aspx?termid=13382")</f>
        <v>https://ceds.ed.gov/cedselementdetails.aspx?termid=13382</v>
      </c>
      <c r="N252" s="9" t="str">
        <f>HYPERLINK("https://ceds.ed.gov/elementComment.aspx?elementName=Assessment Item Type &amp;elementID=13382", "Click here to submit comment")</f>
        <v>Click here to submit comment</v>
      </c>
    </row>
    <row r="253" spans="1:14" ht="90" x14ac:dyDescent="0.25">
      <c r="A253" s="9" t="s">
        <v>964</v>
      </c>
      <c r="B253" s="9" t="s">
        <v>965</v>
      </c>
      <c r="C253" s="11" t="s">
        <v>966</v>
      </c>
      <c r="D253" s="9" t="s">
        <v>498</v>
      </c>
      <c r="E253" s="9"/>
      <c r="F253" s="9"/>
      <c r="G253" s="9"/>
      <c r="H253" s="11" t="s">
        <v>967</v>
      </c>
      <c r="I253" s="9" t="s">
        <v>968</v>
      </c>
      <c r="J253" s="9"/>
      <c r="K253" s="9" t="s">
        <v>969</v>
      </c>
      <c r="L253" s="9"/>
      <c r="M253" s="9" t="str">
        <f>HYPERLINK("https://ceds.ed.gov/cedselementdetails.aspx?termid=14073")</f>
        <v>https://ceds.ed.gov/cedselementdetails.aspx?termid=14073</v>
      </c>
      <c r="N253" s="9" t="str">
        <f>HYPERLINK("https://ceds.ed.gov/elementComment.aspx?elementName=Assessment Language &amp;elementID=14073", "Click here to submit comment")</f>
        <v>Click here to submit comment</v>
      </c>
    </row>
    <row r="254" spans="1:14" ht="360" x14ac:dyDescent="0.25">
      <c r="A254" s="9" t="s">
        <v>970</v>
      </c>
      <c r="B254" s="9" t="s">
        <v>971</v>
      </c>
      <c r="C254" s="10" t="s">
        <v>6358</v>
      </c>
      <c r="D254" s="9" t="s">
        <v>6136</v>
      </c>
      <c r="E254" s="9"/>
      <c r="F254" s="9"/>
      <c r="G254" s="9"/>
      <c r="H254" s="9"/>
      <c r="I254" s="9" t="s">
        <v>972</v>
      </c>
      <c r="J254" s="9"/>
      <c r="K254" s="9" t="s">
        <v>973</v>
      </c>
      <c r="L254" s="9" t="s">
        <v>6137</v>
      </c>
      <c r="M254" s="9" t="str">
        <f>HYPERLINK("https://ceds.ed.gov/cedselementdetails.aspx?termid=13177")</f>
        <v>https://ceds.ed.gov/cedselementdetails.aspx?termid=13177</v>
      </c>
      <c r="N254" s="9" t="str">
        <f>HYPERLINK("https://ceds.ed.gov/elementComment.aspx?elementName=Assessment Level for Which Designed &amp;elementID=13177", "Click here to submit comment")</f>
        <v>Click here to submit comment</v>
      </c>
    </row>
    <row r="255" spans="1:14" ht="90" x14ac:dyDescent="0.25">
      <c r="A255" s="9" t="s">
        <v>974</v>
      </c>
      <c r="B255" s="9" t="s">
        <v>975</v>
      </c>
      <c r="C255" s="10" t="s">
        <v>6359</v>
      </c>
      <c r="D255" s="9" t="s">
        <v>976</v>
      </c>
      <c r="E255" s="9"/>
      <c r="F255" s="9"/>
      <c r="G255" s="9"/>
      <c r="H255" s="9"/>
      <c r="I255" s="9" t="s">
        <v>977</v>
      </c>
      <c r="J255" s="9"/>
      <c r="K255" s="9" t="s">
        <v>978</v>
      </c>
      <c r="L255" s="9"/>
      <c r="M255" s="9" t="str">
        <f>HYPERLINK("https://ceds.ed.gov/cedselementdetails.aspx?termid=14045")</f>
        <v>https://ceds.ed.gov/cedselementdetails.aspx?termid=14045</v>
      </c>
      <c r="N255" s="9" t="str">
        <f>HYPERLINK("https://ceds.ed.gov/elementComment.aspx?elementName=Assessment Need Alternative Representation Type &amp;elementID=14045", "Click here to submit comment")</f>
        <v>Click here to submit comment</v>
      </c>
    </row>
    <row r="256" spans="1:14" ht="60" x14ac:dyDescent="0.25">
      <c r="A256" s="9" t="s">
        <v>979</v>
      </c>
      <c r="B256" s="9" t="s">
        <v>980</v>
      </c>
      <c r="C256" s="9" t="s">
        <v>12</v>
      </c>
      <c r="D256" s="9" t="s">
        <v>981</v>
      </c>
      <c r="E256" s="9"/>
      <c r="F256" s="9" t="s">
        <v>982</v>
      </c>
      <c r="G256" s="9"/>
      <c r="H256" s="9"/>
      <c r="I256" s="9" t="s">
        <v>983</v>
      </c>
      <c r="J256" s="9"/>
      <c r="K256" s="9" t="s">
        <v>984</v>
      </c>
      <c r="L256" s="9"/>
      <c r="M256" s="9" t="str">
        <f>HYPERLINK("https://ceds.ed.gov/cedselementdetails.aspx?termid=14059")</f>
        <v>https://ceds.ed.gov/cedselementdetails.aspx?termid=14059</v>
      </c>
      <c r="N256" s="9" t="str">
        <f>HYPERLINK("https://ceds.ed.gov/elementComment.aspx?elementName=Assessment Need Background Color &amp;elementID=14059", "Click here to submit comment")</f>
        <v>Click here to submit comment</v>
      </c>
    </row>
    <row r="257" spans="1:14" ht="45" x14ac:dyDescent="0.25">
      <c r="A257" s="9" t="s">
        <v>985</v>
      </c>
      <c r="B257" s="9" t="s">
        <v>986</v>
      </c>
      <c r="C257" s="9" t="s">
        <v>12</v>
      </c>
      <c r="D257" s="9" t="s">
        <v>987</v>
      </c>
      <c r="E257" s="9"/>
      <c r="F257" s="9" t="s">
        <v>3018</v>
      </c>
      <c r="G257" s="9"/>
      <c r="H257" s="9"/>
      <c r="I257" s="9" t="s">
        <v>988</v>
      </c>
      <c r="J257" s="9"/>
      <c r="K257" s="9" t="s">
        <v>989</v>
      </c>
      <c r="L257" s="9"/>
      <c r="M257" s="9" t="str">
        <f>HYPERLINK("https://ceds.ed.gov/cedselementdetails.aspx?termid=14040")</f>
        <v>https://ceds.ed.gov/cedselementdetails.aspx?termid=14040</v>
      </c>
      <c r="N257" s="9" t="str">
        <f>HYPERLINK("https://ceds.ed.gov/elementComment.aspx?elementName=Assessment Need Braille Dot Pressure &amp;elementID=14040", "Click here to submit comment")</f>
        <v>Click here to submit comment</v>
      </c>
    </row>
    <row r="258" spans="1:14" ht="60" x14ac:dyDescent="0.25">
      <c r="A258" s="9" t="s">
        <v>990</v>
      </c>
      <c r="B258" s="9" t="s">
        <v>991</v>
      </c>
      <c r="C258" s="10" t="s">
        <v>6360</v>
      </c>
      <c r="D258" s="9" t="s">
        <v>987</v>
      </c>
      <c r="E258" s="9"/>
      <c r="F258" s="9"/>
      <c r="G258" s="9"/>
      <c r="H258" s="9"/>
      <c r="I258" s="9" t="s">
        <v>992</v>
      </c>
      <c r="J258" s="9"/>
      <c r="K258" s="9" t="s">
        <v>993</v>
      </c>
      <c r="L258" s="9"/>
      <c r="M258" s="9" t="str">
        <f>HYPERLINK("https://ceds.ed.gov/cedselementdetails.aspx?termid=14035")</f>
        <v>https://ceds.ed.gov/cedselementdetails.aspx?termid=14035</v>
      </c>
      <c r="N258" s="9" t="str">
        <f>HYPERLINK("https://ceds.ed.gov/elementComment.aspx?elementName=Assessment Need Braille Grade Type &amp;elementID=14035", "Click here to submit comment")</f>
        <v>Click here to submit comment</v>
      </c>
    </row>
    <row r="259" spans="1:14" ht="105" x14ac:dyDescent="0.25">
      <c r="A259" s="9" t="s">
        <v>994</v>
      </c>
      <c r="B259" s="9" t="s">
        <v>995</v>
      </c>
      <c r="C259" s="10" t="s">
        <v>6361</v>
      </c>
      <c r="D259" s="9" t="s">
        <v>987</v>
      </c>
      <c r="E259" s="9"/>
      <c r="F259" s="9"/>
      <c r="G259" s="9"/>
      <c r="H259" s="9"/>
      <c r="I259" s="9" t="s">
        <v>996</v>
      </c>
      <c r="J259" s="9"/>
      <c r="K259" s="9" t="s">
        <v>997</v>
      </c>
      <c r="L259" s="9"/>
      <c r="M259" s="9" t="str">
        <f>HYPERLINK("https://ceds.ed.gov/cedselementdetails.aspx?termid=14038")</f>
        <v>https://ceds.ed.gov/cedselementdetails.aspx?termid=14038</v>
      </c>
      <c r="N259" s="9" t="str">
        <f>HYPERLINK("https://ceds.ed.gov/elementComment.aspx?elementName=Assessment Need Braille Mark Type &amp;elementID=14038", "Click here to submit comment")</f>
        <v>Click here to submit comment</v>
      </c>
    </row>
    <row r="260" spans="1:14" ht="60" x14ac:dyDescent="0.25">
      <c r="A260" s="9" t="s">
        <v>998</v>
      </c>
      <c r="B260" s="9" t="s">
        <v>999</v>
      </c>
      <c r="C260" s="10" t="s">
        <v>6362</v>
      </c>
      <c r="D260" s="9" t="s">
        <v>987</v>
      </c>
      <c r="E260" s="9"/>
      <c r="F260" s="9"/>
      <c r="G260" s="9"/>
      <c r="H260" s="9"/>
      <c r="I260" s="9" t="s">
        <v>1000</v>
      </c>
      <c r="J260" s="9"/>
      <c r="K260" s="9" t="s">
        <v>1001</v>
      </c>
      <c r="L260" s="9"/>
      <c r="M260" s="9" t="str">
        <f>HYPERLINK("https://ceds.ed.gov/cedselementdetails.aspx?termid=14041")</f>
        <v>https://ceds.ed.gov/cedselementdetails.aspx?termid=14041</v>
      </c>
      <c r="N260" s="9" t="str">
        <f>HYPERLINK("https://ceds.ed.gov/elementComment.aspx?elementName=Assessment Need Braille Status Cell Type &amp;elementID=14041", "Click here to submit comment")</f>
        <v>Click here to submit comment</v>
      </c>
    </row>
    <row r="261" spans="1:14" ht="75" x14ac:dyDescent="0.25">
      <c r="A261" s="9" t="s">
        <v>1002</v>
      </c>
      <c r="B261" s="9" t="s">
        <v>1003</v>
      </c>
      <c r="C261" s="9" t="s">
        <v>6106</v>
      </c>
      <c r="D261" s="9" t="s">
        <v>976</v>
      </c>
      <c r="E261" s="9"/>
      <c r="F261" s="9"/>
      <c r="G261" s="9"/>
      <c r="H261" s="9"/>
      <c r="I261" s="9" t="s">
        <v>1004</v>
      </c>
      <c r="J261" s="9"/>
      <c r="K261" s="9" t="s">
        <v>1005</v>
      </c>
      <c r="L261" s="9"/>
      <c r="M261" s="9" t="str">
        <f>HYPERLINK("https://ceds.ed.gov/cedselementdetails.aspx?termid=14050")</f>
        <v>https://ceds.ed.gov/cedselementdetails.aspx?termid=14050</v>
      </c>
      <c r="N261" s="9" t="str">
        <f>HYPERLINK("https://ceds.ed.gov/elementComment.aspx?elementName=Assessment Need Directions Only &amp;elementID=14050", "Click here to submit comment")</f>
        <v>Click here to submit comment</v>
      </c>
    </row>
    <row r="262" spans="1:14" ht="60" x14ac:dyDescent="0.25">
      <c r="A262" s="9" t="s">
        <v>1006</v>
      </c>
      <c r="B262" s="9" t="s">
        <v>1007</v>
      </c>
      <c r="C262" s="9" t="s">
        <v>12</v>
      </c>
      <c r="D262" s="9" t="s">
        <v>981</v>
      </c>
      <c r="E262" s="9"/>
      <c r="F262" s="9" t="s">
        <v>982</v>
      </c>
      <c r="G262" s="9"/>
      <c r="H262" s="9"/>
      <c r="I262" s="9" t="s">
        <v>1008</v>
      </c>
      <c r="J262" s="9"/>
      <c r="K262" s="9" t="s">
        <v>1009</v>
      </c>
      <c r="L262" s="9"/>
      <c r="M262" s="9" t="str">
        <f>HYPERLINK("https://ceds.ed.gov/cedselementdetails.aspx?termid=14058")</f>
        <v>https://ceds.ed.gov/cedselementdetails.aspx?termid=14058</v>
      </c>
      <c r="N262" s="9" t="str">
        <f>HYPERLINK("https://ceds.ed.gov/elementComment.aspx?elementName=Assessment Need Foreground Color &amp;elementID=14058", "Click here to submit comment")</f>
        <v>Click here to submit comment</v>
      </c>
    </row>
    <row r="263" spans="1:14" ht="75" x14ac:dyDescent="0.25">
      <c r="A263" s="9" t="s">
        <v>1010</v>
      </c>
      <c r="B263" s="9" t="s">
        <v>1011</v>
      </c>
      <c r="C263" s="10" t="s">
        <v>6363</v>
      </c>
      <c r="D263" s="9" t="s">
        <v>976</v>
      </c>
      <c r="E263" s="9"/>
      <c r="F263" s="9"/>
      <c r="G263" s="9"/>
      <c r="H263" s="9"/>
      <c r="I263" s="9" t="s">
        <v>1012</v>
      </c>
      <c r="J263" s="9"/>
      <c r="K263" s="9" t="s">
        <v>1013</v>
      </c>
      <c r="L263" s="9"/>
      <c r="M263" s="9" t="str">
        <f>HYPERLINK("https://ceds.ed.gov/cedselementdetails.aspx?termid=14026")</f>
        <v>https://ceds.ed.gov/cedselementdetails.aspx?termid=14026</v>
      </c>
      <c r="N263" s="9" t="str">
        <f>HYPERLINK("https://ceds.ed.gov/elementComment.aspx?elementName=Assessment Need Hazard Type &amp;elementID=14026", "Click here to submit comment")</f>
        <v>Click here to submit comment</v>
      </c>
    </row>
    <row r="264" spans="1:14" ht="60" x14ac:dyDescent="0.25">
      <c r="A264" s="9" t="s">
        <v>1014</v>
      </c>
      <c r="B264" s="9" t="s">
        <v>1015</v>
      </c>
      <c r="C264" s="10" t="s">
        <v>6364</v>
      </c>
      <c r="D264" s="9" t="s">
        <v>981</v>
      </c>
      <c r="E264" s="9"/>
      <c r="F264" s="9"/>
      <c r="G264" s="9"/>
      <c r="H264" s="9"/>
      <c r="I264" s="9" t="s">
        <v>1016</v>
      </c>
      <c r="J264" s="9"/>
      <c r="K264" s="9" t="s">
        <v>1017</v>
      </c>
      <c r="L264" s="9"/>
      <c r="M264" s="9" t="str">
        <f>HYPERLINK("https://ceds.ed.gov/cedselementdetails.aspx?termid=14060")</f>
        <v>https://ceds.ed.gov/cedselementdetails.aspx?termid=14060</v>
      </c>
      <c r="N264" s="9" t="str">
        <f>HYPERLINK("https://ceds.ed.gov/elementComment.aspx?elementName=Assessment Need Increased Whitespacing Type &amp;elementID=14060", "Click here to submit comment")</f>
        <v>Click here to submit comment</v>
      </c>
    </row>
    <row r="265" spans="1:14" ht="60" x14ac:dyDescent="0.25">
      <c r="A265" s="9" t="s">
        <v>1018</v>
      </c>
      <c r="B265" s="9" t="s">
        <v>1019</v>
      </c>
      <c r="C265" s="9" t="s">
        <v>6106</v>
      </c>
      <c r="D265" s="9" t="s">
        <v>987</v>
      </c>
      <c r="E265" s="9"/>
      <c r="F265" s="9"/>
      <c r="G265" s="9"/>
      <c r="H265" s="9"/>
      <c r="I265" s="9" t="s">
        <v>1020</v>
      </c>
      <c r="J265" s="9"/>
      <c r="K265" s="9" t="s">
        <v>1021</v>
      </c>
      <c r="L265" s="9"/>
      <c r="M265" s="9" t="str">
        <f>HYPERLINK("https://ceds.ed.gov/cedselementdetails.aspx?termid=14033")</f>
        <v>https://ceds.ed.gov/cedselementdetails.aspx?termid=14033</v>
      </c>
      <c r="N265" s="9" t="str">
        <f>HYPERLINK("https://ceds.ed.gov/elementComment.aspx?elementName=Assessment Need Invert Color Choice &amp;elementID=14033", "Click here to submit comment")</f>
        <v>Click here to submit comment</v>
      </c>
    </row>
    <row r="266" spans="1:14" ht="90" x14ac:dyDescent="0.25">
      <c r="A266" s="9" t="s">
        <v>1022</v>
      </c>
      <c r="B266" s="9" t="s">
        <v>1023</v>
      </c>
      <c r="C266" s="11" t="s">
        <v>966</v>
      </c>
      <c r="D266" s="9" t="s">
        <v>976</v>
      </c>
      <c r="E266" s="9"/>
      <c r="F266" s="9"/>
      <c r="G266" s="9"/>
      <c r="H266" s="11" t="s">
        <v>967</v>
      </c>
      <c r="I266" s="9" t="s">
        <v>1024</v>
      </c>
      <c r="J266" s="9"/>
      <c r="K266" s="9" t="s">
        <v>1025</v>
      </c>
      <c r="L266" s="9"/>
      <c r="M266" s="9" t="str">
        <f>HYPERLINK("https://ceds.ed.gov/cedselementdetails.aspx?termid=14042")</f>
        <v>https://ceds.ed.gov/cedselementdetails.aspx?termid=14042</v>
      </c>
      <c r="N266" s="9" t="str">
        <f>HYPERLINK("https://ceds.ed.gov/elementComment.aspx?elementName=Assessment Need Item Translation Display Language Type &amp;elementID=14042", "Click here to submit comment")</f>
        <v>Click here to submit comment</v>
      </c>
    </row>
    <row r="267" spans="1:14" ht="90" x14ac:dyDescent="0.25">
      <c r="A267" s="9" t="s">
        <v>1026</v>
      </c>
      <c r="B267" s="9" t="s">
        <v>1027</v>
      </c>
      <c r="C267" s="11" t="s">
        <v>966</v>
      </c>
      <c r="D267" s="9" t="s">
        <v>976</v>
      </c>
      <c r="E267" s="9"/>
      <c r="F267" s="9"/>
      <c r="G267" s="9"/>
      <c r="H267" s="11" t="s">
        <v>967</v>
      </c>
      <c r="I267" s="9" t="s">
        <v>1028</v>
      </c>
      <c r="J267" s="9"/>
      <c r="K267" s="9" t="s">
        <v>1029</v>
      </c>
      <c r="L267" s="9"/>
      <c r="M267" s="9" t="str">
        <f>HYPERLINK("https://ceds.ed.gov/cedselementdetails.aspx?termid=14043")</f>
        <v>https://ceds.ed.gov/cedselementdetails.aspx?termid=14043</v>
      </c>
      <c r="N267" s="9" t="str">
        <f>HYPERLINK("https://ceds.ed.gov/elementComment.aspx?elementName=Assessment Need Keyword Translation Language Type &amp;elementID=14043", "Click here to submit comment")</f>
        <v>Click here to submit comment</v>
      </c>
    </row>
    <row r="268" spans="1:14" ht="90" x14ac:dyDescent="0.25">
      <c r="A268" s="9" t="s">
        <v>1030</v>
      </c>
      <c r="B268" s="9" t="s">
        <v>1031</v>
      </c>
      <c r="C268" s="11" t="s">
        <v>966</v>
      </c>
      <c r="D268" s="9" t="s">
        <v>1032</v>
      </c>
      <c r="E268" s="9"/>
      <c r="F268" s="9"/>
      <c r="G268" s="9"/>
      <c r="H268" s="11" t="s">
        <v>967</v>
      </c>
      <c r="I268" s="9" t="s">
        <v>1033</v>
      </c>
      <c r="J268" s="9"/>
      <c r="K268" s="9" t="s">
        <v>1034</v>
      </c>
      <c r="L268" s="9"/>
      <c r="M268" s="9" t="str">
        <f>HYPERLINK("https://ceds.ed.gov/cedselementdetails.aspx?termid=14025")</f>
        <v>https://ceds.ed.gov/cedselementdetails.aspx?termid=14025</v>
      </c>
      <c r="N268" s="9" t="str">
        <f>HYPERLINK("https://ceds.ed.gov/elementComment.aspx?elementName=Assessment Need Language Type &amp;elementID=14025", "Click here to submit comment")</f>
        <v>Click here to submit comment</v>
      </c>
    </row>
    <row r="269" spans="1:14" ht="60" x14ac:dyDescent="0.25">
      <c r="A269" s="9" t="s">
        <v>1035</v>
      </c>
      <c r="B269" s="9" t="s">
        <v>1036</v>
      </c>
      <c r="C269" s="9" t="s">
        <v>12</v>
      </c>
      <c r="D269" s="9" t="s">
        <v>987</v>
      </c>
      <c r="E269" s="9"/>
      <c r="F269" s="9" t="s">
        <v>982</v>
      </c>
      <c r="G269" s="9"/>
      <c r="H269" s="9"/>
      <c r="I269" s="9" t="s">
        <v>1037</v>
      </c>
      <c r="J269" s="9"/>
      <c r="K269" s="9" t="s">
        <v>1038</v>
      </c>
      <c r="L269" s="9"/>
      <c r="M269" s="9" t="str">
        <f>HYPERLINK("https://ceds.ed.gov/cedselementdetails.aspx?termid=14056")</f>
        <v>https://ceds.ed.gov/cedselementdetails.aspx?termid=14056</v>
      </c>
      <c r="N269" s="9" t="str">
        <f>HYPERLINK("https://ceds.ed.gov/elementComment.aspx?elementName=Assessment Need Line Reader Highlight Color &amp;elementID=14056", "Click here to submit comment")</f>
        <v>Click here to submit comment</v>
      </c>
    </row>
    <row r="270" spans="1:14" ht="75" x14ac:dyDescent="0.25">
      <c r="A270" s="9" t="s">
        <v>1039</v>
      </c>
      <c r="B270" s="9" t="s">
        <v>1040</v>
      </c>
      <c r="C270" s="10" t="s">
        <v>6365</v>
      </c>
      <c r="D270" s="9" t="s">
        <v>987</v>
      </c>
      <c r="E270" s="9"/>
      <c r="F270" s="9"/>
      <c r="G270" s="9"/>
      <c r="H270" s="9"/>
      <c r="I270" s="9" t="s">
        <v>1041</v>
      </c>
      <c r="J270" s="9"/>
      <c r="K270" s="9" t="s">
        <v>1042</v>
      </c>
      <c r="L270" s="9"/>
      <c r="M270" s="9" t="str">
        <f>HYPERLINK("https://ceds.ed.gov/cedselementdetails.aspx?termid=14029")</f>
        <v>https://ceds.ed.gov/cedselementdetails.aspx?termid=14029</v>
      </c>
      <c r="N270" s="9" t="str">
        <f>HYPERLINK("https://ceds.ed.gov/elementComment.aspx?elementName=Assessment Need Link Indication Type &amp;elementID=14029", "Click here to submit comment")</f>
        <v>Click here to submit comment</v>
      </c>
    </row>
    <row r="271" spans="1:14" ht="60" x14ac:dyDescent="0.25">
      <c r="A271" s="9" t="s">
        <v>1043</v>
      </c>
      <c r="B271" s="9" t="s">
        <v>1044</v>
      </c>
      <c r="C271" s="9" t="s">
        <v>12</v>
      </c>
      <c r="D271" s="9" t="s">
        <v>987</v>
      </c>
      <c r="E271" s="9"/>
      <c r="F271" s="9" t="s">
        <v>3018</v>
      </c>
      <c r="G271" s="9"/>
      <c r="H271" s="9"/>
      <c r="I271" s="9" t="s">
        <v>1045</v>
      </c>
      <c r="J271" s="9"/>
      <c r="K271" s="9" t="s">
        <v>1046</v>
      </c>
      <c r="L271" s="9"/>
      <c r="M271" s="9" t="str">
        <f>HYPERLINK("https://ceds.ed.gov/cedselementdetails.aspx?termid=14034")</f>
        <v>https://ceds.ed.gov/cedselementdetails.aspx?termid=14034</v>
      </c>
      <c r="N271" s="9" t="str">
        <f>HYPERLINK("https://ceds.ed.gov/elementComment.aspx?elementName=Assessment Need Magnification &amp;elementID=14034", "Click here to submit comment")</f>
        <v>Click here to submit comment</v>
      </c>
    </row>
    <row r="272" spans="1:14" ht="75" x14ac:dyDescent="0.25">
      <c r="A272" s="9" t="s">
        <v>1047</v>
      </c>
      <c r="B272" s="9" t="s">
        <v>1048</v>
      </c>
      <c r="C272" s="10" t="s">
        <v>6366</v>
      </c>
      <c r="D272" s="9" t="s">
        <v>987</v>
      </c>
      <c r="E272" s="9"/>
      <c r="F272" s="9"/>
      <c r="G272" s="9"/>
      <c r="H272" s="9"/>
      <c r="I272" s="9" t="s">
        <v>1049</v>
      </c>
      <c r="J272" s="9"/>
      <c r="K272" s="9" t="s">
        <v>1050</v>
      </c>
      <c r="L272" s="9"/>
      <c r="M272" s="9" t="str">
        <f>HYPERLINK("https://ceds.ed.gov/cedselementdetails.aspx?termid=14051")</f>
        <v>https://ceds.ed.gov/cedselementdetails.aspx?termid=14051</v>
      </c>
      <c r="N272" s="9" t="str">
        <f>HYPERLINK("https://ceds.ed.gov/elementComment.aspx?elementName=Assessment Need Masking Type &amp;elementID=14051", "Click here to submit comment")</f>
        <v>Click here to submit comment</v>
      </c>
    </row>
    <row r="273" spans="1:14" ht="45" x14ac:dyDescent="0.25">
      <c r="A273" s="9" t="s">
        <v>1051</v>
      </c>
      <c r="B273" s="9" t="s">
        <v>1052</v>
      </c>
      <c r="C273" s="9" t="s">
        <v>12</v>
      </c>
      <c r="D273" s="9" t="s">
        <v>987</v>
      </c>
      <c r="E273" s="9"/>
      <c r="F273" s="9" t="s">
        <v>10489</v>
      </c>
      <c r="G273" s="9"/>
      <c r="H273" s="9"/>
      <c r="I273" s="9" t="s">
        <v>1053</v>
      </c>
      <c r="J273" s="9"/>
      <c r="K273" s="9" t="s">
        <v>1054</v>
      </c>
      <c r="L273" s="9"/>
      <c r="M273" s="9" t="str">
        <f>HYPERLINK("https://ceds.ed.gov/cedselementdetails.aspx?termid=14037")</f>
        <v>https://ceds.ed.gov/cedselementdetails.aspx?termid=14037</v>
      </c>
      <c r="N273" s="9" t="str">
        <f>HYPERLINK("https://ceds.ed.gov/elementComment.aspx?elementName=Assessment Need Number of Braille Cells &amp;elementID=14037", "Click here to submit comment")</f>
        <v>Click here to submit comment</v>
      </c>
    </row>
    <row r="274" spans="1:14" ht="45" x14ac:dyDescent="0.25">
      <c r="A274" s="9" t="s">
        <v>1055</v>
      </c>
      <c r="B274" s="9" t="s">
        <v>1056</v>
      </c>
      <c r="C274" s="10" t="s">
        <v>6367</v>
      </c>
      <c r="D274" s="9" t="s">
        <v>987</v>
      </c>
      <c r="E274" s="9"/>
      <c r="F274" s="9"/>
      <c r="G274" s="9"/>
      <c r="H274" s="9"/>
      <c r="I274" s="9" t="s">
        <v>1057</v>
      </c>
      <c r="J274" s="9"/>
      <c r="K274" s="9" t="s">
        <v>1058</v>
      </c>
      <c r="L274" s="9"/>
      <c r="M274" s="9" t="str">
        <f>HYPERLINK("https://ceds.ed.gov/cedselementdetails.aspx?termid=14036")</f>
        <v>https://ceds.ed.gov/cedselementdetails.aspx?termid=14036</v>
      </c>
      <c r="N274" s="9" t="str">
        <f>HYPERLINK("https://ceds.ed.gov/elementComment.aspx?elementName=Assessment Need Number of Braille Dots Type &amp;elementID=14036", "Click here to submit comment")</f>
        <v>Click here to submit comment</v>
      </c>
    </row>
    <row r="275" spans="1:14" ht="60" x14ac:dyDescent="0.25">
      <c r="A275" s="9" t="s">
        <v>1059</v>
      </c>
      <c r="B275" s="9" t="s">
        <v>1060</v>
      </c>
      <c r="C275" s="9" t="s">
        <v>12</v>
      </c>
      <c r="D275" s="9" t="s">
        <v>981</v>
      </c>
      <c r="E275" s="9"/>
      <c r="F275" s="9" t="s">
        <v>982</v>
      </c>
      <c r="G275" s="9"/>
      <c r="H275" s="9"/>
      <c r="I275" s="9" t="s">
        <v>1061</v>
      </c>
      <c r="J275" s="9"/>
      <c r="K275" s="9" t="s">
        <v>1062</v>
      </c>
      <c r="L275" s="9"/>
      <c r="M275" s="9" t="str">
        <f>HYPERLINK("https://ceds.ed.gov/cedselementdetails.aspx?termid=14057")</f>
        <v>https://ceds.ed.gov/cedselementdetails.aspx?termid=14057</v>
      </c>
      <c r="N275" s="9" t="str">
        <f>HYPERLINK("https://ceds.ed.gov/elementComment.aspx?elementName=Assessment Need Overlay Color &amp;elementID=14057", "Click here to submit comment")</f>
        <v>Click here to submit comment</v>
      </c>
    </row>
    <row r="276" spans="1:14" ht="45" x14ac:dyDescent="0.25">
      <c r="A276" s="9" t="s">
        <v>1063</v>
      </c>
      <c r="B276" s="9" t="s">
        <v>1064</v>
      </c>
      <c r="C276" s="9" t="s">
        <v>12</v>
      </c>
      <c r="D276" s="9" t="s">
        <v>987</v>
      </c>
      <c r="E276" s="9"/>
      <c r="F276" s="9" t="s">
        <v>3018</v>
      </c>
      <c r="G276" s="9"/>
      <c r="H276" s="9"/>
      <c r="I276" s="9" t="s">
        <v>1065</v>
      </c>
      <c r="J276" s="9"/>
      <c r="K276" s="9" t="s">
        <v>1066</v>
      </c>
      <c r="L276" s="9"/>
      <c r="M276" s="9" t="str">
        <f>HYPERLINK("https://ceds.ed.gov/cedselementdetails.aspx?termid=14031")</f>
        <v>https://ceds.ed.gov/cedselementdetails.aspx?termid=14031</v>
      </c>
      <c r="N276" s="9" t="str">
        <f>HYPERLINK("https://ceds.ed.gov/elementComment.aspx?elementName=Assessment Need Pitch &amp;elementID=14031", "Click here to submit comment")</f>
        <v>Click here to submit comment</v>
      </c>
    </row>
    <row r="277" spans="1:14" ht="60" x14ac:dyDescent="0.25">
      <c r="A277" s="9" t="s">
        <v>12204</v>
      </c>
      <c r="B277" s="9" t="s">
        <v>1067</v>
      </c>
      <c r="C277" s="9" t="s">
        <v>6106</v>
      </c>
      <c r="D277" s="9" t="s">
        <v>987</v>
      </c>
      <c r="E277" s="9"/>
      <c r="F277" s="9"/>
      <c r="G277" s="9"/>
      <c r="H277" s="9"/>
      <c r="I277" s="9" t="s">
        <v>1068</v>
      </c>
      <c r="J277" s="9"/>
      <c r="K277" s="9" t="s">
        <v>1069</v>
      </c>
      <c r="L277" s="9"/>
      <c r="M277" s="9" t="str">
        <f>HYPERLINK("https://ceds.ed.gov/cedselementdetails.aspx?termid=14048")</f>
        <v>https://ceds.ed.gov/cedselementdetails.aspx?termid=14048</v>
      </c>
      <c r="N277" s="9" t="str">
        <f>HYPERLINK("https://ceds.ed.gov/elementComment.aspx?elementName=Assessment Need Read at Start Preference &amp;elementID=14048", "Click here to submit comment")</f>
        <v>Click here to submit comment</v>
      </c>
    </row>
    <row r="278" spans="1:14" ht="45" x14ac:dyDescent="0.25">
      <c r="A278" s="9" t="s">
        <v>1070</v>
      </c>
      <c r="B278" s="9" t="s">
        <v>1071</v>
      </c>
      <c r="C278" s="10" t="s">
        <v>6368</v>
      </c>
      <c r="D278" s="9" t="s">
        <v>987</v>
      </c>
      <c r="E278" s="9"/>
      <c r="F278" s="9"/>
      <c r="G278" s="9"/>
      <c r="H278" s="9"/>
      <c r="I278" s="9" t="s">
        <v>1072</v>
      </c>
      <c r="J278" s="9"/>
      <c r="K278" s="9" t="s">
        <v>1073</v>
      </c>
      <c r="L278" s="9"/>
      <c r="M278" s="9" t="str">
        <f>HYPERLINK("https://ceds.ed.gov/cedselementdetails.aspx?termid=14044")</f>
        <v>https://ceds.ed.gov/cedselementdetails.aspx?termid=14044</v>
      </c>
      <c r="N278" s="9" t="str">
        <f>HYPERLINK("https://ceds.ed.gov/elementComment.aspx?elementName=Assessment Need Signing Type &amp;elementID=14044", "Click here to submit comment")</f>
        <v>Click here to submit comment</v>
      </c>
    </row>
    <row r="279" spans="1:14" ht="105" x14ac:dyDescent="0.25">
      <c r="A279" s="9" t="s">
        <v>1074</v>
      </c>
      <c r="B279" s="9" t="s">
        <v>1075</v>
      </c>
      <c r="C279" s="9" t="s">
        <v>12</v>
      </c>
      <c r="D279" s="9" t="s">
        <v>987</v>
      </c>
      <c r="E279" s="9"/>
      <c r="F279" s="9" t="s">
        <v>1143</v>
      </c>
      <c r="G279" s="9"/>
      <c r="H279" s="9"/>
      <c r="I279" s="9" t="s">
        <v>1076</v>
      </c>
      <c r="J279" s="9"/>
      <c r="K279" s="9" t="s">
        <v>1077</v>
      </c>
      <c r="L279" s="9"/>
      <c r="M279" s="9" t="str">
        <f>HYPERLINK("https://ceds.ed.gov/cedselementdetails.aspx?termid=14053")</f>
        <v>https://ceds.ed.gov/cedselementdetails.aspx?termid=14053</v>
      </c>
      <c r="N279" s="9" t="str">
        <f>HYPERLINK("https://ceds.ed.gov/elementComment.aspx?elementName=Assessment Need Sound File URL &amp;elementID=14053", "Click here to submit comment")</f>
        <v>Click here to submit comment</v>
      </c>
    </row>
    <row r="280" spans="1:14" ht="45" x14ac:dyDescent="0.25">
      <c r="A280" s="9" t="s">
        <v>1078</v>
      </c>
      <c r="B280" s="9" t="s">
        <v>1079</v>
      </c>
      <c r="C280" s="9" t="s">
        <v>12</v>
      </c>
      <c r="D280" s="9" t="s">
        <v>987</v>
      </c>
      <c r="E280" s="9"/>
      <c r="F280" s="9" t="s">
        <v>10489</v>
      </c>
      <c r="G280" s="9"/>
      <c r="H280" s="9"/>
      <c r="I280" s="9" t="s">
        <v>1080</v>
      </c>
      <c r="J280" s="9"/>
      <c r="K280" s="9" t="s">
        <v>1081</v>
      </c>
      <c r="L280" s="9"/>
      <c r="M280" s="9" t="str">
        <f>HYPERLINK("https://ceds.ed.gov/cedselementdetails.aspx?termid=14030")</f>
        <v>https://ceds.ed.gov/cedselementdetails.aspx?termid=14030</v>
      </c>
      <c r="N280" s="9" t="str">
        <f>HYPERLINK("https://ceds.ed.gov/elementComment.aspx?elementName=Assessment Need Speech Rate &amp;elementID=14030", "Click here to submit comment")</f>
        <v>Click here to submit comment</v>
      </c>
    </row>
    <row r="281" spans="1:14" ht="45" x14ac:dyDescent="0.25">
      <c r="A281" s="9" t="s">
        <v>1082</v>
      </c>
      <c r="B281" s="9" t="s">
        <v>1083</v>
      </c>
      <c r="C281" s="10" t="s">
        <v>6369</v>
      </c>
      <c r="D281" s="9" t="s">
        <v>987</v>
      </c>
      <c r="E281" s="9"/>
      <c r="F281" s="9"/>
      <c r="G281" s="9"/>
      <c r="H281" s="9"/>
      <c r="I281" s="9" t="s">
        <v>1084</v>
      </c>
      <c r="J281" s="9"/>
      <c r="K281" s="9" t="s">
        <v>1085</v>
      </c>
      <c r="L281" s="9"/>
      <c r="M281" s="9" t="str">
        <f>HYPERLINK("https://ceds.ed.gov/cedselementdetails.aspx?termid=14046")</f>
        <v>https://ceds.ed.gov/cedselementdetails.aspx?termid=14046</v>
      </c>
      <c r="N281" s="9" t="str">
        <f>HYPERLINK("https://ceds.ed.gov/elementComment.aspx?elementName=Assessment Need Spoken Source Preference Type &amp;elementID=14046", "Click here to submit comment")</f>
        <v>Click here to submit comment</v>
      </c>
    </row>
    <row r="282" spans="1:14" ht="180" x14ac:dyDescent="0.25">
      <c r="A282" s="9" t="s">
        <v>1086</v>
      </c>
      <c r="B282" s="9" t="s">
        <v>1087</v>
      </c>
      <c r="C282" s="10" t="s">
        <v>6370</v>
      </c>
      <c r="D282" s="9" t="s">
        <v>976</v>
      </c>
      <c r="E282" s="9"/>
      <c r="F282" s="9"/>
      <c r="G282" s="9"/>
      <c r="H282" s="9"/>
      <c r="I282" s="9" t="s">
        <v>1088</v>
      </c>
      <c r="J282" s="9"/>
      <c r="K282" s="9" t="s">
        <v>1089</v>
      </c>
      <c r="L282" s="9"/>
      <c r="M282" s="9" t="str">
        <f>HYPERLINK("https://ceds.ed.gov/cedselementdetails.aspx?termid=14027")</f>
        <v>https://ceds.ed.gov/cedselementdetails.aspx?termid=14027</v>
      </c>
      <c r="N282" s="9" t="str">
        <f>HYPERLINK("https://ceds.ed.gov/elementComment.aspx?elementName=Assessment Need Support Tool Type &amp;elementID=14027", "Click here to submit comment")</f>
        <v>Click here to submit comment</v>
      </c>
    </row>
    <row r="283" spans="1:14" ht="105" x14ac:dyDescent="0.25">
      <c r="A283" s="9" t="s">
        <v>1090</v>
      </c>
      <c r="B283" s="9" t="s">
        <v>1091</v>
      </c>
      <c r="C283" s="9" t="s">
        <v>12</v>
      </c>
      <c r="D283" s="9" t="s">
        <v>987</v>
      </c>
      <c r="E283" s="9"/>
      <c r="F283" s="9" t="s">
        <v>303</v>
      </c>
      <c r="G283" s="9"/>
      <c r="H283" s="9"/>
      <c r="I283" s="9" t="s">
        <v>1092</v>
      </c>
      <c r="J283" s="9"/>
      <c r="K283" s="9" t="s">
        <v>1093</v>
      </c>
      <c r="L283" s="9"/>
      <c r="M283" s="9" t="str">
        <f>HYPERLINK("https://ceds.ed.gov/cedselementdetails.aspx?termid=14052")</f>
        <v>https://ceds.ed.gov/cedselementdetails.aspx?termid=14052</v>
      </c>
      <c r="N283" s="9" t="str">
        <f>HYPERLINK("https://ceds.ed.gov/elementComment.aspx?elementName=Assessment Need Text Messaging String &amp;elementID=14052", "Click here to submit comment")</f>
        <v>Click here to submit comment</v>
      </c>
    </row>
    <row r="284" spans="1:14" ht="105" x14ac:dyDescent="0.25">
      <c r="A284" s="9" t="s">
        <v>1094</v>
      </c>
      <c r="B284" s="9" t="s">
        <v>1095</v>
      </c>
      <c r="C284" s="9" t="s">
        <v>12</v>
      </c>
      <c r="D284" s="9" t="s">
        <v>1096</v>
      </c>
      <c r="E284" s="9"/>
      <c r="F284" s="9" t="s">
        <v>1097</v>
      </c>
      <c r="G284" s="9"/>
      <c r="H284" s="9"/>
      <c r="I284" s="9" t="s">
        <v>1098</v>
      </c>
      <c r="J284" s="9"/>
      <c r="K284" s="9" t="s">
        <v>1099</v>
      </c>
      <c r="L284" s="9"/>
      <c r="M284" s="9" t="str">
        <f>HYPERLINK("https://ceds.ed.gov/cedselementdetails.aspx?termid=14055")</f>
        <v>https://ceds.ed.gov/cedselementdetails.aspx?termid=14055</v>
      </c>
      <c r="N284" s="9" t="str">
        <f>HYPERLINK("https://ceds.ed.gov/elementComment.aspx?elementName=Assessment Need Time Multiplier &amp;elementID=14055", "Click here to submit comment")</f>
        <v>Click here to submit comment</v>
      </c>
    </row>
    <row r="285" spans="1:14" ht="45" x14ac:dyDescent="0.25">
      <c r="A285" s="9" t="s">
        <v>1100</v>
      </c>
      <c r="B285" s="9" t="s">
        <v>1101</v>
      </c>
      <c r="C285" s="9" t="s">
        <v>12</v>
      </c>
      <c r="D285" s="9" t="s">
        <v>1032</v>
      </c>
      <c r="E285" s="9"/>
      <c r="F285" s="9" t="s">
        <v>303</v>
      </c>
      <c r="G285" s="9"/>
      <c r="H285" s="9"/>
      <c r="I285" s="9" t="s">
        <v>1102</v>
      </c>
      <c r="J285" s="9"/>
      <c r="K285" s="9" t="s">
        <v>1103</v>
      </c>
      <c r="L285" s="9"/>
      <c r="M285" s="9" t="str">
        <f>HYPERLINK("https://ceds.ed.gov/cedselementdetails.aspx?termid=14101")</f>
        <v>https://ceds.ed.gov/cedselementdetails.aspx?termid=14101</v>
      </c>
      <c r="N285" s="9" t="str">
        <f>HYPERLINK("https://ceds.ed.gov/elementComment.aspx?elementName=Assessment Need Type &amp;elementID=14101", "Click here to submit comment")</f>
        <v>Click here to submit comment</v>
      </c>
    </row>
    <row r="286" spans="1:14" ht="75" x14ac:dyDescent="0.25">
      <c r="A286" s="9" t="s">
        <v>1104</v>
      </c>
      <c r="B286" s="9" t="s">
        <v>1105</v>
      </c>
      <c r="C286" s="10" t="s">
        <v>6371</v>
      </c>
      <c r="D286" s="9" t="s">
        <v>987</v>
      </c>
      <c r="E286" s="9"/>
      <c r="F286" s="9"/>
      <c r="G286" s="9"/>
      <c r="H286" s="9"/>
      <c r="I286" s="9" t="s">
        <v>1106</v>
      </c>
      <c r="J286" s="9"/>
      <c r="K286" s="9" t="s">
        <v>1107</v>
      </c>
      <c r="L286" s="9"/>
      <c r="M286" s="9" t="str">
        <f>HYPERLINK("https://ceds.ed.gov/cedselementdetails.aspx?termid=14028")</f>
        <v>https://ceds.ed.gov/cedselementdetails.aspx?termid=14028</v>
      </c>
      <c r="N286" s="9" t="str">
        <f>HYPERLINK("https://ceds.ed.gov/elementComment.aspx?elementName=Assessment Need Usage Type &amp;elementID=14028", "Click here to submit comment")</f>
        <v>Click here to submit comment</v>
      </c>
    </row>
    <row r="287" spans="1:14" ht="75" x14ac:dyDescent="0.25">
      <c r="A287" s="9" t="s">
        <v>1108</v>
      </c>
      <c r="B287" s="9" t="s">
        <v>1109</v>
      </c>
      <c r="C287" s="10" t="s">
        <v>6372</v>
      </c>
      <c r="D287" s="9" t="s">
        <v>976</v>
      </c>
      <c r="E287" s="9"/>
      <c r="F287" s="9"/>
      <c r="G287" s="9"/>
      <c r="H287" s="9"/>
      <c r="I287" s="9" t="s">
        <v>1110</v>
      </c>
      <c r="J287" s="9"/>
      <c r="K287" s="9" t="s">
        <v>1111</v>
      </c>
      <c r="L287" s="9"/>
      <c r="M287" s="9" t="str">
        <f>HYPERLINK("https://ceds.ed.gov/cedselementdetails.aspx?termid=14049")</f>
        <v>https://ceds.ed.gov/cedselementdetails.aspx?termid=14049</v>
      </c>
      <c r="N287" s="9" t="str">
        <f>HYPERLINK("https://ceds.ed.gov/elementComment.aspx?elementName=Assessment Need User Spoken Preference Type &amp;elementID=14049", "Click here to submit comment")</f>
        <v>Click here to submit comment</v>
      </c>
    </row>
    <row r="288" spans="1:14" ht="45" x14ac:dyDescent="0.25">
      <c r="A288" s="9" t="s">
        <v>1112</v>
      </c>
      <c r="B288" s="9" t="s">
        <v>1113</v>
      </c>
      <c r="C288" s="9" t="s">
        <v>12</v>
      </c>
      <c r="D288" s="9" t="s">
        <v>987</v>
      </c>
      <c r="E288" s="9"/>
      <c r="F288" s="9" t="s">
        <v>3018</v>
      </c>
      <c r="G288" s="9"/>
      <c r="H288" s="9"/>
      <c r="I288" s="9" t="s">
        <v>1114</v>
      </c>
      <c r="J288" s="9"/>
      <c r="K288" s="9" t="s">
        <v>1115</v>
      </c>
      <c r="L288" s="9"/>
      <c r="M288" s="9" t="str">
        <f>HYPERLINK("https://ceds.ed.gov/cedselementdetails.aspx?termid=14032")</f>
        <v>https://ceds.ed.gov/cedselementdetails.aspx?termid=14032</v>
      </c>
      <c r="N288" s="9" t="str">
        <f>HYPERLINK("https://ceds.ed.gov/elementComment.aspx?elementName=Assessment Need Volume &amp;elementID=14032", "Click here to submit comment")</f>
        <v>Click here to submit comment</v>
      </c>
    </row>
    <row r="289" spans="1:14" ht="45" x14ac:dyDescent="0.25">
      <c r="A289" s="9" t="s">
        <v>1116</v>
      </c>
      <c r="B289" s="9" t="s">
        <v>1117</v>
      </c>
      <c r="C289" s="9" t="s">
        <v>12</v>
      </c>
      <c r="D289" s="9" t="s">
        <v>488</v>
      </c>
      <c r="E289" s="9"/>
      <c r="F289" s="9" t="s">
        <v>762</v>
      </c>
      <c r="G289" s="9"/>
      <c r="H289" s="9"/>
      <c r="I289" s="9" t="s">
        <v>1118</v>
      </c>
      <c r="J289" s="9"/>
      <c r="K289" s="9" t="s">
        <v>1119</v>
      </c>
      <c r="L289" s="9" t="s">
        <v>6135</v>
      </c>
      <c r="M289" s="9" t="str">
        <f>HYPERLINK("https://ceds.ed.gov/cedselementdetails.aspx?termid=13373")</f>
        <v>https://ceds.ed.gov/cedselementdetails.aspx?termid=13373</v>
      </c>
      <c r="N289" s="9" t="str">
        <f>HYPERLINK("https://ceds.ed.gov/elementComment.aspx?elementName=Assessment Objective &amp;elementID=13373", "Click here to submit comment")</f>
        <v>Click here to submit comment</v>
      </c>
    </row>
    <row r="290" spans="1:14" ht="45" x14ac:dyDescent="0.25">
      <c r="A290" s="9" t="s">
        <v>1120</v>
      </c>
      <c r="B290" s="9" t="s">
        <v>1121</v>
      </c>
      <c r="C290" s="9" t="s">
        <v>12</v>
      </c>
      <c r="D290" s="9" t="s">
        <v>388</v>
      </c>
      <c r="E290" s="9"/>
      <c r="F290" s="9" t="s">
        <v>68</v>
      </c>
      <c r="G290" s="9"/>
      <c r="H290" s="9"/>
      <c r="I290" s="9" t="s">
        <v>1122</v>
      </c>
      <c r="J290" s="9"/>
      <c r="K290" s="9" t="s">
        <v>1123</v>
      </c>
      <c r="L290" s="9"/>
      <c r="M290" s="9" t="str">
        <f>HYPERLINK("https://ceds.ed.gov/cedselementdetails.aspx?termid=14514")</f>
        <v>https://ceds.ed.gov/cedselementdetails.aspx?termid=14514</v>
      </c>
      <c r="N290" s="9" t="str">
        <f>HYPERLINK("https://ceds.ed.gov/elementComment.aspx?elementName=Assessment Participant Session Database Name &amp;elementID=14514", "Click here to submit comment")</f>
        <v>Click here to submit comment</v>
      </c>
    </row>
    <row r="291" spans="1:14" ht="45" x14ac:dyDescent="0.25">
      <c r="A291" s="9" t="s">
        <v>1124</v>
      </c>
      <c r="B291" s="9" t="s">
        <v>1125</v>
      </c>
      <c r="C291" s="9" t="s">
        <v>12</v>
      </c>
      <c r="D291" s="9" t="s">
        <v>388</v>
      </c>
      <c r="E291" s="9"/>
      <c r="F291" s="9" t="s">
        <v>68</v>
      </c>
      <c r="G291" s="9"/>
      <c r="H291" s="9" t="s">
        <v>1126</v>
      </c>
      <c r="I291" s="9" t="s">
        <v>1127</v>
      </c>
      <c r="J291" s="9"/>
      <c r="K291" s="9" t="s">
        <v>1128</v>
      </c>
      <c r="L291" s="9"/>
      <c r="M291" s="9" t="str">
        <f>HYPERLINK("https://ceds.ed.gov/cedselementdetails.aspx?termid=14006")</f>
        <v>https://ceds.ed.gov/cedselementdetails.aspx?termid=14006</v>
      </c>
      <c r="N291" s="9" t="str">
        <f>HYPERLINK("https://ceds.ed.gov/elementComment.aspx?elementName=Assessment Participant Session Delivery Device Details &amp;elementID=14006", "Click here to submit comment")</f>
        <v>Click here to submit comment</v>
      </c>
    </row>
    <row r="292" spans="1:14" ht="75" x14ac:dyDescent="0.25">
      <c r="A292" s="18" t="s">
        <v>1129</v>
      </c>
      <c r="B292" s="18" t="s">
        <v>1130</v>
      </c>
      <c r="C292" s="18" t="s">
        <v>12</v>
      </c>
      <c r="D292" s="18" t="s">
        <v>388</v>
      </c>
      <c r="E292" s="18"/>
      <c r="F292" s="18" t="s">
        <v>119</v>
      </c>
      <c r="G292" s="18"/>
      <c r="H292" s="9" t="s">
        <v>516</v>
      </c>
      <c r="I292" s="18" t="s">
        <v>1131</v>
      </c>
      <c r="J292" s="18"/>
      <c r="K292" s="18" t="s">
        <v>1132</v>
      </c>
      <c r="L292" s="18"/>
      <c r="M292" s="18" t="str">
        <f>HYPERLINK("https://ceds.ed.gov/cedselementdetails.aspx?termid=14515")</f>
        <v>https://ceds.ed.gov/cedselementdetails.aspx?termid=14515</v>
      </c>
      <c r="N292" s="18" t="str">
        <f>HYPERLINK("https://ceds.ed.gov/elementComment.aspx?elementName=Assessment Participant Session GUID &amp;elementID=14515", "Click here to submit comment")</f>
        <v>Click here to submit comment</v>
      </c>
    </row>
    <row r="293" spans="1:14" x14ac:dyDescent="0.25">
      <c r="A293" s="18"/>
      <c r="B293" s="18"/>
      <c r="C293" s="18"/>
      <c r="D293" s="18"/>
      <c r="E293" s="18"/>
      <c r="F293" s="18"/>
      <c r="G293" s="18"/>
      <c r="H293" s="9"/>
      <c r="I293" s="18"/>
      <c r="J293" s="18"/>
      <c r="K293" s="18"/>
      <c r="L293" s="18"/>
      <c r="M293" s="18"/>
      <c r="N293" s="18"/>
    </row>
    <row r="294" spans="1:14" ht="60" x14ac:dyDescent="0.25">
      <c r="A294" s="18"/>
      <c r="B294" s="18"/>
      <c r="C294" s="18"/>
      <c r="D294" s="18"/>
      <c r="E294" s="18"/>
      <c r="F294" s="18"/>
      <c r="G294" s="18"/>
      <c r="H294" s="9" t="s">
        <v>517</v>
      </c>
      <c r="I294" s="18"/>
      <c r="J294" s="18"/>
      <c r="K294" s="18"/>
      <c r="L294" s="18"/>
      <c r="M294" s="18"/>
      <c r="N294" s="18"/>
    </row>
    <row r="295" spans="1:14" ht="90" x14ac:dyDescent="0.25">
      <c r="A295" s="9" t="s">
        <v>1133</v>
      </c>
      <c r="B295" s="9" t="s">
        <v>1134</v>
      </c>
      <c r="C295" s="11" t="s">
        <v>966</v>
      </c>
      <c r="D295" s="9" t="s">
        <v>388</v>
      </c>
      <c r="E295" s="9"/>
      <c r="F295" s="9"/>
      <c r="G295" s="9"/>
      <c r="H295" s="11" t="s">
        <v>967</v>
      </c>
      <c r="I295" s="9" t="s">
        <v>1135</v>
      </c>
      <c r="J295" s="9"/>
      <c r="K295" s="9" t="s">
        <v>1136</v>
      </c>
      <c r="L295" s="9" t="s">
        <v>6127</v>
      </c>
      <c r="M295" s="9" t="str">
        <f>HYPERLINK("https://ceds.ed.gov/cedselementdetails.aspx?termid=13370")</f>
        <v>https://ceds.ed.gov/cedselementdetails.aspx?termid=13370</v>
      </c>
      <c r="N295" s="9" t="str">
        <f>HYPERLINK("https://ceds.ed.gov/elementComment.aspx?elementName=Assessment Participant Session Language &amp;elementID=13370", "Click here to submit comment")</f>
        <v>Click here to submit comment</v>
      </c>
    </row>
    <row r="296" spans="1:14" ht="120" x14ac:dyDescent="0.25">
      <c r="A296" s="9" t="s">
        <v>1137</v>
      </c>
      <c r="B296" s="9" t="s">
        <v>1138</v>
      </c>
      <c r="C296" s="10" t="s">
        <v>6373</v>
      </c>
      <c r="D296" s="9" t="s">
        <v>6128</v>
      </c>
      <c r="E296" s="9"/>
      <c r="F296" s="9"/>
      <c r="G296" s="9"/>
      <c r="H296" s="9"/>
      <c r="I296" s="9" t="s">
        <v>1139</v>
      </c>
      <c r="J296" s="9"/>
      <c r="K296" s="9" t="s">
        <v>1140</v>
      </c>
      <c r="L296" s="9" t="s">
        <v>6135</v>
      </c>
      <c r="M296" s="9" t="str">
        <f>HYPERLINK("https://ceds.ed.gov/cedselementdetails.aspx?termid=13377")</f>
        <v>https://ceds.ed.gov/cedselementdetails.aspx?termid=13377</v>
      </c>
      <c r="N296" s="9" t="str">
        <f>HYPERLINK("https://ceds.ed.gov/elementComment.aspx?elementName=Assessment Participant Session Platform Type &amp;elementID=13377", "Click here to submit comment")</f>
        <v>Click here to submit comment</v>
      </c>
    </row>
    <row r="297" spans="1:14" ht="135" x14ac:dyDescent="0.25">
      <c r="A297" s="9" t="s">
        <v>1141</v>
      </c>
      <c r="B297" s="9" t="s">
        <v>1142</v>
      </c>
      <c r="C297" s="9" t="s">
        <v>12</v>
      </c>
      <c r="D297" s="9" t="s">
        <v>388</v>
      </c>
      <c r="E297" s="9"/>
      <c r="F297" s="9" t="s">
        <v>1143</v>
      </c>
      <c r="G297" s="9"/>
      <c r="H297" s="9" t="s">
        <v>1144</v>
      </c>
      <c r="I297" s="9" t="s">
        <v>1145</v>
      </c>
      <c r="J297" s="9"/>
      <c r="K297" s="9" t="s">
        <v>1146</v>
      </c>
      <c r="L297" s="9"/>
      <c r="M297" s="9" t="str">
        <f>HYPERLINK("https://ceds.ed.gov/cedselementdetails.aspx?termid=14112")</f>
        <v>https://ceds.ed.gov/cedselementdetails.aspx?termid=14112</v>
      </c>
      <c r="N297" s="9" t="str">
        <f>HYPERLINK("https://ceds.ed.gov/elementComment.aspx?elementName=Assessment Participant Session Platform User Agent &amp;elementID=14112", "Click here to submit comment")</f>
        <v>Click here to submit comment</v>
      </c>
    </row>
    <row r="298" spans="1:14" ht="75" x14ac:dyDescent="0.25">
      <c r="A298" s="9" t="s">
        <v>1147</v>
      </c>
      <c r="B298" s="9" t="s">
        <v>1148</v>
      </c>
      <c r="C298" s="9" t="s">
        <v>12</v>
      </c>
      <c r="D298" s="9" t="s">
        <v>388</v>
      </c>
      <c r="E298" s="9"/>
      <c r="F298" s="9" t="s">
        <v>303</v>
      </c>
      <c r="G298" s="9"/>
      <c r="H298" s="9"/>
      <c r="I298" s="9" t="s">
        <v>1149</v>
      </c>
      <c r="J298" s="9"/>
      <c r="K298" s="9" t="s">
        <v>1150</v>
      </c>
      <c r="L298" s="9"/>
      <c r="M298" s="9" t="str">
        <f>HYPERLINK("https://ceds.ed.gov/cedselementdetails.aspx?termid=14102")</f>
        <v>https://ceds.ed.gov/cedselementdetails.aspx?termid=14102</v>
      </c>
      <c r="N298" s="9" t="str">
        <f>HYPERLINK("https://ceds.ed.gov/elementComment.aspx?elementName=Assessment Participant Session Security Issue &amp;elementID=14102", "Click here to submit comment")</f>
        <v>Click here to submit comment</v>
      </c>
    </row>
    <row r="299" spans="1:14" ht="45" x14ac:dyDescent="0.25">
      <c r="A299" s="9" t="s">
        <v>1151</v>
      </c>
      <c r="B299" s="9" t="s">
        <v>1152</v>
      </c>
      <c r="C299" s="9" t="s">
        <v>12</v>
      </c>
      <c r="D299" s="9" t="s">
        <v>388</v>
      </c>
      <c r="E299" s="9"/>
      <c r="F299" s="9" t="s">
        <v>87</v>
      </c>
      <c r="G299" s="9"/>
      <c r="H299" s="9"/>
      <c r="I299" s="9" t="s">
        <v>1153</v>
      </c>
      <c r="J299" s="9"/>
      <c r="K299" s="9" t="s">
        <v>1154</v>
      </c>
      <c r="L299" s="9" t="s">
        <v>6127</v>
      </c>
      <c r="M299" s="9" t="str">
        <f>HYPERLINK("https://ceds.ed.gov/cedselementdetails.aspx?termid=13398")</f>
        <v>https://ceds.ed.gov/cedselementdetails.aspx?termid=13398</v>
      </c>
      <c r="N299" s="9" t="str">
        <f>HYPERLINK("https://ceds.ed.gov/elementComment.aspx?elementName=Assessment Participant Session Time Assessed &amp;elementID=13398", "Click here to submit comment")</f>
        <v>Click here to submit comment</v>
      </c>
    </row>
    <row r="300" spans="1:14" ht="120" x14ac:dyDescent="0.25">
      <c r="A300" s="9" t="s">
        <v>1155</v>
      </c>
      <c r="B300" s="9" t="s">
        <v>1156</v>
      </c>
      <c r="C300" s="9" t="s">
        <v>12</v>
      </c>
      <c r="D300" s="9" t="s">
        <v>10498</v>
      </c>
      <c r="E300" s="9"/>
      <c r="F300" s="9" t="s">
        <v>303</v>
      </c>
      <c r="G300" s="9"/>
      <c r="H300" s="9"/>
      <c r="I300" s="9" t="s">
        <v>1157</v>
      </c>
      <c r="J300" s="9"/>
      <c r="K300" s="9" t="s">
        <v>1158</v>
      </c>
      <c r="L300" s="9"/>
      <c r="M300" s="9" t="str">
        <f>HYPERLINK("https://ceds.ed.gov/cedselementdetails.aspx?termid=14184")</f>
        <v>https://ceds.ed.gov/cedselementdetails.aspx?termid=14184</v>
      </c>
      <c r="N300" s="9" t="str">
        <f>HYPERLINK("https://ceds.ed.gov/elementComment.aspx?elementName=Assessment Performance Level Descriptive Feedback &amp;elementID=14184", "Click here to submit comment")</f>
        <v>Click here to submit comment</v>
      </c>
    </row>
    <row r="301" spans="1:14" ht="105" customHeight="1" x14ac:dyDescent="0.25">
      <c r="A301" s="18" t="s">
        <v>1159</v>
      </c>
      <c r="B301" s="18" t="s">
        <v>1160</v>
      </c>
      <c r="C301" s="18" t="s">
        <v>12</v>
      </c>
      <c r="D301" s="18" t="s">
        <v>10498</v>
      </c>
      <c r="E301" s="18"/>
      <c r="F301" s="18" t="s">
        <v>119</v>
      </c>
      <c r="G301" s="18"/>
      <c r="H301" s="9" t="s">
        <v>120</v>
      </c>
      <c r="I301" s="18" t="s">
        <v>1161</v>
      </c>
      <c r="J301" s="18"/>
      <c r="K301" s="18" t="s">
        <v>1162</v>
      </c>
      <c r="L301" s="18" t="s">
        <v>795</v>
      </c>
      <c r="M301" s="18" t="str">
        <f>HYPERLINK("https://ceds.ed.gov/cedselementdetails.aspx?termid=13693")</f>
        <v>https://ceds.ed.gov/cedselementdetails.aspx?termid=13693</v>
      </c>
      <c r="N301" s="18" t="str">
        <f>HYPERLINK("https://ceds.ed.gov/elementComment.aspx?elementName=Assessment Performance Level Identifier &amp;elementID=13693", "Click here to submit comment")</f>
        <v>Click here to submit comment</v>
      </c>
    </row>
    <row r="302" spans="1:14" x14ac:dyDescent="0.25">
      <c r="A302" s="18"/>
      <c r="B302" s="18"/>
      <c r="C302" s="18"/>
      <c r="D302" s="18"/>
      <c r="E302" s="18"/>
      <c r="F302" s="18"/>
      <c r="G302" s="18"/>
      <c r="H302" s="9"/>
      <c r="I302" s="18"/>
      <c r="J302" s="18"/>
      <c r="K302" s="18"/>
      <c r="L302" s="18"/>
      <c r="M302" s="18"/>
      <c r="N302" s="18"/>
    </row>
    <row r="303" spans="1:14" ht="90" x14ac:dyDescent="0.25">
      <c r="A303" s="18"/>
      <c r="B303" s="18"/>
      <c r="C303" s="18"/>
      <c r="D303" s="18"/>
      <c r="E303" s="18"/>
      <c r="F303" s="18"/>
      <c r="G303" s="18"/>
      <c r="H303" s="9" t="s">
        <v>121</v>
      </c>
      <c r="I303" s="18"/>
      <c r="J303" s="18"/>
      <c r="K303" s="18"/>
      <c r="L303" s="18"/>
      <c r="M303" s="18"/>
      <c r="N303" s="18"/>
    </row>
    <row r="304" spans="1:14" ht="120" x14ac:dyDescent="0.25">
      <c r="A304" s="9" t="s">
        <v>1163</v>
      </c>
      <c r="B304" s="9" t="s">
        <v>1164</v>
      </c>
      <c r="C304" s="9" t="s">
        <v>12</v>
      </c>
      <c r="D304" s="9" t="s">
        <v>10498</v>
      </c>
      <c r="E304" s="9"/>
      <c r="F304" s="9" t="s">
        <v>1165</v>
      </c>
      <c r="G304" s="9"/>
      <c r="H304" s="9"/>
      <c r="I304" s="9" t="s">
        <v>1166</v>
      </c>
      <c r="J304" s="9"/>
      <c r="K304" s="9" t="s">
        <v>1167</v>
      </c>
      <c r="L304" s="9" t="s">
        <v>795</v>
      </c>
      <c r="M304" s="9" t="str">
        <f>HYPERLINK("https://ceds.ed.gov/cedselementdetails.aspx?termid=13694")</f>
        <v>https://ceds.ed.gov/cedselementdetails.aspx?termid=13694</v>
      </c>
      <c r="N304" s="9" t="str">
        <f>HYPERLINK("https://ceds.ed.gov/elementComment.aspx?elementName=Assessment Performance Level Label &amp;elementID=13694", "Click here to submit comment")</f>
        <v>Click here to submit comment</v>
      </c>
    </row>
    <row r="305" spans="1:14" ht="120" x14ac:dyDescent="0.25">
      <c r="A305" s="9" t="s">
        <v>1168</v>
      </c>
      <c r="B305" s="9" t="s">
        <v>1169</v>
      </c>
      <c r="C305" s="9" t="s">
        <v>12</v>
      </c>
      <c r="D305" s="9" t="s">
        <v>10498</v>
      </c>
      <c r="E305" s="9"/>
      <c r="F305" s="9" t="s">
        <v>87</v>
      </c>
      <c r="G305" s="9"/>
      <c r="H305" s="9"/>
      <c r="I305" s="9" t="s">
        <v>1170</v>
      </c>
      <c r="J305" s="9"/>
      <c r="K305" s="9" t="s">
        <v>1171</v>
      </c>
      <c r="L305" s="9" t="s">
        <v>6127</v>
      </c>
      <c r="M305" s="9" t="str">
        <f>HYPERLINK("https://ceds.ed.gov/cedselementdetails.aspx?termid=13408")</f>
        <v>https://ceds.ed.gov/cedselementdetails.aspx?termid=13408</v>
      </c>
      <c r="N305" s="9" t="str">
        <f>HYPERLINK("https://ceds.ed.gov/elementComment.aspx?elementName=Assessment Performance Level Lower Cut Score &amp;elementID=13408", "Click here to submit comment")</f>
        <v>Click here to submit comment</v>
      </c>
    </row>
    <row r="306" spans="1:14" ht="409.5" x14ac:dyDescent="0.25">
      <c r="A306" s="9" t="s">
        <v>1172</v>
      </c>
      <c r="B306" s="9" t="s">
        <v>1173</v>
      </c>
      <c r="C306" s="10" t="s">
        <v>6374</v>
      </c>
      <c r="D306" s="9" t="s">
        <v>10498</v>
      </c>
      <c r="E306" s="9"/>
      <c r="F306" s="9" t="s">
        <v>87</v>
      </c>
      <c r="G306" s="9"/>
      <c r="H306" s="9"/>
      <c r="I306" s="9" t="s">
        <v>1174</v>
      </c>
      <c r="J306" s="9"/>
      <c r="K306" s="9" t="s">
        <v>1175</v>
      </c>
      <c r="L306" s="9" t="s">
        <v>6127</v>
      </c>
      <c r="M306" s="9" t="str">
        <f>HYPERLINK("https://ceds.ed.gov/cedselementdetails.aspx?termid=13407")</f>
        <v>https://ceds.ed.gov/cedselementdetails.aspx?termid=13407</v>
      </c>
      <c r="N306" s="9" t="str">
        <f>HYPERLINK("https://ceds.ed.gov/elementComment.aspx?elementName=Assessment Performance Level Score Metric &amp;elementID=13407", "Click here to submit comment")</f>
        <v>Click here to submit comment</v>
      </c>
    </row>
    <row r="307" spans="1:14" ht="120" x14ac:dyDescent="0.25">
      <c r="A307" s="9" t="s">
        <v>1176</v>
      </c>
      <c r="B307" s="9" t="s">
        <v>1177</v>
      </c>
      <c r="C307" s="9" t="s">
        <v>12</v>
      </c>
      <c r="D307" s="9" t="s">
        <v>10498</v>
      </c>
      <c r="E307" s="9"/>
      <c r="F307" s="9" t="s">
        <v>87</v>
      </c>
      <c r="G307" s="9"/>
      <c r="H307" s="9"/>
      <c r="I307" s="9" t="s">
        <v>1178</v>
      </c>
      <c r="J307" s="9"/>
      <c r="K307" s="9" t="s">
        <v>1179</v>
      </c>
      <c r="L307" s="9" t="s">
        <v>6127</v>
      </c>
      <c r="M307" s="9" t="str">
        <f>HYPERLINK("https://ceds.ed.gov/cedselementdetails.aspx?termid=13409")</f>
        <v>https://ceds.ed.gov/cedselementdetails.aspx?termid=13409</v>
      </c>
      <c r="N307" s="9" t="str">
        <f>HYPERLINK("https://ceds.ed.gov/elementComment.aspx?elementName=Assessment Performance Level Upper Cut Score &amp;elementID=13409", "Click here to submit comment")</f>
        <v>Click here to submit comment</v>
      </c>
    </row>
    <row r="308" spans="1:14" ht="45" x14ac:dyDescent="0.25">
      <c r="A308" s="9" t="s">
        <v>12205</v>
      </c>
      <c r="B308" s="9" t="s">
        <v>1180</v>
      </c>
      <c r="C308" s="9" t="s">
        <v>6106</v>
      </c>
      <c r="D308" s="9" t="s">
        <v>1032</v>
      </c>
      <c r="E308" s="9"/>
      <c r="F308" s="9"/>
      <c r="G308" s="9"/>
      <c r="H308" s="9" t="s">
        <v>1181</v>
      </c>
      <c r="I308" s="9" t="s">
        <v>1182</v>
      </c>
      <c r="J308" s="9"/>
      <c r="K308" s="9" t="s">
        <v>1183</v>
      </c>
      <c r="L308" s="9"/>
      <c r="M308" s="9" t="str">
        <f>HYPERLINK("https://ceds.ed.gov/cedselementdetails.aspx?termid=14008")</f>
        <v>https://ceds.ed.gov/cedselementdetails.aspx?termid=14008</v>
      </c>
      <c r="N308" s="9" t="str">
        <f>HYPERLINK("https://ceds.ed.gov/elementComment.aspx?elementName=Assessment Personal Needs Profile Activate by Default &amp;elementID=14008", "Click here to submit comment")</f>
        <v>Click here to submit comment</v>
      </c>
    </row>
    <row r="309" spans="1:14" ht="45" x14ac:dyDescent="0.25">
      <c r="A309" s="9" t="s">
        <v>1184</v>
      </c>
      <c r="B309" s="9" t="s">
        <v>1185</v>
      </c>
      <c r="C309" s="9" t="s">
        <v>6106</v>
      </c>
      <c r="D309" s="9" t="s">
        <v>1032</v>
      </c>
      <c r="E309" s="9"/>
      <c r="F309" s="9"/>
      <c r="G309" s="9"/>
      <c r="H309" s="9" t="s">
        <v>1181</v>
      </c>
      <c r="I309" s="9" t="s">
        <v>1186</v>
      </c>
      <c r="J309" s="9"/>
      <c r="K309" s="9" t="s">
        <v>1187</v>
      </c>
      <c r="L309" s="9"/>
      <c r="M309" s="9" t="str">
        <f>HYPERLINK("https://ceds.ed.gov/cedselementdetails.aspx?termid=14007")</f>
        <v>https://ceds.ed.gov/cedselementdetails.aspx?termid=14007</v>
      </c>
      <c r="N309" s="9" t="str">
        <f>HYPERLINK("https://ceds.ed.gov/elementComment.aspx?elementName=Assessment Personal Needs Profile Assigned Support &amp;elementID=14007", "Click here to submit comment")</f>
        <v>Click here to submit comment</v>
      </c>
    </row>
    <row r="310" spans="1:14" ht="45" x14ac:dyDescent="0.25">
      <c r="A310" s="9" t="s">
        <v>1188</v>
      </c>
      <c r="B310" s="9" t="s">
        <v>1189</v>
      </c>
      <c r="C310" s="9" t="s">
        <v>12</v>
      </c>
      <c r="D310" s="9" t="s">
        <v>488</v>
      </c>
      <c r="E310" s="9"/>
      <c r="F310" s="9" t="s">
        <v>87</v>
      </c>
      <c r="G310" s="9"/>
      <c r="H310" s="9" t="s">
        <v>1190</v>
      </c>
      <c r="I310" s="9" t="s">
        <v>1191</v>
      </c>
      <c r="J310" s="9"/>
      <c r="K310" s="9" t="s">
        <v>1192</v>
      </c>
      <c r="L310" s="9"/>
      <c r="M310" s="9" t="str">
        <f>HYPERLINK("https://ceds.ed.gov/cedselementdetails.aspx?termid=14009")</f>
        <v>https://ceds.ed.gov/cedselementdetails.aspx?termid=14009</v>
      </c>
      <c r="N310" s="9" t="str">
        <f>HYPERLINK("https://ceds.ed.gov/elementComment.aspx?elementName=Assessment Provider &amp;elementID=14009", "Click here to submit comment")</f>
        <v>Click here to submit comment</v>
      </c>
    </row>
    <row r="311" spans="1:14" ht="390" x14ac:dyDescent="0.25">
      <c r="A311" s="9" t="s">
        <v>1193</v>
      </c>
      <c r="B311" s="9" t="s">
        <v>1194</v>
      </c>
      <c r="C311" s="10" t="s">
        <v>6375</v>
      </c>
      <c r="D311" s="9" t="s">
        <v>6138</v>
      </c>
      <c r="E311" s="9"/>
      <c r="F311" s="9"/>
      <c r="G311" s="9"/>
      <c r="H311" s="9" t="s">
        <v>1195</v>
      </c>
      <c r="I311" s="9" t="s">
        <v>1196</v>
      </c>
      <c r="J311" s="9"/>
      <c r="K311" s="9" t="s">
        <v>1197</v>
      </c>
      <c r="L311" s="9" t="s">
        <v>6129</v>
      </c>
      <c r="M311" s="9" t="str">
        <f>HYPERLINK("https://ceds.ed.gov/cedselementdetails.aspx?termid=13026")</f>
        <v>https://ceds.ed.gov/cedselementdetails.aspx?termid=13026</v>
      </c>
      <c r="N311" s="9" t="str">
        <f>HYPERLINK("https://ceds.ed.gov/elementComment.aspx?elementName=Assessment Purpose &amp;elementID=13026", "Click here to submit comment")</f>
        <v>Click here to submit comment</v>
      </c>
    </row>
    <row r="312" spans="1:14" ht="30" customHeight="1" x14ac:dyDescent="0.25">
      <c r="A312" s="18" t="s">
        <v>1198</v>
      </c>
      <c r="B312" s="18" t="s">
        <v>1199</v>
      </c>
      <c r="C312" s="18" t="s">
        <v>12</v>
      </c>
      <c r="D312" s="18" t="s">
        <v>1200</v>
      </c>
      <c r="E312" s="18"/>
      <c r="F312" s="18" t="s">
        <v>119</v>
      </c>
      <c r="G312" s="18"/>
      <c r="H312" s="9" t="s">
        <v>1201</v>
      </c>
      <c r="I312" s="18" t="s">
        <v>1202</v>
      </c>
      <c r="J312" s="18"/>
      <c r="K312" s="18" t="s">
        <v>1203</v>
      </c>
      <c r="L312" s="18"/>
      <c r="M312" s="18" t="str">
        <f>HYPERLINK("https://ceds.ed.gov/cedselementdetails.aspx?termid=13889")</f>
        <v>https://ceds.ed.gov/cedselementdetails.aspx?termid=13889</v>
      </c>
      <c r="N312" s="18" t="str">
        <f>HYPERLINK("https://ceds.ed.gov/elementComment.aspx?elementName=Assessment Registration Assignor Identifier &amp;elementID=13889", "Click here to submit comment")</f>
        <v>Click here to submit comment</v>
      </c>
    </row>
    <row r="313" spans="1:14" x14ac:dyDescent="0.25">
      <c r="A313" s="18"/>
      <c r="B313" s="18"/>
      <c r="C313" s="18"/>
      <c r="D313" s="18"/>
      <c r="E313" s="18"/>
      <c r="F313" s="18"/>
      <c r="G313" s="18"/>
      <c r="H313" s="9"/>
      <c r="I313" s="18"/>
      <c r="J313" s="18"/>
      <c r="K313" s="18"/>
      <c r="L313" s="18"/>
      <c r="M313" s="18"/>
      <c r="N313" s="18"/>
    </row>
    <row r="314" spans="1:14" ht="105" x14ac:dyDescent="0.25">
      <c r="A314" s="18"/>
      <c r="B314" s="18"/>
      <c r="C314" s="18"/>
      <c r="D314" s="18"/>
      <c r="E314" s="18"/>
      <c r="F314" s="18"/>
      <c r="G314" s="18"/>
      <c r="H314" s="9" t="s">
        <v>120</v>
      </c>
      <c r="I314" s="18"/>
      <c r="J314" s="18"/>
      <c r="K314" s="18"/>
      <c r="L314" s="18"/>
      <c r="M314" s="18"/>
      <c r="N314" s="18"/>
    </row>
    <row r="315" spans="1:14" x14ac:dyDescent="0.25">
      <c r="A315" s="18"/>
      <c r="B315" s="18"/>
      <c r="C315" s="18"/>
      <c r="D315" s="18"/>
      <c r="E315" s="18"/>
      <c r="F315" s="18"/>
      <c r="G315" s="18"/>
      <c r="H315" s="9"/>
      <c r="I315" s="18"/>
      <c r="J315" s="18"/>
      <c r="K315" s="18"/>
      <c r="L315" s="18"/>
      <c r="M315" s="18"/>
      <c r="N315" s="18"/>
    </row>
    <row r="316" spans="1:14" ht="90" x14ac:dyDescent="0.25">
      <c r="A316" s="18"/>
      <c r="B316" s="18"/>
      <c r="C316" s="18"/>
      <c r="D316" s="18"/>
      <c r="E316" s="18"/>
      <c r="F316" s="18"/>
      <c r="G316" s="18"/>
      <c r="H316" s="9" t="s">
        <v>121</v>
      </c>
      <c r="I316" s="18"/>
      <c r="J316" s="18"/>
      <c r="K316" s="18"/>
      <c r="L316" s="18"/>
      <c r="M316" s="18"/>
      <c r="N316" s="18"/>
    </row>
    <row r="317" spans="1:14" ht="165" x14ac:dyDescent="0.25">
      <c r="A317" s="9" t="s">
        <v>1204</v>
      </c>
      <c r="B317" s="9" t="s">
        <v>1205</v>
      </c>
      <c r="C317" s="10" t="s">
        <v>6376</v>
      </c>
      <c r="D317" s="9" t="s">
        <v>1200</v>
      </c>
      <c r="E317" s="9"/>
      <c r="F317" s="9"/>
      <c r="G317" s="9"/>
      <c r="H317" s="9"/>
      <c r="I317" s="9" t="s">
        <v>1206</v>
      </c>
      <c r="J317" s="9"/>
      <c r="K317" s="9" t="s">
        <v>1207</v>
      </c>
      <c r="L317" s="9"/>
      <c r="M317" s="9" t="str">
        <f>HYPERLINK("https://ceds.ed.gov/cedselementdetails.aspx?termid=14516")</f>
        <v>https://ceds.ed.gov/cedselementdetails.aspx?termid=14516</v>
      </c>
      <c r="N317" s="9" t="str">
        <f>HYPERLINK("https://ceds.ed.gov/elementComment.aspx?elementName=Assessment Registration Completion Status &amp;elementID=14516", "Click here to submit comment")</f>
        <v>Click here to submit comment</v>
      </c>
    </row>
    <row r="318" spans="1:14" ht="60" x14ac:dyDescent="0.25">
      <c r="A318" s="9" t="s">
        <v>1208</v>
      </c>
      <c r="B318" s="9" t="s">
        <v>1209</v>
      </c>
      <c r="C318" s="9" t="s">
        <v>12</v>
      </c>
      <c r="D318" s="9" t="s">
        <v>1200</v>
      </c>
      <c r="E318" s="9"/>
      <c r="F318" s="9" t="s">
        <v>828</v>
      </c>
      <c r="G318" s="9"/>
      <c r="H318" s="9"/>
      <c r="I318" s="9" t="s">
        <v>1210</v>
      </c>
      <c r="J318" s="9"/>
      <c r="K318" s="9" t="s">
        <v>1211</v>
      </c>
      <c r="L318" s="9"/>
      <c r="M318" s="9" t="str">
        <f>HYPERLINK("https://ceds.ed.gov/cedselementdetails.aspx?termid=14517")</f>
        <v>https://ceds.ed.gov/cedselementdetails.aspx?termid=14517</v>
      </c>
      <c r="N318" s="9" t="str">
        <f>HYPERLINK("https://ceds.ed.gov/elementComment.aspx?elementName=Assessment Registration Completion Status Date Time &amp;elementID=14517", "Click here to submit comment")</f>
        <v>Click here to submit comment</v>
      </c>
    </row>
    <row r="319" spans="1:14" ht="45" x14ac:dyDescent="0.25">
      <c r="A319" s="9" t="s">
        <v>1212</v>
      </c>
      <c r="B319" s="9" t="s">
        <v>1213</v>
      </c>
      <c r="C319" s="9" t="s">
        <v>12</v>
      </c>
      <c r="D319" s="9" t="s">
        <v>1200</v>
      </c>
      <c r="E319" s="9"/>
      <c r="F319" s="9" t="s">
        <v>828</v>
      </c>
      <c r="G319" s="9"/>
      <c r="H319" s="9"/>
      <c r="I319" s="9" t="s">
        <v>1214</v>
      </c>
      <c r="J319" s="9"/>
      <c r="K319" s="9" t="s">
        <v>1215</v>
      </c>
      <c r="L319" s="9"/>
      <c r="M319" s="9" t="str">
        <f>HYPERLINK("https://ceds.ed.gov/cedselementdetails.aspx?termid=14019")</f>
        <v>https://ceds.ed.gov/cedselementdetails.aspx?termid=14019</v>
      </c>
      <c r="N319" s="9" t="str">
        <f>HYPERLINK("https://ceds.ed.gov/elementComment.aspx?elementName=Assessment Registration Creation Date &amp;elementID=14019", "Click here to submit comment")</f>
        <v>Click here to submit comment</v>
      </c>
    </row>
    <row r="320" spans="1:14" ht="45" x14ac:dyDescent="0.25">
      <c r="A320" s="9" t="s">
        <v>1216</v>
      </c>
      <c r="B320" s="9" t="s">
        <v>1217</v>
      </c>
      <c r="C320" s="9" t="s">
        <v>12</v>
      </c>
      <c r="D320" s="9" t="s">
        <v>1200</v>
      </c>
      <c r="E320" s="9"/>
      <c r="F320" s="9" t="s">
        <v>10489</v>
      </c>
      <c r="G320" s="9"/>
      <c r="H320" s="9"/>
      <c r="I320" s="9" t="s">
        <v>1218</v>
      </c>
      <c r="J320" s="9"/>
      <c r="K320" s="9" t="s">
        <v>1219</v>
      </c>
      <c r="L320" s="9"/>
      <c r="M320" s="9" t="str">
        <f>HYPERLINK("https://ceds.ed.gov/cedselementdetails.aspx?termid=14017")</f>
        <v>https://ceds.ed.gov/cedselementdetails.aspx?termid=14017</v>
      </c>
      <c r="N320" s="9" t="str">
        <f>HYPERLINK("https://ceds.ed.gov/elementComment.aspx?elementName=Assessment Registration Days of Instruction &amp;elementID=14017", "Click here to submit comment")</f>
        <v>Click here to submit comment</v>
      </c>
    </row>
    <row r="321" spans="1:14" ht="409.5" x14ac:dyDescent="0.25">
      <c r="A321" s="9" t="s">
        <v>12206</v>
      </c>
      <c r="B321" s="9" t="s">
        <v>1220</v>
      </c>
      <c r="C321" s="10" t="s">
        <v>6377</v>
      </c>
      <c r="D321" s="9" t="s">
        <v>1200</v>
      </c>
      <c r="E321" s="9"/>
      <c r="F321" s="9"/>
      <c r="G321" s="9"/>
      <c r="H321" s="9" t="s">
        <v>1221</v>
      </c>
      <c r="I321" s="9" t="s">
        <v>1222</v>
      </c>
      <c r="J321" s="9"/>
      <c r="K321" s="9" t="s">
        <v>1223</v>
      </c>
      <c r="L321" s="9"/>
      <c r="M321" s="9" t="str">
        <f>HYPERLINK("https://ceds.ed.gov/cedselementdetails.aspx?termid=14063")</f>
        <v>https://ceds.ed.gov/cedselementdetails.aspx?termid=14063</v>
      </c>
      <c r="N321" s="9" t="str">
        <f>HYPERLINK("https://ceds.ed.gov/elementComment.aspx?elementName=Assessment Registration Grade Level to Be Assessed &amp;elementID=14063", "Click here to submit comment")</f>
        <v>Click here to submit comment</v>
      </c>
    </row>
    <row r="322" spans="1:14" ht="45" x14ac:dyDescent="0.25">
      <c r="A322" s="9" t="s">
        <v>1224</v>
      </c>
      <c r="B322" s="9" t="s">
        <v>1225</v>
      </c>
      <c r="C322" s="10" t="s">
        <v>6378</v>
      </c>
      <c r="D322" s="9" t="s">
        <v>1200</v>
      </c>
      <c r="E322" s="9"/>
      <c r="F322" s="9"/>
      <c r="G322" s="9"/>
      <c r="H322" s="9"/>
      <c r="I322" s="9" t="s">
        <v>1226</v>
      </c>
      <c r="J322" s="9"/>
      <c r="K322" s="9" t="s">
        <v>1227</v>
      </c>
      <c r="L322" s="9" t="s">
        <v>6139</v>
      </c>
      <c r="M322" s="9" t="str">
        <f>HYPERLINK("https://ceds.ed.gov/cedselementdetails.aspx?termid=13025")</f>
        <v>https://ceds.ed.gov/cedselementdetails.aspx?termid=13025</v>
      </c>
      <c r="N322" s="9" t="str">
        <f>HYPERLINK("https://ceds.ed.gov/elementComment.aspx?elementName=Assessment Registration Participation Indicator &amp;elementID=13025", "Click here to submit comment")</f>
        <v>Click here to submit comment</v>
      </c>
    </row>
    <row r="323" spans="1:14" ht="180" x14ac:dyDescent="0.25">
      <c r="A323" s="9" t="s">
        <v>1228</v>
      </c>
      <c r="B323" s="9" t="s">
        <v>1229</v>
      </c>
      <c r="C323" s="10" t="s">
        <v>6379</v>
      </c>
      <c r="D323" s="9" t="s">
        <v>1200</v>
      </c>
      <c r="E323" s="9"/>
      <c r="F323" s="9"/>
      <c r="G323" s="9"/>
      <c r="H323" s="9" t="s">
        <v>1230</v>
      </c>
      <c r="I323" s="9" t="s">
        <v>1231</v>
      </c>
      <c r="J323" s="9"/>
      <c r="K323" s="9" t="s">
        <v>1232</v>
      </c>
      <c r="L323" s="9" t="s">
        <v>6140</v>
      </c>
      <c r="M323" s="9" t="str">
        <f>HYPERLINK("https://ceds.ed.gov/cedselementdetails.aspx?termid=13531")</f>
        <v>https://ceds.ed.gov/cedselementdetails.aspx?termid=13531</v>
      </c>
      <c r="N323" s="9" t="str">
        <f>HYPERLINK("https://ceds.ed.gov/elementComment.aspx?elementName=Assessment Registration Reason Not Completing &amp;elementID=13531", "Click here to submit comment")</f>
        <v>Click here to submit comment</v>
      </c>
    </row>
    <row r="324" spans="1:14" ht="75" x14ac:dyDescent="0.25">
      <c r="A324" s="9" t="s">
        <v>1233</v>
      </c>
      <c r="B324" s="9" t="s">
        <v>1234</v>
      </c>
      <c r="C324" s="9" t="s">
        <v>6106</v>
      </c>
      <c r="D324" s="9" t="s">
        <v>1200</v>
      </c>
      <c r="E324" s="9"/>
      <c r="F324" s="9"/>
      <c r="G324" s="9"/>
      <c r="H324" s="9"/>
      <c r="I324" s="9" t="s">
        <v>1235</v>
      </c>
      <c r="J324" s="9"/>
      <c r="K324" s="9" t="s">
        <v>1236</v>
      </c>
      <c r="L324" s="9"/>
      <c r="M324" s="9" t="str">
        <f>HYPERLINK("https://ceds.ed.gov/cedselementdetails.aspx?termid=14018")</f>
        <v>https://ceds.ed.gov/cedselementdetails.aspx?termid=14018</v>
      </c>
      <c r="N324" s="9" t="str">
        <f>HYPERLINK("https://ceds.ed.gov/elementComment.aspx?elementName=Assessment Registration Retest Indicator &amp;elementID=14018", "Click here to submit comment")</f>
        <v>Click here to submit comment</v>
      </c>
    </row>
    <row r="325" spans="1:14" ht="135" x14ac:dyDescent="0.25">
      <c r="A325" s="9" t="s">
        <v>1237</v>
      </c>
      <c r="B325" s="9" t="s">
        <v>1238</v>
      </c>
      <c r="C325" s="9" t="s">
        <v>12</v>
      </c>
      <c r="D325" s="9" t="s">
        <v>1200</v>
      </c>
      <c r="E325" s="9"/>
      <c r="F325" s="9" t="s">
        <v>73</v>
      </c>
      <c r="G325" s="9"/>
      <c r="H325" s="9"/>
      <c r="I325" s="9" t="s">
        <v>1239</v>
      </c>
      <c r="J325" s="9"/>
      <c r="K325" s="9" t="s">
        <v>1240</v>
      </c>
      <c r="L325" s="9"/>
      <c r="M325" s="9" t="str">
        <f>HYPERLINK("https://ceds.ed.gov/cedselementdetails.aspx?termid=14062")</f>
        <v>https://ceds.ed.gov/cedselementdetails.aspx?termid=14062</v>
      </c>
      <c r="N325" s="9" t="str">
        <f>HYPERLINK("https://ceds.ed.gov/elementComment.aspx?elementName=Assessment Registration Score Publish Date &amp;elementID=14062", "Click here to submit comment")</f>
        <v>Click here to submit comment</v>
      </c>
    </row>
    <row r="326" spans="1:14" ht="75" x14ac:dyDescent="0.25">
      <c r="A326" s="18" t="s">
        <v>1241</v>
      </c>
      <c r="B326" s="18" t="s">
        <v>1242</v>
      </c>
      <c r="C326" s="18" t="s">
        <v>12</v>
      </c>
      <c r="D326" s="18" t="s">
        <v>1200</v>
      </c>
      <c r="E326" s="18"/>
      <c r="F326" s="18" t="s">
        <v>119</v>
      </c>
      <c r="G326" s="18"/>
      <c r="H326" s="9" t="s">
        <v>1243</v>
      </c>
      <c r="I326" s="18" t="s">
        <v>1244</v>
      </c>
      <c r="J326" s="18"/>
      <c r="K326" s="18" t="s">
        <v>1245</v>
      </c>
      <c r="L326" s="18"/>
      <c r="M326" s="18" t="str">
        <f>HYPERLINK("https://ceds.ed.gov/cedselementdetails.aspx?termid=14119")</f>
        <v>https://ceds.ed.gov/cedselementdetails.aspx?termid=14119</v>
      </c>
      <c r="N326" s="18" t="str">
        <f>HYPERLINK("https://ceds.ed.gov/elementComment.aspx?elementName=Assessment Registration Test Attempt Identifier &amp;elementID=14119", "Click here to submit comment")</f>
        <v>Click here to submit comment</v>
      </c>
    </row>
    <row r="327" spans="1:14" x14ac:dyDescent="0.25">
      <c r="A327" s="18"/>
      <c r="B327" s="18"/>
      <c r="C327" s="18"/>
      <c r="D327" s="18"/>
      <c r="E327" s="18"/>
      <c r="F327" s="18"/>
      <c r="G327" s="18"/>
      <c r="H327" s="9"/>
      <c r="I327" s="18"/>
      <c r="J327" s="18"/>
      <c r="K327" s="18"/>
      <c r="L327" s="18"/>
      <c r="M327" s="18"/>
      <c r="N327" s="18"/>
    </row>
    <row r="328" spans="1:14" ht="105" x14ac:dyDescent="0.25">
      <c r="A328" s="18"/>
      <c r="B328" s="18"/>
      <c r="C328" s="18"/>
      <c r="D328" s="18"/>
      <c r="E328" s="18"/>
      <c r="F328" s="18"/>
      <c r="G328" s="18"/>
      <c r="H328" s="9" t="s">
        <v>120</v>
      </c>
      <c r="I328" s="18"/>
      <c r="J328" s="18"/>
      <c r="K328" s="18"/>
      <c r="L328" s="18"/>
      <c r="M328" s="18"/>
      <c r="N328" s="18"/>
    </row>
    <row r="329" spans="1:14" x14ac:dyDescent="0.25">
      <c r="A329" s="18"/>
      <c r="B329" s="18"/>
      <c r="C329" s="18"/>
      <c r="D329" s="18"/>
      <c r="E329" s="18"/>
      <c r="F329" s="18"/>
      <c r="G329" s="18"/>
      <c r="H329" s="9"/>
      <c r="I329" s="18"/>
      <c r="J329" s="18"/>
      <c r="K329" s="18"/>
      <c r="L329" s="18"/>
      <c r="M329" s="18"/>
      <c r="N329" s="18"/>
    </row>
    <row r="330" spans="1:14" ht="90" x14ac:dyDescent="0.25">
      <c r="A330" s="18"/>
      <c r="B330" s="18"/>
      <c r="C330" s="18"/>
      <c r="D330" s="18"/>
      <c r="E330" s="18"/>
      <c r="F330" s="18"/>
      <c r="G330" s="18"/>
      <c r="H330" s="9" t="s">
        <v>121</v>
      </c>
      <c r="I330" s="18"/>
      <c r="J330" s="18"/>
      <c r="K330" s="18"/>
      <c r="L330" s="18"/>
      <c r="M330" s="18"/>
      <c r="N330" s="18"/>
    </row>
    <row r="331" spans="1:14" ht="75" x14ac:dyDescent="0.25">
      <c r="A331" s="9" t="s">
        <v>1246</v>
      </c>
      <c r="B331" s="9" t="s">
        <v>1247</v>
      </c>
      <c r="C331" s="9" t="s">
        <v>12</v>
      </c>
      <c r="D331" s="9" t="s">
        <v>1200</v>
      </c>
      <c r="E331" s="9"/>
      <c r="F331" s="9" t="s">
        <v>68</v>
      </c>
      <c r="G331" s="9"/>
      <c r="H331" s="9" t="s">
        <v>1248</v>
      </c>
      <c r="I331" s="9" t="s">
        <v>1249</v>
      </c>
      <c r="J331" s="9"/>
      <c r="K331" s="9" t="s">
        <v>1250</v>
      </c>
      <c r="L331" s="9"/>
      <c r="M331" s="9" t="str">
        <f>HYPERLINK("https://ceds.ed.gov/cedselementdetails.aspx?termid=14061")</f>
        <v>https://ceds.ed.gov/cedselementdetails.aspx?termid=14061</v>
      </c>
      <c r="N331" s="9" t="str">
        <f>HYPERLINK("https://ceds.ed.gov/elementComment.aspx?elementName=Assessment Registration Testing Indicator &amp;elementID=14061", "Click here to submit comment")</f>
        <v>Click here to submit comment</v>
      </c>
    </row>
    <row r="332" spans="1:14" ht="180" x14ac:dyDescent="0.25">
      <c r="A332" s="9" t="s">
        <v>1251</v>
      </c>
      <c r="B332" s="9" t="s">
        <v>1252</v>
      </c>
      <c r="C332" s="10" t="s">
        <v>6380</v>
      </c>
      <c r="D332" s="9" t="s">
        <v>1253</v>
      </c>
      <c r="E332" s="9"/>
      <c r="F332" s="9"/>
      <c r="G332" s="9"/>
      <c r="H332" s="9" t="s">
        <v>1254</v>
      </c>
      <c r="I332" s="9" t="s">
        <v>1255</v>
      </c>
      <c r="J332" s="9"/>
      <c r="K332" s="9" t="s">
        <v>1256</v>
      </c>
      <c r="L332" s="9"/>
      <c r="M332" s="9" t="str">
        <f>HYPERLINK("https://ceds.ed.gov/cedselementdetails.aspx?termid=14518")</f>
        <v>https://ceds.ed.gov/cedselementdetails.aspx?termid=14518</v>
      </c>
      <c r="N332" s="9" t="str">
        <f>HYPERLINK("https://ceds.ed.gov/elementComment.aspx?elementName=Assessment Result Data Type &amp;elementID=14518", "Click here to submit comment")</f>
        <v>Click here to submit comment</v>
      </c>
    </row>
    <row r="333" spans="1:14" ht="45" x14ac:dyDescent="0.25">
      <c r="A333" s="9" t="s">
        <v>1257</v>
      </c>
      <c r="B333" s="9" t="s">
        <v>1258</v>
      </c>
      <c r="C333" s="9" t="s">
        <v>12</v>
      </c>
      <c r="D333" s="9" t="s">
        <v>1253</v>
      </c>
      <c r="E333" s="9"/>
      <c r="F333" s="9" t="s">
        <v>73</v>
      </c>
      <c r="G333" s="9"/>
      <c r="H333" s="9"/>
      <c r="I333" s="9" t="s">
        <v>1259</v>
      </c>
      <c r="J333" s="9"/>
      <c r="K333" s="9" t="s">
        <v>1260</v>
      </c>
      <c r="L333" s="9"/>
      <c r="M333" s="9" t="str">
        <f>HYPERLINK("https://ceds.ed.gov/cedselementdetails.aspx?termid=13972")</f>
        <v>https://ceds.ed.gov/cedselementdetails.aspx?termid=13972</v>
      </c>
      <c r="N333" s="9" t="str">
        <f>HYPERLINK("https://ceds.ed.gov/elementComment.aspx?elementName=Assessment Result Date Created &amp;elementID=13972", "Click here to submit comment")</f>
        <v>Click here to submit comment</v>
      </c>
    </row>
    <row r="334" spans="1:14" ht="135" x14ac:dyDescent="0.25">
      <c r="A334" s="9" t="s">
        <v>1261</v>
      </c>
      <c r="B334" s="9" t="s">
        <v>1262</v>
      </c>
      <c r="C334" s="9" t="s">
        <v>12</v>
      </c>
      <c r="D334" s="9" t="s">
        <v>1253</v>
      </c>
      <c r="E334" s="9"/>
      <c r="F334" s="9" t="s">
        <v>73</v>
      </c>
      <c r="G334" s="9"/>
      <c r="H334" s="9" t="s">
        <v>1263</v>
      </c>
      <c r="I334" s="9" t="s">
        <v>1264</v>
      </c>
      <c r="J334" s="9"/>
      <c r="K334" s="9" t="s">
        <v>1265</v>
      </c>
      <c r="L334" s="9"/>
      <c r="M334" s="9" t="str">
        <f>HYPERLINK("https://ceds.ed.gov/cedselementdetails.aspx?termid=13971")</f>
        <v>https://ceds.ed.gov/cedselementdetails.aspx?termid=13971</v>
      </c>
      <c r="N334" s="9" t="str">
        <f>HYPERLINK("https://ceds.ed.gov/elementComment.aspx?elementName=Assessment Result Date Updated &amp;elementID=13971", "Click here to submit comment")</f>
        <v>Click here to submit comment</v>
      </c>
    </row>
    <row r="335" spans="1:14" ht="75" x14ac:dyDescent="0.25">
      <c r="A335" s="9" t="s">
        <v>1266</v>
      </c>
      <c r="B335" s="9" t="s">
        <v>1267</v>
      </c>
      <c r="C335" s="9" t="s">
        <v>12</v>
      </c>
      <c r="D335" s="9" t="s">
        <v>1253</v>
      </c>
      <c r="E335" s="9"/>
      <c r="F335" s="9" t="s">
        <v>68</v>
      </c>
      <c r="G335" s="9"/>
      <c r="H335" s="9"/>
      <c r="I335" s="9" t="s">
        <v>1268</v>
      </c>
      <c r="J335" s="9"/>
      <c r="K335" s="9" t="s">
        <v>1269</v>
      </c>
      <c r="L335" s="9" t="s">
        <v>795</v>
      </c>
      <c r="M335" s="9" t="str">
        <f>HYPERLINK("https://ceds.ed.gov/cedselementdetails.aspx?termid=13890")</f>
        <v>https://ceds.ed.gov/cedselementdetails.aspx?termid=13890</v>
      </c>
      <c r="N335" s="9" t="str">
        <f>HYPERLINK("https://ceds.ed.gov/elementComment.aspx?elementName=Assessment Result Descriptive Feedback &amp;elementID=13890", "Click here to submit comment")</f>
        <v>Click here to submit comment</v>
      </c>
    </row>
    <row r="336" spans="1:14" ht="60" x14ac:dyDescent="0.25">
      <c r="A336" s="9" t="s">
        <v>1270</v>
      </c>
      <c r="B336" s="9" t="s">
        <v>1271</v>
      </c>
      <c r="C336" s="9" t="s">
        <v>12</v>
      </c>
      <c r="D336" s="9" t="s">
        <v>6141</v>
      </c>
      <c r="E336" s="9"/>
      <c r="F336" s="9" t="s">
        <v>828</v>
      </c>
      <c r="G336" s="9"/>
      <c r="H336" s="9"/>
      <c r="I336" s="9" t="s">
        <v>1272</v>
      </c>
      <c r="J336" s="9"/>
      <c r="K336" s="9" t="s">
        <v>1273</v>
      </c>
      <c r="L336" s="9"/>
      <c r="M336" s="9" t="str">
        <f>HYPERLINK("https://ceds.ed.gov/cedselementdetails.aspx?termid=14520")</f>
        <v>https://ceds.ed.gov/cedselementdetails.aspx?termid=14520</v>
      </c>
      <c r="N336" s="9" t="str">
        <f>HYPERLINK("https://ceds.ed.gov/elementComment.aspx?elementName=Assessment Result Descriptive Feedback Date Time &amp;elementID=14520", "Click here to submit comment")</f>
        <v>Click here to submit comment</v>
      </c>
    </row>
    <row r="337" spans="1:14" ht="120" x14ac:dyDescent="0.25">
      <c r="A337" s="9" t="s">
        <v>1274</v>
      </c>
      <c r="B337" s="9" t="s">
        <v>1275</v>
      </c>
      <c r="C337" s="9" t="s">
        <v>12</v>
      </c>
      <c r="D337" s="9" t="s">
        <v>1253</v>
      </c>
      <c r="E337" s="9"/>
      <c r="F337" s="9" t="s">
        <v>92</v>
      </c>
      <c r="G337" s="9"/>
      <c r="H337" s="9"/>
      <c r="I337" s="9" t="s">
        <v>1276</v>
      </c>
      <c r="J337" s="9"/>
      <c r="K337" s="9" t="s">
        <v>1277</v>
      </c>
      <c r="L337" s="9"/>
      <c r="M337" s="9" t="str">
        <f>HYPERLINK("https://ceds.ed.gov/cedselementdetails.aspx?termid=14076")</f>
        <v>https://ceds.ed.gov/cedselementdetails.aspx?termid=14076</v>
      </c>
      <c r="N337" s="9" t="str">
        <f>HYPERLINK("https://ceds.ed.gov/elementComment.aspx?elementName=Assessment Result Descriptive Feedback Source &amp;elementID=14076", "Click here to submit comment")</f>
        <v>Click here to submit comment</v>
      </c>
    </row>
    <row r="338" spans="1:14" ht="120" x14ac:dyDescent="0.25">
      <c r="A338" s="9" t="s">
        <v>1278</v>
      </c>
      <c r="B338" s="9" t="s">
        <v>1279</v>
      </c>
      <c r="C338" s="9" t="s">
        <v>12</v>
      </c>
      <c r="D338" s="9" t="s">
        <v>1253</v>
      </c>
      <c r="E338" s="9"/>
      <c r="F338" s="9" t="s">
        <v>303</v>
      </c>
      <c r="G338" s="9"/>
      <c r="H338" s="9"/>
      <c r="I338" s="9" t="s">
        <v>1280</v>
      </c>
      <c r="J338" s="9"/>
      <c r="K338" s="9" t="s">
        <v>1281</v>
      </c>
      <c r="L338" s="9"/>
      <c r="M338" s="9" t="str">
        <f>HYPERLINK("https://ceds.ed.gov/cedselementdetails.aspx?termid=14185")</f>
        <v>https://ceds.ed.gov/cedselementdetails.aspx?termid=14185</v>
      </c>
      <c r="N338" s="9" t="str">
        <f>HYPERLINK("https://ceds.ed.gov/elementComment.aspx?elementName=Assessment Result Diagnostic Statement &amp;elementID=14185", "Click here to submit comment")</f>
        <v>Click here to submit comment</v>
      </c>
    </row>
    <row r="339" spans="1:14" ht="60" x14ac:dyDescent="0.25">
      <c r="A339" s="9" t="s">
        <v>1282</v>
      </c>
      <c r="B339" s="9" t="s">
        <v>1283</v>
      </c>
      <c r="C339" s="9" t="s">
        <v>6106</v>
      </c>
      <c r="D339" s="9"/>
      <c r="E339" s="9"/>
      <c r="F339" s="9"/>
      <c r="G339" s="9"/>
      <c r="H339" s="9"/>
      <c r="I339" s="9" t="s">
        <v>1284</v>
      </c>
      <c r="J339" s="9" t="s">
        <v>1285</v>
      </c>
      <c r="K339" s="9" t="s">
        <v>1286</v>
      </c>
      <c r="L339" s="9" t="s">
        <v>199</v>
      </c>
      <c r="M339" s="9" t="str">
        <f>HYPERLINK("https://ceds.ed.gov/cedselementdetails.aspx?termid=13568")</f>
        <v>https://ceds.ed.gov/cedselementdetails.aspx?termid=13568</v>
      </c>
      <c r="N339" s="9" t="str">
        <f>HYPERLINK("https://ceds.ed.gov/elementComment.aspx?elementName=Assessment Result Included in Adequate Yearly Progress Calculation &amp;elementID=13568", "Click here to submit comment")</f>
        <v>Click here to submit comment</v>
      </c>
    </row>
    <row r="340" spans="1:14" ht="120" x14ac:dyDescent="0.25">
      <c r="A340" s="9" t="s">
        <v>1287</v>
      </c>
      <c r="B340" s="9" t="s">
        <v>1288</v>
      </c>
      <c r="C340" s="9" t="s">
        <v>12</v>
      </c>
      <c r="D340" s="9" t="s">
        <v>1253</v>
      </c>
      <c r="E340" s="9"/>
      <c r="F340" s="9" t="s">
        <v>10489</v>
      </c>
      <c r="G340" s="9"/>
      <c r="H340" s="9"/>
      <c r="I340" s="9" t="s">
        <v>1289</v>
      </c>
      <c r="J340" s="9"/>
      <c r="K340" s="9" t="s">
        <v>1290</v>
      </c>
      <c r="L340" s="9"/>
      <c r="M340" s="9" t="str">
        <f>HYPERLINK("https://ceds.ed.gov/cedselementdetails.aspx?termid=14012")</f>
        <v>https://ceds.ed.gov/cedselementdetails.aspx?termid=14012</v>
      </c>
      <c r="N340" s="9" t="str">
        <f>HYPERLINK("https://ceds.ed.gov/elementComment.aspx?elementName=Assessment Result Number of Responses &amp;elementID=14012", "Click here to submit comment")</f>
        <v>Click here to submit comment</v>
      </c>
    </row>
    <row r="341" spans="1:14" ht="75" x14ac:dyDescent="0.25">
      <c r="A341" s="9" t="s">
        <v>1291</v>
      </c>
      <c r="B341" s="9" t="s">
        <v>1292</v>
      </c>
      <c r="C341" s="9" t="s">
        <v>6106</v>
      </c>
      <c r="D341" s="9" t="s">
        <v>1253</v>
      </c>
      <c r="E341" s="9"/>
      <c r="F341" s="9"/>
      <c r="G341" s="9"/>
      <c r="H341" s="9"/>
      <c r="I341" s="9" t="s">
        <v>1293</v>
      </c>
      <c r="J341" s="9"/>
      <c r="K341" s="9" t="s">
        <v>1294</v>
      </c>
      <c r="L341" s="9"/>
      <c r="M341" s="9" t="str">
        <f>HYPERLINK("https://ceds.ed.gov/cedselementdetails.aspx?termid=14010")</f>
        <v>https://ceds.ed.gov/cedselementdetails.aspx?termid=14010</v>
      </c>
      <c r="N341" s="9" t="str">
        <f>HYPERLINK("https://ceds.ed.gov/elementComment.aspx?elementName=Assessment Result Preliminary Indicator &amp;elementID=14010", "Click here to submit comment")</f>
        <v>Click here to submit comment</v>
      </c>
    </row>
    <row r="342" spans="1:14" ht="60" x14ac:dyDescent="0.25">
      <c r="A342" s="9" t="s">
        <v>1295</v>
      </c>
      <c r="B342" s="9" t="s">
        <v>1296</v>
      </c>
      <c r="C342" s="10" t="s">
        <v>6381</v>
      </c>
      <c r="D342" s="9" t="s">
        <v>1253</v>
      </c>
      <c r="E342" s="9"/>
      <c r="F342" s="9"/>
      <c r="G342" s="9"/>
      <c r="H342" s="9"/>
      <c r="I342" s="9" t="s">
        <v>1297</v>
      </c>
      <c r="J342" s="9"/>
      <c r="K342" s="9" t="s">
        <v>1298</v>
      </c>
      <c r="L342" s="9" t="s">
        <v>6142</v>
      </c>
      <c r="M342" s="9" t="str">
        <f>HYPERLINK("https://ceds.ed.gov/cedselementdetails.aspx?termid=13564")</f>
        <v>https://ceds.ed.gov/cedselementdetails.aspx?termid=13564</v>
      </c>
      <c r="N342" s="9" t="str">
        <f>HYPERLINK("https://ceds.ed.gov/elementComment.aspx?elementName=Assessment Result Pretest Outcome &amp;elementID=13564", "Click here to submit comment")</f>
        <v>Click here to submit comment</v>
      </c>
    </row>
    <row r="343" spans="1:14" ht="60" x14ac:dyDescent="0.25">
      <c r="A343" s="9" t="s">
        <v>1299</v>
      </c>
      <c r="B343" s="9" t="s">
        <v>1300</v>
      </c>
      <c r="C343" s="9" t="s">
        <v>12</v>
      </c>
      <c r="D343" s="9" t="s">
        <v>1253</v>
      </c>
      <c r="E343" s="9"/>
      <c r="F343" s="9" t="s">
        <v>134</v>
      </c>
      <c r="G343" s="9"/>
      <c r="H343" s="9" t="s">
        <v>1301</v>
      </c>
      <c r="I343" s="9" t="s">
        <v>1302</v>
      </c>
      <c r="J343" s="9"/>
      <c r="K343" s="9" t="s">
        <v>1303</v>
      </c>
      <c r="L343" s="9"/>
      <c r="M343" s="9" t="str">
        <f>HYPERLINK("https://ceds.ed.gov/cedselementdetails.aspx?termid=14522")</f>
        <v>https://ceds.ed.gov/cedselementdetails.aspx?termid=14522</v>
      </c>
      <c r="N343" s="9" t="str">
        <f>HYPERLINK("https://ceds.ed.gov/elementComment.aspx?elementName=Assessment Result Score Standard Error &amp;elementID=14522", "Click here to submit comment")</f>
        <v>Click here to submit comment</v>
      </c>
    </row>
    <row r="344" spans="1:14" ht="240" x14ac:dyDescent="0.25">
      <c r="A344" s="9" t="s">
        <v>1304</v>
      </c>
      <c r="B344" s="9" t="s">
        <v>1305</v>
      </c>
      <c r="C344" s="10" t="s">
        <v>6382</v>
      </c>
      <c r="D344" s="9" t="s">
        <v>1253</v>
      </c>
      <c r="E344" s="9"/>
      <c r="F344" s="9"/>
      <c r="G344" s="9"/>
      <c r="H344" s="9"/>
      <c r="I344" s="9" t="s">
        <v>1306</v>
      </c>
      <c r="J344" s="9"/>
      <c r="K344" s="9" t="s">
        <v>1307</v>
      </c>
      <c r="L344" s="9"/>
      <c r="M344" s="9" t="str">
        <f>HYPERLINK("https://ceds.ed.gov/cedselementdetails.aspx?termid=14523")</f>
        <v>https://ceds.ed.gov/cedselementdetails.aspx?termid=14523</v>
      </c>
      <c r="N344" s="9" t="str">
        <f>HYPERLINK("https://ceds.ed.gov/elementComment.aspx?elementName=Assessment Result Score Type &amp;elementID=14523", "Click here to submit comment")</f>
        <v>Click here to submit comment</v>
      </c>
    </row>
    <row r="345" spans="1:14" ht="210" x14ac:dyDescent="0.25">
      <c r="A345" s="9" t="s">
        <v>1308</v>
      </c>
      <c r="B345" s="9" t="s">
        <v>1309</v>
      </c>
      <c r="C345" s="9" t="s">
        <v>12</v>
      </c>
      <c r="D345" s="9" t="s">
        <v>1253</v>
      </c>
      <c r="E345" s="9"/>
      <c r="F345" s="9" t="s">
        <v>1310</v>
      </c>
      <c r="G345" s="9"/>
      <c r="H345" s="9" t="s">
        <v>1311</v>
      </c>
      <c r="I345" s="9" t="s">
        <v>1312</v>
      </c>
      <c r="J345" s="9"/>
      <c r="K345" s="9" t="s">
        <v>1313</v>
      </c>
      <c r="L345" s="9" t="s">
        <v>6143</v>
      </c>
      <c r="M345" s="9" t="str">
        <f>HYPERLINK("https://ceds.ed.gov/cedselementdetails.aspx?termid=13245")</f>
        <v>https://ceds.ed.gov/cedselementdetails.aspx?termid=13245</v>
      </c>
      <c r="N345" s="9" t="str">
        <f>HYPERLINK("https://ceds.ed.gov/elementComment.aspx?elementName=Assessment Result Score Value &amp;elementID=13245", "Click here to submit comment")</f>
        <v>Click here to submit comment</v>
      </c>
    </row>
    <row r="346" spans="1:14" ht="60" x14ac:dyDescent="0.25">
      <c r="A346" s="9" t="s">
        <v>1314</v>
      </c>
      <c r="B346" s="9" t="s">
        <v>1315</v>
      </c>
      <c r="C346" s="9" t="s">
        <v>12</v>
      </c>
      <c r="D346" s="9" t="s">
        <v>488</v>
      </c>
      <c r="E346" s="9"/>
      <c r="F346" s="9" t="s">
        <v>73</v>
      </c>
      <c r="G346" s="9"/>
      <c r="H346" s="9"/>
      <c r="I346" s="9" t="s">
        <v>1316</v>
      </c>
      <c r="J346" s="9"/>
      <c r="K346" s="9" t="s">
        <v>1317</v>
      </c>
      <c r="L346" s="9"/>
      <c r="M346" s="9" t="str">
        <f>HYPERLINK("https://ceds.ed.gov/cedselementdetails.aspx?termid=14519")</f>
        <v>https://ceds.ed.gov/cedselementdetails.aspx?termid=14519</v>
      </c>
      <c r="N346" s="9" t="str">
        <f>HYPERLINK("https://ceds.ed.gov/elementComment.aspx?elementName=Assessment Revision Date &amp;elementID=14519", "Click here to submit comment")</f>
        <v>Click here to submit comment</v>
      </c>
    </row>
    <row r="347" spans="1:14" ht="409.5" x14ac:dyDescent="0.25">
      <c r="A347" s="9" t="s">
        <v>1318</v>
      </c>
      <c r="B347" s="9" t="s">
        <v>1319</v>
      </c>
      <c r="C347" s="10" t="s">
        <v>6374</v>
      </c>
      <c r="D347" s="9" t="s">
        <v>6144</v>
      </c>
      <c r="E347" s="9"/>
      <c r="F347" s="9"/>
      <c r="G347" s="9"/>
      <c r="H347" s="9"/>
      <c r="I347" s="9" t="s">
        <v>1320</v>
      </c>
      <c r="J347" s="9"/>
      <c r="K347" s="9" t="s">
        <v>1321</v>
      </c>
      <c r="L347" s="9" t="s">
        <v>6145</v>
      </c>
      <c r="M347" s="9" t="str">
        <f>HYPERLINK("https://ceds.ed.gov/cedselementdetails.aspx?termid=13368")</f>
        <v>https://ceds.ed.gov/cedselementdetails.aspx?termid=13368</v>
      </c>
      <c r="N347" s="9" t="str">
        <f>HYPERLINK("https://ceds.ed.gov/elementComment.aspx?elementName=Assessment Score Metric Type &amp;elementID=13368", "Click here to submit comment")</f>
        <v>Click here to submit comment</v>
      </c>
    </row>
    <row r="348" spans="1:14" ht="60" x14ac:dyDescent="0.25">
      <c r="A348" s="9" t="s">
        <v>1322</v>
      </c>
      <c r="B348" s="9" t="s">
        <v>1323</v>
      </c>
      <c r="C348" s="9" t="s">
        <v>6106</v>
      </c>
      <c r="D348" s="9" t="s">
        <v>6146</v>
      </c>
      <c r="E348" s="9"/>
      <c r="F348" s="9"/>
      <c r="G348" s="9"/>
      <c r="H348" s="9"/>
      <c r="I348" s="9" t="s">
        <v>1324</v>
      </c>
      <c r="J348" s="9"/>
      <c r="K348" s="9" t="s">
        <v>1325</v>
      </c>
      <c r="L348" s="9" t="s">
        <v>6127</v>
      </c>
      <c r="M348" s="9" t="str">
        <f>HYPERLINK("https://ceds.ed.gov/cedselementdetails.aspx?termid=13375")</f>
        <v>https://ceds.ed.gov/cedselementdetails.aspx?termid=13375</v>
      </c>
      <c r="N348" s="9" t="str">
        <f>HYPERLINK("https://ceds.ed.gov/elementComment.aspx?elementName=Assessment Secure Indicator &amp;elementID=13375", "Click here to submit comment")</f>
        <v>Click here to submit comment</v>
      </c>
    </row>
    <row r="349" spans="1:14" ht="90" x14ac:dyDescent="0.25">
      <c r="A349" s="9" t="s">
        <v>1326</v>
      </c>
      <c r="B349" s="9" t="s">
        <v>1327</v>
      </c>
      <c r="C349" s="9" t="s">
        <v>12</v>
      </c>
      <c r="D349" s="9" t="s">
        <v>6147</v>
      </c>
      <c r="E349" s="9"/>
      <c r="F349" s="9" t="s">
        <v>828</v>
      </c>
      <c r="G349" s="9"/>
      <c r="H349" s="9" t="s">
        <v>1328</v>
      </c>
      <c r="I349" s="9" t="s">
        <v>1329</v>
      </c>
      <c r="J349" s="9"/>
      <c r="K349" s="9" t="s">
        <v>1330</v>
      </c>
      <c r="L349" s="9"/>
      <c r="M349" s="9" t="str">
        <f>HYPERLINK("https://ceds.ed.gov/cedselementdetails.aspx?termid=14024")</f>
        <v>https://ceds.ed.gov/cedselementdetails.aspx?termid=14024</v>
      </c>
      <c r="N349" s="9" t="str">
        <f>HYPERLINK("https://ceds.ed.gov/elementComment.aspx?elementName=Assessment Session Actual End Date Time &amp;elementID=14024", "Click here to submit comment")</f>
        <v>Click here to submit comment</v>
      </c>
    </row>
    <row r="350" spans="1:14" ht="90" x14ac:dyDescent="0.25">
      <c r="A350" s="9" t="s">
        <v>1331</v>
      </c>
      <c r="B350" s="9" t="s">
        <v>1332</v>
      </c>
      <c r="C350" s="9" t="s">
        <v>12</v>
      </c>
      <c r="D350" s="9" t="s">
        <v>6147</v>
      </c>
      <c r="E350" s="9"/>
      <c r="F350" s="9" t="s">
        <v>828</v>
      </c>
      <c r="G350" s="9"/>
      <c r="H350" s="9" t="s">
        <v>1333</v>
      </c>
      <c r="I350" s="9" t="s">
        <v>1334</v>
      </c>
      <c r="J350" s="9"/>
      <c r="K350" s="9" t="s">
        <v>1335</v>
      </c>
      <c r="L350" s="9"/>
      <c r="M350" s="9" t="str">
        <f>HYPERLINK("https://ceds.ed.gov/cedselementdetails.aspx?termid=14023")</f>
        <v>https://ceds.ed.gov/cedselementdetails.aspx?termid=14023</v>
      </c>
      <c r="N350" s="9" t="str">
        <f>HYPERLINK("https://ceds.ed.gov/elementComment.aspx?elementName=Assessment Session Actual Start Date Time &amp;elementID=14023", "Click here to submit comment")</f>
        <v>Click here to submit comment</v>
      </c>
    </row>
    <row r="351" spans="1:14" ht="105" customHeight="1" x14ac:dyDescent="0.25">
      <c r="A351" s="18" t="s">
        <v>1336</v>
      </c>
      <c r="B351" s="18" t="s">
        <v>1337</v>
      </c>
      <c r="C351" s="18" t="s">
        <v>12</v>
      </c>
      <c r="D351" s="18" t="s">
        <v>1338</v>
      </c>
      <c r="E351" s="18"/>
      <c r="F351" s="18" t="s">
        <v>119</v>
      </c>
      <c r="G351" s="18"/>
      <c r="H351" s="9" t="s">
        <v>120</v>
      </c>
      <c r="I351" s="18" t="s">
        <v>1339</v>
      </c>
      <c r="J351" s="18"/>
      <c r="K351" s="18" t="s">
        <v>1340</v>
      </c>
      <c r="L351" s="18" t="s">
        <v>6127</v>
      </c>
      <c r="M351" s="18" t="str">
        <f>HYPERLINK("https://ceds.ed.gov/cedselementdetails.aspx?termid=13400")</f>
        <v>https://ceds.ed.gov/cedselementdetails.aspx?termid=13400</v>
      </c>
      <c r="N351" s="18" t="str">
        <f>HYPERLINK("https://ceds.ed.gov/elementComment.aspx?elementName=Assessment Session Administrator Identifier &amp;elementID=13400", "Click here to submit comment")</f>
        <v>Click here to submit comment</v>
      </c>
    </row>
    <row r="352" spans="1:14" x14ac:dyDescent="0.25">
      <c r="A352" s="18"/>
      <c r="B352" s="18"/>
      <c r="C352" s="18"/>
      <c r="D352" s="18"/>
      <c r="E352" s="18"/>
      <c r="F352" s="18"/>
      <c r="G352" s="18"/>
      <c r="H352" s="9"/>
      <c r="I352" s="18"/>
      <c r="J352" s="18"/>
      <c r="K352" s="18"/>
      <c r="L352" s="18"/>
      <c r="M352" s="18"/>
      <c r="N352" s="18"/>
    </row>
    <row r="353" spans="1:14" ht="90" x14ac:dyDescent="0.25">
      <c r="A353" s="18"/>
      <c r="B353" s="18"/>
      <c r="C353" s="18"/>
      <c r="D353" s="18"/>
      <c r="E353" s="18"/>
      <c r="F353" s="18"/>
      <c r="G353" s="18"/>
      <c r="H353" s="9" t="s">
        <v>121</v>
      </c>
      <c r="I353" s="18"/>
      <c r="J353" s="18"/>
      <c r="K353" s="18"/>
      <c r="L353" s="18"/>
      <c r="M353" s="18"/>
      <c r="N353" s="18"/>
    </row>
    <row r="354" spans="1:14" ht="45" x14ac:dyDescent="0.25">
      <c r="A354" s="9" t="s">
        <v>1341</v>
      </c>
      <c r="B354" s="9" t="s">
        <v>1342</v>
      </c>
      <c r="C354" s="9" t="s">
        <v>12</v>
      </c>
      <c r="D354" s="9" t="s">
        <v>1338</v>
      </c>
      <c r="E354" s="9"/>
      <c r="F354" s="9" t="s">
        <v>833</v>
      </c>
      <c r="G354" s="9"/>
      <c r="H354" s="9"/>
      <c r="I354" s="9" t="s">
        <v>1343</v>
      </c>
      <c r="J354" s="9"/>
      <c r="K354" s="9" t="s">
        <v>1344</v>
      </c>
      <c r="L354" s="9" t="s">
        <v>6127</v>
      </c>
      <c r="M354" s="9" t="str">
        <f>HYPERLINK("https://ceds.ed.gov/cedselementdetails.aspx?termid=13399")</f>
        <v>https://ceds.ed.gov/cedselementdetails.aspx?termid=13399</v>
      </c>
      <c r="N354" s="9" t="str">
        <f>HYPERLINK("https://ceds.ed.gov/elementComment.aspx?elementName=Assessment Session Allotted Time &amp;elementID=13399", "Click here to submit comment")</f>
        <v>Click here to submit comment</v>
      </c>
    </row>
    <row r="355" spans="1:14" ht="60" x14ac:dyDescent="0.25">
      <c r="A355" s="9" t="s">
        <v>1345</v>
      </c>
      <c r="B355" s="9" t="s">
        <v>1346</v>
      </c>
      <c r="C355" s="9" t="s">
        <v>12</v>
      </c>
      <c r="D355" s="9" t="s">
        <v>6147</v>
      </c>
      <c r="E355" s="9"/>
      <c r="F355" s="9" t="s">
        <v>1347</v>
      </c>
      <c r="G355" s="9"/>
      <c r="H355" s="9"/>
      <c r="I355" s="9" t="s">
        <v>1348</v>
      </c>
      <c r="J355" s="9"/>
      <c r="K355" s="9" t="s">
        <v>1349</v>
      </c>
      <c r="L355" s="9" t="s">
        <v>6127</v>
      </c>
      <c r="M355" s="9" t="str">
        <f>HYPERLINK("https://ceds.ed.gov/cedselementdetails.aspx?termid=13590")</f>
        <v>https://ceds.ed.gov/cedselementdetails.aspx?termid=13590</v>
      </c>
      <c r="N355" s="9" t="str">
        <f>HYPERLINK("https://ceds.ed.gov/elementComment.aspx?elementName=Assessment Session Location &amp;elementID=13590", "Click here to submit comment")</f>
        <v>Click here to submit comment</v>
      </c>
    </row>
    <row r="356" spans="1:14" ht="45" customHeight="1" x14ac:dyDescent="0.25">
      <c r="A356" s="18" t="s">
        <v>1350</v>
      </c>
      <c r="B356" s="18" t="s">
        <v>1351</v>
      </c>
      <c r="C356" s="18" t="s">
        <v>12</v>
      </c>
      <c r="D356" s="18" t="s">
        <v>1338</v>
      </c>
      <c r="E356" s="18"/>
      <c r="F356" s="18" t="s">
        <v>119</v>
      </c>
      <c r="G356" s="18"/>
      <c r="H356" s="9" t="s">
        <v>1352</v>
      </c>
      <c r="I356" s="18" t="s">
        <v>1353</v>
      </c>
      <c r="J356" s="18"/>
      <c r="K356" s="18" t="s">
        <v>1354</v>
      </c>
      <c r="L356" s="18" t="s">
        <v>6127</v>
      </c>
      <c r="M356" s="18" t="str">
        <f>HYPERLINK("https://ceds.ed.gov/cedselementdetails.aspx?termid=13401")</f>
        <v>https://ceds.ed.gov/cedselementdetails.aspx?termid=13401</v>
      </c>
      <c r="N356" s="18" t="str">
        <f>HYPERLINK("https://ceds.ed.gov/elementComment.aspx?elementName=Assessment Session Proctor Identifier &amp;elementID=13401", "Click here to submit comment")</f>
        <v>Click here to submit comment</v>
      </c>
    </row>
    <row r="357" spans="1:14" x14ac:dyDescent="0.25">
      <c r="A357" s="18"/>
      <c r="B357" s="18"/>
      <c r="C357" s="18"/>
      <c r="D357" s="18"/>
      <c r="E357" s="18"/>
      <c r="F357" s="18"/>
      <c r="G357" s="18"/>
      <c r="H357" s="9"/>
      <c r="I357" s="18"/>
      <c r="J357" s="18"/>
      <c r="K357" s="18"/>
      <c r="L357" s="18"/>
      <c r="M357" s="18"/>
      <c r="N357" s="18"/>
    </row>
    <row r="358" spans="1:14" ht="105" x14ac:dyDescent="0.25">
      <c r="A358" s="18"/>
      <c r="B358" s="18"/>
      <c r="C358" s="18"/>
      <c r="D358" s="18"/>
      <c r="E358" s="18"/>
      <c r="F358" s="18"/>
      <c r="G358" s="18"/>
      <c r="H358" s="9" t="s">
        <v>120</v>
      </c>
      <c r="I358" s="18"/>
      <c r="J358" s="18"/>
      <c r="K358" s="18"/>
      <c r="L358" s="18"/>
      <c r="M358" s="18"/>
      <c r="N358" s="18"/>
    </row>
    <row r="359" spans="1:14" x14ac:dyDescent="0.25">
      <c r="A359" s="18"/>
      <c r="B359" s="18"/>
      <c r="C359" s="18"/>
      <c r="D359" s="18"/>
      <c r="E359" s="18"/>
      <c r="F359" s="18"/>
      <c r="G359" s="18"/>
      <c r="H359" s="9"/>
      <c r="I359" s="18"/>
      <c r="J359" s="18"/>
      <c r="K359" s="18"/>
      <c r="L359" s="18"/>
      <c r="M359" s="18"/>
      <c r="N359" s="18"/>
    </row>
    <row r="360" spans="1:14" ht="90" x14ac:dyDescent="0.25">
      <c r="A360" s="18"/>
      <c r="B360" s="18"/>
      <c r="C360" s="18"/>
      <c r="D360" s="18"/>
      <c r="E360" s="18"/>
      <c r="F360" s="18"/>
      <c r="G360" s="18"/>
      <c r="H360" s="9" t="s">
        <v>121</v>
      </c>
      <c r="I360" s="18"/>
      <c r="J360" s="18"/>
      <c r="K360" s="18"/>
      <c r="L360" s="18"/>
      <c r="M360" s="18"/>
      <c r="N360" s="18"/>
    </row>
    <row r="361" spans="1:14" ht="45" x14ac:dyDescent="0.25">
      <c r="A361" s="9" t="s">
        <v>1355</v>
      </c>
      <c r="B361" s="9" t="s">
        <v>1356</v>
      </c>
      <c r="C361" s="9" t="s">
        <v>12</v>
      </c>
      <c r="D361" s="9" t="s">
        <v>1338</v>
      </c>
      <c r="E361" s="9"/>
      <c r="F361" s="9" t="s">
        <v>828</v>
      </c>
      <c r="G361" s="9"/>
      <c r="H361" s="9"/>
      <c r="I361" s="9" t="s">
        <v>1357</v>
      </c>
      <c r="J361" s="9"/>
      <c r="K361" s="9" t="s">
        <v>1358</v>
      </c>
      <c r="L361" s="9"/>
      <c r="M361" s="9" t="str">
        <f>HYPERLINK("https://ceds.ed.gov/cedselementdetails.aspx?termid=14022")</f>
        <v>https://ceds.ed.gov/cedselementdetails.aspx?termid=14022</v>
      </c>
      <c r="N361" s="9" t="str">
        <f>HYPERLINK("https://ceds.ed.gov/elementComment.aspx?elementName=Assessment Session Scheduled End Date Time &amp;elementID=14022", "Click here to submit comment")</f>
        <v>Click here to submit comment</v>
      </c>
    </row>
    <row r="362" spans="1:14" ht="45" x14ac:dyDescent="0.25">
      <c r="A362" s="9" t="s">
        <v>1359</v>
      </c>
      <c r="B362" s="9" t="s">
        <v>1360</v>
      </c>
      <c r="C362" s="9" t="s">
        <v>12</v>
      </c>
      <c r="D362" s="9" t="s">
        <v>1338</v>
      </c>
      <c r="E362" s="9"/>
      <c r="F362" s="9" t="s">
        <v>828</v>
      </c>
      <c r="G362" s="9"/>
      <c r="H362" s="9"/>
      <c r="I362" s="9" t="s">
        <v>1361</v>
      </c>
      <c r="J362" s="9"/>
      <c r="K362" s="9" t="s">
        <v>1362</v>
      </c>
      <c r="L362" s="9"/>
      <c r="M362" s="9" t="str">
        <f>HYPERLINK("https://ceds.ed.gov/cedselementdetails.aspx?termid=14021")</f>
        <v>https://ceds.ed.gov/cedselementdetails.aspx?termid=14021</v>
      </c>
      <c r="N362" s="9" t="str">
        <f>HYPERLINK("https://ceds.ed.gov/elementComment.aspx?elementName=Assessment Session Scheduled Start Date Time &amp;elementID=14021", "Click here to submit comment")</f>
        <v>Click here to submit comment</v>
      </c>
    </row>
    <row r="363" spans="1:14" ht="150" x14ac:dyDescent="0.25">
      <c r="A363" s="9" t="s">
        <v>1363</v>
      </c>
      <c r="B363" s="9" t="s">
        <v>1364</v>
      </c>
      <c r="C363" s="9" t="s">
        <v>12</v>
      </c>
      <c r="D363" s="9" t="s">
        <v>6147</v>
      </c>
      <c r="E363" s="9"/>
      <c r="F363" s="9" t="s">
        <v>68</v>
      </c>
      <c r="G363" s="9"/>
      <c r="H363" s="9" t="s">
        <v>864</v>
      </c>
      <c r="I363" s="9" t="s">
        <v>1365</v>
      </c>
      <c r="J363" s="9"/>
      <c r="K363" s="9" t="s">
        <v>1366</v>
      </c>
      <c r="L363" s="9"/>
      <c r="M363" s="9" t="str">
        <f>HYPERLINK("https://ceds.ed.gov/cedselementdetails.aspx?termid=13969")</f>
        <v>https://ceds.ed.gov/cedselementdetails.aspx?termid=13969</v>
      </c>
      <c r="N363" s="9" t="str">
        <f>HYPERLINK("https://ceds.ed.gov/elementComment.aspx?elementName=Assessment Session Security Issue &amp;elementID=13969", "Click here to submit comment")</f>
        <v>Click here to submit comment</v>
      </c>
    </row>
    <row r="364" spans="1:14" ht="409.5" x14ac:dyDescent="0.25">
      <c r="A364" s="9" t="s">
        <v>1367</v>
      </c>
      <c r="B364" s="9" t="s">
        <v>1368</v>
      </c>
      <c r="C364" s="10" t="s">
        <v>6383</v>
      </c>
      <c r="D364" s="9" t="s">
        <v>6147</v>
      </c>
      <c r="E364" s="9"/>
      <c r="F364" s="9"/>
      <c r="G364" s="9"/>
      <c r="H364" s="9"/>
      <c r="I364" s="9" t="s">
        <v>1369</v>
      </c>
      <c r="J364" s="9"/>
      <c r="K364" s="9" t="s">
        <v>1370</v>
      </c>
      <c r="L364" s="9" t="s">
        <v>6127</v>
      </c>
      <c r="M364" s="9" t="str">
        <f>HYPERLINK("https://ceds.ed.gov/cedselementdetails.aspx?termid=13380")</f>
        <v>https://ceds.ed.gov/cedselementdetails.aspx?termid=13380</v>
      </c>
      <c r="N364" s="9" t="str">
        <f>HYPERLINK("https://ceds.ed.gov/elementComment.aspx?elementName=Assessment Session Special Circumstance Type &amp;elementID=13380", "Click here to submit comment")</f>
        <v>Click here to submit comment</v>
      </c>
    </row>
    <row r="365" spans="1:14" ht="90" x14ac:dyDescent="0.25">
      <c r="A365" s="9" t="s">
        <v>1371</v>
      </c>
      <c r="B365" s="9" t="s">
        <v>1372</v>
      </c>
      <c r="C365" s="9" t="s">
        <v>12</v>
      </c>
      <c r="D365" s="9" t="s">
        <v>6147</v>
      </c>
      <c r="E365" s="9"/>
      <c r="F365" s="9" t="s">
        <v>92</v>
      </c>
      <c r="G365" s="9"/>
      <c r="H365" s="9"/>
      <c r="I365" s="9" t="s">
        <v>1373</v>
      </c>
      <c r="J365" s="9"/>
      <c r="K365" s="9" t="s">
        <v>1374</v>
      </c>
      <c r="L365" s="9"/>
      <c r="M365" s="9" t="str">
        <f>HYPERLINK("https://ceds.ed.gov/cedselementdetails.aspx?termid=14077")</f>
        <v>https://ceds.ed.gov/cedselementdetails.aspx?termid=14077</v>
      </c>
      <c r="N365" s="9" t="str">
        <f>HYPERLINK("https://ceds.ed.gov/elementComment.aspx?elementName=Assessment Session Special Event Description &amp;elementID=14077", "Click here to submit comment")</f>
        <v>Click here to submit comment</v>
      </c>
    </row>
    <row r="366" spans="1:14" ht="120" x14ac:dyDescent="0.25">
      <c r="A366" s="9" t="s">
        <v>1375</v>
      </c>
      <c r="B366" s="9" t="s">
        <v>1376</v>
      </c>
      <c r="C366" s="10" t="s">
        <v>6384</v>
      </c>
      <c r="D366" s="9" t="s">
        <v>1338</v>
      </c>
      <c r="E366" s="9"/>
      <c r="F366" s="9"/>
      <c r="G366" s="9"/>
      <c r="H366" s="9"/>
      <c r="I366" s="9" t="s">
        <v>1377</v>
      </c>
      <c r="J366" s="9"/>
      <c r="K366" s="9" t="s">
        <v>1378</v>
      </c>
      <c r="L366" s="9"/>
      <c r="M366" s="9" t="str">
        <f>HYPERLINK("https://ceds.ed.gov/cedselementdetails.aspx?termid=14179")</f>
        <v>https://ceds.ed.gov/cedselementdetails.aspx?termid=14179</v>
      </c>
      <c r="N366" s="9" t="str">
        <f>HYPERLINK("https://ceds.ed.gov/elementComment.aspx?elementName=Assessment Session Staff Role Type &amp;elementID=14179", "Click here to submit comment")</f>
        <v>Click here to submit comment</v>
      </c>
    </row>
    <row r="367" spans="1:14" ht="45" x14ac:dyDescent="0.25">
      <c r="A367" s="9" t="s">
        <v>1379</v>
      </c>
      <c r="B367" s="9" t="s">
        <v>1380</v>
      </c>
      <c r="C367" s="10" t="s">
        <v>6385</v>
      </c>
      <c r="D367" s="9" t="s">
        <v>1338</v>
      </c>
      <c r="E367" s="9"/>
      <c r="F367" s="9"/>
      <c r="G367" s="9"/>
      <c r="H367" s="9"/>
      <c r="I367" s="9" t="s">
        <v>1381</v>
      </c>
      <c r="J367" s="9"/>
      <c r="K367" s="9" t="s">
        <v>1382</v>
      </c>
      <c r="L367" s="9"/>
      <c r="M367" s="9" t="str">
        <f>HYPERLINK("https://ceds.ed.gov/cedselementdetails.aspx?termid=14020")</f>
        <v>https://ceds.ed.gov/cedselementdetails.aspx?termid=14020</v>
      </c>
      <c r="N367" s="9" t="str">
        <f>HYPERLINK("https://ceds.ed.gov/elementComment.aspx?elementName=Assessment Session Type &amp;elementID=14020", "Click here to submit comment")</f>
        <v>Click here to submit comment</v>
      </c>
    </row>
    <row r="368" spans="1:14" ht="45" x14ac:dyDescent="0.25">
      <c r="A368" s="9" t="s">
        <v>12207</v>
      </c>
      <c r="B368" s="9" t="s">
        <v>1383</v>
      </c>
      <c r="C368" s="9" t="s">
        <v>6106</v>
      </c>
      <c r="D368" s="9" t="s">
        <v>1384</v>
      </c>
      <c r="E368" s="9"/>
      <c r="F368" s="9"/>
      <c r="G368" s="9"/>
      <c r="H368" s="9"/>
      <c r="I368" s="9" t="s">
        <v>1385</v>
      </c>
      <c r="J368" s="9"/>
      <c r="K368" s="9" t="s">
        <v>1386</v>
      </c>
      <c r="L368" s="9" t="s">
        <v>64</v>
      </c>
      <c r="M368" s="9" t="str">
        <f>HYPERLINK("https://ceds.ed.gov/cedselementdetails.aspx?termid=13858")</f>
        <v>https://ceds.ed.gov/cedselementdetails.aspx?termid=13858</v>
      </c>
      <c r="N368" s="9" t="str">
        <f>HYPERLINK("https://ceds.ed.gov/elementComment.aspx?elementName=Assessment Shared with Parents &amp;elementID=13858", "Click here to submit comment")</f>
        <v>Click here to submit comment</v>
      </c>
    </row>
    <row r="369" spans="1:14" ht="45" x14ac:dyDescent="0.25">
      <c r="A369" s="9" t="s">
        <v>1387</v>
      </c>
      <c r="B369" s="9" t="s">
        <v>1388</v>
      </c>
      <c r="C369" s="9" t="s">
        <v>12</v>
      </c>
      <c r="D369" s="9" t="s">
        <v>488</v>
      </c>
      <c r="E369" s="9"/>
      <c r="F369" s="9" t="s">
        <v>87</v>
      </c>
      <c r="G369" s="9"/>
      <c r="H369" s="9"/>
      <c r="I369" s="9" t="s">
        <v>1389</v>
      </c>
      <c r="J369" s="9"/>
      <c r="K369" s="9" t="s">
        <v>1390</v>
      </c>
      <c r="L369" s="9"/>
      <c r="M369" s="9" t="str">
        <f>HYPERLINK("https://ceds.ed.gov/cedselementdetails.aspx?termid=13932")</f>
        <v>https://ceds.ed.gov/cedselementdetails.aspx?termid=13932</v>
      </c>
      <c r="N369" s="9" t="str">
        <f>HYPERLINK("https://ceds.ed.gov/elementComment.aspx?elementName=Assessment Short Name &amp;elementID=13932", "Click here to submit comment")</f>
        <v>Click here to submit comment</v>
      </c>
    </row>
    <row r="370" spans="1:14" ht="45" x14ac:dyDescent="0.25">
      <c r="A370" s="9" t="s">
        <v>1391</v>
      </c>
      <c r="B370" s="9" t="s">
        <v>1392</v>
      </c>
      <c r="C370" s="9" t="s">
        <v>12</v>
      </c>
      <c r="D370" s="9" t="s">
        <v>474</v>
      </c>
      <c r="E370" s="9"/>
      <c r="F370" s="9" t="s">
        <v>87</v>
      </c>
      <c r="G370" s="9"/>
      <c r="H370" s="9"/>
      <c r="I370" s="9" t="s">
        <v>1393</v>
      </c>
      <c r="J370" s="9"/>
      <c r="K370" s="9" t="s">
        <v>1394</v>
      </c>
      <c r="L370" s="9" t="s">
        <v>6148</v>
      </c>
      <c r="M370" s="9" t="str">
        <f>HYPERLINK("https://ceds.ed.gov/cedselementdetails.aspx?termid=13367")</f>
        <v>https://ceds.ed.gov/cedselementdetails.aspx?termid=13367</v>
      </c>
      <c r="N370" s="9" t="str">
        <f>HYPERLINK("https://ceds.ed.gov/elementComment.aspx?elementName=Assessment Subtest Abbreviation &amp;elementID=13367", "Click here to submit comment")</f>
        <v>Click here to submit comment</v>
      </c>
    </row>
    <row r="371" spans="1:14" ht="150" x14ac:dyDescent="0.25">
      <c r="A371" s="9" t="s">
        <v>1395</v>
      </c>
      <c r="B371" s="9" t="s">
        <v>1396</v>
      </c>
      <c r="C371" s="9" t="s">
        <v>12</v>
      </c>
      <c r="D371" s="9" t="s">
        <v>474</v>
      </c>
      <c r="E371" s="9"/>
      <c r="F371" s="9" t="s">
        <v>92</v>
      </c>
      <c r="G371" s="9"/>
      <c r="H371" s="9"/>
      <c r="I371" s="9" t="s">
        <v>1397</v>
      </c>
      <c r="J371" s="9"/>
      <c r="K371" s="9" t="s">
        <v>1398</v>
      </c>
      <c r="L371" s="9" t="s">
        <v>6131</v>
      </c>
      <c r="M371" s="9" t="str">
        <f>HYPERLINK("https://ceds.ed.gov/cedselementdetails.aspx?termid=13274")</f>
        <v>https://ceds.ed.gov/cedselementdetails.aspx?termid=13274</v>
      </c>
      <c r="N371" s="9" t="str">
        <f>HYPERLINK("https://ceds.ed.gov/elementComment.aspx?elementName=Assessment Subtest Description &amp;elementID=13274", "Click here to submit comment")</f>
        <v>Click here to submit comment</v>
      </c>
    </row>
    <row r="372" spans="1:14" ht="105" customHeight="1" x14ac:dyDescent="0.25">
      <c r="A372" s="18" t="s">
        <v>1399</v>
      </c>
      <c r="B372" s="18" t="s">
        <v>1400</v>
      </c>
      <c r="C372" s="18" t="s">
        <v>12</v>
      </c>
      <c r="D372" s="18" t="s">
        <v>474</v>
      </c>
      <c r="E372" s="18"/>
      <c r="F372" s="18" t="s">
        <v>119</v>
      </c>
      <c r="G372" s="18"/>
      <c r="H372" s="9" t="s">
        <v>120</v>
      </c>
      <c r="I372" s="18" t="s">
        <v>1401</v>
      </c>
      <c r="J372" s="18"/>
      <c r="K372" s="18" t="s">
        <v>1402</v>
      </c>
      <c r="L372" s="18" t="s">
        <v>6145</v>
      </c>
      <c r="M372" s="18" t="str">
        <f>HYPERLINK("https://ceds.ed.gov/cedselementdetails.aspx?termid=13366")</f>
        <v>https://ceds.ed.gov/cedselementdetails.aspx?termid=13366</v>
      </c>
      <c r="N372" s="18" t="str">
        <f>HYPERLINK("https://ceds.ed.gov/elementComment.aspx?elementName=Assessment Subtest Identifier &amp;elementID=13366", "Click here to submit comment")</f>
        <v>Click here to submit comment</v>
      </c>
    </row>
    <row r="373" spans="1:14" x14ac:dyDescent="0.25">
      <c r="A373" s="18"/>
      <c r="B373" s="18"/>
      <c r="C373" s="18"/>
      <c r="D373" s="18"/>
      <c r="E373" s="18"/>
      <c r="F373" s="18"/>
      <c r="G373" s="18"/>
      <c r="H373" s="9"/>
      <c r="I373" s="18"/>
      <c r="J373" s="18"/>
      <c r="K373" s="18"/>
      <c r="L373" s="18"/>
      <c r="M373" s="18"/>
      <c r="N373" s="18"/>
    </row>
    <row r="374" spans="1:14" ht="90" x14ac:dyDescent="0.25">
      <c r="A374" s="18"/>
      <c r="B374" s="18"/>
      <c r="C374" s="18"/>
      <c r="D374" s="18"/>
      <c r="E374" s="18"/>
      <c r="F374" s="18"/>
      <c r="G374" s="18"/>
      <c r="H374" s="9" t="s">
        <v>121</v>
      </c>
      <c r="I374" s="18"/>
      <c r="J374" s="18"/>
      <c r="K374" s="18"/>
      <c r="L374" s="18"/>
      <c r="M374" s="18"/>
      <c r="N374" s="18"/>
    </row>
    <row r="375" spans="1:14" ht="75" x14ac:dyDescent="0.25">
      <c r="A375" s="9" t="s">
        <v>1403</v>
      </c>
      <c r="B375" s="9" t="s">
        <v>1404</v>
      </c>
      <c r="C375" s="10" t="s">
        <v>6386</v>
      </c>
      <c r="D375" s="9" t="s">
        <v>474</v>
      </c>
      <c r="E375" s="9"/>
      <c r="F375" s="9"/>
      <c r="G375" s="9"/>
      <c r="H375" s="9"/>
      <c r="I375" s="9" t="s">
        <v>1405</v>
      </c>
      <c r="J375" s="9"/>
      <c r="K375" s="9" t="s">
        <v>1406</v>
      </c>
      <c r="L375" s="9"/>
      <c r="M375" s="9" t="str">
        <f>HYPERLINK("https://ceds.ed.gov/cedselementdetails.aspx?termid=14016")</f>
        <v>https://ceds.ed.gov/cedselementdetails.aspx?termid=14016</v>
      </c>
      <c r="N375" s="9" t="str">
        <f>HYPERLINK("https://ceds.ed.gov/elementComment.aspx?elementName=Assessment Subtest Identifier Type &amp;elementID=14016", "Click here to submit comment")</f>
        <v>Click here to submit comment</v>
      </c>
    </row>
    <row r="376" spans="1:14" ht="45" x14ac:dyDescent="0.25">
      <c r="A376" s="9" t="s">
        <v>1407</v>
      </c>
      <c r="B376" s="9" t="s">
        <v>1408</v>
      </c>
      <c r="C376" s="9" t="s">
        <v>12</v>
      </c>
      <c r="D376" s="9" t="s">
        <v>474</v>
      </c>
      <c r="E376" s="9"/>
      <c r="F376" s="9" t="s">
        <v>87</v>
      </c>
      <c r="G376" s="9"/>
      <c r="H376" s="9"/>
      <c r="I376" s="9" t="s">
        <v>1409</v>
      </c>
      <c r="J376" s="9"/>
      <c r="K376" s="9" t="s">
        <v>1410</v>
      </c>
      <c r="L376" s="9" t="s">
        <v>6127</v>
      </c>
      <c r="M376" s="9" t="str">
        <f>HYPERLINK("https://ceds.ed.gov/cedselementdetails.aspx?termid=13388")</f>
        <v>https://ceds.ed.gov/cedselementdetails.aspx?termid=13388</v>
      </c>
      <c r="N376" s="9" t="str">
        <f>HYPERLINK("https://ceds.ed.gov/elementComment.aspx?elementName=Assessment Subtest Maximum Value &amp;elementID=13388", "Click here to submit comment")</f>
        <v>Click here to submit comment</v>
      </c>
    </row>
    <row r="377" spans="1:14" ht="45" x14ac:dyDescent="0.25">
      <c r="A377" s="9" t="s">
        <v>1411</v>
      </c>
      <c r="B377" s="9" t="s">
        <v>1412</v>
      </c>
      <c r="C377" s="9" t="s">
        <v>12</v>
      </c>
      <c r="D377" s="9" t="s">
        <v>474</v>
      </c>
      <c r="E377" s="9"/>
      <c r="F377" s="9" t="s">
        <v>87</v>
      </c>
      <c r="G377" s="9"/>
      <c r="H377" s="9"/>
      <c r="I377" s="9" t="s">
        <v>1413</v>
      </c>
      <c r="J377" s="9"/>
      <c r="K377" s="9" t="s">
        <v>1414</v>
      </c>
      <c r="L377" s="9" t="s">
        <v>6127</v>
      </c>
      <c r="M377" s="9" t="str">
        <f>HYPERLINK("https://ceds.ed.gov/cedselementdetails.aspx?termid=13387")</f>
        <v>https://ceds.ed.gov/cedselementdetails.aspx?termid=13387</v>
      </c>
      <c r="N377" s="9" t="str">
        <f>HYPERLINK("https://ceds.ed.gov/elementComment.aspx?elementName=Assessment Subtest Minimum Value &amp;elementID=13387", "Click here to submit comment")</f>
        <v>Click here to submit comment</v>
      </c>
    </row>
    <row r="378" spans="1:14" ht="45" x14ac:dyDescent="0.25">
      <c r="A378" s="9" t="s">
        <v>1415</v>
      </c>
      <c r="B378" s="9" t="s">
        <v>1416</v>
      </c>
      <c r="C378" s="9" t="s">
        <v>12</v>
      </c>
      <c r="D378" s="9" t="s">
        <v>474</v>
      </c>
      <c r="E378" s="9"/>
      <c r="F378" s="9" t="s">
        <v>87</v>
      </c>
      <c r="G378" s="9"/>
      <c r="H378" s="9" t="s">
        <v>1417</v>
      </c>
      <c r="I378" s="9" t="s">
        <v>1418</v>
      </c>
      <c r="J378" s="9"/>
      <c r="K378" s="9" t="s">
        <v>1419</v>
      </c>
      <c r="L378" s="9" t="s">
        <v>6135</v>
      </c>
      <c r="M378" s="9" t="str">
        <f>HYPERLINK("https://ceds.ed.gov/cedselementdetails.aspx?termid=13389")</f>
        <v>https://ceds.ed.gov/cedselementdetails.aspx?termid=13389</v>
      </c>
      <c r="N378" s="9" t="str">
        <f>HYPERLINK("https://ceds.ed.gov/elementComment.aspx?elementName=Assessment Subtest Optimal Value &amp;elementID=13389", "Click here to submit comment")</f>
        <v>Click here to submit comment</v>
      </c>
    </row>
    <row r="379" spans="1:14" ht="45" x14ac:dyDescent="0.25">
      <c r="A379" s="9" t="s">
        <v>1420</v>
      </c>
      <c r="B379" s="9" t="s">
        <v>1421</v>
      </c>
      <c r="C379" s="9" t="s">
        <v>12</v>
      </c>
      <c r="D379" s="9" t="s">
        <v>474</v>
      </c>
      <c r="E379" s="9"/>
      <c r="F379" s="9" t="s">
        <v>73</v>
      </c>
      <c r="G379" s="9"/>
      <c r="H379" s="9"/>
      <c r="I379" s="9" t="s">
        <v>1422</v>
      </c>
      <c r="J379" s="9"/>
      <c r="K379" s="9" t="s">
        <v>1423</v>
      </c>
      <c r="L379" s="9"/>
      <c r="M379" s="9" t="str">
        <f>HYPERLINK("https://ceds.ed.gov/cedselementdetails.aspx?termid=14075")</f>
        <v>https://ceds.ed.gov/cedselementdetails.aspx?termid=14075</v>
      </c>
      <c r="N379" s="9" t="str">
        <f>HYPERLINK("https://ceds.ed.gov/elementComment.aspx?elementName=Assessment Subtest Published Date &amp;elementID=14075", "Click here to submit comment")</f>
        <v>Click here to submit comment</v>
      </c>
    </row>
    <row r="380" spans="1:14" ht="45" x14ac:dyDescent="0.25">
      <c r="A380" s="9" t="s">
        <v>1424</v>
      </c>
      <c r="B380" s="9" t="s">
        <v>1425</v>
      </c>
      <c r="C380" s="9" t="s">
        <v>12</v>
      </c>
      <c r="D380" s="9" t="s">
        <v>474</v>
      </c>
      <c r="E380" s="9"/>
      <c r="F380" s="9" t="s">
        <v>303</v>
      </c>
      <c r="G380" s="9"/>
      <c r="H380" s="9"/>
      <c r="I380" s="9" t="s">
        <v>1426</v>
      </c>
      <c r="J380" s="9"/>
      <c r="K380" s="9" t="s">
        <v>1427</v>
      </c>
      <c r="L380" s="9"/>
      <c r="M380" s="9" t="str">
        <f>HYPERLINK("https://ceds.ed.gov/cedselementdetails.aspx?termid=13695")</f>
        <v>https://ceds.ed.gov/cedselementdetails.aspx?termid=13695</v>
      </c>
      <c r="N380" s="9" t="str">
        <f>HYPERLINK("https://ceds.ed.gov/elementComment.aspx?elementName=Assessment Subtest Rules &amp;elementID=13695", "Click here to submit comment")</f>
        <v>Click here to submit comment</v>
      </c>
    </row>
    <row r="381" spans="1:14" ht="165" x14ac:dyDescent="0.25">
      <c r="A381" s="9" t="s">
        <v>1428</v>
      </c>
      <c r="B381" s="9" t="s">
        <v>1429</v>
      </c>
      <c r="C381" s="9" t="s">
        <v>12</v>
      </c>
      <c r="D381" s="9" t="s">
        <v>474</v>
      </c>
      <c r="E381" s="9"/>
      <c r="F381" s="9" t="s">
        <v>92</v>
      </c>
      <c r="G381" s="9"/>
      <c r="H381" s="9"/>
      <c r="I381" s="9" t="s">
        <v>1430</v>
      </c>
      <c r="J381" s="9"/>
      <c r="K381" s="9" t="s">
        <v>1431</v>
      </c>
      <c r="L381" s="9" t="s">
        <v>6149</v>
      </c>
      <c r="M381" s="9" t="str">
        <f>HYPERLINK("https://ceds.ed.gov/cedselementdetails.aspx?termid=13275")</f>
        <v>https://ceds.ed.gov/cedselementdetails.aspx?termid=13275</v>
      </c>
      <c r="N381" s="9" t="str">
        <f>HYPERLINK("https://ceds.ed.gov/elementComment.aspx?elementName=Assessment Subtest Title &amp;elementID=13275", "Click here to submit comment")</f>
        <v>Click here to submit comment</v>
      </c>
    </row>
    <row r="382" spans="1:14" ht="45" x14ac:dyDescent="0.25">
      <c r="A382" s="9" t="s">
        <v>1432</v>
      </c>
      <c r="B382" s="9" t="s">
        <v>1433</v>
      </c>
      <c r="C382" s="9" t="s">
        <v>12</v>
      </c>
      <c r="D382" s="9" t="s">
        <v>474</v>
      </c>
      <c r="E382" s="9"/>
      <c r="F382" s="9" t="s">
        <v>87</v>
      </c>
      <c r="G382" s="9"/>
      <c r="H382" s="9"/>
      <c r="I382" s="9" t="s">
        <v>1434</v>
      </c>
      <c r="J382" s="9"/>
      <c r="K382" s="9" t="s">
        <v>1435</v>
      </c>
      <c r="L382" s="9" t="s">
        <v>6145</v>
      </c>
      <c r="M382" s="9" t="str">
        <f>HYPERLINK("https://ceds.ed.gov/cedselementdetails.aspx?termid=13379")</f>
        <v>https://ceds.ed.gov/cedselementdetails.aspx?termid=13379</v>
      </c>
      <c r="N382" s="9" t="str">
        <f>HYPERLINK("https://ceds.ed.gov/elementComment.aspx?elementName=Assessment Subtest Version &amp;elementID=13379", "Click here to submit comment")</f>
        <v>Click here to submit comment</v>
      </c>
    </row>
    <row r="383" spans="1:14" ht="165" x14ac:dyDescent="0.25">
      <c r="A383" s="9" t="s">
        <v>1436</v>
      </c>
      <c r="B383" s="9" t="s">
        <v>1437</v>
      </c>
      <c r="C383" s="9" t="s">
        <v>12</v>
      </c>
      <c r="D383" s="9" t="s">
        <v>10499</v>
      </c>
      <c r="E383" s="9"/>
      <c r="F383" s="9" t="s">
        <v>92</v>
      </c>
      <c r="G383" s="9"/>
      <c r="H383" s="9"/>
      <c r="I383" s="9" t="s">
        <v>1438</v>
      </c>
      <c r="J383" s="9"/>
      <c r="K383" s="9" t="s">
        <v>1439</v>
      </c>
      <c r="L383" s="9" t="s">
        <v>6149</v>
      </c>
      <c r="M383" s="9" t="str">
        <f>HYPERLINK("https://ceds.ed.gov/cedselementdetails.aspx?termid=13028")</f>
        <v>https://ceds.ed.gov/cedselementdetails.aspx?termid=13028</v>
      </c>
      <c r="N383" s="9" t="str">
        <f>HYPERLINK("https://ceds.ed.gov/elementComment.aspx?elementName=Assessment Title &amp;elementID=13028", "Click here to submit comment")</f>
        <v>Click here to submit comment</v>
      </c>
    </row>
    <row r="384" spans="1:14" ht="409.5" x14ac:dyDescent="0.25">
      <c r="A384" s="9" t="s">
        <v>1440</v>
      </c>
      <c r="B384" s="9" t="s">
        <v>1441</v>
      </c>
      <c r="C384" s="10" t="s">
        <v>6387</v>
      </c>
      <c r="D384" s="9" t="s">
        <v>488</v>
      </c>
      <c r="E384" s="9"/>
      <c r="F384" s="9"/>
      <c r="G384" s="9"/>
      <c r="H384" s="9"/>
      <c r="I384" s="9" t="s">
        <v>1442</v>
      </c>
      <c r="J384" s="9"/>
      <c r="K384" s="9" t="s">
        <v>1443</v>
      </c>
      <c r="L384" s="9" t="s">
        <v>6129</v>
      </c>
      <c r="M384" s="9" t="str">
        <f>HYPERLINK("https://ceds.ed.gov/cedselementdetails.aspx?termid=13029")</f>
        <v>https://ceds.ed.gov/cedselementdetails.aspx?termid=13029</v>
      </c>
      <c r="N384" s="9" t="str">
        <f>HYPERLINK("https://ceds.ed.gov/elementComment.aspx?elementName=Assessment Type &amp;elementID=13029", "Click here to submit comment")</f>
        <v>Click here to submit comment</v>
      </c>
    </row>
    <row r="385" spans="1:14" ht="409.5" x14ac:dyDescent="0.25">
      <c r="A385" s="9" t="s">
        <v>12208</v>
      </c>
      <c r="B385" s="9" t="s">
        <v>1444</v>
      </c>
      <c r="C385" s="10" t="s">
        <v>6388</v>
      </c>
      <c r="D385" s="9" t="s">
        <v>10499</v>
      </c>
      <c r="E385" s="9"/>
      <c r="F385" s="9"/>
      <c r="G385" s="9"/>
      <c r="H385" s="9"/>
      <c r="I385" s="9" t="s">
        <v>1445</v>
      </c>
      <c r="J385" s="9"/>
      <c r="K385" s="9" t="s">
        <v>1446</v>
      </c>
      <c r="L385" s="9" t="s">
        <v>6140</v>
      </c>
      <c r="M385" s="9" t="str">
        <f>HYPERLINK("https://ceds.ed.gov/cedselementdetails.aspx?termid=13405")</f>
        <v>https://ceds.ed.gov/cedselementdetails.aspx?termid=13405</v>
      </c>
      <c r="N385" s="9" t="str">
        <f>HYPERLINK("https://ceds.ed.gov/elementComment.aspx?elementName=Assessment Type Administered to Children with Disabilities &amp;elementID=13405", "Click here to submit comment")</f>
        <v>Click here to submit comment</v>
      </c>
    </row>
    <row r="386" spans="1:14" ht="180" x14ac:dyDescent="0.25">
      <c r="A386" s="9" t="s">
        <v>1447</v>
      </c>
      <c r="B386" s="9" t="s">
        <v>1448</v>
      </c>
      <c r="C386" s="9" t="s">
        <v>12</v>
      </c>
      <c r="D386" s="9" t="s">
        <v>10500</v>
      </c>
      <c r="E386" s="9"/>
      <c r="F386" s="9" t="s">
        <v>73</v>
      </c>
      <c r="G386" s="9"/>
      <c r="H386" s="9"/>
      <c r="I386" s="9" t="s">
        <v>1449</v>
      </c>
      <c r="J386" s="9"/>
      <c r="K386" s="9" t="s">
        <v>1450</v>
      </c>
      <c r="L386" s="9"/>
      <c r="M386" s="9" t="str">
        <f>HYPERLINK("https://ceds.ed.gov/cedselementdetails.aspx?termid=13518")</f>
        <v>https://ceds.ed.gov/cedselementdetails.aspx?termid=13518</v>
      </c>
      <c r="N386" s="9" t="str">
        <f>HYPERLINK("https://ceds.ed.gov/elementComment.aspx?elementName=Assignment End Date &amp;elementID=13518", "Click here to submit comment")</f>
        <v>Click here to submit comment</v>
      </c>
    </row>
    <row r="387" spans="1:14" ht="180" x14ac:dyDescent="0.25">
      <c r="A387" s="9" t="s">
        <v>1451</v>
      </c>
      <c r="B387" s="9" t="s">
        <v>1452</v>
      </c>
      <c r="C387" s="9" t="s">
        <v>12</v>
      </c>
      <c r="D387" s="9" t="s">
        <v>10500</v>
      </c>
      <c r="E387" s="9"/>
      <c r="F387" s="9" t="s">
        <v>73</v>
      </c>
      <c r="G387" s="9"/>
      <c r="H387" s="9"/>
      <c r="I387" s="9" t="s">
        <v>1453</v>
      </c>
      <c r="J387" s="9"/>
      <c r="K387" s="9" t="s">
        <v>1454</v>
      </c>
      <c r="L387" s="9"/>
      <c r="M387" s="9" t="str">
        <f>HYPERLINK("https://ceds.ed.gov/cedselementdetails.aspx?termid=13517")</f>
        <v>https://ceds.ed.gov/cedselementdetails.aspx?termid=13517</v>
      </c>
      <c r="N387" s="9" t="str">
        <f>HYPERLINK("https://ceds.ed.gov/elementComment.aspx?elementName=Assignment Start Date &amp;elementID=13517", "Click here to submit comment")</f>
        <v>Click here to submit comment</v>
      </c>
    </row>
    <row r="388" spans="1:14" ht="165" x14ac:dyDescent="0.25">
      <c r="A388" s="9" t="s">
        <v>1455</v>
      </c>
      <c r="B388" s="9" t="s">
        <v>1456</v>
      </c>
      <c r="C388" s="9" t="s">
        <v>12</v>
      </c>
      <c r="D388" s="9" t="s">
        <v>10501</v>
      </c>
      <c r="E388" s="9"/>
      <c r="F388" s="9" t="s">
        <v>73</v>
      </c>
      <c r="G388" s="9"/>
      <c r="H388" s="9"/>
      <c r="I388" s="9" t="s">
        <v>1458</v>
      </c>
      <c r="J388" s="9"/>
      <c r="K388" s="9" t="s">
        <v>1459</v>
      </c>
      <c r="L388" s="9"/>
      <c r="M388" s="9" t="str">
        <f>HYPERLINK("https://ceds.ed.gov/cedselementdetails.aspx?termid=14630")</f>
        <v>https://ceds.ed.gov/cedselementdetails.aspx?termid=14630</v>
      </c>
      <c r="N388" s="9" t="str">
        <f>HYPERLINK("https://ceds.ed.gov/elementComment.aspx?elementName=Attendance Event Date &amp;elementID=14630", "Click here to submit comment")</f>
        <v>Click here to submit comment</v>
      </c>
    </row>
    <row r="389" spans="1:14" ht="135" x14ac:dyDescent="0.25">
      <c r="A389" s="9" t="s">
        <v>1460</v>
      </c>
      <c r="B389" s="9" t="s">
        <v>1461</v>
      </c>
      <c r="C389" s="10" t="s">
        <v>6389</v>
      </c>
      <c r="D389" s="9" t="s">
        <v>10502</v>
      </c>
      <c r="E389" s="9"/>
      <c r="F389" s="9"/>
      <c r="G389" s="9"/>
      <c r="H389" s="9"/>
      <c r="I389" s="9" t="s">
        <v>1462</v>
      </c>
      <c r="J389" s="9"/>
      <c r="K389" s="9" t="s">
        <v>1463</v>
      </c>
      <c r="L389" s="9"/>
      <c r="M389" s="9" t="str">
        <f>HYPERLINK("https://ceds.ed.gov/cedselementdetails.aspx?termid=13594")</f>
        <v>https://ceds.ed.gov/cedselementdetails.aspx?termid=13594</v>
      </c>
      <c r="N389" s="9" t="str">
        <f>HYPERLINK("https://ceds.ed.gov/elementComment.aspx?elementName=Attendance Event Type &amp;elementID=13594", "Click here to submit comment")</f>
        <v>Click here to submit comment</v>
      </c>
    </row>
    <row r="390" spans="1:14" ht="165" x14ac:dyDescent="0.25">
      <c r="A390" s="9" t="s">
        <v>1464</v>
      </c>
      <c r="B390" s="9" t="s">
        <v>1465</v>
      </c>
      <c r="C390" s="10" t="s">
        <v>6390</v>
      </c>
      <c r="D390" s="9" t="s">
        <v>10501</v>
      </c>
      <c r="E390" s="9"/>
      <c r="F390" s="9"/>
      <c r="G390" s="9"/>
      <c r="H390" s="9"/>
      <c r="I390" s="9" t="s">
        <v>1466</v>
      </c>
      <c r="J390" s="9"/>
      <c r="K390" s="9" t="s">
        <v>1467</v>
      </c>
      <c r="L390" s="9"/>
      <c r="M390" s="9" t="str">
        <f>HYPERLINK("https://ceds.ed.gov/cedselementdetails.aspx?termid=13076")</f>
        <v>https://ceds.ed.gov/cedselementdetails.aspx?termid=13076</v>
      </c>
      <c r="N390" s="9" t="str">
        <f>HYPERLINK("https://ceds.ed.gov/elementComment.aspx?elementName=Attendance Status &amp;elementID=13076", "Click here to submit comment")</f>
        <v>Click here to submit comment</v>
      </c>
    </row>
    <row r="391" spans="1:14" ht="60" x14ac:dyDescent="0.25">
      <c r="A391" s="9" t="s">
        <v>1468</v>
      </c>
      <c r="B391" s="9" t="s">
        <v>1469</v>
      </c>
      <c r="C391" s="9" t="s">
        <v>12</v>
      </c>
      <c r="D391" s="9" t="s">
        <v>1470</v>
      </c>
      <c r="E391" s="9"/>
      <c r="F391" s="9" t="s">
        <v>73</v>
      </c>
      <c r="G391" s="9"/>
      <c r="H391" s="9"/>
      <c r="I391" s="9" t="s">
        <v>1471</v>
      </c>
      <c r="J391" s="9"/>
      <c r="K391" s="9" t="s">
        <v>1472</v>
      </c>
      <c r="L391" s="9"/>
      <c r="M391" s="9" t="str">
        <f>HYPERLINK("https://ceds.ed.gov/cedselementdetails.aspx?termid=14126")</f>
        <v>https://ceds.ed.gov/cedselementdetails.aspx?termid=14126</v>
      </c>
      <c r="N391" s="9" t="str">
        <f>HYPERLINK("https://ceds.ed.gov/elementComment.aspx?elementName=Authentication Identity Provider End Date &amp;elementID=14126", "Click here to submit comment")</f>
        <v>Click here to submit comment</v>
      </c>
    </row>
    <row r="392" spans="1:14" ht="105" x14ac:dyDescent="0.25">
      <c r="A392" s="18" t="s">
        <v>1473</v>
      </c>
      <c r="B392" s="18" t="s">
        <v>1474</v>
      </c>
      <c r="C392" s="18" t="s">
        <v>12</v>
      </c>
      <c r="D392" s="18" t="s">
        <v>1470</v>
      </c>
      <c r="E392" s="18"/>
      <c r="F392" s="18" t="s">
        <v>119</v>
      </c>
      <c r="G392" s="18"/>
      <c r="H392" s="9" t="s">
        <v>120</v>
      </c>
      <c r="I392" s="18" t="s">
        <v>1475</v>
      </c>
      <c r="J392" s="18"/>
      <c r="K392" s="18" t="s">
        <v>1476</v>
      </c>
      <c r="L392" s="18"/>
      <c r="M392" s="18" t="str">
        <f>HYPERLINK("https://ceds.ed.gov/cedselementdetails.aspx?termid=14124")</f>
        <v>https://ceds.ed.gov/cedselementdetails.aspx?termid=14124</v>
      </c>
      <c r="N392" s="18" t="str">
        <f>HYPERLINK("https://ceds.ed.gov/elementComment.aspx?elementName=Authentication Identity Provider Login Identifier &amp;elementID=14124", "Click here to submit comment")</f>
        <v>Click here to submit comment</v>
      </c>
    </row>
    <row r="393" spans="1:14" x14ac:dyDescent="0.25">
      <c r="A393" s="18"/>
      <c r="B393" s="18"/>
      <c r="C393" s="18"/>
      <c r="D393" s="18"/>
      <c r="E393" s="18"/>
      <c r="F393" s="18"/>
      <c r="G393" s="18"/>
      <c r="H393" s="9"/>
      <c r="I393" s="18"/>
      <c r="J393" s="18"/>
      <c r="K393" s="18"/>
      <c r="L393" s="18"/>
      <c r="M393" s="18"/>
      <c r="N393" s="18"/>
    </row>
    <row r="394" spans="1:14" ht="90" x14ac:dyDescent="0.25">
      <c r="A394" s="18"/>
      <c r="B394" s="18"/>
      <c r="C394" s="18"/>
      <c r="D394" s="18"/>
      <c r="E394" s="18"/>
      <c r="F394" s="18"/>
      <c r="G394" s="18"/>
      <c r="H394" s="9" t="s">
        <v>121</v>
      </c>
      <c r="I394" s="18"/>
      <c r="J394" s="18"/>
      <c r="K394" s="18"/>
      <c r="L394" s="18"/>
      <c r="M394" s="18"/>
      <c r="N394" s="18"/>
    </row>
    <row r="395" spans="1:14" ht="45" x14ac:dyDescent="0.25">
      <c r="A395" s="9" t="s">
        <v>1477</v>
      </c>
      <c r="B395" s="9" t="s">
        <v>1478</v>
      </c>
      <c r="C395" s="9" t="s">
        <v>12</v>
      </c>
      <c r="D395" s="9" t="s">
        <v>1470</v>
      </c>
      <c r="E395" s="9"/>
      <c r="F395" s="9" t="s">
        <v>92</v>
      </c>
      <c r="G395" s="9"/>
      <c r="H395" s="9"/>
      <c r="I395" s="9" t="s">
        <v>1479</v>
      </c>
      <c r="J395" s="9"/>
      <c r="K395" s="9" t="s">
        <v>1480</v>
      </c>
      <c r="L395" s="9"/>
      <c r="M395" s="9" t="str">
        <f>HYPERLINK("https://ceds.ed.gov/cedselementdetails.aspx?termid=14122")</f>
        <v>https://ceds.ed.gov/cedselementdetails.aspx?termid=14122</v>
      </c>
      <c r="N395" s="9" t="str">
        <f>HYPERLINK("https://ceds.ed.gov/elementComment.aspx?elementName=Authentication Identity Provider Name &amp;elementID=14122", "Click here to submit comment")</f>
        <v>Click here to submit comment</v>
      </c>
    </row>
    <row r="396" spans="1:14" ht="60" x14ac:dyDescent="0.25">
      <c r="A396" s="9" t="s">
        <v>1481</v>
      </c>
      <c r="B396" s="9" t="s">
        <v>1482</v>
      </c>
      <c r="C396" s="9" t="s">
        <v>12</v>
      </c>
      <c r="D396" s="9" t="s">
        <v>1470</v>
      </c>
      <c r="E396" s="9"/>
      <c r="F396" s="9" t="s">
        <v>73</v>
      </c>
      <c r="G396" s="9"/>
      <c r="H396" s="9"/>
      <c r="I396" s="9" t="s">
        <v>1483</v>
      </c>
      <c r="J396" s="9"/>
      <c r="K396" s="9" t="s">
        <v>1484</v>
      </c>
      <c r="L396" s="9"/>
      <c r="M396" s="9" t="str">
        <f>HYPERLINK("https://ceds.ed.gov/cedselementdetails.aspx?termid=14125")</f>
        <v>https://ceds.ed.gov/cedselementdetails.aspx?termid=14125</v>
      </c>
      <c r="N396" s="9" t="str">
        <f>HYPERLINK("https://ceds.ed.gov/elementComment.aspx?elementName=Authentication Identity Provider Start Date &amp;elementID=14125", "Click here to submit comment")</f>
        <v>Click here to submit comment</v>
      </c>
    </row>
    <row r="397" spans="1:14" ht="45" x14ac:dyDescent="0.25">
      <c r="A397" s="9" t="s">
        <v>1485</v>
      </c>
      <c r="B397" s="9" t="s">
        <v>1486</v>
      </c>
      <c r="C397" s="9" t="s">
        <v>12</v>
      </c>
      <c r="D397" s="9" t="s">
        <v>1470</v>
      </c>
      <c r="E397" s="9"/>
      <c r="F397" s="9" t="s">
        <v>1143</v>
      </c>
      <c r="G397" s="9"/>
      <c r="H397" s="9"/>
      <c r="I397" s="9" t="s">
        <v>1487</v>
      </c>
      <c r="J397" s="9"/>
      <c r="K397" s="9" t="s">
        <v>1488</v>
      </c>
      <c r="L397" s="9"/>
      <c r="M397" s="9" t="str">
        <f>HYPERLINK("https://ceds.ed.gov/cedselementdetails.aspx?termid=14123")</f>
        <v>https://ceds.ed.gov/cedselementdetails.aspx?termid=14123</v>
      </c>
      <c r="N397" s="9" t="str">
        <f>HYPERLINK("https://ceds.ed.gov/elementComment.aspx?elementName=Authentication Identity Provider URI &amp;elementID=14123", "Click here to submit comment")</f>
        <v>Click here to submit comment</v>
      </c>
    </row>
    <row r="398" spans="1:14" ht="60" x14ac:dyDescent="0.25">
      <c r="A398" s="9" t="s">
        <v>10503</v>
      </c>
      <c r="B398" s="9" t="s">
        <v>10504</v>
      </c>
      <c r="C398" s="9" t="s">
        <v>6106</v>
      </c>
      <c r="D398" s="9" t="s">
        <v>10505</v>
      </c>
      <c r="E398" s="9"/>
      <c r="F398" s="9"/>
      <c r="G398" s="9"/>
      <c r="H398" s="9"/>
      <c r="I398" s="9" t="s">
        <v>10506</v>
      </c>
      <c r="J398" s="9"/>
      <c r="K398" s="9" t="s">
        <v>10507</v>
      </c>
      <c r="L398" s="9"/>
      <c r="M398" s="9" t="str">
        <f>HYPERLINK("https://ceds.ed.gov/cedselementdetails.aspx?termid=14702")</f>
        <v>https://ceds.ed.gov/cedselementdetails.aspx?termid=14702</v>
      </c>
      <c r="N398" s="9" t="str">
        <f>HYPERLINK("https://ceds.ed.gov/elementComment.aspx?elementName=Authorization Acceptance Indicator &amp;elementID=14702", "Click here to submit comment")</f>
        <v>Click here to submit comment</v>
      </c>
    </row>
    <row r="399" spans="1:14" ht="45" x14ac:dyDescent="0.25">
      <c r="A399" s="9" t="s">
        <v>1489</v>
      </c>
      <c r="B399" s="9" t="s">
        <v>1490</v>
      </c>
      <c r="C399" s="9" t="s">
        <v>12</v>
      </c>
      <c r="D399" s="9" t="s">
        <v>1491</v>
      </c>
      <c r="E399" s="9"/>
      <c r="F399" s="9" t="s">
        <v>1492</v>
      </c>
      <c r="G399" s="9"/>
      <c r="H399" s="9"/>
      <c r="I399" s="9" t="s">
        <v>1493</v>
      </c>
      <c r="J399" s="9"/>
      <c r="K399" s="9" t="s">
        <v>1494</v>
      </c>
      <c r="L399" s="9"/>
      <c r="M399" s="9" t="str">
        <f>HYPERLINK("https://ceds.ed.gov/cedselementdetails.aspx?termid=14127")</f>
        <v>https://ceds.ed.gov/cedselementdetails.aspx?termid=14127</v>
      </c>
      <c r="N399" s="9" t="str">
        <f>HYPERLINK("https://ceds.ed.gov/elementComment.aspx?elementName=Authorization Application Name &amp;elementID=14127", "Click here to submit comment")</f>
        <v>Click here to submit comment</v>
      </c>
    </row>
    <row r="400" spans="1:14" ht="45" x14ac:dyDescent="0.25">
      <c r="A400" s="9" t="s">
        <v>1495</v>
      </c>
      <c r="B400" s="9" t="s">
        <v>1496</v>
      </c>
      <c r="C400" s="9" t="s">
        <v>12</v>
      </c>
      <c r="D400" s="9" t="s">
        <v>1491</v>
      </c>
      <c r="E400" s="9"/>
      <c r="F400" s="9" t="s">
        <v>92</v>
      </c>
      <c r="G400" s="9"/>
      <c r="H400" s="9"/>
      <c r="I400" s="9" t="s">
        <v>1497</v>
      </c>
      <c r="J400" s="9"/>
      <c r="K400" s="9" t="s">
        <v>1498</v>
      </c>
      <c r="L400" s="9"/>
      <c r="M400" s="9" t="str">
        <f>HYPERLINK("https://ceds.ed.gov/cedselementdetails.aspx?termid=14129")</f>
        <v>https://ceds.ed.gov/cedselementdetails.aspx?termid=14129</v>
      </c>
      <c r="N400" s="9" t="str">
        <f>HYPERLINK("https://ceds.ed.gov/elementComment.aspx?elementName=Authorization Application Role Name &amp;elementID=14129", "Click here to submit comment")</f>
        <v>Click here to submit comment</v>
      </c>
    </row>
    <row r="401" spans="1:14" ht="45" x14ac:dyDescent="0.25">
      <c r="A401" s="9" t="s">
        <v>1499</v>
      </c>
      <c r="B401" s="9" t="s">
        <v>1500</v>
      </c>
      <c r="C401" s="9" t="s">
        <v>12</v>
      </c>
      <c r="D401" s="9" t="s">
        <v>1491</v>
      </c>
      <c r="E401" s="9"/>
      <c r="F401" s="9" t="s">
        <v>1143</v>
      </c>
      <c r="G401" s="9"/>
      <c r="H401" s="9"/>
      <c r="I401" s="9" t="s">
        <v>1501</v>
      </c>
      <c r="J401" s="9"/>
      <c r="K401" s="9" t="s">
        <v>1502</v>
      </c>
      <c r="L401" s="9"/>
      <c r="M401" s="9" t="str">
        <f>HYPERLINK("https://ceds.ed.gov/cedselementdetails.aspx?termid=14128")</f>
        <v>https://ceds.ed.gov/cedselementdetails.aspx?termid=14128</v>
      </c>
      <c r="N401" s="9" t="str">
        <f>HYPERLINK("https://ceds.ed.gov/elementComment.aspx?elementName=Authorization Application URI &amp;elementID=14128", "Click here to submit comment")</f>
        <v>Click here to submit comment</v>
      </c>
    </row>
    <row r="402" spans="1:14" ht="45" x14ac:dyDescent="0.25">
      <c r="A402" s="9" t="s">
        <v>10508</v>
      </c>
      <c r="B402" s="9" t="s">
        <v>10509</v>
      </c>
      <c r="C402" s="9" t="s">
        <v>12</v>
      </c>
      <c r="D402" s="9" t="s">
        <v>10505</v>
      </c>
      <c r="E402" s="9"/>
      <c r="F402" s="9" t="s">
        <v>73</v>
      </c>
      <c r="G402" s="9"/>
      <c r="H402" s="9"/>
      <c r="I402" s="9" t="s">
        <v>10510</v>
      </c>
      <c r="J402" s="9"/>
      <c r="K402" s="9" t="s">
        <v>10511</v>
      </c>
      <c r="L402" s="9"/>
      <c r="M402" s="9" t="str">
        <f>HYPERLINK("https://ceds.ed.gov/cedselementdetails.aspx?termid=14706")</f>
        <v>https://ceds.ed.gov/cedselementdetails.aspx?termid=14706</v>
      </c>
      <c r="N402" s="9" t="str">
        <f>HYPERLINK("https://ceds.ed.gov/elementComment.aspx?elementName=Authorization Date &amp;elementID=14706", "Click here to submit comment")</f>
        <v>Click here to submit comment</v>
      </c>
    </row>
    <row r="403" spans="1:14" ht="45" x14ac:dyDescent="0.25">
      <c r="A403" s="9" t="s">
        <v>10512</v>
      </c>
      <c r="B403" s="9" t="s">
        <v>10513</v>
      </c>
      <c r="C403" s="9" t="s">
        <v>12</v>
      </c>
      <c r="D403" s="9" t="s">
        <v>10505</v>
      </c>
      <c r="E403" s="9"/>
      <c r="F403" s="9" t="s">
        <v>303</v>
      </c>
      <c r="G403" s="9"/>
      <c r="H403" s="9"/>
      <c r="I403" s="9" t="s">
        <v>10514</v>
      </c>
      <c r="J403" s="9"/>
      <c r="K403" s="9" t="s">
        <v>10515</v>
      </c>
      <c r="L403" s="9"/>
      <c r="M403" s="9" t="str">
        <f>HYPERLINK("https://ceds.ed.gov/cedselementdetails.aspx?termid=14703")</f>
        <v>https://ceds.ed.gov/cedselementdetails.aspx?termid=14703</v>
      </c>
      <c r="N403" s="9" t="str">
        <f>HYPERLINK("https://ceds.ed.gov/elementComment.aspx?elementName=Authorization Decision Explanation &amp;elementID=14703", "Click here to submit comment")</f>
        <v>Click here to submit comment</v>
      </c>
    </row>
    <row r="404" spans="1:14" ht="45" x14ac:dyDescent="0.25">
      <c r="A404" s="9" t="s">
        <v>1503</v>
      </c>
      <c r="B404" s="9" t="s">
        <v>1504</v>
      </c>
      <c r="C404" s="9" t="s">
        <v>12</v>
      </c>
      <c r="D404" s="9" t="s">
        <v>1491</v>
      </c>
      <c r="E404" s="9"/>
      <c r="F404" s="9" t="s">
        <v>73</v>
      </c>
      <c r="G404" s="9"/>
      <c r="H404" s="9"/>
      <c r="I404" s="9" t="s">
        <v>1505</v>
      </c>
      <c r="J404" s="9"/>
      <c r="K404" s="9" t="s">
        <v>1506</v>
      </c>
      <c r="L404" s="9"/>
      <c r="M404" s="9" t="str">
        <f>HYPERLINK("https://ceds.ed.gov/cedselementdetails.aspx?termid=14131")</f>
        <v>https://ceds.ed.gov/cedselementdetails.aspx?termid=14131</v>
      </c>
      <c r="N404" s="9" t="str">
        <f>HYPERLINK("https://ceds.ed.gov/elementComment.aspx?elementName=Authorization End Date &amp;elementID=14131", "Click here to submit comment")</f>
        <v>Click here to submit comment</v>
      </c>
    </row>
    <row r="405" spans="1:14" ht="45" x14ac:dyDescent="0.25">
      <c r="A405" s="9" t="s">
        <v>1507</v>
      </c>
      <c r="B405" s="9" t="s">
        <v>1508</v>
      </c>
      <c r="C405" s="9" t="s">
        <v>12</v>
      </c>
      <c r="D405" s="9" t="s">
        <v>1491</v>
      </c>
      <c r="E405" s="9"/>
      <c r="F405" s="9" t="s">
        <v>73</v>
      </c>
      <c r="G405" s="9"/>
      <c r="H405" s="9"/>
      <c r="I405" s="9" t="s">
        <v>1509</v>
      </c>
      <c r="J405" s="9"/>
      <c r="K405" s="9" t="s">
        <v>1510</v>
      </c>
      <c r="L405" s="9"/>
      <c r="M405" s="9" t="str">
        <f>HYPERLINK("https://ceds.ed.gov/cedselementdetails.aspx?termid=14130")</f>
        <v>https://ceds.ed.gov/cedselementdetails.aspx?termid=14130</v>
      </c>
      <c r="N405" s="9" t="str">
        <f>HYPERLINK("https://ceds.ed.gov/elementComment.aspx?elementName=Authorization Start Date &amp;elementID=14130", "Click here to submit comment")</f>
        <v>Click here to submit comment</v>
      </c>
    </row>
    <row r="406" spans="1:14" ht="135" x14ac:dyDescent="0.25">
      <c r="A406" s="9" t="s">
        <v>10516</v>
      </c>
      <c r="B406" s="9" t="s">
        <v>10517</v>
      </c>
      <c r="C406" s="10" t="s">
        <v>11787</v>
      </c>
      <c r="D406" s="9" t="s">
        <v>10505</v>
      </c>
      <c r="E406" s="9"/>
      <c r="F406" s="9"/>
      <c r="G406" s="9"/>
      <c r="H406" s="9"/>
      <c r="I406" s="9" t="s">
        <v>10518</v>
      </c>
      <c r="J406" s="9"/>
      <c r="K406" s="9" t="s">
        <v>10519</v>
      </c>
      <c r="L406" s="9"/>
      <c r="M406" s="9" t="str">
        <f>HYPERLINK("https://ceds.ed.gov/cedselementdetails.aspx?termid=14701")</f>
        <v>https://ceds.ed.gov/cedselementdetails.aspx?termid=14701</v>
      </c>
      <c r="N406" s="9" t="str">
        <f>HYPERLINK("https://ceds.ed.gov/elementComment.aspx?elementName=Authorizer Type &amp;elementID=14701", "Click here to submit comment")</f>
        <v>Click here to submit comment</v>
      </c>
    </row>
    <row r="407" spans="1:14" ht="165" x14ac:dyDescent="0.25">
      <c r="A407" s="9" t="s">
        <v>1511</v>
      </c>
      <c r="B407" s="9" t="s">
        <v>1512</v>
      </c>
      <c r="C407" s="9" t="s">
        <v>12</v>
      </c>
      <c r="D407" s="9" t="s">
        <v>10520</v>
      </c>
      <c r="E407" s="9"/>
      <c r="F407" s="9" t="s">
        <v>1513</v>
      </c>
      <c r="G407" s="9"/>
      <c r="H407" s="9"/>
      <c r="I407" s="9" t="s">
        <v>1514</v>
      </c>
      <c r="J407" s="9"/>
      <c r="K407" s="9" t="s">
        <v>1515</v>
      </c>
      <c r="L407" s="9" t="s">
        <v>6150</v>
      </c>
      <c r="M407" s="9" t="str">
        <f>HYPERLINK("https://ceds.ed.gov/cedselementdetails.aspx?termid=13030")</f>
        <v>https://ceds.ed.gov/cedselementdetails.aspx?termid=13030</v>
      </c>
      <c r="N407" s="9" t="str">
        <f>HYPERLINK("https://ceds.ed.gov/elementComment.aspx?elementName=Available Carnegie Unit Credit &amp;elementID=13030", "Click here to submit comment")</f>
        <v>Click here to submit comment</v>
      </c>
    </row>
    <row r="408" spans="1:14" ht="45" x14ac:dyDescent="0.25">
      <c r="A408" s="9" t="s">
        <v>10521</v>
      </c>
      <c r="B408" s="9" t="s">
        <v>7353</v>
      </c>
      <c r="C408" s="9" t="s">
        <v>6106</v>
      </c>
      <c r="D408" s="9" t="s">
        <v>10522</v>
      </c>
      <c r="E408" s="9" t="s">
        <v>1457</v>
      </c>
      <c r="F408" s="9"/>
      <c r="G408" s="9"/>
      <c r="H408" s="9"/>
      <c r="I408" s="9" t="s">
        <v>10523</v>
      </c>
      <c r="J408" s="9"/>
      <c r="K408" s="9" t="s">
        <v>10524</v>
      </c>
      <c r="L408" s="9"/>
      <c r="M408" s="9" t="str">
        <f>HYPERLINK("https://ceds.ed.gov/cedselementdetails.aspx?termid=14883")</f>
        <v>https://ceds.ed.gov/cedselementdetails.aspx?termid=14883</v>
      </c>
      <c r="N408" s="9" t="str">
        <f>HYPERLINK("https://ceds.ed.gov/elementComment.aspx?elementName=Available Utilized Instructional Space &amp;elementID=14883", "Click here to submit comment")</f>
        <v>Click here to submit comment</v>
      </c>
    </row>
    <row r="409" spans="1:14" ht="90" x14ac:dyDescent="0.25">
      <c r="A409" s="9" t="s">
        <v>1516</v>
      </c>
      <c r="B409" s="9" t="s">
        <v>1517</v>
      </c>
      <c r="C409" s="9" t="s">
        <v>6106</v>
      </c>
      <c r="D409" s="9" t="s">
        <v>10525</v>
      </c>
      <c r="E409" s="9"/>
      <c r="F409" s="9"/>
      <c r="G409" s="9"/>
      <c r="H409" s="9"/>
      <c r="I409" s="9" t="s">
        <v>1518</v>
      </c>
      <c r="J409" s="9"/>
      <c r="K409" s="9" t="s">
        <v>1519</v>
      </c>
      <c r="L409" s="9" t="s">
        <v>4</v>
      </c>
      <c r="M409" s="9" t="str">
        <f>HYPERLINK("https://ceds.ed.gov/cedselementdetails.aspx?termid=13031")</f>
        <v>https://ceds.ed.gov/cedselementdetails.aspx?termid=13031</v>
      </c>
      <c r="N409" s="9" t="str">
        <f>HYPERLINK("https://ceds.ed.gov/elementComment.aspx?elementName=Awaiting Initial IDEA Evaluation Status &amp;elementID=13031", "Click here to submit comment")</f>
        <v>Click here to submit comment</v>
      </c>
    </row>
    <row r="410" spans="1:14" ht="150" x14ac:dyDescent="0.25">
      <c r="A410" s="9" t="s">
        <v>1520</v>
      </c>
      <c r="B410" s="9" t="s">
        <v>1521</v>
      </c>
      <c r="C410" s="10" t="s">
        <v>6391</v>
      </c>
      <c r="D410" s="9" t="s">
        <v>1522</v>
      </c>
      <c r="E410" s="9"/>
      <c r="F410" s="9"/>
      <c r="G410" s="9"/>
      <c r="H410" s="9"/>
      <c r="I410" s="9" t="s">
        <v>1523</v>
      </c>
      <c r="J410" s="9"/>
      <c r="K410" s="9" t="s">
        <v>1524</v>
      </c>
      <c r="L410" s="9" t="s">
        <v>188</v>
      </c>
      <c r="M410" s="9" t="str">
        <f>HYPERLINK("https://ceds.ed.gov/cedselementdetails.aspx?termid=13439")</f>
        <v>https://ceds.ed.gov/cedselementdetails.aspx?termid=13439</v>
      </c>
      <c r="N410" s="9" t="str">
        <f>HYPERLINK("https://ceds.ed.gov/elementComment.aspx?elementName=Barrier to Educating Homeless &amp;elementID=13439", "Click here to submit comment")</f>
        <v>Click here to submit comment</v>
      </c>
    </row>
    <row r="411" spans="1:14" ht="75" x14ac:dyDescent="0.25">
      <c r="A411" s="9" t="s">
        <v>1525</v>
      </c>
      <c r="B411" s="9" t="s">
        <v>1526</v>
      </c>
      <c r="C411" s="10" t="s">
        <v>6392</v>
      </c>
      <c r="D411" s="9" t="s">
        <v>1527</v>
      </c>
      <c r="E411" s="9"/>
      <c r="F411" s="9"/>
      <c r="G411" s="9"/>
      <c r="H411" s="9"/>
      <c r="I411" s="9" t="s">
        <v>1528</v>
      </c>
      <c r="J411" s="9"/>
      <c r="K411" s="9" t="s">
        <v>1529</v>
      </c>
      <c r="L411" s="9"/>
      <c r="M411" s="9" t="str">
        <f>HYPERLINK("https://ceds.ed.gov/cedselementdetails.aspx?termid=14561")</f>
        <v>https://ceds.ed.gov/cedselementdetails.aspx?termid=14561</v>
      </c>
      <c r="N411" s="9" t="str">
        <f>HYPERLINK("https://ceds.ed.gov/elementComment.aspx?elementName=Billable Basis Type &amp;elementID=14561", "Click here to submit comment")</f>
        <v>Click here to submit comment</v>
      </c>
    </row>
    <row r="412" spans="1:14" ht="409.5" x14ac:dyDescent="0.25">
      <c r="A412" s="9" t="s">
        <v>1530</v>
      </c>
      <c r="B412" s="9" t="s">
        <v>1531</v>
      </c>
      <c r="C412" s="9" t="s">
        <v>12</v>
      </c>
      <c r="D412" s="9" t="s">
        <v>10526</v>
      </c>
      <c r="E412" s="9"/>
      <c r="F412" s="9" t="s">
        <v>73</v>
      </c>
      <c r="G412" s="9"/>
      <c r="H412" s="9"/>
      <c r="I412" s="9" t="s">
        <v>1532</v>
      </c>
      <c r="J412" s="9"/>
      <c r="K412" s="9" t="s">
        <v>1530</v>
      </c>
      <c r="L412" s="9" t="s">
        <v>6151</v>
      </c>
      <c r="M412" s="9" t="str">
        <f>HYPERLINK("https://ceds.ed.gov/cedselementdetails.aspx?termid=13033")</f>
        <v>https://ceds.ed.gov/cedselementdetails.aspx?termid=13033</v>
      </c>
      <c r="N412" s="9" t="str">
        <f>HYPERLINK("https://ceds.ed.gov/elementComment.aspx?elementName=Birthdate &amp;elementID=13033", "Click here to submit comment")</f>
        <v>Click here to submit comment</v>
      </c>
    </row>
    <row r="413" spans="1:14" ht="15" customHeight="1" x14ac:dyDescent="0.25">
      <c r="A413" s="9" t="s">
        <v>1533</v>
      </c>
      <c r="B413" s="9" t="s">
        <v>1534</v>
      </c>
      <c r="C413" s="9" t="s">
        <v>12</v>
      </c>
      <c r="D413" s="9" t="s">
        <v>6152</v>
      </c>
      <c r="E413" s="9"/>
      <c r="F413" s="9" t="s">
        <v>92</v>
      </c>
      <c r="G413" s="9"/>
      <c r="H413" s="9"/>
      <c r="I413" s="9" t="s">
        <v>1535</v>
      </c>
      <c r="J413" s="9"/>
      <c r="K413" s="9" t="s">
        <v>1536</v>
      </c>
      <c r="L413" s="9" t="s">
        <v>1537</v>
      </c>
      <c r="M413" s="9" t="str">
        <f>HYPERLINK("https://ceds.ed.gov/cedselementdetails.aspx?termid=13418")</f>
        <v>https://ceds.ed.gov/cedselementdetails.aspx?termid=13418</v>
      </c>
      <c r="N413" s="9" t="str">
        <f>HYPERLINK("https://ceds.ed.gov/elementComment.aspx?elementName=Birthdate Verification &amp;elementID=13418", "Click here to submit comment")</f>
        <v>Click here to submit comment</v>
      </c>
    </row>
    <row r="414" spans="1:14" ht="30" customHeight="1" x14ac:dyDescent="0.25">
      <c r="A414" s="18" t="s">
        <v>1538</v>
      </c>
      <c r="B414" s="18" t="s">
        <v>1539</v>
      </c>
      <c r="C414" s="19" t="s">
        <v>6342</v>
      </c>
      <c r="D414" s="18" t="s">
        <v>6120</v>
      </c>
      <c r="E414" s="18"/>
      <c r="F414" s="18"/>
      <c r="G414" s="18"/>
      <c r="H414" s="9" t="s">
        <v>336</v>
      </c>
      <c r="I414" s="18" t="s">
        <v>1540</v>
      </c>
      <c r="J414" s="18"/>
      <c r="K414" s="18" t="s">
        <v>1541</v>
      </c>
      <c r="L414" s="18" t="s">
        <v>6121</v>
      </c>
      <c r="M414" s="18" t="str">
        <f>HYPERLINK("https://ceds.ed.gov/cedselementdetails.aspx?termid=13657")</f>
        <v>https://ceds.ed.gov/cedselementdetails.aspx?termid=13657</v>
      </c>
      <c r="N414" s="18" t="str">
        <f>HYPERLINK("https://ceds.ed.gov/elementComment.aspx?elementName=Black or African American &amp;elementID=13657", "Click here to submit comment")</f>
        <v>Click here to submit comment</v>
      </c>
    </row>
    <row r="415" spans="1:14" x14ac:dyDescent="0.25">
      <c r="A415" s="18"/>
      <c r="B415" s="18"/>
      <c r="C415" s="19"/>
      <c r="D415" s="18"/>
      <c r="E415" s="18"/>
      <c r="F415" s="18"/>
      <c r="G415" s="18"/>
      <c r="H415" s="9"/>
      <c r="I415" s="18"/>
      <c r="J415" s="18"/>
      <c r="K415" s="18"/>
      <c r="L415" s="18"/>
      <c r="M415" s="18"/>
      <c r="N415" s="18"/>
    </row>
    <row r="416" spans="1:14" x14ac:dyDescent="0.25">
      <c r="A416" s="18"/>
      <c r="B416" s="18"/>
      <c r="C416" s="19"/>
      <c r="D416" s="18"/>
      <c r="E416" s="18"/>
      <c r="F416" s="18"/>
      <c r="G416" s="18"/>
      <c r="H416" s="9" t="s">
        <v>337</v>
      </c>
      <c r="I416" s="18"/>
      <c r="J416" s="18"/>
      <c r="K416" s="18"/>
      <c r="L416" s="18"/>
      <c r="M416" s="18"/>
      <c r="N416" s="18"/>
    </row>
    <row r="417" spans="1:14" ht="30" x14ac:dyDescent="0.25">
      <c r="A417" s="18"/>
      <c r="B417" s="18"/>
      <c r="C417" s="19"/>
      <c r="D417" s="18"/>
      <c r="E417" s="18"/>
      <c r="F417" s="18"/>
      <c r="G417" s="18"/>
      <c r="H417" s="9" t="s">
        <v>338</v>
      </c>
      <c r="I417" s="18"/>
      <c r="J417" s="18"/>
      <c r="K417" s="18"/>
      <c r="L417" s="18"/>
      <c r="M417" s="18"/>
      <c r="N417" s="18"/>
    </row>
    <row r="418" spans="1:14" x14ac:dyDescent="0.25">
      <c r="A418" s="18"/>
      <c r="B418" s="18"/>
      <c r="C418" s="19"/>
      <c r="D418" s="18"/>
      <c r="E418" s="18"/>
      <c r="F418" s="18"/>
      <c r="G418" s="18"/>
      <c r="H418" s="9" t="s">
        <v>339</v>
      </c>
      <c r="I418" s="18"/>
      <c r="J418" s="18"/>
      <c r="K418" s="18"/>
      <c r="L418" s="18"/>
      <c r="M418" s="18"/>
      <c r="N418" s="18"/>
    </row>
    <row r="419" spans="1:14" ht="145.5" customHeight="1" x14ac:dyDescent="0.25">
      <c r="A419" s="18" t="s">
        <v>1542</v>
      </c>
      <c r="B419" s="18" t="s">
        <v>1543</v>
      </c>
      <c r="C419" s="19" t="s">
        <v>6393</v>
      </c>
      <c r="D419" s="18" t="s">
        <v>10527</v>
      </c>
      <c r="E419" s="18"/>
      <c r="F419" s="18"/>
      <c r="G419" s="18"/>
      <c r="H419" s="9" t="s">
        <v>1544</v>
      </c>
      <c r="I419" s="18" t="s">
        <v>1546</v>
      </c>
      <c r="J419" s="18"/>
      <c r="K419" s="18" t="s">
        <v>1547</v>
      </c>
      <c r="L419" s="18"/>
      <c r="M419" s="18" t="str">
        <f>HYPERLINK("https://ceds.ed.gov/cedselementdetails.aspx?termid=14253")</f>
        <v>https://ceds.ed.gov/cedselementdetails.aspx?termid=14253</v>
      </c>
      <c r="N419" s="18" t="str">
        <f>HYPERLINK("https://ceds.ed.gov/elementComment.aspx?elementName=Blended Learning Model Type &amp;elementID=14253", "Click here to submit comment")</f>
        <v>Click here to submit comment</v>
      </c>
    </row>
    <row r="420" spans="1:14" x14ac:dyDescent="0.25">
      <c r="A420" s="18"/>
      <c r="B420" s="18"/>
      <c r="C420" s="19"/>
      <c r="D420" s="18"/>
      <c r="E420" s="18"/>
      <c r="F420" s="18"/>
      <c r="G420" s="18"/>
      <c r="H420" s="9"/>
      <c r="I420" s="18"/>
      <c r="J420" s="18"/>
      <c r="K420" s="18"/>
      <c r="L420" s="18"/>
      <c r="M420" s="18"/>
      <c r="N420" s="18"/>
    </row>
    <row r="421" spans="1:14" ht="45" x14ac:dyDescent="0.25">
      <c r="A421" s="18"/>
      <c r="B421" s="18"/>
      <c r="C421" s="19"/>
      <c r="D421" s="18"/>
      <c r="E421" s="18"/>
      <c r="F421" s="18"/>
      <c r="G421" s="18"/>
      <c r="H421" s="9" t="s">
        <v>1545</v>
      </c>
      <c r="I421" s="18"/>
      <c r="J421" s="18"/>
      <c r="K421" s="18"/>
      <c r="L421" s="18"/>
      <c r="M421" s="18"/>
      <c r="N421" s="18"/>
    </row>
    <row r="422" spans="1:14" ht="45" x14ac:dyDescent="0.25">
      <c r="A422" s="9" t="s">
        <v>1548</v>
      </c>
      <c r="B422" s="9" t="s">
        <v>1549</v>
      </c>
      <c r="C422" s="9" t="s">
        <v>12</v>
      </c>
      <c r="D422" s="9" t="s">
        <v>213</v>
      </c>
      <c r="E422" s="9"/>
      <c r="F422" s="9" t="s">
        <v>1513</v>
      </c>
      <c r="G422" s="9"/>
      <c r="H422" s="9" t="s">
        <v>344</v>
      </c>
      <c r="I422" s="9" t="s">
        <v>1550</v>
      </c>
      <c r="J422" s="9"/>
      <c r="K422" s="9" t="s">
        <v>1551</v>
      </c>
      <c r="L422" s="9" t="s">
        <v>1552</v>
      </c>
      <c r="M422" s="9" t="str">
        <f>HYPERLINK("https://ceds.ed.gov/cedselementdetails.aspx?termid=13729")</f>
        <v>https://ceds.ed.gov/cedselementdetails.aspx?termid=13729</v>
      </c>
      <c r="N422" s="9" t="str">
        <f>HYPERLINK("https://ceds.ed.gov/elementComment.aspx?elementName=Board Charges &amp;elementID=13729", "Click here to submit comment")</f>
        <v>Click here to submit comment</v>
      </c>
    </row>
    <row r="423" spans="1:14" ht="120" x14ac:dyDescent="0.25">
      <c r="A423" s="9" t="s">
        <v>1553</v>
      </c>
      <c r="B423" s="9" t="s">
        <v>1554</v>
      </c>
      <c r="C423" s="9" t="s">
        <v>12</v>
      </c>
      <c r="D423" s="9" t="s">
        <v>213</v>
      </c>
      <c r="E423" s="9"/>
      <c r="F423" s="9" t="s">
        <v>1513</v>
      </c>
      <c r="G423" s="9"/>
      <c r="H423" s="9" t="s">
        <v>344</v>
      </c>
      <c r="I423" s="9" t="s">
        <v>1555</v>
      </c>
      <c r="J423" s="9"/>
      <c r="K423" s="9" t="s">
        <v>1556</v>
      </c>
      <c r="L423" s="9" t="s">
        <v>1552</v>
      </c>
      <c r="M423" s="9" t="str">
        <f>HYPERLINK("https://ceds.ed.gov/cedselementdetails.aspx?termid=13730")</f>
        <v>https://ceds.ed.gov/cedselementdetails.aspx?termid=13730</v>
      </c>
      <c r="N423" s="9" t="str">
        <f>HYPERLINK("https://ceds.ed.gov/elementComment.aspx?elementName=Books and Supplies Costs &amp;elementID=13730", "Click here to submit comment")</f>
        <v>Click here to submit comment</v>
      </c>
    </row>
    <row r="424" spans="1:14" ht="60" x14ac:dyDescent="0.25">
      <c r="A424" s="9" t="s">
        <v>7446</v>
      </c>
      <c r="B424" s="9" t="s">
        <v>7447</v>
      </c>
      <c r="C424" s="9" t="s">
        <v>12</v>
      </c>
      <c r="D424" s="9" t="s">
        <v>10528</v>
      </c>
      <c r="E424" s="9" t="s">
        <v>1457</v>
      </c>
      <c r="F424" s="9" t="s">
        <v>87</v>
      </c>
      <c r="G424" s="9"/>
      <c r="H424" s="9"/>
      <c r="I424" s="9" t="s">
        <v>10529</v>
      </c>
      <c r="J424" s="9"/>
      <c r="K424" s="9" t="s">
        <v>10530</v>
      </c>
      <c r="L424" s="9"/>
      <c r="M424" s="9" t="str">
        <f>HYPERLINK("https://ceds.ed.gov/cedselementdetails.aspx?termid=14757")</f>
        <v>https://ceds.ed.gov/cedselementdetails.aspx?termid=14757</v>
      </c>
      <c r="N424" s="9" t="str">
        <f>HYPERLINK("https://ceds.ed.gov/elementComment.aspx?elementName=Building Addition Code &amp;elementID=14757", "Click here to submit comment")</f>
        <v>Click here to submit comment</v>
      </c>
    </row>
    <row r="425" spans="1:14" ht="45" x14ac:dyDescent="0.25">
      <c r="A425" s="9" t="s">
        <v>10531</v>
      </c>
      <c r="B425" s="9" t="s">
        <v>7445</v>
      </c>
      <c r="C425" s="9" t="s">
        <v>12</v>
      </c>
      <c r="D425" s="9" t="s">
        <v>10528</v>
      </c>
      <c r="E425" s="9" t="s">
        <v>1457</v>
      </c>
      <c r="F425" s="9" t="s">
        <v>22</v>
      </c>
      <c r="G425" s="9"/>
      <c r="H425" s="9"/>
      <c r="I425" s="9" t="s">
        <v>10532</v>
      </c>
      <c r="J425" s="9"/>
      <c r="K425" s="9" t="s">
        <v>10533</v>
      </c>
      <c r="L425" s="9"/>
      <c r="M425" s="9" t="str">
        <f>HYPERLINK("https://ceds.ed.gov/cedselementdetails.aspx?termid=14756")</f>
        <v>https://ceds.ed.gov/cedselementdetails.aspx?termid=14756</v>
      </c>
      <c r="N425" s="9" t="str">
        <f>HYPERLINK("https://ceds.ed.gov/elementComment.aspx?elementName=Building Addition Description &amp;elementID=14756", "Click here to submit comment")</f>
        <v>Click here to submit comment</v>
      </c>
    </row>
    <row r="426" spans="1:14" ht="375" x14ac:dyDescent="0.25">
      <c r="A426" s="9" t="s">
        <v>10534</v>
      </c>
      <c r="B426" s="9" t="s">
        <v>7239</v>
      </c>
      <c r="C426" s="10" t="s">
        <v>11788</v>
      </c>
      <c r="D426" s="9" t="s">
        <v>10535</v>
      </c>
      <c r="E426" s="9" t="s">
        <v>1457</v>
      </c>
      <c r="F426" s="9"/>
      <c r="G426" s="9"/>
      <c r="H426" s="9"/>
      <c r="I426" s="9" t="s">
        <v>10536</v>
      </c>
      <c r="J426" s="9"/>
      <c r="K426" s="9" t="s">
        <v>10537</v>
      </c>
      <c r="L426" s="9"/>
      <c r="M426" s="9" t="str">
        <f>HYPERLINK("https://ceds.ed.gov/cedselementdetails.aspx?termid=14794")</f>
        <v>https://ceds.ed.gov/cedselementdetails.aspx?termid=14794</v>
      </c>
      <c r="N426" s="9" t="str">
        <f>HYPERLINK("https://ceds.ed.gov/elementComment.aspx?elementName=Building Administrative Space Type &amp;elementID=14794", "Click here to submit comment")</f>
        <v>Click here to submit comment</v>
      </c>
    </row>
    <row r="427" spans="1:14" ht="135" x14ac:dyDescent="0.25">
      <c r="A427" s="9" t="s">
        <v>10538</v>
      </c>
      <c r="B427" s="9" t="s">
        <v>7252</v>
      </c>
      <c r="C427" s="10" t="s">
        <v>11789</v>
      </c>
      <c r="D427" s="9" t="s">
        <v>10539</v>
      </c>
      <c r="E427" s="9" t="s">
        <v>1457</v>
      </c>
      <c r="F427" s="9"/>
      <c r="G427" s="9"/>
      <c r="H427" s="9"/>
      <c r="I427" s="9" t="s">
        <v>10540</v>
      </c>
      <c r="J427" s="9"/>
      <c r="K427" s="9" t="s">
        <v>10541</v>
      </c>
      <c r="L427" s="9"/>
      <c r="M427" s="9" t="str">
        <f>HYPERLINK("https://ceds.ed.gov/cedselementdetails.aspx?termid=14771")</f>
        <v>https://ceds.ed.gov/cedselementdetails.aspx?termid=14771</v>
      </c>
      <c r="N427" s="9" t="str">
        <f>HYPERLINK("https://ceds.ed.gov/elementComment.aspx?elementName=Building Air Distribution System Type &amp;elementID=14771", "Click here to submit comment")</f>
        <v>Click here to submit comment</v>
      </c>
    </row>
    <row r="428" spans="1:14" ht="45" x14ac:dyDescent="0.25">
      <c r="A428" s="9" t="s">
        <v>10542</v>
      </c>
      <c r="B428" s="9" t="s">
        <v>7290</v>
      </c>
      <c r="C428" s="9" t="s">
        <v>12</v>
      </c>
      <c r="D428" s="9" t="s">
        <v>10535</v>
      </c>
      <c r="E428" s="9" t="s">
        <v>1457</v>
      </c>
      <c r="F428" s="9" t="s">
        <v>1347</v>
      </c>
      <c r="G428" s="9"/>
      <c r="H428" s="9"/>
      <c r="I428" s="9" t="s">
        <v>10543</v>
      </c>
      <c r="J428" s="9"/>
      <c r="K428" s="9" t="s">
        <v>10544</v>
      </c>
      <c r="L428" s="9"/>
      <c r="M428" s="9" t="str">
        <f>HYPERLINK("https://ceds.ed.gov/cedselementdetails.aspx?termid=14815")</f>
        <v>https://ceds.ed.gov/cedselementdetails.aspx?termid=14815</v>
      </c>
      <c r="N428" s="9" t="str">
        <f>HYPERLINK("https://ceds.ed.gov/elementComment.aspx?elementName=Building Architect Name &amp;elementID=14815", "Click here to submit comment")</f>
        <v>Click here to submit comment</v>
      </c>
    </row>
    <row r="429" spans="1:14" ht="45" x14ac:dyDescent="0.25">
      <c r="A429" s="9" t="s">
        <v>10545</v>
      </c>
      <c r="B429" s="9" t="s">
        <v>7291</v>
      </c>
      <c r="C429" s="9" t="s">
        <v>12</v>
      </c>
      <c r="D429" s="9" t="s">
        <v>10535</v>
      </c>
      <c r="E429" s="9" t="s">
        <v>1457</v>
      </c>
      <c r="F429" s="9" t="s">
        <v>92</v>
      </c>
      <c r="G429" s="9"/>
      <c r="H429" s="9"/>
      <c r="I429" s="9" t="s">
        <v>10546</v>
      </c>
      <c r="J429" s="9"/>
      <c r="K429" s="9" t="s">
        <v>10547</v>
      </c>
      <c r="L429" s="9"/>
      <c r="M429" s="9" t="str">
        <f>HYPERLINK("https://ceds.ed.gov/cedselementdetails.aspx?termid=14816")</f>
        <v>https://ceds.ed.gov/cedselementdetails.aspx?termid=14816</v>
      </c>
      <c r="N429" s="9" t="str">
        <f>HYPERLINK("https://ceds.ed.gov/elementComment.aspx?elementName=Building Architectural Firm Name &amp;elementID=14816", "Click here to submit comment")</f>
        <v>Click here to submit comment</v>
      </c>
    </row>
    <row r="430" spans="1:14" ht="165" x14ac:dyDescent="0.25">
      <c r="A430" s="9" t="s">
        <v>7448</v>
      </c>
      <c r="B430" s="9" t="s">
        <v>7449</v>
      </c>
      <c r="C430" s="9" t="s">
        <v>12</v>
      </c>
      <c r="D430" s="9" t="s">
        <v>10528</v>
      </c>
      <c r="E430" s="9" t="s">
        <v>1457</v>
      </c>
      <c r="F430" s="9" t="s">
        <v>87</v>
      </c>
      <c r="G430" s="9"/>
      <c r="H430" s="9"/>
      <c r="I430" s="9" t="s">
        <v>10548</v>
      </c>
      <c r="J430" s="9"/>
      <c r="K430" s="9" t="s">
        <v>10549</v>
      </c>
      <c r="L430" s="9"/>
      <c r="M430" s="9" t="str">
        <f>HYPERLINK("https://ceds.ed.gov/cedselementdetails.aspx?termid=14745")</f>
        <v>https://ceds.ed.gov/cedselementdetails.aspx?termid=14745</v>
      </c>
      <c r="N430" s="9" t="str">
        <f>HYPERLINK("https://ceds.ed.gov/elementComment.aspx?elementName=Building Area &amp;elementID=14745", "Click here to submit comment")</f>
        <v>Click here to submit comment</v>
      </c>
    </row>
    <row r="431" spans="1:14" ht="135" x14ac:dyDescent="0.25">
      <c r="A431" s="9" t="s">
        <v>10550</v>
      </c>
      <c r="B431" s="9" t="s">
        <v>7294</v>
      </c>
      <c r="C431" s="10" t="s">
        <v>11790</v>
      </c>
      <c r="D431" s="9" t="s">
        <v>10535</v>
      </c>
      <c r="E431" s="9" t="s">
        <v>1457</v>
      </c>
      <c r="F431" s="9"/>
      <c r="G431" s="9"/>
      <c r="H431" s="9"/>
      <c r="I431" s="9" t="s">
        <v>10551</v>
      </c>
      <c r="J431" s="9"/>
      <c r="K431" s="9" t="s">
        <v>10552</v>
      </c>
      <c r="L431" s="9"/>
      <c r="M431" s="9" t="str">
        <f>HYPERLINK("https://ceds.ed.gov/cedselementdetails.aspx?termid=14795")</f>
        <v>https://ceds.ed.gov/cedselementdetails.aspx?termid=14795</v>
      </c>
      <c r="N431" s="9" t="str">
        <f>HYPERLINK("https://ceds.ed.gov/elementComment.aspx?elementName=Building Art Specialty Space Type &amp;elementID=14795", "Click here to submit comment")</f>
        <v>Click here to submit comment</v>
      </c>
    </row>
    <row r="432" spans="1:14" ht="135" x14ac:dyDescent="0.25">
      <c r="A432" s="9" t="s">
        <v>10553</v>
      </c>
      <c r="B432" s="9" t="s">
        <v>7295</v>
      </c>
      <c r="C432" s="10" t="s">
        <v>11791</v>
      </c>
      <c r="D432" s="9" t="s">
        <v>10535</v>
      </c>
      <c r="E432" s="9" t="s">
        <v>1457</v>
      </c>
      <c r="F432" s="9"/>
      <c r="G432" s="9"/>
      <c r="H432" s="9"/>
      <c r="I432" s="9" t="s">
        <v>10554</v>
      </c>
      <c r="J432" s="9"/>
      <c r="K432" s="9" t="s">
        <v>10555</v>
      </c>
      <c r="L432" s="9"/>
      <c r="M432" s="9" t="str">
        <f>HYPERLINK("https://ceds.ed.gov/cedselementdetails.aspx?termid=14817")</f>
        <v>https://ceds.ed.gov/cedselementdetails.aspx?termid=14817</v>
      </c>
      <c r="N432" s="9" t="str">
        <f>HYPERLINK("https://ceds.ed.gov/elementComment.aspx?elementName=Building Assembly Space Type &amp;elementID=14817", "Click here to submit comment")</f>
        <v>Click here to submit comment</v>
      </c>
    </row>
    <row r="433" spans="1:14" ht="105" x14ac:dyDescent="0.25">
      <c r="A433" s="9" t="s">
        <v>10556</v>
      </c>
      <c r="B433" s="9" t="s">
        <v>7408</v>
      </c>
      <c r="C433" s="10" t="s">
        <v>11792</v>
      </c>
      <c r="D433" s="9" t="s">
        <v>10535</v>
      </c>
      <c r="E433" s="9" t="s">
        <v>1457</v>
      </c>
      <c r="F433" s="9"/>
      <c r="G433" s="9"/>
      <c r="H433" s="9"/>
      <c r="I433" s="9" t="s">
        <v>10557</v>
      </c>
      <c r="J433" s="9"/>
      <c r="K433" s="9" t="s">
        <v>10558</v>
      </c>
      <c r="L433" s="9"/>
      <c r="M433" s="9" t="str">
        <f>HYPERLINK("https://ceds.ed.gov/cedselementdetails.aspx?termid=14796")</f>
        <v>https://ceds.ed.gov/cedselementdetails.aspx?termid=14796</v>
      </c>
      <c r="N433" s="9" t="str">
        <f>HYPERLINK("https://ceds.ed.gov/elementComment.aspx?elementName=Building Basic Classroom Design Type &amp;elementID=14796", "Click here to submit comment")</f>
        <v>Click here to submit comment</v>
      </c>
    </row>
    <row r="434" spans="1:14" ht="60" x14ac:dyDescent="0.25">
      <c r="A434" s="9" t="s">
        <v>10559</v>
      </c>
      <c r="B434" s="9" t="s">
        <v>7498</v>
      </c>
      <c r="C434" s="9" t="s">
        <v>6106</v>
      </c>
      <c r="D434" s="9" t="s">
        <v>10522</v>
      </c>
      <c r="E434" s="9" t="s">
        <v>1457</v>
      </c>
      <c r="F434" s="9"/>
      <c r="G434" s="9"/>
      <c r="H434" s="9"/>
      <c r="I434" s="9" t="s">
        <v>10560</v>
      </c>
      <c r="J434" s="9"/>
      <c r="K434" s="9" t="s">
        <v>10561</v>
      </c>
      <c r="L434" s="9"/>
      <c r="M434" s="9" t="str">
        <f>HYPERLINK("https://ceds.ed.gov/cedselementdetails.aspx?termid=14884")</f>
        <v>https://ceds.ed.gov/cedselementdetails.aspx?termid=14884</v>
      </c>
      <c r="N434" s="9" t="str">
        <f>HYPERLINK("https://ceds.ed.gov/elementComment.aspx?elementName=Building Capacity Factor Indicator &amp;elementID=14884", "Click here to submit comment")</f>
        <v>Click here to submit comment</v>
      </c>
    </row>
    <row r="435" spans="1:14" ht="409.5" x14ac:dyDescent="0.25">
      <c r="A435" s="9" t="s">
        <v>10562</v>
      </c>
      <c r="B435" s="9" t="s">
        <v>7547</v>
      </c>
      <c r="C435" s="10" t="s">
        <v>11793</v>
      </c>
      <c r="D435" s="9" t="s">
        <v>10535</v>
      </c>
      <c r="E435" s="9" t="s">
        <v>1457</v>
      </c>
      <c r="F435" s="9"/>
      <c r="G435" s="9"/>
      <c r="H435" s="9"/>
      <c r="I435" s="9" t="s">
        <v>10563</v>
      </c>
      <c r="J435" s="9"/>
      <c r="K435" s="9" t="s">
        <v>10564</v>
      </c>
      <c r="L435" s="9"/>
      <c r="M435" s="9" t="str">
        <f>HYPERLINK("https://ceds.ed.gov/cedselementdetails.aspx?termid=14798")</f>
        <v>https://ceds.ed.gov/cedselementdetails.aspx?termid=14798</v>
      </c>
      <c r="N435" s="9" t="str">
        <f>HYPERLINK("https://ceds.ed.gov/elementComment.aspx?elementName=Building Career-Technical Education Space Type &amp;elementID=14798", "Click here to submit comment")</f>
        <v>Click here to submit comment</v>
      </c>
    </row>
    <row r="436" spans="1:14" ht="120" x14ac:dyDescent="0.25">
      <c r="A436" s="9" t="s">
        <v>10565</v>
      </c>
      <c r="B436" s="9" t="s">
        <v>10566</v>
      </c>
      <c r="C436" s="10" t="s">
        <v>11794</v>
      </c>
      <c r="D436" s="9" t="s">
        <v>10567</v>
      </c>
      <c r="E436" s="9" t="s">
        <v>1457</v>
      </c>
      <c r="F436" s="9"/>
      <c r="G436" s="9"/>
      <c r="H436" s="9"/>
      <c r="I436" s="9" t="s">
        <v>10568</v>
      </c>
      <c r="J436" s="9"/>
      <c r="K436" s="9" t="s">
        <v>10569</v>
      </c>
      <c r="L436" s="9"/>
      <c r="M436" s="9" t="str">
        <f>HYPERLINK("https://ceds.ed.gov/cedselementdetails.aspx?termid=14846")</f>
        <v>https://ceds.ed.gov/cedselementdetails.aspx?termid=14846</v>
      </c>
      <c r="N436" s="9" t="str">
        <f>HYPERLINK("https://ceds.ed.gov/elementComment.aspx?elementName=Building Charter School Realty Access Type &amp;elementID=14846", "Click here to submit comment")</f>
        <v>Click here to submit comment</v>
      </c>
    </row>
    <row r="437" spans="1:14" ht="150" x14ac:dyDescent="0.25">
      <c r="A437" s="9" t="s">
        <v>10570</v>
      </c>
      <c r="B437" s="9" t="s">
        <v>7569</v>
      </c>
      <c r="C437" s="10" t="s">
        <v>11795</v>
      </c>
      <c r="D437" s="9" t="s">
        <v>10535</v>
      </c>
      <c r="E437" s="9" t="s">
        <v>1457</v>
      </c>
      <c r="F437" s="9"/>
      <c r="G437" s="9"/>
      <c r="H437" s="9"/>
      <c r="I437" s="9" t="s">
        <v>10571</v>
      </c>
      <c r="J437" s="9"/>
      <c r="K437" s="9" t="s">
        <v>10572</v>
      </c>
      <c r="L437" s="9"/>
      <c r="M437" s="9" t="str">
        <f>HYPERLINK("https://ceds.ed.gov/cedselementdetails.aspx?termid=14799")</f>
        <v>https://ceds.ed.gov/cedselementdetails.aspx?termid=14799</v>
      </c>
      <c r="N437" s="9" t="str">
        <f>HYPERLINK("https://ceds.ed.gov/elementComment.aspx?elementName=Building Circulation Space Type &amp;elementID=14799", "Click here to submit comment")</f>
        <v>Click here to submit comment</v>
      </c>
    </row>
    <row r="438" spans="1:14" ht="90" x14ac:dyDescent="0.25">
      <c r="A438" s="9" t="s">
        <v>10573</v>
      </c>
      <c r="B438" s="9" t="s">
        <v>7582</v>
      </c>
      <c r="C438" s="10" t="s">
        <v>11796</v>
      </c>
      <c r="D438" s="9" t="s">
        <v>10567</v>
      </c>
      <c r="E438" s="9" t="s">
        <v>1457</v>
      </c>
      <c r="F438" s="9"/>
      <c r="G438" s="9"/>
      <c r="H438" s="9"/>
      <c r="I438" s="9" t="s">
        <v>10574</v>
      </c>
      <c r="J438" s="9"/>
      <c r="K438" s="9" t="s">
        <v>10575</v>
      </c>
      <c r="L438" s="9"/>
      <c r="M438" s="9" t="str">
        <f>HYPERLINK("https://ceds.ed.gov/cedselementdetails.aspx?termid=14847")</f>
        <v>https://ceds.ed.gov/cedselementdetails.aspx?termid=14847</v>
      </c>
      <c r="N438" s="9" t="str">
        <f>HYPERLINK("https://ceds.ed.gov/elementComment.aspx?elementName=Building Cleaning Standard Type &amp;elementID=14847", "Click here to submit comment")</f>
        <v>Click here to submit comment</v>
      </c>
    </row>
    <row r="439" spans="1:14" ht="120" x14ac:dyDescent="0.25">
      <c r="A439" s="9" t="s">
        <v>10576</v>
      </c>
      <c r="B439" s="9" t="s">
        <v>10577</v>
      </c>
      <c r="C439" s="10" t="s">
        <v>11797</v>
      </c>
      <c r="D439" s="9" t="s">
        <v>10539</v>
      </c>
      <c r="E439" s="9" t="s">
        <v>1457</v>
      </c>
      <c r="F439" s="9"/>
      <c r="G439" s="9"/>
      <c r="H439" s="9"/>
      <c r="I439" s="9" t="s">
        <v>10578</v>
      </c>
      <c r="J439" s="9"/>
      <c r="K439" s="9" t="s">
        <v>10579</v>
      </c>
      <c r="L439" s="9"/>
      <c r="M439" s="9" t="str">
        <f>HYPERLINK("https://ceds.ed.gov/cedselementdetails.aspx?termid=14772")</f>
        <v>https://ceds.ed.gov/cedselementdetails.aspx?termid=14772</v>
      </c>
      <c r="N439" s="9" t="str">
        <f>HYPERLINK("https://ceds.ed.gov/elementComment.aspx?elementName=Building Communications Management Component System Type &amp;elementID=14772", "Click here to submit comment")</f>
        <v>Click here to submit comment</v>
      </c>
    </row>
    <row r="440" spans="1:14" ht="180" x14ac:dyDescent="0.25">
      <c r="A440" s="9" t="s">
        <v>10580</v>
      </c>
      <c r="B440" s="9" t="s">
        <v>7596</v>
      </c>
      <c r="C440" s="10" t="s">
        <v>11798</v>
      </c>
      <c r="D440" s="9" t="s">
        <v>10522</v>
      </c>
      <c r="E440" s="9" t="s">
        <v>1457</v>
      </c>
      <c r="F440" s="9"/>
      <c r="G440" s="9"/>
      <c r="H440" s="9"/>
      <c r="I440" s="9" t="s">
        <v>10581</v>
      </c>
      <c r="J440" s="9"/>
      <c r="K440" s="9" t="s">
        <v>10582</v>
      </c>
      <c r="L440" s="9"/>
      <c r="M440" s="9" t="str">
        <f>HYPERLINK("https://ceds.ed.gov/cedselementdetails.aspx?termid=14836")</f>
        <v>https://ceds.ed.gov/cedselementdetails.aspx?termid=14836</v>
      </c>
      <c r="N440" s="9" t="str">
        <f>HYPERLINK("https://ceds.ed.gov/elementComment.aspx?elementName=Building Community Use Space Type &amp;elementID=14836", "Click here to submit comment")</f>
        <v>Click here to submit comment</v>
      </c>
    </row>
    <row r="441" spans="1:14" ht="150" x14ac:dyDescent="0.25">
      <c r="A441" s="9" t="s">
        <v>10583</v>
      </c>
      <c r="B441" s="9" t="s">
        <v>7641</v>
      </c>
      <c r="C441" s="10" t="s">
        <v>11799</v>
      </c>
      <c r="D441" s="9" t="s">
        <v>10539</v>
      </c>
      <c r="E441" s="9" t="s">
        <v>1457</v>
      </c>
      <c r="F441" s="9"/>
      <c r="G441" s="9"/>
      <c r="H441" s="9"/>
      <c r="I441" s="9" t="s">
        <v>10584</v>
      </c>
      <c r="J441" s="9"/>
      <c r="K441" s="9" t="s">
        <v>10585</v>
      </c>
      <c r="L441" s="9"/>
      <c r="M441" s="9" t="str">
        <f>HYPERLINK("https://ceds.ed.gov/cedselementdetails.aspx?termid=14775")</f>
        <v>https://ceds.ed.gov/cedselementdetails.aspx?termid=14775</v>
      </c>
      <c r="N441" s="9" t="str">
        <f>HYPERLINK("https://ceds.ed.gov/elementComment.aspx?elementName=Building Cooling Generation System Type &amp;elementID=14775", "Click here to submit comment")</f>
        <v>Click here to submit comment</v>
      </c>
    </row>
    <row r="442" spans="1:14" ht="45" x14ac:dyDescent="0.25">
      <c r="A442" s="9" t="s">
        <v>10586</v>
      </c>
      <c r="B442" s="9" t="s">
        <v>7745</v>
      </c>
      <c r="C442" s="9" t="s">
        <v>12</v>
      </c>
      <c r="D442" s="9" t="s">
        <v>10567</v>
      </c>
      <c r="E442" s="9" t="s">
        <v>1457</v>
      </c>
      <c r="F442" s="9" t="s">
        <v>73</v>
      </c>
      <c r="G442" s="9"/>
      <c r="H442" s="9"/>
      <c r="I442" s="9" t="s">
        <v>10587</v>
      </c>
      <c r="J442" s="9"/>
      <c r="K442" s="9" t="s">
        <v>12171</v>
      </c>
      <c r="L442" s="9"/>
      <c r="M442" s="9" t="str">
        <f>HYPERLINK("https://ceds.ed.gov/cedselementdetails.aspx?termid=14861")</f>
        <v>https://ceds.ed.gov/cedselementdetails.aspx?termid=14861</v>
      </c>
      <c r="N442" s="9" t="str">
        <f>HYPERLINK("https://ceds.ed.gov/elementComment.aspx?elementName=Building Date of Certificate of Occupancy &amp;elementID=14861", "Click here to submit comment")</f>
        <v>Click here to submit comment</v>
      </c>
    </row>
    <row r="443" spans="1:14" ht="240" x14ac:dyDescent="0.25">
      <c r="A443" s="9" t="s">
        <v>7450</v>
      </c>
      <c r="B443" s="9" t="s">
        <v>7451</v>
      </c>
      <c r="C443" s="10" t="s">
        <v>11800</v>
      </c>
      <c r="D443" s="9" t="s">
        <v>10535</v>
      </c>
      <c r="E443" s="9" t="s">
        <v>1457</v>
      </c>
      <c r="F443" s="9"/>
      <c r="G443" s="9"/>
      <c r="H443" s="9"/>
      <c r="I443" s="9" t="s">
        <v>10588</v>
      </c>
      <c r="J443" s="9"/>
      <c r="K443" s="9" t="s">
        <v>10589</v>
      </c>
      <c r="L443" s="9"/>
      <c r="M443" s="9" t="str">
        <f>HYPERLINK("https://ceds.ed.gov/cedselementdetails.aspx?termid=14797")</f>
        <v>https://ceds.ed.gov/cedselementdetails.aspx?termid=14797</v>
      </c>
      <c r="N443" s="9" t="str">
        <f>HYPERLINK("https://ceds.ed.gov/elementComment.aspx?elementName=Building Design Type &amp;elementID=14797", "Click here to submit comment")</f>
        <v>Click here to submit comment</v>
      </c>
    </row>
    <row r="444" spans="1:14" ht="165" x14ac:dyDescent="0.25">
      <c r="A444" s="9" t="s">
        <v>10590</v>
      </c>
      <c r="B444" s="9" t="s">
        <v>7911</v>
      </c>
      <c r="C444" s="10" t="s">
        <v>11801</v>
      </c>
      <c r="D444" s="9" t="s">
        <v>10539</v>
      </c>
      <c r="E444" s="9" t="s">
        <v>1457</v>
      </c>
      <c r="F444" s="9"/>
      <c r="G444" s="9"/>
      <c r="H444" s="9"/>
      <c r="I444" s="9" t="s">
        <v>10591</v>
      </c>
      <c r="J444" s="9"/>
      <c r="K444" s="9" t="s">
        <v>10592</v>
      </c>
      <c r="L444" s="9"/>
      <c r="M444" s="9" t="str">
        <f>HYPERLINK("https://ceds.ed.gov/cedselementdetails.aspx?termid=14776")</f>
        <v>https://ceds.ed.gov/cedselementdetails.aspx?termid=14776</v>
      </c>
      <c r="N444" s="9" t="str">
        <f>HYPERLINK("https://ceds.ed.gov/elementComment.aspx?elementName=Building Electrical System Type &amp;elementID=14776", "Click here to submit comment")</f>
        <v>Click here to submit comment</v>
      </c>
    </row>
    <row r="445" spans="1:14" ht="165" x14ac:dyDescent="0.25">
      <c r="A445" s="9" t="s">
        <v>10593</v>
      </c>
      <c r="B445" s="9" t="s">
        <v>7958</v>
      </c>
      <c r="C445" s="10" t="s">
        <v>11802</v>
      </c>
      <c r="D445" s="9" t="s">
        <v>10567</v>
      </c>
      <c r="E445" s="9" t="s">
        <v>1457</v>
      </c>
      <c r="F445" s="9"/>
      <c r="G445" s="9"/>
      <c r="H445" s="9"/>
      <c r="I445" s="9" t="s">
        <v>10594</v>
      </c>
      <c r="J445" s="9"/>
      <c r="K445" s="9" t="s">
        <v>10595</v>
      </c>
      <c r="L445" s="9"/>
      <c r="M445" s="9" t="str">
        <f>HYPERLINK("https://ceds.ed.gov/cedselementdetails.aspx?termid=14849")</f>
        <v>https://ceds.ed.gov/cedselementdetails.aspx?termid=14849</v>
      </c>
      <c r="N445" s="9" t="str">
        <f>HYPERLINK("https://ceds.ed.gov/elementComment.aspx?elementName=Building Energy Conservation Measure Type &amp;elementID=14849", "Click here to submit comment")</f>
        <v>Click here to submit comment</v>
      </c>
    </row>
    <row r="446" spans="1:14" ht="75" x14ac:dyDescent="0.25">
      <c r="A446" s="9" t="s">
        <v>10596</v>
      </c>
      <c r="B446" s="9" t="s">
        <v>7959</v>
      </c>
      <c r="C446" s="9" t="s">
        <v>12</v>
      </c>
      <c r="D446" s="9" t="s">
        <v>10567</v>
      </c>
      <c r="E446" s="9" t="s">
        <v>1457</v>
      </c>
      <c r="F446" s="9" t="s">
        <v>92</v>
      </c>
      <c r="G446" s="9"/>
      <c r="H446" s="9"/>
      <c r="I446" s="9" t="s">
        <v>10597</v>
      </c>
      <c r="J446" s="9"/>
      <c r="K446" s="9" t="s">
        <v>10598</v>
      </c>
      <c r="L446" s="9"/>
      <c r="M446" s="9" t="str">
        <f>HYPERLINK("https://ceds.ed.gov/cedselementdetails.aspx?termid=14850")</f>
        <v>https://ceds.ed.gov/cedselementdetails.aspx?termid=14850</v>
      </c>
      <c r="N446" s="9" t="str">
        <f>HYPERLINK("https://ceds.ed.gov/elementComment.aspx?elementName=Building Energy Service Company Name &amp;elementID=14850", "Click here to submit comment")</f>
        <v>Click here to submit comment</v>
      </c>
    </row>
    <row r="447" spans="1:14" ht="180" x14ac:dyDescent="0.25">
      <c r="A447" s="9" t="s">
        <v>10599</v>
      </c>
      <c r="B447" s="9" t="s">
        <v>7960</v>
      </c>
      <c r="C447" s="10" t="s">
        <v>11803</v>
      </c>
      <c r="D447" s="9" t="s">
        <v>10567</v>
      </c>
      <c r="E447" s="9" t="s">
        <v>1457</v>
      </c>
      <c r="F447" s="9"/>
      <c r="G447" s="9"/>
      <c r="H447" s="9"/>
      <c r="I447" s="9" t="s">
        <v>10600</v>
      </c>
      <c r="J447" s="9"/>
      <c r="K447" s="9" t="s">
        <v>10601</v>
      </c>
      <c r="L447" s="9"/>
      <c r="M447" s="9" t="str">
        <f>HYPERLINK("https://ceds.ed.gov/cedselementdetails.aspx?termid=14851")</f>
        <v>https://ceds.ed.gov/cedselementdetails.aspx?termid=14851</v>
      </c>
      <c r="N447" s="9" t="str">
        <f>HYPERLINK("https://ceds.ed.gov/elementComment.aspx?elementName=Building Energy Source Type &amp;elementID=14851", "Click here to submit comment")</f>
        <v>Click here to submit comment</v>
      </c>
    </row>
    <row r="448" spans="1:14" ht="165" x14ac:dyDescent="0.25">
      <c r="A448" s="9" t="s">
        <v>12172</v>
      </c>
      <c r="B448" s="9" t="s">
        <v>7978</v>
      </c>
      <c r="C448" s="10" t="s">
        <v>11804</v>
      </c>
      <c r="D448" s="9" t="s">
        <v>10535</v>
      </c>
      <c r="E448" s="9" t="s">
        <v>1457</v>
      </c>
      <c r="F448" s="9"/>
      <c r="G448" s="9"/>
      <c r="H448" s="9"/>
      <c r="I448" s="9" t="s">
        <v>10602</v>
      </c>
      <c r="J448" s="9"/>
      <c r="K448" s="9" t="s">
        <v>12173</v>
      </c>
      <c r="L448" s="9"/>
      <c r="M448" s="9" t="str">
        <f>HYPERLINK("https://ceds.ed.gov/cedselementdetails.aspx?termid=14800")</f>
        <v>https://ceds.ed.gov/cedselementdetails.aspx?termid=14800</v>
      </c>
      <c r="N448" s="9" t="str">
        <f>HYPERLINK("https://ceds.ed.gov/elementComment.aspx?elementName=Building Environmental or Energy Performance Rating Category &amp;elementID=14800", "Click here to submit comment")</f>
        <v>Click here to submit comment</v>
      </c>
    </row>
    <row r="449" spans="1:14" ht="135" x14ac:dyDescent="0.25">
      <c r="A449" s="9" t="s">
        <v>10603</v>
      </c>
      <c r="B449" s="9" t="s">
        <v>8118</v>
      </c>
      <c r="C449" s="10" t="s">
        <v>11805</v>
      </c>
      <c r="D449" s="9" t="s">
        <v>10539</v>
      </c>
      <c r="E449" s="9" t="s">
        <v>1457</v>
      </c>
      <c r="F449" s="9"/>
      <c r="G449" s="9"/>
      <c r="H449" s="9"/>
      <c r="I449" s="9" t="s">
        <v>10604</v>
      </c>
      <c r="J449" s="9"/>
      <c r="K449" s="9" t="s">
        <v>10605</v>
      </c>
      <c r="L449" s="9"/>
      <c r="M449" s="9" t="str">
        <f>HYPERLINK("https://ceds.ed.gov/cedselementdetails.aspx?termid=14779")</f>
        <v>https://ceds.ed.gov/cedselementdetails.aspx?termid=14779</v>
      </c>
      <c r="N449" s="9" t="str">
        <f>HYPERLINK("https://ceds.ed.gov/elementComment.aspx?elementName=Building Fire Protection System Type &amp;elementID=14779", "Click here to submit comment")</f>
        <v>Click here to submit comment</v>
      </c>
    </row>
    <row r="450" spans="1:14" ht="315" x14ac:dyDescent="0.25">
      <c r="A450" s="9" t="s">
        <v>10606</v>
      </c>
      <c r="B450" s="9" t="s">
        <v>8135</v>
      </c>
      <c r="C450" s="10" t="s">
        <v>11806</v>
      </c>
      <c r="D450" s="9" t="s">
        <v>10535</v>
      </c>
      <c r="E450" s="9" t="s">
        <v>1457</v>
      </c>
      <c r="F450" s="9"/>
      <c r="G450" s="9"/>
      <c r="H450" s="9"/>
      <c r="I450" s="9" t="s">
        <v>10607</v>
      </c>
      <c r="J450" s="9"/>
      <c r="K450" s="9" t="s">
        <v>10608</v>
      </c>
      <c r="L450" s="9"/>
      <c r="M450" s="9" t="str">
        <f>HYPERLINK("https://ceds.ed.gov/cedselementdetails.aspx?termid=14802")</f>
        <v>https://ceds.ed.gov/cedselementdetails.aspx?termid=14802</v>
      </c>
      <c r="N450" s="9" t="str">
        <f>HYPERLINK("https://ceds.ed.gov/elementComment.aspx?elementName=Building Food Service Space Type &amp;elementID=14802", "Click here to submit comment")</f>
        <v>Click here to submit comment</v>
      </c>
    </row>
    <row r="451" spans="1:14" ht="75" x14ac:dyDescent="0.25">
      <c r="A451" s="9" t="s">
        <v>10609</v>
      </c>
      <c r="B451" s="9" t="s">
        <v>8156</v>
      </c>
      <c r="C451" s="10" t="s">
        <v>11807</v>
      </c>
      <c r="D451" s="9" t="s">
        <v>10535</v>
      </c>
      <c r="E451" s="9" t="s">
        <v>1457</v>
      </c>
      <c r="F451" s="9"/>
      <c r="G451" s="9"/>
      <c r="H451" s="9"/>
      <c r="I451" s="9" t="s">
        <v>10610</v>
      </c>
      <c r="J451" s="9"/>
      <c r="K451" s="9" t="s">
        <v>10611</v>
      </c>
      <c r="L451" s="9"/>
      <c r="M451" s="9" t="str">
        <f>HYPERLINK("https://ceds.ed.gov/cedselementdetails.aspx?termid=14824")</f>
        <v>https://ceds.ed.gov/cedselementdetails.aspx?termid=14824</v>
      </c>
      <c r="N451" s="9" t="str">
        <f>HYPERLINK("https://ceds.ed.gov/elementComment.aspx?elementName=Building Full Service Kitchen Type &amp;elementID=14824", "Click here to submit comment")</f>
        <v>Click here to submit comment</v>
      </c>
    </row>
    <row r="452" spans="1:14" ht="165" x14ac:dyDescent="0.25">
      <c r="A452" s="9" t="s">
        <v>10612</v>
      </c>
      <c r="B452" s="9" t="s">
        <v>8226</v>
      </c>
      <c r="C452" s="10" t="s">
        <v>11808</v>
      </c>
      <c r="D452" s="9" t="s">
        <v>10539</v>
      </c>
      <c r="E452" s="9" t="s">
        <v>1457</v>
      </c>
      <c r="F452" s="9"/>
      <c r="G452" s="9"/>
      <c r="H452" s="9"/>
      <c r="I452" s="9" t="s">
        <v>10613</v>
      </c>
      <c r="J452" s="9"/>
      <c r="K452" s="9" t="s">
        <v>10614</v>
      </c>
      <c r="L452" s="9"/>
      <c r="M452" s="9" t="str">
        <f>HYPERLINK("https://ceds.ed.gov/cedselementdetails.aspx?termid=14780")</f>
        <v>https://ceds.ed.gov/cedselementdetails.aspx?termid=14780</v>
      </c>
      <c r="N452" s="9" t="str">
        <f>HYPERLINK("https://ceds.ed.gov/elementComment.aspx?elementName=Building Heating Generation System Type &amp;elementID=14780", "Click here to submit comment")</f>
        <v>Click here to submit comment</v>
      </c>
    </row>
    <row r="453" spans="1:14" ht="195" x14ac:dyDescent="0.25">
      <c r="A453" s="9" t="s">
        <v>10615</v>
      </c>
      <c r="B453" s="9" t="s">
        <v>8227</v>
      </c>
      <c r="C453" s="10" t="s">
        <v>11809</v>
      </c>
      <c r="D453" s="9" t="s">
        <v>10528</v>
      </c>
      <c r="E453" s="9" t="s">
        <v>1457</v>
      </c>
      <c r="F453" s="9"/>
      <c r="G453" s="9"/>
      <c r="H453" s="9"/>
      <c r="I453" s="9" t="s">
        <v>10616</v>
      </c>
      <c r="J453" s="9"/>
      <c r="K453" s="9" t="s">
        <v>10617</v>
      </c>
      <c r="L453" s="9"/>
      <c r="M453" s="9" t="str">
        <f>HYPERLINK("https://ceds.ed.gov/cedselementdetails.aspx?termid=14753")</f>
        <v>https://ceds.ed.gov/cedselementdetails.aspx?termid=14753</v>
      </c>
      <c r="N453" s="9" t="str">
        <f>HYPERLINK("https://ceds.ed.gov/elementComment.aspx?elementName=Building Historic Status &amp;elementID=14753", "Click here to submit comment")</f>
        <v>Click here to submit comment</v>
      </c>
    </row>
    <row r="454" spans="1:14" ht="60" x14ac:dyDescent="0.25">
      <c r="A454" s="9" t="s">
        <v>12222</v>
      </c>
      <c r="B454" s="9" t="s">
        <v>8241</v>
      </c>
      <c r="C454" s="9" t="s">
        <v>12</v>
      </c>
      <c r="D454" s="9" t="s">
        <v>10522</v>
      </c>
      <c r="E454" s="9" t="s">
        <v>1457</v>
      </c>
      <c r="F454" s="9" t="s">
        <v>589</v>
      </c>
      <c r="G454" s="9"/>
      <c r="H454" s="9"/>
      <c r="I454" s="9" t="s">
        <v>10618</v>
      </c>
      <c r="J454" s="9"/>
      <c r="K454" s="9" t="s">
        <v>12174</v>
      </c>
      <c r="L454" s="9"/>
      <c r="M454" s="9" t="str">
        <f>HYPERLINK("https://ceds.ed.gov/cedselementdetails.aspx?termid=14837")</f>
        <v>https://ceds.ed.gov/cedselementdetails.aspx?termid=14837</v>
      </c>
      <c r="N454" s="9" t="str">
        <f>HYPERLINK("https://ceds.ed.gov/elementComment.aspx?elementName=Building Hours of Public Use Per Week &amp;elementID=14837", "Click here to submit comment")</f>
        <v>Click here to submit comment</v>
      </c>
    </row>
    <row r="455" spans="1:14" ht="150" x14ac:dyDescent="0.25">
      <c r="A455" s="9" t="s">
        <v>10619</v>
      </c>
      <c r="B455" s="9" t="s">
        <v>8246</v>
      </c>
      <c r="C455" s="10" t="s">
        <v>11810</v>
      </c>
      <c r="D455" s="9" t="s">
        <v>10539</v>
      </c>
      <c r="E455" s="9" t="s">
        <v>1457</v>
      </c>
      <c r="F455" s="9"/>
      <c r="G455" s="9"/>
      <c r="H455" s="9"/>
      <c r="I455" s="9" t="s">
        <v>10620</v>
      </c>
      <c r="J455" s="9"/>
      <c r="K455" s="9" t="s">
        <v>10621</v>
      </c>
      <c r="L455" s="9"/>
      <c r="M455" s="9" t="str">
        <f>HYPERLINK("https://ceds.ed.gov/cedselementdetails.aspx?termid=14781")</f>
        <v>https://ceds.ed.gov/cedselementdetails.aspx?termid=14781</v>
      </c>
      <c r="N455" s="9" t="str">
        <f>HYPERLINK("https://ceds.ed.gov/elementComment.aspx?elementName=Building HVAC System Type &amp;elementID=14781", "Click here to submit comment")</f>
        <v>Click here to submit comment</v>
      </c>
    </row>
    <row r="456" spans="1:14" ht="240" x14ac:dyDescent="0.25">
      <c r="A456" s="9" t="s">
        <v>12175</v>
      </c>
      <c r="B456" s="9" t="s">
        <v>8287</v>
      </c>
      <c r="C456" s="10" t="s">
        <v>11811</v>
      </c>
      <c r="D456" s="9" t="s">
        <v>10535</v>
      </c>
      <c r="E456" s="9" t="s">
        <v>1457</v>
      </c>
      <c r="F456" s="9"/>
      <c r="G456" s="9"/>
      <c r="H456" s="9"/>
      <c r="I456" s="9" t="s">
        <v>10622</v>
      </c>
      <c r="J456" s="9"/>
      <c r="K456" s="9" t="s">
        <v>12176</v>
      </c>
      <c r="L456" s="9"/>
      <c r="M456" s="9" t="str">
        <f>HYPERLINK("https://ceds.ed.gov/cedselementdetails.aspx?termid=14803")</f>
        <v>https://ceds.ed.gov/cedselementdetails.aspx?termid=14803</v>
      </c>
      <c r="N456" s="9" t="str">
        <f>HYPERLINK("https://ceds.ed.gov/elementComment.aspx?elementName=Building Indoor Athletic or Physical Education Space Type &amp;elementID=14803", "Click here to submit comment")</f>
        <v>Click here to submit comment</v>
      </c>
    </row>
    <row r="457" spans="1:14" ht="75" x14ac:dyDescent="0.25">
      <c r="A457" s="9" t="s">
        <v>10623</v>
      </c>
      <c r="B457" s="9" t="s">
        <v>8310</v>
      </c>
      <c r="C457" s="9" t="s">
        <v>12</v>
      </c>
      <c r="D457" s="9" t="s">
        <v>10539</v>
      </c>
      <c r="E457" s="9" t="s">
        <v>1457</v>
      </c>
      <c r="F457" s="9" t="s">
        <v>22</v>
      </c>
      <c r="G457" s="9"/>
      <c r="H457" s="9"/>
      <c r="I457" s="9" t="s">
        <v>10624</v>
      </c>
      <c r="J457" s="9"/>
      <c r="K457" s="9" t="s">
        <v>10625</v>
      </c>
      <c r="L457" s="9"/>
      <c r="M457" s="9" t="str">
        <f>HYPERLINK("https://ceds.ed.gov/cedselementdetails.aspx?termid=14782")</f>
        <v>https://ceds.ed.gov/cedselementdetails.aspx?termid=14782</v>
      </c>
      <c r="N457" s="9" t="str">
        <f>HYPERLINK("https://ceds.ed.gov/elementComment.aspx?elementName=Building Institutional Equipment Description &amp;elementID=14782", "Click here to submit comment")</f>
        <v>Click here to submit comment</v>
      </c>
    </row>
    <row r="458" spans="1:14" ht="45" x14ac:dyDescent="0.25">
      <c r="A458" s="9" t="s">
        <v>10626</v>
      </c>
      <c r="B458" s="9" t="s">
        <v>8313</v>
      </c>
      <c r="C458" s="10" t="s">
        <v>11812</v>
      </c>
      <c r="D458" s="9" t="s">
        <v>10522</v>
      </c>
      <c r="E458" s="9" t="s">
        <v>1457</v>
      </c>
      <c r="F458" s="9"/>
      <c r="G458" s="9"/>
      <c r="H458" s="9"/>
      <c r="I458" s="9" t="s">
        <v>10627</v>
      </c>
      <c r="J458" s="9"/>
      <c r="K458" s="9" t="s">
        <v>10628</v>
      </c>
      <c r="L458" s="9"/>
      <c r="M458" s="9" t="str">
        <f>HYPERLINK("https://ceds.ed.gov/cedselementdetails.aspx?termid=14832")</f>
        <v>https://ceds.ed.gov/cedselementdetails.aspx?termid=14832</v>
      </c>
      <c r="N458" s="9" t="str">
        <f>HYPERLINK("https://ceds.ed.gov/elementComment.aspx?elementName=Building Instructional Space Factor Type &amp;elementID=14832", "Click here to submit comment")</f>
        <v>Click here to submit comment</v>
      </c>
    </row>
    <row r="459" spans="1:14" ht="15" customHeight="1" x14ac:dyDescent="0.25">
      <c r="A459" s="9" t="s">
        <v>10629</v>
      </c>
      <c r="B459" s="9" t="s">
        <v>8362</v>
      </c>
      <c r="C459" s="10" t="s">
        <v>11813</v>
      </c>
      <c r="D459" s="9" t="s">
        <v>10522</v>
      </c>
      <c r="E459" s="9" t="s">
        <v>1457</v>
      </c>
      <c r="F459" s="9"/>
      <c r="G459" s="9"/>
      <c r="H459" s="9"/>
      <c r="I459" s="9" t="s">
        <v>10630</v>
      </c>
      <c r="J459" s="9"/>
      <c r="K459" s="9" t="s">
        <v>10631</v>
      </c>
      <c r="L459" s="9"/>
      <c r="M459" s="9" t="str">
        <f>HYPERLINK("https://ceds.ed.gov/cedselementdetails.aspx?termid=14833")</f>
        <v>https://ceds.ed.gov/cedselementdetails.aspx?termid=14833</v>
      </c>
      <c r="N459" s="9" t="str">
        <f>HYPERLINK("https://ceds.ed.gov/elementComment.aspx?elementName=Building Joint Use Rationale Type &amp;elementID=14833", "Click here to submit comment")</f>
        <v>Click here to submit comment</v>
      </c>
    </row>
    <row r="460" spans="1:14" ht="15" customHeight="1" x14ac:dyDescent="0.25">
      <c r="A460" s="9" t="s">
        <v>10632</v>
      </c>
      <c r="B460" s="9" t="s">
        <v>8363</v>
      </c>
      <c r="C460" s="10" t="s">
        <v>11814</v>
      </c>
      <c r="D460" s="9" t="s">
        <v>10522</v>
      </c>
      <c r="E460" s="9" t="s">
        <v>1457</v>
      </c>
      <c r="F460" s="9"/>
      <c r="G460" s="9"/>
      <c r="H460" s="9"/>
      <c r="I460" s="9" t="s">
        <v>10633</v>
      </c>
      <c r="J460" s="9"/>
      <c r="K460" s="9" t="s">
        <v>10634</v>
      </c>
      <c r="L460" s="9"/>
      <c r="M460" s="9" t="str">
        <f>HYPERLINK("https://ceds.ed.gov/cedselementdetails.aspx?termid=14834")</f>
        <v>https://ceds.ed.gov/cedselementdetails.aspx?termid=14834</v>
      </c>
      <c r="N460" s="9" t="str">
        <f>HYPERLINK("https://ceds.ed.gov/elementComment.aspx?elementName=Building Joint Use Scheduling Type &amp;elementID=14834", "Click here to submit comment")</f>
        <v>Click here to submit comment</v>
      </c>
    </row>
    <row r="461" spans="1:14" ht="15" customHeight="1" x14ac:dyDescent="0.25">
      <c r="A461" s="9" t="s">
        <v>10635</v>
      </c>
      <c r="B461" s="9" t="s">
        <v>8364</v>
      </c>
      <c r="C461" s="10" t="s">
        <v>11815</v>
      </c>
      <c r="D461" s="9" t="s">
        <v>10522</v>
      </c>
      <c r="E461" s="9" t="s">
        <v>1457</v>
      </c>
      <c r="F461" s="9"/>
      <c r="G461" s="9"/>
      <c r="H461" s="9"/>
      <c r="I461" s="9" t="s">
        <v>10636</v>
      </c>
      <c r="J461" s="9"/>
      <c r="K461" s="9" t="s">
        <v>10637</v>
      </c>
      <c r="L461" s="9"/>
      <c r="M461" s="9" t="str">
        <f>HYPERLINK("https://ceds.ed.gov/cedselementdetails.aspx?termid=14835")</f>
        <v>https://ceds.ed.gov/cedselementdetails.aspx?termid=14835</v>
      </c>
      <c r="N461" s="9" t="str">
        <f>HYPERLINK("https://ceds.ed.gov/elementComment.aspx?elementName=Building Joint User Type &amp;elementID=14835", "Click here to submit comment")</f>
        <v>Click here to submit comment</v>
      </c>
    </row>
    <row r="462" spans="1:14" ht="135" x14ac:dyDescent="0.25">
      <c r="A462" s="9" t="s">
        <v>12177</v>
      </c>
      <c r="B462" s="9" t="s">
        <v>8433</v>
      </c>
      <c r="C462" s="10" t="s">
        <v>11816</v>
      </c>
      <c r="D462" s="9" t="s">
        <v>10535</v>
      </c>
      <c r="E462" s="9" t="s">
        <v>1457</v>
      </c>
      <c r="F462" s="9"/>
      <c r="G462" s="9"/>
      <c r="H462" s="9"/>
      <c r="I462" s="9" t="s">
        <v>10638</v>
      </c>
      <c r="J462" s="9"/>
      <c r="K462" s="9" t="s">
        <v>12178</v>
      </c>
      <c r="L462" s="9"/>
      <c r="M462" s="9" t="str">
        <f>HYPERLINK("https://ceds.ed.gov/cedselementdetails.aspx?termid=14804")</f>
        <v>https://ceds.ed.gov/cedselementdetails.aspx?termid=14804</v>
      </c>
      <c r="N462" s="9" t="str">
        <f>HYPERLINK("https://ceds.ed.gov/elementComment.aspx?elementName=Building Library or Media Center Specialty Space Type &amp;elementID=14804", "Click here to submit comment")</f>
        <v>Click here to submit comment</v>
      </c>
    </row>
    <row r="463" spans="1:14" ht="90" x14ac:dyDescent="0.25">
      <c r="A463" s="9" t="s">
        <v>10639</v>
      </c>
      <c r="B463" s="9" t="s">
        <v>8511</v>
      </c>
      <c r="C463" s="10" t="s">
        <v>11817</v>
      </c>
      <c r="D463" s="9" t="s">
        <v>10539</v>
      </c>
      <c r="E463" s="9" t="s">
        <v>1457</v>
      </c>
      <c r="F463" s="9"/>
      <c r="G463" s="9"/>
      <c r="H463" s="9"/>
      <c r="I463" s="9" t="s">
        <v>10640</v>
      </c>
      <c r="J463" s="9"/>
      <c r="K463" s="9" t="s">
        <v>10641</v>
      </c>
      <c r="L463" s="9"/>
      <c r="M463" s="9" t="str">
        <f>HYPERLINK("https://ceds.ed.gov/cedselementdetails.aspx?termid=14783")</f>
        <v>https://ceds.ed.gov/cedselementdetails.aspx?termid=14783</v>
      </c>
      <c r="N463" s="9" t="str">
        <f>HYPERLINK("https://ceds.ed.gov/elementComment.aspx?elementName=Building Mechanical Conveying System Type &amp;elementID=14783", "Click here to submit comment")</f>
        <v>Click here to submit comment</v>
      </c>
    </row>
    <row r="464" spans="1:14" ht="75" x14ac:dyDescent="0.25">
      <c r="A464" s="9" t="s">
        <v>10642</v>
      </c>
      <c r="B464" s="9" t="s">
        <v>8512</v>
      </c>
      <c r="C464" s="10" t="s">
        <v>11818</v>
      </c>
      <c r="D464" s="9" t="s">
        <v>10539</v>
      </c>
      <c r="E464" s="9" t="s">
        <v>1457</v>
      </c>
      <c r="F464" s="9"/>
      <c r="G464" s="9"/>
      <c r="H464" s="9"/>
      <c r="I464" s="9" t="s">
        <v>10643</v>
      </c>
      <c r="J464" s="9"/>
      <c r="K464" s="9" t="s">
        <v>10644</v>
      </c>
      <c r="L464" s="9"/>
      <c r="M464" s="9" t="str">
        <f>HYPERLINK("https://ceds.ed.gov/cedselementdetails.aspx?termid=14790")</f>
        <v>https://ceds.ed.gov/cedselementdetails.aspx?termid=14790</v>
      </c>
      <c r="N464" s="9" t="str">
        <f>HYPERLINK("https://ceds.ed.gov/elementComment.aspx?elementName=Building Mechanical System Type &amp;elementID=14790", "Click here to submit comment")</f>
        <v>Click here to submit comment</v>
      </c>
    </row>
    <row r="465" spans="1:14" ht="60" x14ac:dyDescent="0.25">
      <c r="A465" s="9" t="s">
        <v>10645</v>
      </c>
      <c r="B465" s="9" t="s">
        <v>8617</v>
      </c>
      <c r="C465" s="9" t="s">
        <v>12</v>
      </c>
      <c r="D465" s="9" t="s">
        <v>10522</v>
      </c>
      <c r="E465" s="9" t="s">
        <v>1457</v>
      </c>
      <c r="F465" s="9" t="s">
        <v>1513</v>
      </c>
      <c r="G465" s="9"/>
      <c r="H465" s="9"/>
      <c r="I465" s="9" t="s">
        <v>10646</v>
      </c>
      <c r="J465" s="9"/>
      <c r="K465" s="9" t="s">
        <v>12179</v>
      </c>
      <c r="L465" s="9"/>
      <c r="M465" s="9" t="str">
        <f>HYPERLINK("https://ceds.ed.gov/cedselementdetails.aspx?termid=14838")</f>
        <v>https://ceds.ed.gov/cedselementdetails.aspx?termid=14838</v>
      </c>
      <c r="N465" s="9" t="str">
        <f>HYPERLINK("https://ceds.ed.gov/elementComment.aspx?elementName=Building Net Area of Instructional Space &amp;elementID=14838", "Click here to submit comment")</f>
        <v>Click here to submit comment</v>
      </c>
    </row>
    <row r="466" spans="1:14" ht="60" x14ac:dyDescent="0.25">
      <c r="A466" s="9" t="s">
        <v>10647</v>
      </c>
      <c r="B466" s="9" t="s">
        <v>8678</v>
      </c>
      <c r="C466" s="9" t="s">
        <v>12</v>
      </c>
      <c r="D466" s="9" t="s">
        <v>10528</v>
      </c>
      <c r="E466" s="9" t="s">
        <v>1457</v>
      </c>
      <c r="F466" s="9" t="s">
        <v>589</v>
      </c>
      <c r="G466" s="9"/>
      <c r="H466" s="9"/>
      <c r="I466" s="9" t="s">
        <v>10648</v>
      </c>
      <c r="J466" s="9"/>
      <c r="K466" s="9" t="s">
        <v>12180</v>
      </c>
      <c r="L466" s="9"/>
      <c r="M466" s="9" t="str">
        <f>HYPERLINK("https://ceds.ed.gov/cedselementdetails.aspx?termid=14766")</f>
        <v>https://ceds.ed.gov/cedselementdetails.aspx?termid=14766</v>
      </c>
      <c r="N466" s="9" t="str">
        <f>HYPERLINK("https://ceds.ed.gov/elementComment.aspx?elementName=Building Number of Stories &amp;elementID=14766", "Click here to submit comment")</f>
        <v>Click here to submit comment</v>
      </c>
    </row>
    <row r="467" spans="1:14" ht="60" x14ac:dyDescent="0.25">
      <c r="A467" s="9" t="s">
        <v>10649</v>
      </c>
      <c r="B467" s="9" t="s">
        <v>8683</v>
      </c>
      <c r="C467" s="9" t="s">
        <v>12</v>
      </c>
      <c r="D467" s="9" t="s">
        <v>10522</v>
      </c>
      <c r="E467" s="9" t="s">
        <v>1457</v>
      </c>
      <c r="F467" s="9" t="s">
        <v>589</v>
      </c>
      <c r="G467" s="9"/>
      <c r="H467" s="9"/>
      <c r="I467" s="9" t="s">
        <v>10650</v>
      </c>
      <c r="J467" s="9"/>
      <c r="K467" s="9" t="s">
        <v>12181</v>
      </c>
      <c r="L467" s="9"/>
      <c r="M467" s="9" t="str">
        <f>HYPERLINK("https://ceds.ed.gov/cedselementdetails.aspx?termid=14839")</f>
        <v>https://ceds.ed.gov/cedselementdetails.aspx?termid=14839</v>
      </c>
      <c r="N467" s="9" t="str">
        <f>HYPERLINK("https://ceds.ed.gov/elementComment.aspx?elementName=Building Number of Teaching Stations &amp;elementID=14839", "Click here to submit comment")</f>
        <v>Click here to submit comment</v>
      </c>
    </row>
    <row r="468" spans="1:14" ht="270" x14ac:dyDescent="0.25">
      <c r="A468" s="9" t="s">
        <v>12182</v>
      </c>
      <c r="B468" s="9" t="s">
        <v>8704</v>
      </c>
      <c r="C468" s="10" t="s">
        <v>11819</v>
      </c>
      <c r="D468" s="9" t="s">
        <v>10535</v>
      </c>
      <c r="E468" s="9" t="s">
        <v>1457</v>
      </c>
      <c r="F468" s="9"/>
      <c r="G468" s="9"/>
      <c r="H468" s="9"/>
      <c r="I468" s="9" t="s">
        <v>10651</v>
      </c>
      <c r="J468" s="9"/>
      <c r="K468" s="9" t="s">
        <v>12183</v>
      </c>
      <c r="L468" s="9"/>
      <c r="M468" s="9" t="str">
        <f>HYPERLINK("https://ceds.ed.gov/cedselementdetails.aspx?termid=14805")</f>
        <v>https://ceds.ed.gov/cedselementdetails.aspx?termid=14805</v>
      </c>
      <c r="N468" s="9" t="str">
        <f>HYPERLINK("https://ceds.ed.gov/elementComment.aspx?elementName=Building Operations or Maintenance Space Type &amp;elementID=14805", "Click here to submit comment")</f>
        <v>Click here to submit comment</v>
      </c>
    </row>
    <row r="469" spans="1:14" ht="240" x14ac:dyDescent="0.25">
      <c r="A469" s="9" t="s">
        <v>12184</v>
      </c>
      <c r="B469" s="9" t="s">
        <v>8721</v>
      </c>
      <c r="C469" s="10" t="s">
        <v>11820</v>
      </c>
      <c r="D469" s="9" t="s">
        <v>10535</v>
      </c>
      <c r="E469" s="9" t="s">
        <v>1457</v>
      </c>
      <c r="F469" s="9"/>
      <c r="G469" s="9"/>
      <c r="H469" s="9"/>
      <c r="I469" s="9" t="s">
        <v>10652</v>
      </c>
      <c r="J469" s="9"/>
      <c r="K469" s="9" t="s">
        <v>12185</v>
      </c>
      <c r="L469" s="9"/>
      <c r="M469" s="9" t="str">
        <f>HYPERLINK("https://ceds.ed.gov/cedselementdetails.aspx?termid=14806")</f>
        <v>https://ceds.ed.gov/cedselementdetails.aspx?termid=14806</v>
      </c>
      <c r="N469" s="9" t="str">
        <f>HYPERLINK("https://ceds.ed.gov/elementComment.aspx?elementName=Building Outdoor Athletic or Physical Education Space Type &amp;elementID=14806", "Click here to submit comment")</f>
        <v>Click here to submit comment</v>
      </c>
    </row>
    <row r="470" spans="1:14" ht="135" x14ac:dyDescent="0.25">
      <c r="A470" s="9" t="s">
        <v>12186</v>
      </c>
      <c r="B470" s="9" t="s">
        <v>10653</v>
      </c>
      <c r="C470" s="10" t="s">
        <v>11821</v>
      </c>
      <c r="D470" s="9" t="s">
        <v>10535</v>
      </c>
      <c r="E470" s="9" t="s">
        <v>1457</v>
      </c>
      <c r="F470" s="9"/>
      <c r="G470" s="9"/>
      <c r="H470" s="9"/>
      <c r="I470" s="9" t="s">
        <v>10654</v>
      </c>
      <c r="J470" s="9"/>
      <c r="K470" s="9" t="s">
        <v>12187</v>
      </c>
      <c r="L470" s="9"/>
      <c r="M470" s="9" t="str">
        <f>HYPERLINK("https://ceds.ed.gov/cedselementdetails.aspx?termid=14807")</f>
        <v>https://ceds.ed.gov/cedselementdetails.aspx?termid=14807</v>
      </c>
      <c r="N470" s="9" t="str">
        <f>HYPERLINK("https://ceds.ed.gov/elementComment.aspx?elementName=Building Outdoor or Non-athletic Space Type &amp;elementID=14807", "Click here to submit comment")</f>
        <v>Click here to submit comment</v>
      </c>
    </row>
    <row r="471" spans="1:14" ht="300" x14ac:dyDescent="0.25">
      <c r="A471" s="9" t="s">
        <v>10655</v>
      </c>
      <c r="B471" s="9" t="s">
        <v>8783</v>
      </c>
      <c r="C471" s="10" t="s">
        <v>11822</v>
      </c>
      <c r="D471" s="9" t="s">
        <v>10535</v>
      </c>
      <c r="E471" s="9" t="s">
        <v>1457</v>
      </c>
      <c r="F471" s="9"/>
      <c r="G471" s="9"/>
      <c r="H471" s="9"/>
      <c r="I471" s="9" t="s">
        <v>10656</v>
      </c>
      <c r="J471" s="9"/>
      <c r="K471" s="9" t="s">
        <v>10657</v>
      </c>
      <c r="L471" s="9"/>
      <c r="M471" s="9" t="str">
        <f>HYPERLINK("https://ceds.ed.gov/cedselementdetails.aspx?termid=14808")</f>
        <v>https://ceds.ed.gov/cedselementdetails.aspx?termid=14808</v>
      </c>
      <c r="N471" s="9" t="str">
        <f>HYPERLINK("https://ceds.ed.gov/elementComment.aspx?elementName=Building Performing Arts Specialty Space Type &amp;elementID=14808", "Click here to submit comment")</f>
        <v>Click here to submit comment</v>
      </c>
    </row>
    <row r="472" spans="1:14" ht="240" x14ac:dyDescent="0.25">
      <c r="A472" s="9" t="s">
        <v>10658</v>
      </c>
      <c r="B472" s="9" t="s">
        <v>8802</v>
      </c>
      <c r="C472" s="10" t="s">
        <v>11823</v>
      </c>
      <c r="D472" s="9" t="s">
        <v>10539</v>
      </c>
      <c r="E472" s="9" t="s">
        <v>1457</v>
      </c>
      <c r="F472" s="9"/>
      <c r="G472" s="9"/>
      <c r="H472" s="9"/>
      <c r="I472" s="9" t="s">
        <v>10659</v>
      </c>
      <c r="J472" s="9"/>
      <c r="K472" s="9" t="s">
        <v>10660</v>
      </c>
      <c r="L472" s="9"/>
      <c r="M472" s="9" t="str">
        <f>HYPERLINK("https://ceds.ed.gov/cedselementdetails.aspx?termid=14784")</f>
        <v>https://ceds.ed.gov/cedselementdetails.aspx?termid=14784</v>
      </c>
      <c r="N472" s="9" t="str">
        <f>HYPERLINK("https://ceds.ed.gov/elementComment.aspx?elementName=Building Plumbing System Type &amp;elementID=14784", "Click here to submit comment")</f>
        <v>Click here to submit comment</v>
      </c>
    </row>
    <row r="473" spans="1:14" ht="90" x14ac:dyDescent="0.25">
      <c r="A473" s="9" t="s">
        <v>10661</v>
      </c>
      <c r="B473" s="9" t="s">
        <v>10662</v>
      </c>
      <c r="C473" s="10" t="s">
        <v>11824</v>
      </c>
      <c r="D473" s="9" t="s">
        <v>10528</v>
      </c>
      <c r="E473" s="9" t="s">
        <v>1457</v>
      </c>
      <c r="F473" s="9"/>
      <c r="G473" s="9"/>
      <c r="H473" s="9"/>
      <c r="I473" s="9" t="s">
        <v>10663</v>
      </c>
      <c r="J473" s="9"/>
      <c r="K473" s="9" t="s">
        <v>10664</v>
      </c>
      <c r="L473" s="9"/>
      <c r="M473" s="9" t="str">
        <f>HYPERLINK("https://ceds.ed.gov/cedselementdetails.aspx?termid=14758")</f>
        <v>https://ceds.ed.gov/cedselementdetails.aspx?termid=14758</v>
      </c>
      <c r="N473" s="9" t="str">
        <f>HYPERLINK("https://ceds.ed.gov/elementComment.aspx?elementName=Building Primary Use Type &amp;elementID=14758", "Click here to submit comment")</f>
        <v>Click here to submit comment</v>
      </c>
    </row>
    <row r="474" spans="1:14" ht="75" x14ac:dyDescent="0.25">
      <c r="A474" s="9" t="s">
        <v>10665</v>
      </c>
      <c r="B474" s="9" t="s">
        <v>8936</v>
      </c>
      <c r="C474" s="9" t="s">
        <v>12</v>
      </c>
      <c r="D474" s="9" t="s">
        <v>10522</v>
      </c>
      <c r="E474" s="9" t="s">
        <v>1457</v>
      </c>
      <c r="F474" s="9" t="s">
        <v>22</v>
      </c>
      <c r="G474" s="9"/>
      <c r="H474" s="9"/>
      <c r="I474" s="9" t="s">
        <v>10666</v>
      </c>
      <c r="J474" s="9"/>
      <c r="K474" s="9" t="s">
        <v>10667</v>
      </c>
      <c r="L474" s="9"/>
      <c r="M474" s="9" t="str">
        <f>HYPERLINK("https://ceds.ed.gov/cedselementdetails.aspx?termid=14840")</f>
        <v>https://ceds.ed.gov/cedselementdetails.aspx?termid=14840</v>
      </c>
      <c r="N474" s="9" t="str">
        <f>HYPERLINK("https://ceds.ed.gov/elementComment.aspx?elementName=Building Public Use Policy Description &amp;elementID=14840", "Click here to submit comment")</f>
        <v>Click here to submit comment</v>
      </c>
    </row>
    <row r="475" spans="1:14" ht="255" x14ac:dyDescent="0.25">
      <c r="A475" s="9" t="s">
        <v>10668</v>
      </c>
      <c r="B475" s="9" t="s">
        <v>9126</v>
      </c>
      <c r="C475" s="10" t="s">
        <v>11825</v>
      </c>
      <c r="D475" s="9" t="s">
        <v>10535</v>
      </c>
      <c r="E475" s="9" t="s">
        <v>1457</v>
      </c>
      <c r="F475" s="9"/>
      <c r="G475" s="9"/>
      <c r="H475" s="9"/>
      <c r="I475" s="9" t="s">
        <v>10669</v>
      </c>
      <c r="J475" s="9"/>
      <c r="K475" s="9" t="s">
        <v>10670</v>
      </c>
      <c r="L475" s="9"/>
      <c r="M475" s="9" t="str">
        <f>HYPERLINK("https://ceds.ed.gov/cedselementdetails.aspx?termid=14809")</f>
        <v>https://ceds.ed.gov/cedselementdetails.aspx?termid=14809</v>
      </c>
      <c r="N475" s="9" t="str">
        <f>HYPERLINK("https://ceds.ed.gov/elementComment.aspx?elementName=Building School Design Type &amp;elementID=14809", "Click here to submit comment")</f>
        <v>Click here to submit comment</v>
      </c>
    </row>
    <row r="476" spans="1:14" ht="210" x14ac:dyDescent="0.25">
      <c r="A476" s="9" t="s">
        <v>10671</v>
      </c>
      <c r="B476" s="9" t="s">
        <v>9158</v>
      </c>
      <c r="C476" s="10" t="s">
        <v>11826</v>
      </c>
      <c r="D476" s="9" t="s">
        <v>10535</v>
      </c>
      <c r="E476" s="9" t="s">
        <v>1457</v>
      </c>
      <c r="F476" s="9"/>
      <c r="G476" s="9"/>
      <c r="H476" s="9"/>
      <c r="I476" s="9" t="s">
        <v>10672</v>
      </c>
      <c r="J476" s="9"/>
      <c r="K476" s="9" t="s">
        <v>10673</v>
      </c>
      <c r="L476" s="9"/>
      <c r="M476" s="9" t="str">
        <f>HYPERLINK("https://ceds.ed.gov/cedselementdetails.aspx?termid=14810")</f>
        <v>https://ceds.ed.gov/cedselementdetails.aspx?termid=14810</v>
      </c>
      <c r="N476" s="9" t="str">
        <f>HYPERLINK("https://ceds.ed.gov/elementComment.aspx?elementName=Building Science Specialty Space Type &amp;elementID=14810", "Click here to submit comment")</f>
        <v>Click here to submit comment</v>
      </c>
    </row>
    <row r="477" spans="1:14" ht="15" customHeight="1" x14ac:dyDescent="0.25">
      <c r="A477" s="9" t="s">
        <v>10674</v>
      </c>
      <c r="B477" s="9" t="s">
        <v>9180</v>
      </c>
      <c r="C477" s="10" t="s">
        <v>11827</v>
      </c>
      <c r="D477" s="9" t="s">
        <v>10539</v>
      </c>
      <c r="E477" s="9" t="s">
        <v>1457</v>
      </c>
      <c r="F477" s="9"/>
      <c r="G477" s="9"/>
      <c r="H477" s="9"/>
      <c r="I477" s="9" t="s">
        <v>10675</v>
      </c>
      <c r="J477" s="9"/>
      <c r="K477" s="9" t="s">
        <v>10676</v>
      </c>
      <c r="L477" s="9"/>
      <c r="M477" s="9" t="str">
        <f>HYPERLINK("https://ceds.ed.gov/cedselementdetails.aspx?termid=14785")</f>
        <v>https://ceds.ed.gov/cedselementdetails.aspx?termid=14785</v>
      </c>
      <c r="N477" s="9" t="str">
        <f>HYPERLINK("https://ceds.ed.gov/elementComment.aspx?elementName=Building Security System Type &amp;elementID=14785", "Click here to submit comment")</f>
        <v>Click here to submit comment</v>
      </c>
    </row>
    <row r="478" spans="1:14" ht="15" customHeight="1" x14ac:dyDescent="0.25">
      <c r="A478" s="9" t="s">
        <v>10677</v>
      </c>
      <c r="B478" s="9" t="s">
        <v>9227</v>
      </c>
      <c r="C478" s="9" t="s">
        <v>12</v>
      </c>
      <c r="D478" s="9" t="s">
        <v>10535</v>
      </c>
      <c r="E478" s="9" t="s">
        <v>1457</v>
      </c>
      <c r="F478" s="9" t="s">
        <v>22</v>
      </c>
      <c r="G478" s="9"/>
      <c r="H478" s="9"/>
      <c r="I478" s="9" t="s">
        <v>10678</v>
      </c>
      <c r="J478" s="9"/>
      <c r="K478" s="9" t="s">
        <v>10679</v>
      </c>
      <c r="L478" s="9"/>
      <c r="M478" s="9" t="str">
        <f>HYPERLINK("https://ceds.ed.gov/cedselementdetails.aspx?termid=14831")</f>
        <v>https://ceds.ed.gov/cedselementdetails.aspx?termid=14831</v>
      </c>
      <c r="N478" s="9" t="str">
        <f>HYPERLINK("https://ceds.ed.gov/elementComment.aspx?elementName=Building Site Improvement Description &amp;elementID=14831", "Click here to submit comment")</f>
        <v>Click here to submit comment</v>
      </c>
    </row>
    <row r="479" spans="1:14" ht="15" customHeight="1" x14ac:dyDescent="0.25">
      <c r="A479" s="9" t="s">
        <v>1557</v>
      </c>
      <c r="B479" s="9" t="s">
        <v>1558</v>
      </c>
      <c r="C479" s="9" t="s">
        <v>12</v>
      </c>
      <c r="D479" s="9" t="s">
        <v>10680</v>
      </c>
      <c r="E479" s="9"/>
      <c r="F479" s="9" t="s">
        <v>87</v>
      </c>
      <c r="G479" s="9"/>
      <c r="H479" s="9"/>
      <c r="I479" s="9" t="s">
        <v>1559</v>
      </c>
      <c r="J479" s="9"/>
      <c r="K479" s="9" t="s">
        <v>1560</v>
      </c>
      <c r="L479" s="9"/>
      <c r="M479" s="9" t="str">
        <f>HYPERLINK("https://ceds.ed.gov/cedselementdetails.aspx?termid=13595")</f>
        <v>https://ceds.ed.gov/cedselementdetails.aspx?termid=13595</v>
      </c>
      <c r="N479" s="9" t="str">
        <f>HYPERLINK("https://ceds.ed.gov/elementComment.aspx?elementName=Building Site Number &amp;elementID=13595", "Click here to submit comment")</f>
        <v>Click here to submit comment</v>
      </c>
    </row>
    <row r="480" spans="1:14" ht="120" x14ac:dyDescent="0.25">
      <c r="A480" s="9" t="s">
        <v>10681</v>
      </c>
      <c r="B480" s="9" t="s">
        <v>9234</v>
      </c>
      <c r="C480" s="10" t="s">
        <v>11828</v>
      </c>
      <c r="D480" s="9" t="s">
        <v>10522</v>
      </c>
      <c r="E480" s="9" t="s">
        <v>1457</v>
      </c>
      <c r="F480" s="9"/>
      <c r="G480" s="9"/>
      <c r="H480" s="9"/>
      <c r="I480" s="9" t="s">
        <v>10682</v>
      </c>
      <c r="J480" s="9"/>
      <c r="K480" s="9" t="s">
        <v>10683</v>
      </c>
      <c r="L480" s="9"/>
      <c r="M480" s="9" t="str">
        <f>HYPERLINK("https://ceds.ed.gov/cedselementdetails.aspx?termid=14841")</f>
        <v>https://ceds.ed.gov/cedselementdetails.aspx?termid=14841</v>
      </c>
      <c r="N480" s="9" t="str">
        <f>HYPERLINK("https://ceds.ed.gov/elementComment.aspx?elementName=Building Site Use Restrictions Type &amp;elementID=14841", "Click here to submit comment")</f>
        <v>Click here to submit comment</v>
      </c>
    </row>
    <row r="481" spans="1:14" ht="255" x14ac:dyDescent="0.25">
      <c r="A481" s="9" t="s">
        <v>10684</v>
      </c>
      <c r="B481" s="9" t="s">
        <v>9244</v>
      </c>
      <c r="C481" s="10" t="s">
        <v>11829</v>
      </c>
      <c r="D481" s="9" t="s">
        <v>10535</v>
      </c>
      <c r="E481" s="9" t="s">
        <v>1457</v>
      </c>
      <c r="F481" s="9"/>
      <c r="G481" s="9"/>
      <c r="H481" s="9"/>
      <c r="I481" s="9" t="s">
        <v>10685</v>
      </c>
      <c r="J481" s="9"/>
      <c r="K481" s="9" t="s">
        <v>10686</v>
      </c>
      <c r="L481" s="9"/>
      <c r="M481" s="9" t="str">
        <f>HYPERLINK("https://ceds.ed.gov/cedselementdetails.aspx?termid=14812")</f>
        <v>https://ceds.ed.gov/cedselementdetails.aspx?termid=14812</v>
      </c>
      <c r="N481" s="9" t="str">
        <f>HYPERLINK("https://ceds.ed.gov/elementComment.aspx?elementName=Building Space Design Type &amp;elementID=14812", "Click here to submit comment")</f>
        <v>Click here to submit comment</v>
      </c>
    </row>
    <row r="482" spans="1:14" ht="90" x14ac:dyDescent="0.25">
      <c r="A482" s="9" t="s">
        <v>10687</v>
      </c>
      <c r="B482" s="9" t="s">
        <v>9245</v>
      </c>
      <c r="C482" s="9" t="s">
        <v>12</v>
      </c>
      <c r="D482" s="9" t="s">
        <v>10522</v>
      </c>
      <c r="E482" s="9" t="s">
        <v>1457</v>
      </c>
      <c r="F482" s="9" t="s">
        <v>1513</v>
      </c>
      <c r="G482" s="9"/>
      <c r="H482" s="9"/>
      <c r="I482" s="9" t="s">
        <v>10688</v>
      </c>
      <c r="J482" s="9"/>
      <c r="K482" s="9" t="s">
        <v>10689</v>
      </c>
      <c r="L482" s="9"/>
      <c r="M482" s="9" t="str">
        <f>HYPERLINK("https://ceds.ed.gov/cedselementdetails.aspx?termid=14842")</f>
        <v>https://ceds.ed.gov/cedselementdetails.aspx?termid=14842</v>
      </c>
      <c r="N482" s="9" t="str">
        <f>HYPERLINK("https://ceds.ed.gov/elementComment.aspx?elementName=Building Space Utilization Area &amp;elementID=14842", "Click here to submit comment")</f>
        <v>Click here to submit comment</v>
      </c>
    </row>
    <row r="483" spans="1:14" ht="135" x14ac:dyDescent="0.25">
      <c r="A483" s="9" t="s">
        <v>10690</v>
      </c>
      <c r="B483" s="9" t="s">
        <v>9265</v>
      </c>
      <c r="C483" s="10" t="s">
        <v>11830</v>
      </c>
      <c r="D483" s="9" t="s">
        <v>10535</v>
      </c>
      <c r="E483" s="9" t="s">
        <v>1457</v>
      </c>
      <c r="F483" s="9"/>
      <c r="G483" s="9"/>
      <c r="H483" s="9"/>
      <c r="I483" s="9" t="s">
        <v>10691</v>
      </c>
      <c r="J483" s="9"/>
      <c r="K483" s="9" t="s">
        <v>10692</v>
      </c>
      <c r="L483" s="9"/>
      <c r="M483" s="9" t="str">
        <f>HYPERLINK("https://ceds.ed.gov/cedselementdetails.aspx?termid=14813")</f>
        <v>https://ceds.ed.gov/cedselementdetails.aspx?termid=14813</v>
      </c>
      <c r="N483" s="9" t="str">
        <f>HYPERLINK("https://ceds.ed.gov/elementComment.aspx?elementName=Building Special Education Specialty Space Type &amp;elementID=14813", "Click here to submit comment")</f>
        <v>Click here to submit comment</v>
      </c>
    </row>
    <row r="484" spans="1:14" ht="165" x14ac:dyDescent="0.25">
      <c r="A484" s="9" t="s">
        <v>10693</v>
      </c>
      <c r="B484" s="9" t="s">
        <v>9322</v>
      </c>
      <c r="C484" s="10" t="s">
        <v>11831</v>
      </c>
      <c r="D484" s="9" t="s">
        <v>10535</v>
      </c>
      <c r="E484" s="9" t="s">
        <v>1457</v>
      </c>
      <c r="F484" s="9"/>
      <c r="G484" s="9"/>
      <c r="H484" s="9"/>
      <c r="I484" s="9" t="s">
        <v>10694</v>
      </c>
      <c r="J484" s="9"/>
      <c r="K484" s="9" t="s">
        <v>10695</v>
      </c>
      <c r="L484" s="9"/>
      <c r="M484" s="9" t="str">
        <f>HYPERLINK("https://ceds.ed.gov/cedselementdetails.aspx?termid=14814")</f>
        <v>https://ceds.ed.gov/cedselementdetails.aspx?termid=14814</v>
      </c>
      <c r="N484" s="9" t="str">
        <f>HYPERLINK("https://ceds.ed.gov/elementComment.aspx?elementName=Building Student Support Space Type &amp;elementID=14814", "Click here to submit comment")</f>
        <v>Click here to submit comment</v>
      </c>
    </row>
    <row r="485" spans="1:14" ht="180" x14ac:dyDescent="0.25">
      <c r="A485" s="9" t="s">
        <v>10696</v>
      </c>
      <c r="B485" s="9" t="s">
        <v>9339</v>
      </c>
      <c r="C485" s="10" t="s">
        <v>11832</v>
      </c>
      <c r="D485" s="9" t="s">
        <v>10539</v>
      </c>
      <c r="E485" s="9" t="s">
        <v>1457</v>
      </c>
      <c r="F485" s="9"/>
      <c r="G485" s="9"/>
      <c r="H485" s="9"/>
      <c r="I485" s="9" t="s">
        <v>10697</v>
      </c>
      <c r="J485" s="9"/>
      <c r="K485" s="9" t="s">
        <v>10698</v>
      </c>
      <c r="L485" s="9"/>
      <c r="M485" s="9" t="str">
        <f>HYPERLINK("https://ceds.ed.gov/cedselementdetails.aspx?termid=14792")</f>
        <v>https://ceds.ed.gov/cedselementdetails.aspx?termid=14792</v>
      </c>
      <c r="N485" s="9" t="str">
        <f>HYPERLINK("https://ceds.ed.gov/elementComment.aspx?elementName=Building System Type &amp;elementID=14792", "Click here to submit comment")</f>
        <v>Click here to submit comment</v>
      </c>
    </row>
    <row r="486" spans="1:14" ht="105" x14ac:dyDescent="0.25">
      <c r="A486" s="9" t="s">
        <v>10699</v>
      </c>
      <c r="B486" s="9" t="s">
        <v>9364</v>
      </c>
      <c r="C486" s="10" t="s">
        <v>11833</v>
      </c>
      <c r="D486" s="9" t="s">
        <v>10539</v>
      </c>
      <c r="E486" s="9" t="s">
        <v>1457</v>
      </c>
      <c r="F486" s="9"/>
      <c r="G486" s="9"/>
      <c r="H486" s="9"/>
      <c r="I486" s="9" t="s">
        <v>10700</v>
      </c>
      <c r="J486" s="9"/>
      <c r="K486" s="9" t="s">
        <v>10701</v>
      </c>
      <c r="L486" s="9"/>
      <c r="M486" s="9" t="str">
        <f>HYPERLINK("https://ceds.ed.gov/cedselementdetails.aspx?termid=14788")</f>
        <v>https://ceds.ed.gov/cedselementdetails.aspx?termid=14788</v>
      </c>
      <c r="N486" s="9" t="str">
        <f>HYPERLINK("https://ceds.ed.gov/elementComment.aspx?elementName=Building Technology Wiring System Type &amp;elementID=14788", "Click here to submit comment")</f>
        <v>Click here to submit comment</v>
      </c>
    </row>
    <row r="487" spans="1:14" ht="75" x14ac:dyDescent="0.25">
      <c r="A487" s="9" t="s">
        <v>10702</v>
      </c>
      <c r="B487" s="9" t="s">
        <v>9463</v>
      </c>
      <c r="C487" s="9" t="s">
        <v>6106</v>
      </c>
      <c r="D487" s="9" t="s">
        <v>10522</v>
      </c>
      <c r="E487" s="9" t="s">
        <v>1457</v>
      </c>
      <c r="F487" s="9"/>
      <c r="G487" s="9"/>
      <c r="H487" s="9"/>
      <c r="I487" s="9" t="s">
        <v>10703</v>
      </c>
      <c r="J487" s="9"/>
      <c r="K487" s="9" t="s">
        <v>10704</v>
      </c>
      <c r="L487" s="9"/>
      <c r="M487" s="9" t="str">
        <f>HYPERLINK("https://ceds.ed.gov/cedselementdetails.aspx?termid=14844")</f>
        <v>https://ceds.ed.gov/cedselementdetails.aspx?termid=14844</v>
      </c>
      <c r="N487" s="9" t="str">
        <f>HYPERLINK("https://ceds.ed.gov/elementComment.aspx?elementName=Building Unassigned Space Indicator &amp;elementID=14844", "Click here to submit comment")</f>
        <v>Click here to submit comment</v>
      </c>
    </row>
    <row r="488" spans="1:14" ht="360" x14ac:dyDescent="0.25">
      <c r="A488" s="9" t="s">
        <v>1561</v>
      </c>
      <c r="B488" s="9" t="s">
        <v>1562</v>
      </c>
      <c r="C488" s="10" t="s">
        <v>11834</v>
      </c>
      <c r="D488" s="9" t="s">
        <v>10522</v>
      </c>
      <c r="E488" s="9" t="s">
        <v>91</v>
      </c>
      <c r="F488" s="9"/>
      <c r="G488" s="9"/>
      <c r="H488" s="9"/>
      <c r="I488" s="9" t="s">
        <v>1563</v>
      </c>
      <c r="J488" s="9"/>
      <c r="K488" s="9" t="s">
        <v>1564</v>
      </c>
      <c r="L488" s="9"/>
      <c r="M488" s="9" t="str">
        <f>HYPERLINK("https://ceds.ed.gov/cedselementdetails.aspx?termid=14173")</f>
        <v>https://ceds.ed.gov/cedselementdetails.aspx?termid=14173</v>
      </c>
      <c r="N488" s="9" t="str">
        <f>HYPERLINK("https://ceds.ed.gov/elementComment.aspx?elementName=Building Use Type &amp;elementID=14173", "Click here to submit comment")</f>
        <v>Click here to submit comment</v>
      </c>
    </row>
    <row r="489" spans="1:14" ht="75" x14ac:dyDescent="0.25">
      <c r="A489" s="9" t="s">
        <v>10705</v>
      </c>
      <c r="B489" s="9" t="s">
        <v>9516</v>
      </c>
      <c r="C489" s="10" t="s">
        <v>11835</v>
      </c>
      <c r="D489" s="9" t="s">
        <v>10539</v>
      </c>
      <c r="E489" s="9" t="s">
        <v>1457</v>
      </c>
      <c r="F489" s="9"/>
      <c r="G489" s="9"/>
      <c r="H489" s="9"/>
      <c r="I489" s="9" t="s">
        <v>10706</v>
      </c>
      <c r="J489" s="9"/>
      <c r="K489" s="9" t="s">
        <v>10707</v>
      </c>
      <c r="L489" s="9"/>
      <c r="M489" s="9" t="str">
        <f>HYPERLINK("https://ceds.ed.gov/cedselementdetails.aspx?termid=14793")</f>
        <v>https://ceds.ed.gov/cedselementdetails.aspx?termid=14793</v>
      </c>
      <c r="N489" s="9" t="str">
        <f>HYPERLINK("https://ceds.ed.gov/elementComment.aspx?elementName=Building Vertical Transportation System Type &amp;elementID=14793", "Click here to submit comment")</f>
        <v>Click here to submit comment</v>
      </c>
    </row>
    <row r="490" spans="1:14" ht="45" x14ac:dyDescent="0.25">
      <c r="A490" s="9" t="s">
        <v>10708</v>
      </c>
      <c r="B490" s="9" t="s">
        <v>9577</v>
      </c>
      <c r="C490" s="9" t="s">
        <v>12</v>
      </c>
      <c r="D490" s="9" t="s">
        <v>10528</v>
      </c>
      <c r="E490" s="9" t="s">
        <v>1457</v>
      </c>
      <c r="F490" s="9" t="s">
        <v>1813</v>
      </c>
      <c r="G490" s="9"/>
      <c r="H490" s="9"/>
      <c r="I490" s="9" t="s">
        <v>10709</v>
      </c>
      <c r="J490" s="9"/>
      <c r="K490" s="9" t="s">
        <v>10710</v>
      </c>
      <c r="L490" s="9"/>
      <c r="M490" s="9" t="str">
        <f>HYPERLINK("https://ceds.ed.gov/cedselementdetails.aspx?termid=14769")</f>
        <v>https://ceds.ed.gov/cedselementdetails.aspx?termid=14769</v>
      </c>
      <c r="N490" s="9" t="str">
        <f>HYPERLINK("https://ceds.ed.gov/elementComment.aspx?elementName=Building Year Built &amp;elementID=14769", "Click here to submit comment")</f>
        <v>Click here to submit comment</v>
      </c>
    </row>
    <row r="491" spans="1:14" ht="105" x14ac:dyDescent="0.25">
      <c r="A491" s="9" t="s">
        <v>10711</v>
      </c>
      <c r="B491" s="9" t="s">
        <v>10712</v>
      </c>
      <c r="C491" s="9" t="s">
        <v>12</v>
      </c>
      <c r="D491" s="9" t="s">
        <v>10528</v>
      </c>
      <c r="E491" s="9" t="s">
        <v>1457</v>
      </c>
      <c r="F491" s="9" t="s">
        <v>1813</v>
      </c>
      <c r="G491" s="9"/>
      <c r="H491" s="9"/>
      <c r="I491" s="9" t="s">
        <v>10713</v>
      </c>
      <c r="J491" s="9"/>
      <c r="K491" s="9" t="s">
        <v>12188</v>
      </c>
      <c r="L491" s="9"/>
      <c r="M491" s="9" t="str">
        <f>HYPERLINK("https://ceds.ed.gov/cedselementdetails.aspx?termid=14770")</f>
        <v>https://ceds.ed.gov/cedselementdetails.aspx?termid=14770</v>
      </c>
      <c r="N491" s="9" t="str">
        <f>HYPERLINK("https://ceds.ed.gov/elementComment.aspx?elementName=Building Year of Last Modernization &amp;elementID=14770", "Click here to submit comment")</f>
        <v>Click here to submit comment</v>
      </c>
    </row>
    <row r="492" spans="1:14" ht="45" x14ac:dyDescent="0.25">
      <c r="A492" s="9" t="s">
        <v>1565</v>
      </c>
      <c r="B492" s="9" t="s">
        <v>1566</v>
      </c>
      <c r="C492" s="9" t="s">
        <v>12</v>
      </c>
      <c r="D492" s="9" t="s">
        <v>321</v>
      </c>
      <c r="E492" s="9"/>
      <c r="F492" s="9" t="s">
        <v>87</v>
      </c>
      <c r="G492" s="9"/>
      <c r="H492" s="9"/>
      <c r="I492" s="9" t="s">
        <v>1567</v>
      </c>
      <c r="J492" s="9"/>
      <c r="K492" s="9" t="s">
        <v>1568</v>
      </c>
      <c r="L492" s="9"/>
      <c r="M492" s="9" t="str">
        <f>HYPERLINK("https://ceds.ed.gov/cedselementdetails.aspx?termid=13485")</f>
        <v>https://ceds.ed.gov/cedselementdetails.aspx?termid=13485</v>
      </c>
      <c r="N492" s="9" t="str">
        <f>HYPERLINK("https://ceds.ed.gov/elementComment.aspx?elementName=Calendar Code &amp;elementID=13485", "Click here to submit comment")</f>
        <v>Click here to submit comment</v>
      </c>
    </row>
    <row r="493" spans="1:14" ht="45" x14ac:dyDescent="0.25">
      <c r="A493" s="9" t="s">
        <v>1569</v>
      </c>
      <c r="B493" s="9" t="s">
        <v>1570</v>
      </c>
      <c r="C493" s="9" t="s">
        <v>12</v>
      </c>
      <c r="D493" s="9" t="s">
        <v>321</v>
      </c>
      <c r="E493" s="9"/>
      <c r="F493" s="9" t="s">
        <v>92</v>
      </c>
      <c r="G493" s="9"/>
      <c r="H493" s="9"/>
      <c r="I493" s="9" t="s">
        <v>1571</v>
      </c>
      <c r="J493" s="9"/>
      <c r="K493" s="9" t="s">
        <v>1572</v>
      </c>
      <c r="L493" s="9"/>
      <c r="M493" s="9" t="str">
        <f>HYPERLINK("https://ceds.ed.gov/cedselementdetails.aspx?termid=13486")</f>
        <v>https://ceds.ed.gov/cedselementdetails.aspx?termid=13486</v>
      </c>
      <c r="N493" s="9" t="str">
        <f>HYPERLINK("https://ceds.ed.gov/elementComment.aspx?elementName=Calendar Description &amp;elementID=13486", "Click here to submit comment")</f>
        <v>Click here to submit comment</v>
      </c>
    </row>
    <row r="494" spans="1:14" ht="45" x14ac:dyDescent="0.25">
      <c r="A494" s="9" t="s">
        <v>1573</v>
      </c>
      <c r="B494" s="9" t="s">
        <v>1574</v>
      </c>
      <c r="C494" s="9" t="s">
        <v>12</v>
      </c>
      <c r="D494" s="9" t="s">
        <v>1575</v>
      </c>
      <c r="E494" s="9"/>
      <c r="F494" s="9" t="s">
        <v>73</v>
      </c>
      <c r="G494" s="9"/>
      <c r="H494" s="9"/>
      <c r="I494" s="9" t="s">
        <v>1576</v>
      </c>
      <c r="J494" s="9"/>
      <c r="K494" s="9" t="s">
        <v>1577</v>
      </c>
      <c r="L494" s="9"/>
      <c r="M494" s="9" t="str">
        <f>HYPERLINK("https://ceds.ed.gov/cedselementdetails.aspx?termid=14241")</f>
        <v>https://ceds.ed.gov/cedselementdetails.aspx?termid=14241</v>
      </c>
      <c r="N494" s="9" t="str">
        <f>HYPERLINK("https://ceds.ed.gov/elementComment.aspx?elementName=Calendar Event Date &amp;elementID=14241", "Click here to submit comment")</f>
        <v>Click here to submit comment</v>
      </c>
    </row>
    <row r="495" spans="1:14" ht="15" customHeight="1" x14ac:dyDescent="0.25">
      <c r="A495" s="9" t="s">
        <v>1578</v>
      </c>
      <c r="B495" s="9" t="s">
        <v>1579</v>
      </c>
      <c r="C495" s="9" t="s">
        <v>12</v>
      </c>
      <c r="D495" s="9" t="s">
        <v>1575</v>
      </c>
      <c r="E495" s="9"/>
      <c r="F495" s="9" t="s">
        <v>87</v>
      </c>
      <c r="G495" s="9"/>
      <c r="H495" s="9"/>
      <c r="I495" s="9" t="s">
        <v>1580</v>
      </c>
      <c r="J495" s="9"/>
      <c r="K495" s="9" t="s">
        <v>1581</v>
      </c>
      <c r="L495" s="9"/>
      <c r="M495" s="9" t="str">
        <f>HYPERLINK("https://ceds.ed.gov/cedselementdetails.aspx?termid=14242")</f>
        <v>https://ceds.ed.gov/cedselementdetails.aspx?termid=14242</v>
      </c>
      <c r="N495" s="9" t="str">
        <f>HYPERLINK("https://ceds.ed.gov/elementComment.aspx?elementName=Calendar Event Day Name &amp;elementID=14242", "Click here to submit comment")</f>
        <v>Click here to submit comment</v>
      </c>
    </row>
    <row r="496" spans="1:14" ht="15" customHeight="1" x14ac:dyDescent="0.25">
      <c r="A496" s="9" t="s">
        <v>1582</v>
      </c>
      <c r="B496" s="9" t="s">
        <v>10714</v>
      </c>
      <c r="C496" s="10" t="s">
        <v>11836</v>
      </c>
      <c r="D496" s="9" t="s">
        <v>1575</v>
      </c>
      <c r="E496" s="9"/>
      <c r="F496" s="9"/>
      <c r="G496" s="9"/>
      <c r="H496" s="9"/>
      <c r="I496" s="9" t="s">
        <v>1583</v>
      </c>
      <c r="J496" s="9"/>
      <c r="K496" s="9" t="s">
        <v>1584</v>
      </c>
      <c r="L496" s="9"/>
      <c r="M496" s="9" t="str">
        <f>HYPERLINK("https://ceds.ed.gov/cedselementdetails.aspx?termid=13596")</f>
        <v>https://ceds.ed.gov/cedselementdetails.aspx?termid=13596</v>
      </c>
      <c r="N496" s="9" t="str">
        <f>HYPERLINK("https://ceds.ed.gov/elementComment.aspx?elementName=Calendar Event Type &amp;elementID=13596", "Click here to submit comment")</f>
        <v>Click here to submit comment</v>
      </c>
    </row>
    <row r="497" spans="1:14" ht="15" customHeight="1" x14ac:dyDescent="0.25">
      <c r="A497" s="9" t="s">
        <v>1585</v>
      </c>
      <c r="B497" s="9" t="s">
        <v>1586</v>
      </c>
      <c r="C497" s="10" t="s">
        <v>6394</v>
      </c>
      <c r="D497" s="9" t="s">
        <v>1587</v>
      </c>
      <c r="E497" s="9"/>
      <c r="F497" s="9"/>
      <c r="G497" s="9"/>
      <c r="H497" s="9"/>
      <c r="I497" s="9" t="s">
        <v>1588</v>
      </c>
      <c r="J497" s="9"/>
      <c r="K497" s="9" t="s">
        <v>1589</v>
      </c>
      <c r="L497" s="9" t="s">
        <v>216</v>
      </c>
      <c r="M497" s="9" t="str">
        <f>HYPERLINK("https://ceds.ed.gov/cedselementdetails.aspx?termid=13035")</f>
        <v>https://ceds.ed.gov/cedselementdetails.aspx?termid=13035</v>
      </c>
      <c r="N497" s="9" t="str">
        <f>HYPERLINK("https://ceds.ed.gov/elementComment.aspx?elementName=Campus Residency Type &amp;elementID=13035", "Click here to submit comment")</f>
        <v>Click here to submit comment</v>
      </c>
    </row>
    <row r="498" spans="1:14" ht="15" customHeight="1" x14ac:dyDescent="0.25">
      <c r="A498" s="9" t="s">
        <v>10715</v>
      </c>
      <c r="B498" s="9" t="s">
        <v>10716</v>
      </c>
      <c r="C498" s="10" t="s">
        <v>11837</v>
      </c>
      <c r="D498" s="9" t="s">
        <v>10528</v>
      </c>
      <c r="E498" s="9" t="s">
        <v>1457</v>
      </c>
      <c r="F498" s="9"/>
      <c r="G498" s="9"/>
      <c r="H498" s="9"/>
      <c r="I498" s="9" t="s">
        <v>10717</v>
      </c>
      <c r="J498" s="9"/>
      <c r="K498" s="9" t="s">
        <v>10718</v>
      </c>
      <c r="L498" s="9"/>
      <c r="M498" s="9" t="str">
        <f>HYPERLINK("https://ceds.ed.gov/cedselementdetails.aspx?termid=14759")</f>
        <v>https://ceds.ed.gov/cedselementdetails.aspx?termid=14759</v>
      </c>
      <c r="N498" s="9" t="str">
        <f>HYPERLINK("https://ceds.ed.gov/elementComment.aspx?elementName=Campus Status &amp;elementID=14759", "Click here to submit comment")</f>
        <v>Click here to submit comment</v>
      </c>
    </row>
    <row r="499" spans="1:14" ht="90" x14ac:dyDescent="0.25">
      <c r="A499" s="9" t="s">
        <v>10719</v>
      </c>
      <c r="B499" s="9" t="s">
        <v>10720</v>
      </c>
      <c r="C499" s="10" t="s">
        <v>11838</v>
      </c>
      <c r="D499" s="9" t="s">
        <v>10528</v>
      </c>
      <c r="E499" s="9" t="s">
        <v>1457</v>
      </c>
      <c r="F499" s="9"/>
      <c r="G499" s="9"/>
      <c r="H499" s="9"/>
      <c r="I499" s="9" t="s">
        <v>10721</v>
      </c>
      <c r="J499" s="9"/>
      <c r="K499" s="9" t="s">
        <v>10722</v>
      </c>
      <c r="L499" s="9"/>
      <c r="M499" s="9" t="str">
        <f>HYPERLINK("https://ceds.ed.gov/cedselementdetails.aspx?termid=14878")</f>
        <v>https://ceds.ed.gov/cedselementdetails.aspx?termid=14878</v>
      </c>
      <c r="N499" s="9" t="str">
        <f>HYPERLINK("https://ceds.ed.gov/elementComment.aspx?elementName=Campus Type &amp;elementID=14878", "Click here to submit comment")</f>
        <v>Click here to submit comment</v>
      </c>
    </row>
    <row r="500" spans="1:14" ht="45" x14ac:dyDescent="0.25">
      <c r="A500" s="9" t="s">
        <v>1590</v>
      </c>
      <c r="B500" s="9" t="s">
        <v>1591</v>
      </c>
      <c r="C500" s="9" t="s">
        <v>12</v>
      </c>
      <c r="D500" s="9" t="s">
        <v>1592</v>
      </c>
      <c r="E500" s="9"/>
      <c r="F500" s="9" t="s">
        <v>73</v>
      </c>
      <c r="G500" s="9"/>
      <c r="H500" s="9"/>
      <c r="I500" s="9" t="s">
        <v>1593</v>
      </c>
      <c r="J500" s="9" t="s">
        <v>1594</v>
      </c>
      <c r="K500" s="9" t="s">
        <v>1595</v>
      </c>
      <c r="L500" s="9" t="s">
        <v>182</v>
      </c>
      <c r="M500" s="9" t="str">
        <f>HYPERLINK("https://ceds.ed.gov/cedselementdetails.aspx?termid=14065")</f>
        <v>https://ceds.ed.gov/cedselementdetails.aspx?termid=14065</v>
      </c>
      <c r="N500" s="9" t="str">
        <f>HYPERLINK("https://ceds.ed.gov/elementComment.aspx?elementName=Cardiopulmonary Resuscitation Certification Expiration Date &amp;elementID=14065", "Click here to submit comment")</f>
        <v>Click here to submit comment</v>
      </c>
    </row>
    <row r="501" spans="1:14" ht="90" x14ac:dyDescent="0.25">
      <c r="A501" s="9" t="s">
        <v>1596</v>
      </c>
      <c r="B501" s="9" t="s">
        <v>1597</v>
      </c>
      <c r="C501" s="9" t="s">
        <v>6106</v>
      </c>
      <c r="D501" s="9" t="s">
        <v>6153</v>
      </c>
      <c r="E501" s="9"/>
      <c r="F501" s="9"/>
      <c r="G501" s="9"/>
      <c r="H501" s="9"/>
      <c r="I501" s="9" t="s">
        <v>1598</v>
      </c>
      <c r="J501" s="9" t="s">
        <v>1599</v>
      </c>
      <c r="K501" s="9" t="s">
        <v>1600</v>
      </c>
      <c r="L501" s="9" t="s">
        <v>6109</v>
      </c>
      <c r="M501" s="9" t="str">
        <f>HYPERLINK("https://ceds.ed.gov/cedselementdetails.aspx?termid=13036")</f>
        <v>https://ceds.ed.gov/cedselementdetails.aspx?termid=13036</v>
      </c>
      <c r="N501" s="9" t="str">
        <f>HYPERLINK("https://ceds.ed.gov/elementComment.aspx?elementName=Career and Technical Education Completer &amp;elementID=13036", "Click here to submit comment")</f>
        <v>Click here to submit comment</v>
      </c>
    </row>
    <row r="502" spans="1:14" ht="105" x14ac:dyDescent="0.25">
      <c r="A502" s="9" t="s">
        <v>1601</v>
      </c>
      <c r="B502" s="9" t="s">
        <v>1602</v>
      </c>
      <c r="C502" s="9" t="s">
        <v>6106</v>
      </c>
      <c r="D502" s="9" t="s">
        <v>6154</v>
      </c>
      <c r="E502" s="9"/>
      <c r="F502" s="9"/>
      <c r="G502" s="9"/>
      <c r="H502" s="9"/>
      <c r="I502" s="9" t="s">
        <v>1603</v>
      </c>
      <c r="J502" s="9" t="s">
        <v>1604</v>
      </c>
      <c r="K502" s="9" t="s">
        <v>1605</v>
      </c>
      <c r="L502" s="9" t="s">
        <v>6155</v>
      </c>
      <c r="M502" s="9" t="str">
        <f>HYPERLINK("https://ceds.ed.gov/cedselementdetails.aspx?termid=13037")</f>
        <v>https://ceds.ed.gov/cedselementdetails.aspx?termid=13037</v>
      </c>
      <c r="N502" s="9" t="str">
        <f>HYPERLINK("https://ceds.ed.gov/elementComment.aspx?elementName=Career and Technical Education Concentrator &amp;elementID=13037", "Click here to submit comment")</f>
        <v>Click here to submit comment</v>
      </c>
    </row>
    <row r="503" spans="1:14" ht="75" x14ac:dyDescent="0.25">
      <c r="A503" s="9" t="s">
        <v>1606</v>
      </c>
      <c r="B503" s="9" t="s">
        <v>1607</v>
      </c>
      <c r="C503" s="10" t="s">
        <v>6395</v>
      </c>
      <c r="D503" s="9" t="s">
        <v>1608</v>
      </c>
      <c r="E503" s="9"/>
      <c r="F503" s="9"/>
      <c r="G503" s="9"/>
      <c r="H503" s="9"/>
      <c r="I503" s="9" t="s">
        <v>1609</v>
      </c>
      <c r="J503" s="9" t="s">
        <v>1610</v>
      </c>
      <c r="K503" s="9" t="s">
        <v>1611</v>
      </c>
      <c r="L503" s="9" t="s">
        <v>199</v>
      </c>
      <c r="M503" s="9" t="str">
        <f>HYPERLINK("https://ceds.ed.gov/cedselementdetails.aspx?termid=13075")</f>
        <v>https://ceds.ed.gov/cedselementdetails.aspx?termid=13075</v>
      </c>
      <c r="N503" s="9" t="str">
        <f>HYPERLINK("https://ceds.ed.gov/elementComment.aspx?elementName=Career and Technical Education Graduation Rate Inclusion &amp;elementID=13075", "Click here to submit comment")</f>
        <v>Click here to submit comment</v>
      </c>
    </row>
    <row r="504" spans="1:14" ht="105" x14ac:dyDescent="0.25">
      <c r="A504" s="9" t="s">
        <v>1612</v>
      </c>
      <c r="B504" s="9" t="s">
        <v>1613</v>
      </c>
      <c r="C504" s="9" t="s">
        <v>6106</v>
      </c>
      <c r="D504" s="9" t="s">
        <v>6156</v>
      </c>
      <c r="E504" s="9"/>
      <c r="F504" s="9"/>
      <c r="G504" s="9"/>
      <c r="H504" s="9"/>
      <c r="I504" s="9" t="s">
        <v>1614</v>
      </c>
      <c r="J504" s="9" t="s">
        <v>1615</v>
      </c>
      <c r="K504" s="9" t="s">
        <v>1616</v>
      </c>
      <c r="L504" s="9"/>
      <c r="M504" s="9" t="str">
        <f>HYPERLINK("https://ceds.ed.gov/cedselementdetails.aspx?termid=14284")</f>
        <v>https://ceds.ed.gov/cedselementdetails.aspx?termid=14284</v>
      </c>
      <c r="N504" s="9" t="str">
        <f>HYPERLINK("https://ceds.ed.gov/elementComment.aspx?elementName=Career and Technical Education Instructor Industry Certification &amp;elementID=14284", "Click here to submit comment")</f>
        <v>Click here to submit comment</v>
      </c>
    </row>
    <row r="505" spans="1:14" ht="90" x14ac:dyDescent="0.25">
      <c r="A505" s="9" t="s">
        <v>1617</v>
      </c>
      <c r="B505" s="9" t="s">
        <v>1618</v>
      </c>
      <c r="C505" s="9" t="s">
        <v>6106</v>
      </c>
      <c r="D505" s="9" t="s">
        <v>6157</v>
      </c>
      <c r="E505" s="9"/>
      <c r="F505" s="9"/>
      <c r="G505" s="9"/>
      <c r="H505" s="9"/>
      <c r="I505" s="9" t="s">
        <v>1619</v>
      </c>
      <c r="J505" s="9" t="s">
        <v>1620</v>
      </c>
      <c r="K505" s="9" t="s">
        <v>1621</v>
      </c>
      <c r="L505" s="9" t="s">
        <v>199</v>
      </c>
      <c r="M505" s="9" t="str">
        <f>HYPERLINK("https://ceds.ed.gov/cedselementdetails.aspx?termid=13586")</f>
        <v>https://ceds.ed.gov/cedselementdetails.aspx?termid=13586</v>
      </c>
      <c r="N505" s="9" t="str">
        <f>HYPERLINK("https://ceds.ed.gov/elementComment.aspx?elementName=Career and Technical Education Nontraditional Completion &amp;elementID=13586", "Click here to submit comment")</f>
        <v>Click here to submit comment</v>
      </c>
    </row>
    <row r="506" spans="1:14" ht="15" customHeight="1" x14ac:dyDescent="0.25">
      <c r="A506" s="9" t="s">
        <v>1622</v>
      </c>
      <c r="B506" s="9" t="s">
        <v>1623</v>
      </c>
      <c r="C506" s="9" t="s">
        <v>6106</v>
      </c>
      <c r="D506" s="9" t="s">
        <v>6154</v>
      </c>
      <c r="E506" s="9"/>
      <c r="F506" s="9"/>
      <c r="G506" s="9"/>
      <c r="H506" s="9"/>
      <c r="I506" s="9" t="s">
        <v>1624</v>
      </c>
      <c r="J506" s="9" t="s">
        <v>1625</v>
      </c>
      <c r="K506" s="9" t="s">
        <v>1626</v>
      </c>
      <c r="L506" s="9" t="s">
        <v>199</v>
      </c>
      <c r="M506" s="9" t="str">
        <f>HYPERLINK("https://ceds.ed.gov/cedselementdetails.aspx?termid=13585")</f>
        <v>https://ceds.ed.gov/cedselementdetails.aspx?termid=13585</v>
      </c>
      <c r="N506" s="9" t="str">
        <f>HYPERLINK("https://ceds.ed.gov/elementComment.aspx?elementName=Career and Technical Education Participant &amp;elementID=13585", "Click here to submit comment")</f>
        <v>Click here to submit comment</v>
      </c>
    </row>
    <row r="507" spans="1:14" ht="210" customHeight="1" x14ac:dyDescent="0.25">
      <c r="A507" s="9" t="s">
        <v>1627</v>
      </c>
      <c r="B507" s="9" t="s">
        <v>1628</v>
      </c>
      <c r="C507" s="10" t="s">
        <v>6396</v>
      </c>
      <c r="D507" s="9" t="s">
        <v>10723</v>
      </c>
      <c r="E507" s="9"/>
      <c r="F507" s="9"/>
      <c r="G507" s="9"/>
      <c r="H507" s="9" t="s">
        <v>1629</v>
      </c>
      <c r="I507" s="9" t="s">
        <v>1630</v>
      </c>
      <c r="J507" s="9"/>
      <c r="K507" s="9" t="s">
        <v>1631</v>
      </c>
      <c r="L507" s="9"/>
      <c r="M507" s="9" t="str">
        <f>HYPERLINK("https://ceds.ed.gov/cedselementdetails.aspx?termid=14254")</f>
        <v>https://ceds.ed.gov/cedselementdetails.aspx?termid=14254</v>
      </c>
      <c r="N507" s="9" t="str">
        <f>HYPERLINK("https://ceds.ed.gov/elementComment.aspx?elementName=Career Cluster &amp;elementID=14254", "Click here to submit comment")</f>
        <v>Click here to submit comment</v>
      </c>
    </row>
    <row r="508" spans="1:14" ht="15" customHeight="1" x14ac:dyDescent="0.25">
      <c r="A508" s="9" t="s">
        <v>1632</v>
      </c>
      <c r="B508" s="9" t="s">
        <v>1633</v>
      </c>
      <c r="C508" s="9" t="s">
        <v>12</v>
      </c>
      <c r="D508" s="9" t="s">
        <v>6158</v>
      </c>
      <c r="E508" s="9"/>
      <c r="F508" s="9" t="s">
        <v>73</v>
      </c>
      <c r="G508" s="9"/>
      <c r="H508" s="9"/>
      <c r="I508" s="9" t="s">
        <v>1634</v>
      </c>
      <c r="J508" s="9"/>
      <c r="K508" s="9" t="s">
        <v>1635</v>
      </c>
      <c r="L508" s="9"/>
      <c r="M508" s="9" t="str">
        <f>HYPERLINK("https://ceds.ed.gov/cedselementdetails.aspx?termid=14255")</f>
        <v>https://ceds.ed.gov/cedselementdetails.aspx?termid=14255</v>
      </c>
      <c r="N508" s="9" t="str">
        <f>HYPERLINK("https://ceds.ed.gov/elementComment.aspx?elementName=Career Education Plan Date &amp;elementID=14255", "Click here to submit comment")</f>
        <v>Click here to submit comment</v>
      </c>
    </row>
    <row r="509" spans="1:14" ht="270" x14ac:dyDescent="0.25">
      <c r="A509" s="9" t="s">
        <v>1636</v>
      </c>
      <c r="B509" s="9" t="s">
        <v>1637</v>
      </c>
      <c r="C509" s="10" t="s">
        <v>6397</v>
      </c>
      <c r="D509" s="9" t="s">
        <v>6158</v>
      </c>
      <c r="E509" s="9"/>
      <c r="F509" s="9"/>
      <c r="G509" s="9"/>
      <c r="H509" s="9"/>
      <c r="I509" s="9" t="s">
        <v>1638</v>
      </c>
      <c r="J509" s="9"/>
      <c r="K509" s="9" t="s">
        <v>1639</v>
      </c>
      <c r="L509" s="9"/>
      <c r="M509" s="9" t="str">
        <f>HYPERLINK("https://ceds.ed.gov/cedselementdetails.aspx?termid=14256")</f>
        <v>https://ceds.ed.gov/cedselementdetails.aspx?termid=14256</v>
      </c>
      <c r="N509" s="9" t="str">
        <f>HYPERLINK("https://ceds.ed.gov/elementComment.aspx?elementName=Career Education Plan Type &amp;elementID=14256", "Click here to submit comment")</f>
        <v>Click here to submit comment</v>
      </c>
    </row>
    <row r="510" spans="1:14" ht="180" x14ac:dyDescent="0.25">
      <c r="A510" s="9" t="s">
        <v>1640</v>
      </c>
      <c r="B510" s="9" t="s">
        <v>1641</v>
      </c>
      <c r="C510" s="9" t="s">
        <v>12</v>
      </c>
      <c r="D510" s="9" t="s">
        <v>6159</v>
      </c>
      <c r="E510" s="9"/>
      <c r="F510" s="9" t="s">
        <v>73</v>
      </c>
      <c r="G510" s="9"/>
      <c r="H510" s="9"/>
      <c r="I510" s="9" t="s">
        <v>1642</v>
      </c>
      <c r="J510" s="9"/>
      <c r="K510" s="9" t="s">
        <v>1643</v>
      </c>
      <c r="L510" s="9"/>
      <c r="M510" s="9" t="str">
        <f>HYPERLINK("https://ceds.ed.gov/cedselementdetails.aspx?termid=14562")</f>
        <v>https://ceds.ed.gov/cedselementdetails.aspx?termid=14562</v>
      </c>
      <c r="N510" s="9" t="str">
        <f>HYPERLINK("https://ceds.ed.gov/elementComment.aspx?elementName=Career Pathways Program Participation Exit Date &amp;elementID=14562", "Click here to submit comment")</f>
        <v>Click here to submit comment</v>
      </c>
    </row>
    <row r="511" spans="1:14" ht="180" x14ac:dyDescent="0.25">
      <c r="A511" s="9" t="s">
        <v>1644</v>
      </c>
      <c r="B511" s="9" t="s">
        <v>1645</v>
      </c>
      <c r="C511" s="9" t="s">
        <v>6106</v>
      </c>
      <c r="D511" s="9" t="s">
        <v>6159</v>
      </c>
      <c r="E511" s="9"/>
      <c r="F511" s="9"/>
      <c r="G511" s="9"/>
      <c r="H511" s="9"/>
      <c r="I511" s="9" t="s">
        <v>1646</v>
      </c>
      <c r="J511" s="9"/>
      <c r="K511" s="9" t="s">
        <v>1647</v>
      </c>
      <c r="L511" s="9"/>
      <c r="M511" s="9" t="str">
        <f>HYPERLINK("https://ceds.ed.gov/cedselementdetails.aspx?termid=14257")</f>
        <v>https://ceds.ed.gov/cedselementdetails.aspx?termid=14257</v>
      </c>
      <c r="N511" s="9" t="str">
        <f>HYPERLINK("https://ceds.ed.gov/elementComment.aspx?elementName=Career Pathways Program Participation Indicator &amp;elementID=14257", "Click here to submit comment")</f>
        <v>Click here to submit comment</v>
      </c>
    </row>
    <row r="512" spans="1:14" ht="180" x14ac:dyDescent="0.25">
      <c r="A512" s="9" t="s">
        <v>1648</v>
      </c>
      <c r="B512" s="9" t="s">
        <v>1649</v>
      </c>
      <c r="C512" s="9" t="s">
        <v>12</v>
      </c>
      <c r="D512" s="9" t="s">
        <v>6159</v>
      </c>
      <c r="E512" s="9"/>
      <c r="F512" s="9" t="s">
        <v>73</v>
      </c>
      <c r="G512" s="9"/>
      <c r="H512" s="9"/>
      <c r="I512" s="9" t="s">
        <v>1650</v>
      </c>
      <c r="J512" s="9"/>
      <c r="K512" s="9" t="s">
        <v>1651</v>
      </c>
      <c r="L512" s="9"/>
      <c r="M512" s="9" t="str">
        <f>HYPERLINK("https://ceds.ed.gov/cedselementdetails.aspx?termid=14563")</f>
        <v>https://ceds.ed.gov/cedselementdetails.aspx?termid=14563</v>
      </c>
      <c r="N512" s="9" t="str">
        <f>HYPERLINK("https://ceds.ed.gov/elementComment.aspx?elementName=Career Pathways Program Participation Start Date &amp;elementID=14563", "Click here to submit comment")</f>
        <v>Click here to submit comment</v>
      </c>
    </row>
    <row r="513" spans="1:14" ht="90" x14ac:dyDescent="0.25">
      <c r="A513" s="9" t="s">
        <v>1652</v>
      </c>
      <c r="B513" s="9" t="s">
        <v>1653</v>
      </c>
      <c r="C513" s="10" t="s">
        <v>6398</v>
      </c>
      <c r="D513" s="9" t="s">
        <v>10724</v>
      </c>
      <c r="E513" s="9"/>
      <c r="F513" s="9"/>
      <c r="G513" s="9"/>
      <c r="H513" s="9"/>
      <c r="I513" s="9" t="s">
        <v>1654</v>
      </c>
      <c r="J513" s="9" t="s">
        <v>1655</v>
      </c>
      <c r="K513" s="9" t="s">
        <v>1656</v>
      </c>
      <c r="L513" s="9" t="s">
        <v>199</v>
      </c>
      <c r="M513" s="9" t="str">
        <f>HYPERLINK("https://ceds.ed.gov/cedselementdetails.aspx?termid=13581")</f>
        <v>https://ceds.ed.gov/cedselementdetails.aspx?termid=13581</v>
      </c>
      <c r="N513" s="9" t="str">
        <f>HYPERLINK("https://ceds.ed.gov/elementComment.aspx?elementName=Career Technical Education Nontraditional Gender Status &amp;elementID=13581", "Click here to submit comment")</f>
        <v>Click here to submit comment</v>
      </c>
    </row>
    <row r="514" spans="1:14" ht="270" x14ac:dyDescent="0.25">
      <c r="A514" s="9" t="s">
        <v>1657</v>
      </c>
      <c r="B514" s="9" t="s">
        <v>1658</v>
      </c>
      <c r="C514" s="9" t="s">
        <v>6106</v>
      </c>
      <c r="D514" s="9" t="s">
        <v>6160</v>
      </c>
      <c r="E514" s="9"/>
      <c r="F514" s="9"/>
      <c r="G514" s="9"/>
      <c r="H514" s="9"/>
      <c r="I514" s="9" t="s">
        <v>1659</v>
      </c>
      <c r="J514" s="9" t="s">
        <v>1660</v>
      </c>
      <c r="K514" s="9" t="s">
        <v>1661</v>
      </c>
      <c r="L514" s="9" t="s">
        <v>199</v>
      </c>
      <c r="M514" s="9" t="str">
        <f>HYPERLINK("https://ceds.ed.gov/cedselementdetails.aspx?termid=13084")</f>
        <v>https://ceds.ed.gov/cedselementdetails.aspx?termid=13084</v>
      </c>
      <c r="N514" s="9" t="str">
        <f>HYPERLINK("https://ceds.ed.gov/elementComment.aspx?elementName=Career-Technical-Adult Education Displaced Homemaker Indicator &amp;elementID=13084", "Click here to submit comment")</f>
        <v>Click here to submit comment</v>
      </c>
    </row>
    <row r="515" spans="1:14" ht="409.5" x14ac:dyDescent="0.25">
      <c r="A515" s="9" t="s">
        <v>1662</v>
      </c>
      <c r="B515" s="9" t="s">
        <v>1663</v>
      </c>
      <c r="C515" s="10" t="s">
        <v>6399</v>
      </c>
      <c r="D515" s="9" t="s">
        <v>1664</v>
      </c>
      <c r="E515" s="9"/>
      <c r="F515" s="9"/>
      <c r="G515" s="9"/>
      <c r="H515" s="9"/>
      <c r="I515" s="9" t="s">
        <v>1665</v>
      </c>
      <c r="J515" s="9"/>
      <c r="K515" s="9" t="s">
        <v>1666</v>
      </c>
      <c r="L515" s="9" t="s">
        <v>6161</v>
      </c>
      <c r="M515" s="9" t="str">
        <f>HYPERLINK("https://ceds.ed.gov/cedselementdetails.aspx?termid=13038")</f>
        <v>https://ceds.ed.gov/cedselementdetails.aspx?termid=13038</v>
      </c>
      <c r="N515" s="9" t="str">
        <f>HYPERLINK("https://ceds.ed.gov/elementComment.aspx?elementName=Carnegie Basic Classification &amp;elementID=13038", "Click here to submit comment")</f>
        <v>Click here to submit comment</v>
      </c>
    </row>
    <row r="516" spans="1:14" ht="15" customHeight="1" x14ac:dyDescent="0.25">
      <c r="A516" s="9" t="s">
        <v>1667</v>
      </c>
      <c r="B516" s="9" t="s">
        <v>1668</v>
      </c>
      <c r="C516" s="10" t="s">
        <v>6400</v>
      </c>
      <c r="D516" s="9" t="s">
        <v>10725</v>
      </c>
      <c r="E516" s="9"/>
      <c r="F516" s="9"/>
      <c r="G516" s="9"/>
      <c r="H516" s="9"/>
      <c r="I516" s="9" t="s">
        <v>1669</v>
      </c>
      <c r="J516" s="9"/>
      <c r="K516" s="9" t="s">
        <v>1670</v>
      </c>
      <c r="L516" s="9"/>
      <c r="M516" s="9" t="str">
        <f>HYPERLINK("https://ceds.ed.gov/cedselementdetails.aspx?termid=14258")</f>
        <v>https://ceds.ed.gov/cedselementdetails.aspx?termid=14258</v>
      </c>
      <c r="N516" s="9" t="str">
        <f>HYPERLINK("https://ceds.ed.gov/elementComment.aspx?elementName=Charter School Approval Agency Type &amp;elementID=14258", "Click here to submit comment")</f>
        <v>Click here to submit comment</v>
      </c>
    </row>
    <row r="517" spans="1:14" ht="15" customHeight="1" x14ac:dyDescent="0.25">
      <c r="A517" s="9" t="s">
        <v>1671</v>
      </c>
      <c r="B517" s="9" t="s">
        <v>1672</v>
      </c>
      <c r="C517" s="9" t="s">
        <v>12</v>
      </c>
      <c r="D517" s="9" t="s">
        <v>202</v>
      </c>
      <c r="E517" s="9"/>
      <c r="F517" s="9" t="s">
        <v>45</v>
      </c>
      <c r="G517" s="9"/>
      <c r="H517" s="9"/>
      <c r="I517" s="9" t="s">
        <v>1673</v>
      </c>
      <c r="J517" s="9"/>
      <c r="K517" s="9" t="s">
        <v>1674</v>
      </c>
      <c r="L517" s="9"/>
      <c r="M517" s="9" t="str">
        <f>HYPERLINK("https://ceds.ed.gov/cedselementdetails.aspx?termid=14259")</f>
        <v>https://ceds.ed.gov/cedselementdetails.aspx?termid=14259</v>
      </c>
      <c r="N517" s="9" t="str">
        <f>HYPERLINK("https://ceds.ed.gov/elementComment.aspx?elementName=Charter School Approval Year &amp;elementID=14259", "Click here to submit comment")</f>
        <v>Click here to submit comment</v>
      </c>
    </row>
    <row r="518" spans="1:14" ht="15" customHeight="1" x14ac:dyDescent="0.25">
      <c r="A518" s="9" t="s">
        <v>1675</v>
      </c>
      <c r="B518" s="9" t="s">
        <v>1676</v>
      </c>
      <c r="C518" s="9" t="s">
        <v>12</v>
      </c>
      <c r="D518" s="9" t="s">
        <v>202</v>
      </c>
      <c r="E518" s="9"/>
      <c r="F518" s="9" t="s">
        <v>73</v>
      </c>
      <c r="G518" s="9"/>
      <c r="H518" s="9"/>
      <c r="I518" s="9" t="s">
        <v>1677</v>
      </c>
      <c r="J518" s="9"/>
      <c r="K518" s="9" t="s">
        <v>1678</v>
      </c>
      <c r="L518" s="9" t="s">
        <v>199</v>
      </c>
      <c r="M518" s="9" t="str">
        <f>HYPERLINK("https://ceds.ed.gov/cedselementdetails.aspx?termid=14633")</f>
        <v>https://ceds.ed.gov/cedselementdetails.aspx?termid=14633</v>
      </c>
      <c r="N518" s="9" t="str">
        <f>HYPERLINK("https://ceds.ed.gov/elementComment.aspx?elementName=Charter School Contract Approval Date &amp;elementID=14633", "Click here to submit comment")</f>
        <v>Click here to submit comment</v>
      </c>
    </row>
    <row r="519" spans="1:14" ht="75" x14ac:dyDescent="0.25">
      <c r="A519" s="9" t="s">
        <v>1679</v>
      </c>
      <c r="B519" s="9" t="s">
        <v>1680</v>
      </c>
      <c r="C519" s="9" t="s">
        <v>12</v>
      </c>
      <c r="D519" s="9" t="s">
        <v>202</v>
      </c>
      <c r="E519" s="9"/>
      <c r="F519" s="9" t="s">
        <v>87</v>
      </c>
      <c r="G519" s="9"/>
      <c r="H519" s="9"/>
      <c r="I519" s="9" t="s">
        <v>1681</v>
      </c>
      <c r="J519" s="9"/>
      <c r="K519" s="9" t="s">
        <v>1682</v>
      </c>
      <c r="L519" s="9" t="s">
        <v>199</v>
      </c>
      <c r="M519" s="9" t="str">
        <f>HYPERLINK("https://ceds.ed.gov/cedselementdetails.aspx?termid=14632")</f>
        <v>https://ceds.ed.gov/cedselementdetails.aspx?termid=14632</v>
      </c>
      <c r="N519" s="9" t="str">
        <f>HYPERLINK("https://ceds.ed.gov/elementComment.aspx?elementName=Charter School Contract Id Number &amp;elementID=14632", "Click here to submit comment")</f>
        <v>Click here to submit comment</v>
      </c>
    </row>
    <row r="520" spans="1:14" ht="90" x14ac:dyDescent="0.25">
      <c r="A520" s="9" t="s">
        <v>1683</v>
      </c>
      <c r="B520" s="9" t="s">
        <v>1684</v>
      </c>
      <c r="C520" s="9" t="s">
        <v>12</v>
      </c>
      <c r="D520" s="9" t="s">
        <v>202</v>
      </c>
      <c r="E520" s="9"/>
      <c r="F520" s="9" t="s">
        <v>73</v>
      </c>
      <c r="G520" s="9"/>
      <c r="H520" s="9"/>
      <c r="I520" s="9" t="s">
        <v>1685</v>
      </c>
      <c r="J520" s="9"/>
      <c r="K520" s="9" t="s">
        <v>1686</v>
      </c>
      <c r="L520" s="9" t="s">
        <v>199</v>
      </c>
      <c r="M520" s="9" t="str">
        <f>HYPERLINK("https://ceds.ed.gov/cedselementdetails.aspx?termid=14634")</f>
        <v>https://ceds.ed.gov/cedselementdetails.aspx?termid=14634</v>
      </c>
      <c r="N520" s="9" t="str">
        <f>HYPERLINK("https://ceds.ed.gov/elementComment.aspx?elementName=Charter School Contract Renewal Date &amp;elementID=14634", "Click here to submit comment")</f>
        <v>Click here to submit comment</v>
      </c>
    </row>
    <row r="521" spans="1:14" ht="105" customHeight="1" x14ac:dyDescent="0.25">
      <c r="A521" s="9" t="s">
        <v>1687</v>
      </c>
      <c r="B521" s="9" t="s">
        <v>1688</v>
      </c>
      <c r="C521" s="9" t="s">
        <v>6106</v>
      </c>
      <c r="D521" s="9" t="s">
        <v>6162</v>
      </c>
      <c r="E521" s="9"/>
      <c r="F521" s="9"/>
      <c r="G521" s="9" t="s">
        <v>10726</v>
      </c>
      <c r="H521" s="9" t="s">
        <v>10727</v>
      </c>
      <c r="I521" s="9" t="s">
        <v>1689</v>
      </c>
      <c r="J521" s="9"/>
      <c r="K521" s="9" t="s">
        <v>1690</v>
      </c>
      <c r="L521" s="9" t="s">
        <v>6109</v>
      </c>
      <c r="M521" s="9" t="str">
        <f>HYPERLINK("https://ceds.ed.gov/cedselementdetails.aspx?termid=13039")</f>
        <v>https://ceds.ed.gov/cedselementdetails.aspx?termid=13039</v>
      </c>
      <c r="N521" s="9" t="str">
        <f>HYPERLINK("https://ceds.ed.gov/elementComment.aspx?elementName=Charter School Indicator &amp;elementID=13039", "Click here to submit comment")</f>
        <v>Click here to submit comment</v>
      </c>
    </row>
    <row r="522" spans="1:14" ht="15" customHeight="1" x14ac:dyDescent="0.25">
      <c r="A522" s="9" t="s">
        <v>1691</v>
      </c>
      <c r="B522" s="9" t="s">
        <v>1692</v>
      </c>
      <c r="C522" s="10" t="s">
        <v>6401</v>
      </c>
      <c r="D522" s="9" t="s">
        <v>6163</v>
      </c>
      <c r="E522" s="9"/>
      <c r="F522" s="9"/>
      <c r="G522" s="9"/>
      <c r="H522" s="9"/>
      <c r="I522" s="9" t="s">
        <v>1693</v>
      </c>
      <c r="J522" s="9"/>
      <c r="K522" s="9" t="s">
        <v>1694</v>
      </c>
      <c r="L522" s="9" t="s">
        <v>199</v>
      </c>
      <c r="M522" s="9" t="str">
        <f>HYPERLINK("https://ceds.ed.gov/cedselementdetails.aspx?termid=14631")</f>
        <v>https://ceds.ed.gov/cedselementdetails.aspx?termid=14631</v>
      </c>
      <c r="N522" s="9" t="str">
        <f>HYPERLINK("https://ceds.ed.gov/elementComment.aspx?elementName=Charter School Management Organization Type &amp;elementID=14631", "Click here to submit comment")</f>
        <v>Click here to submit comment</v>
      </c>
    </row>
    <row r="523" spans="1:14" ht="15" customHeight="1" x14ac:dyDescent="0.25">
      <c r="A523" s="9" t="s">
        <v>1695</v>
      </c>
      <c r="B523" s="9" t="s">
        <v>1696</v>
      </c>
      <c r="C523" s="9" t="s">
        <v>6106</v>
      </c>
      <c r="D523" s="9" t="s">
        <v>202</v>
      </c>
      <c r="E523" s="9"/>
      <c r="F523" s="9"/>
      <c r="G523" s="9"/>
      <c r="H523" s="9"/>
      <c r="I523" s="9" t="s">
        <v>1697</v>
      </c>
      <c r="J523" s="9"/>
      <c r="K523" s="9" t="s">
        <v>1698</v>
      </c>
      <c r="L523" s="9"/>
      <c r="M523" s="9" t="str">
        <f>HYPERLINK("https://ceds.ed.gov/cedselementdetails.aspx?termid=14524")</f>
        <v>https://ceds.ed.gov/cedselementdetails.aspx?termid=14524</v>
      </c>
      <c r="N523" s="9" t="str">
        <f>HYPERLINK("https://ceds.ed.gov/elementComment.aspx?elementName=Charter School Open Enrollment Indicator &amp;elementID=14524", "Click here to submit comment")</f>
        <v>Click here to submit comment</v>
      </c>
    </row>
    <row r="524" spans="1:14" ht="15" customHeight="1" x14ac:dyDescent="0.25">
      <c r="A524" s="9" t="s">
        <v>1699</v>
      </c>
      <c r="B524" s="9" t="s">
        <v>1700</v>
      </c>
      <c r="C524" s="10" t="s">
        <v>6402</v>
      </c>
      <c r="D524" s="9" t="s">
        <v>202</v>
      </c>
      <c r="E524" s="9"/>
      <c r="F524" s="9"/>
      <c r="G524" s="9"/>
      <c r="H524" s="9"/>
      <c r="I524" s="9" t="s">
        <v>1701</v>
      </c>
      <c r="J524" s="9"/>
      <c r="K524" s="9" t="s">
        <v>1702</v>
      </c>
      <c r="L524" s="9"/>
      <c r="M524" s="9" t="str">
        <f>HYPERLINK("https://ceds.ed.gov/cedselementdetails.aspx?termid=13686")</f>
        <v>https://ceds.ed.gov/cedselementdetails.aspx?termid=13686</v>
      </c>
      <c r="N524" s="9" t="str">
        <f>HYPERLINK("https://ceds.ed.gov/elementComment.aspx?elementName=Charter School Type &amp;elementID=13686", "Click here to submit comment")</f>
        <v>Click here to submit comment</v>
      </c>
    </row>
    <row r="525" spans="1:14" ht="15" customHeight="1" x14ac:dyDescent="0.25">
      <c r="A525" s="9" t="s">
        <v>1703</v>
      </c>
      <c r="B525" s="9" t="s">
        <v>1704</v>
      </c>
      <c r="C525" s="10" t="s">
        <v>6403</v>
      </c>
      <c r="D525" s="9" t="s">
        <v>1705</v>
      </c>
      <c r="E525" s="9"/>
      <c r="F525" s="9"/>
      <c r="G525" s="9"/>
      <c r="H525" s="9"/>
      <c r="I525" s="9" t="s">
        <v>1706</v>
      </c>
      <c r="J525" s="9" t="s">
        <v>1707</v>
      </c>
      <c r="K525" s="9" t="s">
        <v>1708</v>
      </c>
      <c r="L525" s="9" t="s">
        <v>182</v>
      </c>
      <c r="M525" s="9" t="str">
        <f>HYPERLINK("https://ceds.ed.gov/cedselementdetails.aspx?termid=13805")</f>
        <v>https://ceds.ed.gov/cedselementdetails.aspx?termid=13805</v>
      </c>
      <c r="N525" s="9" t="str">
        <f>HYPERLINK("https://ceds.ed.gov/elementComment.aspx?elementName=Child Development Associate Type &amp;elementID=13805", "Click here to submit comment")</f>
        <v>Click here to submit comment</v>
      </c>
    </row>
    <row r="526" spans="1:14" ht="15" customHeight="1" x14ac:dyDescent="0.25">
      <c r="A526" s="9" t="s">
        <v>1709</v>
      </c>
      <c r="B526" s="9" t="s">
        <v>1710</v>
      </c>
      <c r="C526" s="10" t="s">
        <v>6404</v>
      </c>
      <c r="D526" s="9" t="s">
        <v>1711</v>
      </c>
      <c r="E526" s="9"/>
      <c r="F526" s="9"/>
      <c r="G526" s="9"/>
      <c r="H526" s="9"/>
      <c r="I526" s="9" t="s">
        <v>1712</v>
      </c>
      <c r="J526" s="9"/>
      <c r="K526" s="9" t="s">
        <v>1713</v>
      </c>
      <c r="L526" s="9" t="s">
        <v>1714</v>
      </c>
      <c r="M526" s="9" t="str">
        <f>HYPERLINK("https://ceds.ed.gov/cedselementdetails.aspx?termid=13314")</f>
        <v>https://ceds.ed.gov/cedselementdetails.aspx?termid=13314</v>
      </c>
      <c r="N526" s="9" t="str">
        <f>HYPERLINK("https://ceds.ed.gov/elementComment.aspx?elementName=Child Developmental Screening Status &amp;elementID=13314", "Click here to submit comment")</f>
        <v>Click here to submit comment</v>
      </c>
    </row>
    <row r="527" spans="1:14" ht="15" customHeight="1" x14ac:dyDescent="0.25">
      <c r="A527" s="9" t="s">
        <v>1715</v>
      </c>
      <c r="B527" s="9" t="s">
        <v>1716</v>
      </c>
      <c r="C527" s="10" t="s">
        <v>6405</v>
      </c>
      <c r="D527" s="9" t="s">
        <v>6164</v>
      </c>
      <c r="E527" s="9"/>
      <c r="F527" s="9"/>
      <c r="G527" s="9"/>
      <c r="H527" s="9"/>
      <c r="I527" s="9" t="s">
        <v>1717</v>
      </c>
      <c r="J527" s="9"/>
      <c r="K527" s="9" t="s">
        <v>1718</v>
      </c>
      <c r="L527" s="9" t="s">
        <v>6165</v>
      </c>
      <c r="M527" s="9" t="str">
        <f>HYPERLINK("https://ceds.ed.gov/cedselementdetails.aspx?termid=13782")</f>
        <v>https://ceds.ed.gov/cedselementdetails.aspx?termid=13782</v>
      </c>
      <c r="N527" s="9" t="str">
        <f>HYPERLINK("https://ceds.ed.gov/elementComment.aspx?elementName=Child Identification System &amp;elementID=13782", "Click here to submit comment")</f>
        <v>Click here to submit comment</v>
      </c>
    </row>
    <row r="528" spans="1:14" ht="105" x14ac:dyDescent="0.25">
      <c r="A528" s="18" t="s">
        <v>1719</v>
      </c>
      <c r="B528" s="18" t="s">
        <v>1720</v>
      </c>
      <c r="C528" s="18" t="s">
        <v>12</v>
      </c>
      <c r="D528" s="18" t="s">
        <v>6166</v>
      </c>
      <c r="E528" s="18"/>
      <c r="F528" s="18" t="s">
        <v>119</v>
      </c>
      <c r="G528" s="18"/>
      <c r="H528" s="9" t="s">
        <v>120</v>
      </c>
      <c r="I528" s="18" t="s">
        <v>1721</v>
      </c>
      <c r="J528" s="18"/>
      <c r="K528" s="18" t="s">
        <v>1722</v>
      </c>
      <c r="L528" s="18" t="s">
        <v>6165</v>
      </c>
      <c r="M528" s="18" t="str">
        <f>HYPERLINK("https://ceds.ed.gov/cedselementdetails.aspx?termid=13781")</f>
        <v>https://ceds.ed.gov/cedselementdetails.aspx?termid=13781</v>
      </c>
      <c r="N528" s="18" t="str">
        <f>HYPERLINK("https://ceds.ed.gov/elementComment.aspx?elementName=Child Identifier &amp;elementID=13781", "Click here to submit comment")</f>
        <v>Click here to submit comment</v>
      </c>
    </row>
    <row r="529" spans="1:14" x14ac:dyDescent="0.25">
      <c r="A529" s="18"/>
      <c r="B529" s="18"/>
      <c r="C529" s="18"/>
      <c r="D529" s="18"/>
      <c r="E529" s="18"/>
      <c r="F529" s="18"/>
      <c r="G529" s="18"/>
      <c r="H529" s="9"/>
      <c r="I529" s="18"/>
      <c r="J529" s="18"/>
      <c r="K529" s="18"/>
      <c r="L529" s="18"/>
      <c r="M529" s="18"/>
      <c r="N529" s="18"/>
    </row>
    <row r="530" spans="1:14" ht="90" x14ac:dyDescent="0.25">
      <c r="A530" s="18"/>
      <c r="B530" s="18"/>
      <c r="C530" s="18"/>
      <c r="D530" s="18"/>
      <c r="E530" s="18"/>
      <c r="F530" s="18"/>
      <c r="G530" s="18"/>
      <c r="H530" s="9" t="s">
        <v>121</v>
      </c>
      <c r="I530" s="18"/>
      <c r="J530" s="18"/>
      <c r="K530" s="18"/>
      <c r="L530" s="18"/>
      <c r="M530" s="18"/>
      <c r="N530" s="18"/>
    </row>
    <row r="531" spans="1:14" ht="45" x14ac:dyDescent="0.25">
      <c r="A531" s="9" t="s">
        <v>1723</v>
      </c>
      <c r="B531" s="9" t="s">
        <v>10728</v>
      </c>
      <c r="C531" s="9" t="s">
        <v>6106</v>
      </c>
      <c r="D531" s="9" t="s">
        <v>1724</v>
      </c>
      <c r="E531" s="9"/>
      <c r="F531" s="9"/>
      <c r="G531" s="9"/>
      <c r="H531" s="9"/>
      <c r="I531" s="9" t="s">
        <v>1725</v>
      </c>
      <c r="J531" s="9" t="s">
        <v>1726</v>
      </c>
      <c r="K531" s="9" t="s">
        <v>1727</v>
      </c>
      <c r="L531" s="9"/>
      <c r="M531" s="9" t="str">
        <f>HYPERLINK("https://ceds.ed.gov/cedselementdetails.aspx?termid=14476")</f>
        <v>https://ceds.ed.gov/cedselementdetails.aspx?termid=14476</v>
      </c>
      <c r="N531" s="9" t="str">
        <f>HYPERLINK("https://ceds.ed.gov/elementComment.aspx?elementName=Child Outcomes Summary Progress A Indicator &amp;elementID=14476", "Click here to submit comment")</f>
        <v>Click here to submit comment</v>
      </c>
    </row>
    <row r="532" spans="1:14" ht="60" x14ac:dyDescent="0.25">
      <c r="A532" s="9" t="s">
        <v>1728</v>
      </c>
      <c r="B532" s="9" t="s">
        <v>10729</v>
      </c>
      <c r="C532" s="9" t="s">
        <v>6106</v>
      </c>
      <c r="D532" s="9" t="s">
        <v>1724</v>
      </c>
      <c r="E532" s="9"/>
      <c r="F532" s="9"/>
      <c r="G532" s="9"/>
      <c r="H532" s="9"/>
      <c r="I532" s="9" t="s">
        <v>1729</v>
      </c>
      <c r="J532" s="9" t="s">
        <v>1730</v>
      </c>
      <c r="K532" s="9" t="s">
        <v>1731</v>
      </c>
      <c r="L532" s="9"/>
      <c r="M532" s="9" t="str">
        <f>HYPERLINK("https://ceds.ed.gov/cedselementdetails.aspx?termid=14477")</f>
        <v>https://ceds.ed.gov/cedselementdetails.aspx?termid=14477</v>
      </c>
      <c r="N532" s="9" t="str">
        <f>HYPERLINK("https://ceds.ed.gov/elementComment.aspx?elementName=Child Outcomes Summary Progress B Indicator &amp;elementID=14477", "Click here to submit comment")</f>
        <v>Click here to submit comment</v>
      </c>
    </row>
    <row r="533" spans="1:14" ht="45" x14ac:dyDescent="0.25">
      <c r="A533" s="9" t="s">
        <v>1732</v>
      </c>
      <c r="B533" s="9" t="s">
        <v>1733</v>
      </c>
      <c r="C533" s="9" t="s">
        <v>6106</v>
      </c>
      <c r="D533" s="9" t="s">
        <v>1724</v>
      </c>
      <c r="E533" s="9"/>
      <c r="F533" s="9"/>
      <c r="G533" s="9"/>
      <c r="H533" s="9"/>
      <c r="I533" s="9" t="s">
        <v>1734</v>
      </c>
      <c r="J533" s="9" t="s">
        <v>1735</v>
      </c>
      <c r="K533" s="9" t="s">
        <v>1736</v>
      </c>
      <c r="L533" s="9"/>
      <c r="M533" s="9" t="str">
        <f>HYPERLINK("https://ceds.ed.gov/cedselementdetails.aspx?termid=14478")</f>
        <v>https://ceds.ed.gov/cedselementdetails.aspx?termid=14478</v>
      </c>
      <c r="N533" s="9" t="str">
        <f>HYPERLINK("https://ceds.ed.gov/elementComment.aspx?elementName=Child Outcomes Summary Progress C Indicator &amp;elementID=14478", "Click here to submit comment")</f>
        <v>Click here to submit comment</v>
      </c>
    </row>
    <row r="534" spans="1:14" ht="330" x14ac:dyDescent="0.25">
      <c r="A534" s="9" t="s">
        <v>1737</v>
      </c>
      <c r="B534" s="9" t="s">
        <v>1738</v>
      </c>
      <c r="C534" s="10" t="s">
        <v>6406</v>
      </c>
      <c r="D534" s="9" t="s">
        <v>1724</v>
      </c>
      <c r="E534" s="9"/>
      <c r="F534" s="9"/>
      <c r="G534" s="9"/>
      <c r="H534" s="9"/>
      <c r="I534" s="9" t="s">
        <v>1739</v>
      </c>
      <c r="J534" s="9" t="s">
        <v>1740</v>
      </c>
      <c r="K534" s="9" t="s">
        <v>1741</v>
      </c>
      <c r="L534" s="9"/>
      <c r="M534" s="9" t="str">
        <f>HYPERLINK("https://ceds.ed.gov/cedselementdetails.aspx?termid=14479")</f>
        <v>https://ceds.ed.gov/cedselementdetails.aspx?termid=14479</v>
      </c>
      <c r="N534" s="9" t="str">
        <f>HYPERLINK("https://ceds.ed.gov/elementComment.aspx?elementName=Child Outcomes Summary Rating A &amp;elementID=14479", "Click here to submit comment")</f>
        <v>Click here to submit comment</v>
      </c>
    </row>
    <row r="535" spans="1:14" ht="330" x14ac:dyDescent="0.25">
      <c r="A535" s="9" t="s">
        <v>1742</v>
      </c>
      <c r="B535" s="9" t="s">
        <v>1743</v>
      </c>
      <c r="C535" s="10" t="s">
        <v>6406</v>
      </c>
      <c r="D535" s="9" t="s">
        <v>1724</v>
      </c>
      <c r="E535" s="9"/>
      <c r="F535" s="9"/>
      <c r="G535" s="9"/>
      <c r="H535" s="9"/>
      <c r="I535" s="9" t="s">
        <v>1744</v>
      </c>
      <c r="J535" s="9" t="s">
        <v>1745</v>
      </c>
      <c r="K535" s="9" t="s">
        <v>1746</v>
      </c>
      <c r="L535" s="9"/>
      <c r="M535" s="9" t="str">
        <f>HYPERLINK("https://ceds.ed.gov/cedselementdetails.aspx?termid=14480")</f>
        <v>https://ceds.ed.gov/cedselementdetails.aspx?termid=14480</v>
      </c>
      <c r="N535" s="9" t="str">
        <f>HYPERLINK("https://ceds.ed.gov/elementComment.aspx?elementName=Child Outcomes Summary Rating B &amp;elementID=14480", "Click here to submit comment")</f>
        <v>Click here to submit comment</v>
      </c>
    </row>
    <row r="536" spans="1:14" ht="330" x14ac:dyDescent="0.25">
      <c r="A536" s="9" t="s">
        <v>1747</v>
      </c>
      <c r="B536" s="9" t="s">
        <v>1748</v>
      </c>
      <c r="C536" s="10" t="s">
        <v>6406</v>
      </c>
      <c r="D536" s="9" t="s">
        <v>1724</v>
      </c>
      <c r="E536" s="9"/>
      <c r="F536" s="9"/>
      <c r="G536" s="9"/>
      <c r="H536" s="9"/>
      <c r="I536" s="9" t="s">
        <v>1749</v>
      </c>
      <c r="J536" s="9" t="s">
        <v>1750</v>
      </c>
      <c r="K536" s="9" t="s">
        <v>1751</v>
      </c>
      <c r="L536" s="9"/>
      <c r="M536" s="9" t="str">
        <f>HYPERLINK("https://ceds.ed.gov/cedselementdetails.aspx?termid=14481")</f>
        <v>https://ceds.ed.gov/cedselementdetails.aspx?termid=14481</v>
      </c>
      <c r="N536" s="9" t="str">
        <f>HYPERLINK("https://ceds.ed.gov/elementComment.aspx?elementName=Child Outcomes Summary Rating C &amp;elementID=14481", "Click here to submit comment")</f>
        <v>Click here to submit comment</v>
      </c>
    </row>
    <row r="537" spans="1:14" ht="45" x14ac:dyDescent="0.25">
      <c r="A537" s="9" t="s">
        <v>1752</v>
      </c>
      <c r="B537" s="9" t="s">
        <v>1753</v>
      </c>
      <c r="C537" s="9" t="s">
        <v>12</v>
      </c>
      <c r="D537" s="9" t="s">
        <v>1754</v>
      </c>
      <c r="E537" s="9"/>
      <c r="F537" s="9" t="s">
        <v>87</v>
      </c>
      <c r="G537" s="9"/>
      <c r="H537" s="9"/>
      <c r="I537" s="9" t="s">
        <v>1755</v>
      </c>
      <c r="J537" s="9"/>
      <c r="K537" s="9" t="s">
        <v>1756</v>
      </c>
      <c r="L537" s="9" t="s">
        <v>1537</v>
      </c>
      <c r="M537" s="9" t="str">
        <f>HYPERLINK("https://ceds.ed.gov/cedselementdetails.aspx?termid=13416")</f>
        <v>https://ceds.ed.gov/cedselementdetails.aspx?termid=13416</v>
      </c>
      <c r="N537" s="9" t="str">
        <f>HYPERLINK("https://ceds.ed.gov/elementComment.aspx?elementName=City of Birth &amp;elementID=13416", "Click here to submit comment")</f>
        <v>Click here to submit comment</v>
      </c>
    </row>
    <row r="538" spans="1:14" ht="105" x14ac:dyDescent="0.25">
      <c r="A538" s="9" t="s">
        <v>1757</v>
      </c>
      <c r="B538" s="9" t="s">
        <v>1758</v>
      </c>
      <c r="C538" s="9" t="s">
        <v>12</v>
      </c>
      <c r="D538" s="9" t="s">
        <v>10730</v>
      </c>
      <c r="E538" s="9"/>
      <c r="F538" s="9" t="s">
        <v>406</v>
      </c>
      <c r="G538" s="9"/>
      <c r="H538" s="9"/>
      <c r="I538" s="9" t="s">
        <v>1759</v>
      </c>
      <c r="J538" s="9"/>
      <c r="K538" s="9" t="s">
        <v>1760</v>
      </c>
      <c r="L538" s="9" t="s">
        <v>6167</v>
      </c>
      <c r="M538" s="9" t="str">
        <f>HYPERLINK("https://ceds.ed.gov/cedselementdetails.aspx?termid=13510")</f>
        <v>https://ceds.ed.gov/cedselementdetails.aspx?termid=13510</v>
      </c>
      <c r="N538" s="9" t="str">
        <f>HYPERLINK("https://ceds.ed.gov/elementComment.aspx?elementName=Class Beginning Time &amp;elementID=13510", "Click here to submit comment")</f>
        <v>Click here to submit comment</v>
      </c>
    </row>
    <row r="539" spans="1:14" ht="105" x14ac:dyDescent="0.25">
      <c r="A539" s="9" t="s">
        <v>1761</v>
      </c>
      <c r="B539" s="9" t="s">
        <v>1762</v>
      </c>
      <c r="C539" s="9" t="s">
        <v>12</v>
      </c>
      <c r="D539" s="9" t="s">
        <v>10730</v>
      </c>
      <c r="E539" s="9"/>
      <c r="F539" s="9" t="s">
        <v>406</v>
      </c>
      <c r="G539" s="9"/>
      <c r="H539" s="9"/>
      <c r="I539" s="9" t="s">
        <v>1763</v>
      </c>
      <c r="J539" s="9"/>
      <c r="K539" s="9" t="s">
        <v>1764</v>
      </c>
      <c r="L539" s="9" t="s">
        <v>6167</v>
      </c>
      <c r="M539" s="9" t="str">
        <f>HYPERLINK("https://ceds.ed.gov/cedselementdetails.aspx?termid=13511")</f>
        <v>https://ceds.ed.gov/cedselementdetails.aspx?termid=13511</v>
      </c>
      <c r="N539" s="9" t="str">
        <f>HYPERLINK("https://ceds.ed.gov/elementComment.aspx?elementName=Class Ending Time &amp;elementID=13511", "Click here to submit comment")</f>
        <v>Click here to submit comment</v>
      </c>
    </row>
    <row r="540" spans="1:14" ht="75" x14ac:dyDescent="0.25">
      <c r="A540" s="9" t="s">
        <v>1765</v>
      </c>
      <c r="B540" s="9" t="s">
        <v>1766</v>
      </c>
      <c r="C540" s="9" t="s">
        <v>12</v>
      </c>
      <c r="D540" s="9" t="s">
        <v>10731</v>
      </c>
      <c r="E540" s="9"/>
      <c r="F540" s="9" t="s">
        <v>92</v>
      </c>
      <c r="G540" s="9"/>
      <c r="H540" s="9"/>
      <c r="I540" s="9" t="s">
        <v>1767</v>
      </c>
      <c r="J540" s="9"/>
      <c r="K540" s="9" t="s">
        <v>1768</v>
      </c>
      <c r="L540" s="9"/>
      <c r="M540" s="9" t="str">
        <f>HYPERLINK("https://ceds.ed.gov/cedselementdetails.aspx?termid=13512")</f>
        <v>https://ceds.ed.gov/cedselementdetails.aspx?termid=13512</v>
      </c>
      <c r="N540" s="9" t="str">
        <f>HYPERLINK("https://ceds.ed.gov/elementComment.aspx?elementName=Class Meeting Days &amp;elementID=13512", "Click here to submit comment")</f>
        <v>Click here to submit comment</v>
      </c>
    </row>
    <row r="541" spans="1:14" ht="75" x14ac:dyDescent="0.25">
      <c r="A541" s="9" t="s">
        <v>1769</v>
      </c>
      <c r="B541" s="9" t="s">
        <v>1770</v>
      </c>
      <c r="C541" s="9" t="s">
        <v>12</v>
      </c>
      <c r="D541" s="9" t="s">
        <v>10731</v>
      </c>
      <c r="E541" s="9"/>
      <c r="F541" s="9" t="s">
        <v>87</v>
      </c>
      <c r="G541" s="9"/>
      <c r="H541" s="9"/>
      <c r="I541" s="9" t="s">
        <v>1771</v>
      </c>
      <c r="J541" s="9"/>
      <c r="K541" s="9" t="s">
        <v>1772</v>
      </c>
      <c r="L541" s="9"/>
      <c r="M541" s="9" t="str">
        <f>HYPERLINK("https://ceds.ed.gov/cedselementdetails.aspx?termid=13513")</f>
        <v>https://ceds.ed.gov/cedselementdetails.aspx?termid=13513</v>
      </c>
      <c r="N541" s="9" t="str">
        <f>HYPERLINK("https://ceds.ed.gov/elementComment.aspx?elementName=Class Period &amp;elementID=13513", "Click here to submit comment")</f>
        <v>Click here to submit comment</v>
      </c>
    </row>
    <row r="542" spans="1:14" ht="90" x14ac:dyDescent="0.25">
      <c r="A542" s="9" t="s">
        <v>1773</v>
      </c>
      <c r="B542" s="9" t="s">
        <v>1774</v>
      </c>
      <c r="C542" s="9" t="s">
        <v>12</v>
      </c>
      <c r="D542" s="9" t="s">
        <v>28</v>
      </c>
      <c r="E542" s="9"/>
      <c r="F542" s="9" t="s">
        <v>1775</v>
      </c>
      <c r="G542" s="9"/>
      <c r="H542" s="9"/>
      <c r="I542" s="9" t="s">
        <v>1776</v>
      </c>
      <c r="J542" s="9"/>
      <c r="K542" s="9" t="s">
        <v>1777</v>
      </c>
      <c r="L542" s="9" t="s">
        <v>6109</v>
      </c>
      <c r="M542" s="9" t="str">
        <f>HYPERLINK("https://ceds.ed.gov/cedselementdetails.aspx?termid=13042")</f>
        <v>https://ceds.ed.gov/cedselementdetails.aspx?termid=13042</v>
      </c>
      <c r="N542" s="9" t="str">
        <f>HYPERLINK("https://ceds.ed.gov/elementComment.aspx?elementName=Class Ranking Date &amp;elementID=13042", "Click here to submit comment")</f>
        <v>Click here to submit comment</v>
      </c>
    </row>
    <row r="543" spans="1:14" ht="409.5" x14ac:dyDescent="0.25">
      <c r="A543" s="9" t="s">
        <v>1778</v>
      </c>
      <c r="B543" s="9" t="s">
        <v>1779</v>
      </c>
      <c r="C543" s="11" t="s">
        <v>1780</v>
      </c>
      <c r="D543" s="9" t="s">
        <v>10732</v>
      </c>
      <c r="E543" s="9"/>
      <c r="F543" s="9"/>
      <c r="G543" s="9"/>
      <c r="H543" s="9"/>
      <c r="I543" s="9" t="s">
        <v>1781</v>
      </c>
      <c r="J543" s="9" t="s">
        <v>1782</v>
      </c>
      <c r="K543" s="9" t="s">
        <v>1783</v>
      </c>
      <c r="L543" s="9" t="s">
        <v>6108</v>
      </c>
      <c r="M543" s="9" t="str">
        <f>HYPERLINK("https://ceds.ed.gov/cedselementdetails.aspx?termid=13043")</f>
        <v>https://ceds.ed.gov/cedselementdetails.aspx?termid=13043</v>
      </c>
      <c r="N543" s="9" t="str">
        <f>HYPERLINK("https://ceds.ed.gov/elementComment.aspx?elementName=Classification of Instructional Program Code &amp;elementID=13043", "Click here to submit comment")</f>
        <v>Click here to submit comment</v>
      </c>
    </row>
    <row r="544" spans="1:14" ht="330" x14ac:dyDescent="0.25">
      <c r="A544" s="9" t="s">
        <v>1784</v>
      </c>
      <c r="B544" s="9" t="s">
        <v>1785</v>
      </c>
      <c r="C544" s="10" t="s">
        <v>6407</v>
      </c>
      <c r="D544" s="9" t="s">
        <v>10733</v>
      </c>
      <c r="E544" s="9"/>
      <c r="F544" s="9"/>
      <c r="G544" s="9"/>
      <c r="H544" s="9"/>
      <c r="I544" s="9" t="s">
        <v>1786</v>
      </c>
      <c r="J544" s="9" t="s">
        <v>1787</v>
      </c>
      <c r="K544" s="9" t="s">
        <v>1788</v>
      </c>
      <c r="L544" s="9" t="s">
        <v>6115</v>
      </c>
      <c r="M544" s="9" t="str">
        <f>HYPERLINK("https://ceds.ed.gov/cedselementdetails.aspx?termid=13044")</f>
        <v>https://ceds.ed.gov/cedselementdetails.aspx?termid=13044</v>
      </c>
      <c r="N544" s="9" t="str">
        <f>HYPERLINK("https://ceds.ed.gov/elementComment.aspx?elementName=Classification of Instructional Program Use &amp;elementID=13044", "Click here to submit comment")</f>
        <v>Click here to submit comment</v>
      </c>
    </row>
    <row r="545" spans="1:14" ht="409.5" x14ac:dyDescent="0.25">
      <c r="A545" s="9" t="s">
        <v>1789</v>
      </c>
      <c r="B545" s="9" t="s">
        <v>1790</v>
      </c>
      <c r="C545" s="10" t="s">
        <v>6408</v>
      </c>
      <c r="D545" s="9" t="s">
        <v>10734</v>
      </c>
      <c r="E545" s="9"/>
      <c r="F545" s="9"/>
      <c r="G545" s="9"/>
      <c r="H545" s="9"/>
      <c r="I545" s="9" t="s">
        <v>1791</v>
      </c>
      <c r="J545" s="9" t="s">
        <v>1792</v>
      </c>
      <c r="K545" s="9" t="s">
        <v>1793</v>
      </c>
      <c r="L545" s="9" t="s">
        <v>6115</v>
      </c>
      <c r="M545" s="9" t="str">
        <f>HYPERLINK("https://ceds.ed.gov/cedselementdetails.aspx?termid=13045")</f>
        <v>https://ceds.ed.gov/cedselementdetails.aspx?termid=13045</v>
      </c>
      <c r="N545" s="9" t="str">
        <f>HYPERLINK("https://ceds.ed.gov/elementComment.aspx?elementName=Classification of Instructional Program Version &amp;elementID=13045", "Click here to submit comment")</f>
        <v>Click here to submit comment</v>
      </c>
    </row>
    <row r="546" spans="1:14" ht="105" x14ac:dyDescent="0.25">
      <c r="A546" s="18" t="s">
        <v>1794</v>
      </c>
      <c r="B546" s="18" t="s">
        <v>1795</v>
      </c>
      <c r="C546" s="18" t="s">
        <v>12</v>
      </c>
      <c r="D546" s="18" t="s">
        <v>10731</v>
      </c>
      <c r="E546" s="18"/>
      <c r="F546" s="18" t="s">
        <v>119</v>
      </c>
      <c r="G546" s="18"/>
      <c r="H546" s="9" t="s">
        <v>120</v>
      </c>
      <c r="I546" s="18" t="s">
        <v>1796</v>
      </c>
      <c r="J546" s="18"/>
      <c r="K546" s="18" t="s">
        <v>1797</v>
      </c>
      <c r="L546" s="18"/>
      <c r="M546" s="18" t="str">
        <f>HYPERLINK("https://ceds.ed.gov/cedselementdetails.aspx?termid=13507")</f>
        <v>https://ceds.ed.gov/cedselementdetails.aspx?termid=13507</v>
      </c>
      <c r="N546" s="18" t="str">
        <f>HYPERLINK("https://ceds.ed.gov/elementComment.aspx?elementName=Classroom Identifier &amp;elementID=13507", "Click here to submit comment")</f>
        <v>Click here to submit comment</v>
      </c>
    </row>
    <row r="547" spans="1:14" x14ac:dyDescent="0.25">
      <c r="A547" s="18"/>
      <c r="B547" s="18"/>
      <c r="C547" s="18"/>
      <c r="D547" s="18"/>
      <c r="E547" s="18"/>
      <c r="F547" s="18"/>
      <c r="G547" s="18"/>
      <c r="H547" s="9"/>
      <c r="I547" s="18"/>
      <c r="J547" s="18"/>
      <c r="K547" s="18"/>
      <c r="L547" s="18"/>
      <c r="M547" s="18"/>
      <c r="N547" s="18"/>
    </row>
    <row r="548" spans="1:14" ht="90" x14ac:dyDescent="0.25">
      <c r="A548" s="18"/>
      <c r="B548" s="18"/>
      <c r="C548" s="18"/>
      <c r="D548" s="18"/>
      <c r="E548" s="18"/>
      <c r="F548" s="18"/>
      <c r="G548" s="18"/>
      <c r="H548" s="9" t="s">
        <v>121</v>
      </c>
      <c r="I548" s="18"/>
      <c r="J548" s="18"/>
      <c r="K548" s="18"/>
      <c r="L548" s="18"/>
      <c r="M548" s="18"/>
      <c r="N548" s="18"/>
    </row>
    <row r="549" spans="1:14" ht="270" x14ac:dyDescent="0.25">
      <c r="A549" s="9" t="s">
        <v>1798</v>
      </c>
      <c r="B549" s="9" t="s">
        <v>1799</v>
      </c>
      <c r="C549" s="10" t="s">
        <v>6409</v>
      </c>
      <c r="D549" s="9" t="s">
        <v>10735</v>
      </c>
      <c r="E549" s="9"/>
      <c r="F549" s="9"/>
      <c r="G549" s="9"/>
      <c r="H549" s="9"/>
      <c r="I549" s="9" t="s">
        <v>1800</v>
      </c>
      <c r="J549" s="9"/>
      <c r="K549" s="9" t="s">
        <v>1801</v>
      </c>
      <c r="L549" s="9"/>
      <c r="M549" s="9" t="str">
        <f>HYPERLINK("https://ceds.ed.gov/cedselementdetails.aspx?termid=13615")</f>
        <v>https://ceds.ed.gov/cedselementdetails.aspx?termid=13615</v>
      </c>
      <c r="N549" s="9" t="str">
        <f>HYPERLINK("https://ceds.ed.gov/elementComment.aspx?elementName=Classroom Position Type &amp;elementID=13615", "Click here to submit comment")</f>
        <v>Click here to submit comment</v>
      </c>
    </row>
    <row r="550" spans="1:14" ht="45" x14ac:dyDescent="0.25">
      <c r="A550" s="9" t="s">
        <v>1802</v>
      </c>
      <c r="B550" s="9" t="s">
        <v>1803</v>
      </c>
      <c r="C550" s="9" t="s">
        <v>12</v>
      </c>
      <c r="D550" s="9" t="s">
        <v>28</v>
      </c>
      <c r="E550" s="9"/>
      <c r="F550" s="9" t="s">
        <v>87</v>
      </c>
      <c r="G550" s="9"/>
      <c r="H550" s="9"/>
      <c r="I550" s="9" t="s">
        <v>1804</v>
      </c>
      <c r="J550" s="9"/>
      <c r="K550" s="9" t="s">
        <v>1805</v>
      </c>
      <c r="L550" s="9"/>
      <c r="M550" s="9" t="str">
        <f>HYPERLINK("https://ceds.ed.gov/cedselementdetails.aspx?termid=13687")</f>
        <v>https://ceds.ed.gov/cedselementdetails.aspx?termid=13687</v>
      </c>
      <c r="N550" s="9" t="str">
        <f>HYPERLINK("https://ceds.ed.gov/elementComment.aspx?elementName=Cohort Description &amp;elementID=13687", "Click here to submit comment")</f>
        <v>Click here to submit comment</v>
      </c>
    </row>
    <row r="551" spans="1:14" ht="195" x14ac:dyDescent="0.25">
      <c r="A551" s="9" t="s">
        <v>1806</v>
      </c>
      <c r="B551" s="9" t="s">
        <v>1807</v>
      </c>
      <c r="C551" s="10" t="s">
        <v>6410</v>
      </c>
      <c r="D551" s="9" t="s">
        <v>1808</v>
      </c>
      <c r="E551" s="9"/>
      <c r="F551" s="9"/>
      <c r="G551" s="9"/>
      <c r="H551" s="9"/>
      <c r="I551" s="9" t="s">
        <v>1809</v>
      </c>
      <c r="J551" s="9"/>
      <c r="K551" s="9" t="s">
        <v>1810</v>
      </c>
      <c r="L551" s="9" t="s">
        <v>216</v>
      </c>
      <c r="M551" s="9" t="str">
        <f>HYPERLINK("https://ceds.ed.gov/cedselementdetails.aspx?termid=13106")</f>
        <v>https://ceds.ed.gov/cedselementdetails.aspx?termid=13106</v>
      </c>
      <c r="N551" s="9" t="str">
        <f>HYPERLINK("https://ceds.ed.gov/elementComment.aspx?elementName=Cohort Exclusion &amp;elementID=13106", "Click here to submit comment")</f>
        <v>Click here to submit comment</v>
      </c>
    </row>
    <row r="552" spans="1:14" ht="60" x14ac:dyDescent="0.25">
      <c r="A552" s="9" t="s">
        <v>1811</v>
      </c>
      <c r="B552" s="9" t="s">
        <v>1812</v>
      </c>
      <c r="C552" s="9" t="s">
        <v>12</v>
      </c>
      <c r="D552" s="9" t="s">
        <v>6168</v>
      </c>
      <c r="E552" s="9"/>
      <c r="F552" s="9" t="s">
        <v>1813</v>
      </c>
      <c r="G552" s="9"/>
      <c r="H552" s="9"/>
      <c r="I552" s="9" t="s">
        <v>1814</v>
      </c>
      <c r="J552" s="9"/>
      <c r="K552" s="9" t="s">
        <v>1815</v>
      </c>
      <c r="L552" s="9" t="s">
        <v>6169</v>
      </c>
      <c r="M552" s="9" t="str">
        <f>HYPERLINK("https://ceds.ed.gov/cedselementdetails.aspx?termid=13577")</f>
        <v>https://ceds.ed.gov/cedselementdetails.aspx?termid=13577</v>
      </c>
      <c r="N552" s="9" t="str">
        <f>HYPERLINK("https://ceds.ed.gov/elementComment.aspx?elementName=Cohort Graduation Year &amp;elementID=13577", "Click here to submit comment")</f>
        <v>Click here to submit comment</v>
      </c>
    </row>
    <row r="553" spans="1:14" ht="60" x14ac:dyDescent="0.25">
      <c r="A553" s="9" t="s">
        <v>1816</v>
      </c>
      <c r="B553" s="9" t="s">
        <v>1817</v>
      </c>
      <c r="C553" s="9" t="s">
        <v>12</v>
      </c>
      <c r="D553" s="9" t="s">
        <v>6170</v>
      </c>
      <c r="E553" s="9"/>
      <c r="F553" s="9" t="s">
        <v>1813</v>
      </c>
      <c r="G553" s="9"/>
      <c r="H553" s="9"/>
      <c r="I553" s="9" t="s">
        <v>1818</v>
      </c>
      <c r="J553" s="9"/>
      <c r="K553" s="9" t="s">
        <v>1819</v>
      </c>
      <c r="L553" s="9" t="s">
        <v>6161</v>
      </c>
      <c r="M553" s="9" t="str">
        <f>HYPERLINK("https://ceds.ed.gov/cedselementdetails.aspx?termid=13046")</f>
        <v>https://ceds.ed.gov/cedselementdetails.aspx?termid=13046</v>
      </c>
      <c r="N553" s="9" t="str">
        <f>HYPERLINK("https://ceds.ed.gov/elementComment.aspx?elementName=Cohort Year &amp;elementID=13046", "Click here to submit comment")</f>
        <v>Click here to submit comment</v>
      </c>
    </row>
    <row r="554" spans="1:14" ht="135" x14ac:dyDescent="0.25">
      <c r="A554" s="9" t="s">
        <v>1820</v>
      </c>
      <c r="B554" s="9" t="s">
        <v>1821</v>
      </c>
      <c r="C554" s="10" t="s">
        <v>6411</v>
      </c>
      <c r="D554" s="9" t="s">
        <v>6171</v>
      </c>
      <c r="E554" s="9"/>
      <c r="F554" s="9"/>
      <c r="G554" s="9"/>
      <c r="H554" s="9"/>
      <c r="I554" s="9" t="s">
        <v>1822</v>
      </c>
      <c r="J554" s="9"/>
      <c r="K554" s="9" t="s">
        <v>1823</v>
      </c>
      <c r="L554" s="9"/>
      <c r="M554" s="9" t="str">
        <f>HYPERLINK("https://ceds.ed.gov/cedselementdetails.aspx?termid=14614")</f>
        <v>https://ceds.ed.gov/cedselementdetails.aspx?termid=14614</v>
      </c>
      <c r="N554" s="9" t="str">
        <f>HYPERLINK("https://ceds.ed.gov/elementComment.aspx?elementName=Community-based Type &amp;elementID=14614", "Click here to submit comment")</f>
        <v>Click here to submit comment</v>
      </c>
    </row>
    <row r="555" spans="1:14" ht="45" x14ac:dyDescent="0.25">
      <c r="A555" s="9" t="s">
        <v>10736</v>
      </c>
      <c r="B555" s="9" t="s">
        <v>3957</v>
      </c>
      <c r="C555" s="9" t="s">
        <v>12</v>
      </c>
      <c r="D555" s="9" t="s">
        <v>10737</v>
      </c>
      <c r="E555" s="9" t="s">
        <v>91</v>
      </c>
      <c r="F555" s="9" t="s">
        <v>68</v>
      </c>
      <c r="G555" s="9" t="s">
        <v>10738</v>
      </c>
      <c r="H555" s="9"/>
      <c r="I555" s="9" t="s">
        <v>3958</v>
      </c>
      <c r="J555" s="9" t="s">
        <v>3956</v>
      </c>
      <c r="K555" s="9" t="s">
        <v>10739</v>
      </c>
      <c r="L555" s="9"/>
      <c r="M555" s="9" t="str">
        <f>HYPERLINK("https://ceds.ed.gov/cedselementdetails.aspx?termid=14371")</f>
        <v>https://ceds.ed.gov/cedselementdetails.aspx?termid=14371</v>
      </c>
      <c r="N555" s="9" t="str">
        <f>HYPERLINK("https://ceds.ed.gov/elementComment.aspx?elementName=Competency Association Connection Citation &amp;elementID=14371", "Click here to submit comment")</f>
        <v>Click here to submit comment</v>
      </c>
    </row>
    <row r="556" spans="1:14" ht="45" x14ac:dyDescent="0.25">
      <c r="A556" s="9" t="s">
        <v>10740</v>
      </c>
      <c r="B556" s="9" t="s">
        <v>10741</v>
      </c>
      <c r="C556" s="9" t="s">
        <v>12</v>
      </c>
      <c r="D556" s="9" t="s">
        <v>10737</v>
      </c>
      <c r="E556" s="9" t="s">
        <v>91</v>
      </c>
      <c r="F556" s="9" t="s">
        <v>87</v>
      </c>
      <c r="G556" s="9" t="s">
        <v>10738</v>
      </c>
      <c r="H556" s="9"/>
      <c r="I556" s="9" t="s">
        <v>3960</v>
      </c>
      <c r="J556" s="9" t="s">
        <v>3959</v>
      </c>
      <c r="K556" s="9" t="s">
        <v>10742</v>
      </c>
      <c r="L556" s="9"/>
      <c r="M556" s="9" t="str">
        <f>HYPERLINK("https://ceds.ed.gov/cedselementdetails.aspx?termid=14372")</f>
        <v>https://ceds.ed.gov/cedselementdetails.aspx?termid=14372</v>
      </c>
      <c r="N556" s="9" t="str">
        <f>HYPERLINK("https://ceds.ed.gov/elementComment.aspx?elementName=Competency Association Destination Node Name &amp;elementID=14372", "Click here to submit comment")</f>
        <v>Click here to submit comment</v>
      </c>
    </row>
    <row r="557" spans="1:14" ht="45" x14ac:dyDescent="0.25">
      <c r="A557" s="9" t="s">
        <v>10743</v>
      </c>
      <c r="B557" s="9" t="s">
        <v>10744</v>
      </c>
      <c r="C557" s="9" t="s">
        <v>12</v>
      </c>
      <c r="D557" s="9" t="s">
        <v>10737</v>
      </c>
      <c r="E557" s="9" t="s">
        <v>91</v>
      </c>
      <c r="F557" s="9" t="s">
        <v>1143</v>
      </c>
      <c r="G557" s="9" t="s">
        <v>10738</v>
      </c>
      <c r="H557" s="9"/>
      <c r="I557" s="9" t="s">
        <v>3962</v>
      </c>
      <c r="J557" s="9" t="s">
        <v>3961</v>
      </c>
      <c r="K557" s="9" t="s">
        <v>10745</v>
      </c>
      <c r="L557" s="9"/>
      <c r="M557" s="9" t="str">
        <f>HYPERLINK("https://ceds.ed.gov/cedselementdetails.aspx?termid=14373")</f>
        <v>https://ceds.ed.gov/cedselementdetails.aspx?termid=14373</v>
      </c>
      <c r="N557" s="9" t="str">
        <f>HYPERLINK("https://ceds.ed.gov/elementComment.aspx?elementName=Competency Association Destination Node URI &amp;elementID=14373", "Click here to submit comment")</f>
        <v>Click here to submit comment</v>
      </c>
    </row>
    <row r="558" spans="1:14" ht="135" x14ac:dyDescent="0.25">
      <c r="A558" s="9" t="s">
        <v>10746</v>
      </c>
      <c r="B558" s="9" t="s">
        <v>10747</v>
      </c>
      <c r="C558" s="9" t="s">
        <v>12</v>
      </c>
      <c r="D558" s="9" t="s">
        <v>10748</v>
      </c>
      <c r="E558" s="9" t="s">
        <v>91</v>
      </c>
      <c r="F558" s="9" t="s">
        <v>1143</v>
      </c>
      <c r="G558" s="9" t="s">
        <v>10738</v>
      </c>
      <c r="H558" s="9"/>
      <c r="I558" s="9" t="s">
        <v>3964</v>
      </c>
      <c r="J558" s="9" t="s">
        <v>3963</v>
      </c>
      <c r="K558" s="9" t="s">
        <v>10749</v>
      </c>
      <c r="L558" s="9"/>
      <c r="M558" s="9" t="str">
        <f>HYPERLINK("https://ceds.ed.gov/cedselementdetails.aspx?termid=13871")</f>
        <v>https://ceds.ed.gov/cedselementdetails.aspx?termid=13871</v>
      </c>
      <c r="N558" s="9" t="str">
        <f>HYPERLINK("https://ceds.ed.gov/elementComment.aspx?elementName=Competency Association Identifier URI &amp;elementID=13871", "Click here to submit comment")</f>
        <v>Click here to submit comment</v>
      </c>
    </row>
    <row r="559" spans="1:14" ht="45" x14ac:dyDescent="0.25">
      <c r="A559" s="9" t="s">
        <v>10750</v>
      </c>
      <c r="B559" s="9" t="s">
        <v>10751</v>
      </c>
      <c r="C559" s="9" t="s">
        <v>12</v>
      </c>
      <c r="D559" s="9" t="s">
        <v>10737</v>
      </c>
      <c r="E559" s="9" t="s">
        <v>91</v>
      </c>
      <c r="F559" s="9" t="s">
        <v>87</v>
      </c>
      <c r="G559" s="9" t="s">
        <v>10738</v>
      </c>
      <c r="H559" s="9"/>
      <c r="I559" s="9" t="s">
        <v>3966</v>
      </c>
      <c r="J559" s="9" t="s">
        <v>3965</v>
      </c>
      <c r="K559" s="9" t="s">
        <v>10752</v>
      </c>
      <c r="L559" s="9"/>
      <c r="M559" s="9" t="str">
        <f>HYPERLINK("https://ceds.ed.gov/cedselementdetails.aspx?termid=14374")</f>
        <v>https://ceds.ed.gov/cedselementdetails.aspx?termid=14374</v>
      </c>
      <c r="N559" s="9" t="str">
        <f>HYPERLINK("https://ceds.ed.gov/elementComment.aspx?elementName=Competency Association Origin Node Name &amp;elementID=14374", "Click here to submit comment")</f>
        <v>Click here to submit comment</v>
      </c>
    </row>
    <row r="560" spans="1:14" ht="45" x14ac:dyDescent="0.25">
      <c r="A560" s="9" t="s">
        <v>10753</v>
      </c>
      <c r="B560" s="9" t="s">
        <v>10754</v>
      </c>
      <c r="C560" s="9" t="s">
        <v>12</v>
      </c>
      <c r="D560" s="9" t="s">
        <v>10737</v>
      </c>
      <c r="E560" s="9" t="s">
        <v>91</v>
      </c>
      <c r="F560" s="9" t="s">
        <v>1143</v>
      </c>
      <c r="G560" s="9" t="s">
        <v>10738</v>
      </c>
      <c r="H560" s="9"/>
      <c r="I560" s="9" t="s">
        <v>3968</v>
      </c>
      <c r="J560" s="9" t="s">
        <v>3967</v>
      </c>
      <c r="K560" s="9" t="s">
        <v>10755</v>
      </c>
      <c r="L560" s="9"/>
      <c r="M560" s="9" t="str">
        <f>HYPERLINK("https://ceds.ed.gov/cedselementdetails.aspx?termid=14375")</f>
        <v>https://ceds.ed.gov/cedselementdetails.aspx?termid=14375</v>
      </c>
      <c r="N560" s="9" t="str">
        <f>HYPERLINK("https://ceds.ed.gov/elementComment.aspx?elementName=Competency Association Origin Node URI &amp;elementID=14375", "Click here to submit comment")</f>
        <v>Click here to submit comment</v>
      </c>
    </row>
    <row r="561" spans="1:14" ht="165" x14ac:dyDescent="0.25">
      <c r="A561" s="18" t="s">
        <v>10756</v>
      </c>
      <c r="B561" s="18" t="s">
        <v>10757</v>
      </c>
      <c r="C561" s="19" t="s">
        <v>6594</v>
      </c>
      <c r="D561" s="18" t="s">
        <v>10748</v>
      </c>
      <c r="E561" s="18" t="s">
        <v>91</v>
      </c>
      <c r="F561" s="18"/>
      <c r="G561" s="18" t="s">
        <v>10758</v>
      </c>
      <c r="H561" s="9" t="s">
        <v>3970</v>
      </c>
      <c r="I561" s="18" t="s">
        <v>3972</v>
      </c>
      <c r="J561" s="18" t="s">
        <v>3969</v>
      </c>
      <c r="K561" s="18" t="s">
        <v>10759</v>
      </c>
      <c r="L561" s="18"/>
      <c r="M561" s="18" t="str">
        <f>HYPERLINK("https://ceds.ed.gov/cedselementdetails.aspx?termid=13869")</f>
        <v>https://ceds.ed.gov/cedselementdetails.aspx?termid=13869</v>
      </c>
      <c r="N561" s="18" t="str">
        <f>HYPERLINK("https://ceds.ed.gov/elementComment.aspx?elementName=Competency Association Type &amp;elementID=13869", "Click here to submit comment")</f>
        <v>Click here to submit comment</v>
      </c>
    </row>
    <row r="562" spans="1:14" x14ac:dyDescent="0.25">
      <c r="A562" s="18"/>
      <c r="B562" s="18"/>
      <c r="C562" s="19"/>
      <c r="D562" s="18"/>
      <c r="E562" s="18"/>
      <c r="F562" s="18"/>
      <c r="G562" s="18"/>
      <c r="H562" s="9"/>
      <c r="I562" s="18"/>
      <c r="J562" s="18"/>
      <c r="K562" s="18"/>
      <c r="L562" s="18"/>
      <c r="M562" s="18"/>
      <c r="N562" s="18"/>
    </row>
    <row r="563" spans="1:14" x14ac:dyDescent="0.25">
      <c r="A563" s="18"/>
      <c r="B563" s="18"/>
      <c r="C563" s="19"/>
      <c r="D563" s="18"/>
      <c r="E563" s="18"/>
      <c r="F563" s="18"/>
      <c r="G563" s="18"/>
      <c r="H563" s="9"/>
      <c r="I563" s="18"/>
      <c r="J563" s="18"/>
      <c r="K563" s="18"/>
      <c r="L563" s="18"/>
      <c r="M563" s="18"/>
      <c r="N563" s="18"/>
    </row>
    <row r="564" spans="1:14" ht="135" x14ac:dyDescent="0.25">
      <c r="A564" s="18"/>
      <c r="B564" s="18"/>
      <c r="C564" s="19"/>
      <c r="D564" s="18"/>
      <c r="E564" s="18"/>
      <c r="F564" s="18"/>
      <c r="G564" s="18"/>
      <c r="H564" s="9" t="s">
        <v>3971</v>
      </c>
      <c r="I564" s="18"/>
      <c r="J564" s="18"/>
      <c r="K564" s="18"/>
      <c r="L564" s="18"/>
      <c r="M564" s="18"/>
      <c r="N564" s="18"/>
    </row>
    <row r="565" spans="1:14" ht="135" x14ac:dyDescent="0.25">
      <c r="A565" s="9" t="s">
        <v>10760</v>
      </c>
      <c r="B565" s="9" t="s">
        <v>3974</v>
      </c>
      <c r="C565" s="9" t="s">
        <v>12</v>
      </c>
      <c r="D565" s="9" t="s">
        <v>10737</v>
      </c>
      <c r="E565" s="9" t="s">
        <v>91</v>
      </c>
      <c r="F565" s="9" t="s">
        <v>3975</v>
      </c>
      <c r="G565" s="9" t="s">
        <v>10738</v>
      </c>
      <c r="H565" s="9" t="s">
        <v>3976</v>
      </c>
      <c r="I565" s="9" t="s">
        <v>3977</v>
      </c>
      <c r="J565" s="9" t="s">
        <v>3973</v>
      </c>
      <c r="K565" s="9" t="s">
        <v>10761</v>
      </c>
      <c r="L565" s="9"/>
      <c r="M565" s="9" t="str">
        <f>HYPERLINK("https://ceds.ed.gov/cedselementdetails.aspx?termid=14376")</f>
        <v>https://ceds.ed.gov/cedselementdetails.aspx?termid=14376</v>
      </c>
      <c r="N565" s="9" t="str">
        <f>HYPERLINK("https://ceds.ed.gov/elementComment.aspx?elementName=Competency Association Weight &amp;elementID=14376", "Click here to submit comment")</f>
        <v>Click here to submit comment</v>
      </c>
    </row>
    <row r="566" spans="1:14" ht="75" x14ac:dyDescent="0.25">
      <c r="A566" s="9" t="s">
        <v>10762</v>
      </c>
      <c r="B566" s="9" t="s">
        <v>10763</v>
      </c>
      <c r="C566" s="9" t="s">
        <v>12</v>
      </c>
      <c r="D566" s="9" t="s">
        <v>10764</v>
      </c>
      <c r="E566" s="9"/>
      <c r="F566" s="9" t="s">
        <v>1492</v>
      </c>
      <c r="G566" s="9"/>
      <c r="H566" s="9" t="s">
        <v>3920</v>
      </c>
      <c r="I566" s="9" t="s">
        <v>3921</v>
      </c>
      <c r="J566" s="9" t="s">
        <v>3919</v>
      </c>
      <c r="K566" s="9" t="s">
        <v>10765</v>
      </c>
      <c r="L566" s="9"/>
      <c r="M566" s="9" t="str">
        <f>HYPERLINK("https://ceds.ed.gov/cedselementdetails.aspx?termid=13673")</f>
        <v>https://ceds.ed.gov/cedselementdetails.aspx?termid=13673</v>
      </c>
      <c r="N566" s="9" t="str">
        <f>HYPERLINK("https://ceds.ed.gov/elementComment.aspx?elementName=Competency Framework Creator &amp;elementID=13673", "Click here to submit comment")</f>
        <v>Click here to submit comment</v>
      </c>
    </row>
    <row r="567" spans="1:14" ht="75" x14ac:dyDescent="0.25">
      <c r="A567" s="9" t="s">
        <v>10766</v>
      </c>
      <c r="B567" s="9" t="s">
        <v>10767</v>
      </c>
      <c r="C567" s="9" t="s">
        <v>12</v>
      </c>
      <c r="D567" s="9" t="s">
        <v>10764</v>
      </c>
      <c r="E567" s="9"/>
      <c r="F567" s="9" t="s">
        <v>68</v>
      </c>
      <c r="G567" s="9"/>
      <c r="H567" s="9"/>
      <c r="I567" s="9" t="s">
        <v>3923</v>
      </c>
      <c r="J567" s="9" t="s">
        <v>3922</v>
      </c>
      <c r="K567" s="9" t="s">
        <v>10768</v>
      </c>
      <c r="L567" s="9"/>
      <c r="M567" s="9" t="str">
        <f>HYPERLINK("https://ceds.ed.gov/cedselementdetails.aspx?termid=13674")</f>
        <v>https://ceds.ed.gov/cedselementdetails.aspx?termid=13674</v>
      </c>
      <c r="N567" s="9" t="str">
        <f>HYPERLINK("https://ceds.ed.gov/elementComment.aspx?elementName=Competency Framework Description &amp;elementID=13674", "Click here to submit comment")</f>
        <v>Click here to submit comment</v>
      </c>
    </row>
    <row r="568" spans="1:14" ht="165" x14ac:dyDescent="0.25">
      <c r="A568" s="9" t="s">
        <v>10769</v>
      </c>
      <c r="B568" s="9" t="s">
        <v>10770</v>
      </c>
      <c r="C568" s="9" t="s">
        <v>12</v>
      </c>
      <c r="D568" s="9" t="s">
        <v>10771</v>
      </c>
      <c r="E568" s="9"/>
      <c r="F568" s="9" t="s">
        <v>1143</v>
      </c>
      <c r="G568" s="9"/>
      <c r="H568" s="9"/>
      <c r="I568" s="9" t="s">
        <v>3925</v>
      </c>
      <c r="J568" s="9" t="s">
        <v>3924</v>
      </c>
      <c r="K568" s="9" t="s">
        <v>10772</v>
      </c>
      <c r="L568" s="9" t="s">
        <v>795</v>
      </c>
      <c r="M568" s="9" t="str">
        <f>HYPERLINK("https://ceds.ed.gov/cedselementdetails.aspx?termid=13670")</f>
        <v>https://ceds.ed.gov/cedselementdetails.aspx?termid=13670</v>
      </c>
      <c r="N568" s="9" t="str">
        <f>HYPERLINK("https://ceds.ed.gov/elementComment.aspx?elementName=Competency Framework Identifier URI &amp;elementID=13670", "Click here to submit comment")</f>
        <v>Click here to submit comment</v>
      </c>
    </row>
    <row r="569" spans="1:14" ht="75" x14ac:dyDescent="0.25">
      <c r="A569" s="9" t="s">
        <v>10773</v>
      </c>
      <c r="B569" s="9" t="s">
        <v>3927</v>
      </c>
      <c r="C569" s="9" t="s">
        <v>12</v>
      </c>
      <c r="D569" s="9" t="s">
        <v>10764</v>
      </c>
      <c r="E569" s="9"/>
      <c r="F569" s="9" t="s">
        <v>1492</v>
      </c>
      <c r="G569" s="9"/>
      <c r="H569" s="9"/>
      <c r="I569" s="9" t="s">
        <v>3928</v>
      </c>
      <c r="J569" s="9" t="s">
        <v>3926</v>
      </c>
      <c r="K569" s="9" t="s">
        <v>10774</v>
      </c>
      <c r="L569" s="9"/>
      <c r="M569" s="9" t="str">
        <f>HYPERLINK("https://ceds.ed.gov/cedselementdetails.aspx?termid=13676")</f>
        <v>https://ceds.ed.gov/cedselementdetails.aspx?termid=13676</v>
      </c>
      <c r="N569" s="9" t="str">
        <f>HYPERLINK("https://ceds.ed.gov/elementComment.aspx?elementName=Competency Framework Jurisdiction &amp;elementID=13676", "Click here to submit comment")</f>
        <v>Click here to submit comment</v>
      </c>
    </row>
    <row r="570" spans="1:14" ht="90" x14ac:dyDescent="0.25">
      <c r="A570" s="9" t="s">
        <v>10775</v>
      </c>
      <c r="B570" s="9" t="s">
        <v>10776</v>
      </c>
      <c r="C570" s="11" t="s">
        <v>966</v>
      </c>
      <c r="D570" s="9" t="s">
        <v>10764</v>
      </c>
      <c r="E570" s="9"/>
      <c r="F570" s="9"/>
      <c r="G570" s="9"/>
      <c r="H570" s="11" t="s">
        <v>967</v>
      </c>
      <c r="I570" s="9" t="s">
        <v>3930</v>
      </c>
      <c r="J570" s="9" t="s">
        <v>3929</v>
      </c>
      <c r="K570" s="9" t="s">
        <v>10777</v>
      </c>
      <c r="L570" s="9"/>
      <c r="M570" s="9" t="str">
        <f>HYPERLINK("https://ceds.ed.gov/cedselementdetails.aspx?termid=13880")</f>
        <v>https://ceds.ed.gov/cedselementdetails.aspx?termid=13880</v>
      </c>
      <c r="N570" s="9" t="str">
        <f>HYPERLINK("https://ceds.ed.gov/elementComment.aspx?elementName=Competency Framework Language &amp;elementID=13880", "Click here to submit comment")</f>
        <v>Click here to submit comment</v>
      </c>
    </row>
    <row r="571" spans="1:14" ht="75" x14ac:dyDescent="0.25">
      <c r="A571" s="9" t="s">
        <v>10778</v>
      </c>
      <c r="B571" s="9" t="s">
        <v>10779</v>
      </c>
      <c r="C571" s="9" t="s">
        <v>12</v>
      </c>
      <c r="D571" s="9" t="s">
        <v>10764</v>
      </c>
      <c r="E571" s="9"/>
      <c r="F571" s="9" t="s">
        <v>68</v>
      </c>
      <c r="G571" s="9"/>
      <c r="H571" s="9"/>
      <c r="I571" s="9" t="s">
        <v>3932</v>
      </c>
      <c r="J571" s="9" t="s">
        <v>3931</v>
      </c>
      <c r="K571" s="9" t="s">
        <v>10780</v>
      </c>
      <c r="L571" s="9"/>
      <c r="M571" s="9" t="str">
        <f>HYPERLINK("https://ceds.ed.gov/cedselementdetails.aspx?termid=13882")</f>
        <v>https://ceds.ed.gov/cedselementdetails.aspx?termid=13882</v>
      </c>
      <c r="N571" s="9" t="str">
        <f>HYPERLINK("https://ceds.ed.gov/elementComment.aspx?elementName=Competency Framework License &amp;elementID=13882", "Click here to submit comment")</f>
        <v>Click here to submit comment</v>
      </c>
    </row>
    <row r="572" spans="1:14" ht="45" x14ac:dyDescent="0.25">
      <c r="A572" s="9" t="s">
        <v>10781</v>
      </c>
      <c r="B572" s="9" t="s">
        <v>3934</v>
      </c>
      <c r="C572" s="9" t="s">
        <v>12</v>
      </c>
      <c r="D572" s="9" t="s">
        <v>10782</v>
      </c>
      <c r="E572" s="9"/>
      <c r="F572" s="9" t="s">
        <v>73</v>
      </c>
      <c r="G572" s="9"/>
      <c r="H572" s="9" t="s">
        <v>3935</v>
      </c>
      <c r="I572" s="9" t="s">
        <v>3936</v>
      </c>
      <c r="J572" s="9" t="s">
        <v>3933</v>
      </c>
      <c r="K572" s="9" t="s">
        <v>10783</v>
      </c>
      <c r="L572" s="9"/>
      <c r="M572" s="9" t="str">
        <f>HYPERLINK("https://ceds.ed.gov/cedselementdetails.aspx?termid=14548")</f>
        <v>https://ceds.ed.gov/cedselementdetails.aspx?termid=14548</v>
      </c>
      <c r="N572" s="9" t="str">
        <f>HYPERLINK("https://ceds.ed.gov/elementComment.aspx?elementName=Competency Framework Publication Date &amp;elementID=14548", "Click here to submit comment")</f>
        <v>Click here to submit comment</v>
      </c>
    </row>
    <row r="573" spans="1:14" ht="90" x14ac:dyDescent="0.25">
      <c r="A573" s="9" t="s">
        <v>10784</v>
      </c>
      <c r="B573" s="9" t="s">
        <v>10785</v>
      </c>
      <c r="C573" s="10" t="s">
        <v>6593</v>
      </c>
      <c r="D573" s="9" t="s">
        <v>10764</v>
      </c>
      <c r="E573" s="9"/>
      <c r="F573" s="9"/>
      <c r="G573" s="9"/>
      <c r="H573" s="9"/>
      <c r="I573" s="9" t="s">
        <v>3938</v>
      </c>
      <c r="J573" s="9" t="s">
        <v>3937</v>
      </c>
      <c r="K573" s="9" t="s">
        <v>10786</v>
      </c>
      <c r="L573" s="9"/>
      <c r="M573" s="9" t="str">
        <f>HYPERLINK("https://ceds.ed.gov/cedselementdetails.aspx?termid=13675")</f>
        <v>https://ceds.ed.gov/cedselementdetails.aspx?termid=13675</v>
      </c>
      <c r="N573" s="9" t="str">
        <f>HYPERLINK("https://ceds.ed.gov/elementComment.aspx?elementName=Competency Framework Publication Status &amp;elementID=13675", "Click here to submit comment")</f>
        <v>Click here to submit comment</v>
      </c>
    </row>
    <row r="574" spans="1:14" ht="75" x14ac:dyDescent="0.25">
      <c r="A574" s="9" t="s">
        <v>10787</v>
      </c>
      <c r="B574" s="9" t="s">
        <v>10788</v>
      </c>
      <c r="C574" s="9" t="s">
        <v>12</v>
      </c>
      <c r="D574" s="9" t="s">
        <v>10764</v>
      </c>
      <c r="E574" s="9"/>
      <c r="F574" s="9" t="s">
        <v>87</v>
      </c>
      <c r="G574" s="9"/>
      <c r="H574" s="9"/>
      <c r="I574" s="9" t="s">
        <v>3940</v>
      </c>
      <c r="J574" s="9" t="s">
        <v>3939</v>
      </c>
      <c r="K574" s="9" t="s">
        <v>10789</v>
      </c>
      <c r="L574" s="9"/>
      <c r="M574" s="9" t="str">
        <f>HYPERLINK("https://ceds.ed.gov/cedselementdetails.aspx?termid=13884")</f>
        <v>https://ceds.ed.gov/cedselementdetails.aspx?termid=13884</v>
      </c>
      <c r="N574" s="9" t="str">
        <f>HYPERLINK("https://ceds.ed.gov/elementComment.aspx?elementName=Competency Framework Publisher &amp;elementID=13884", "Click here to submit comment")</f>
        <v>Click here to submit comment</v>
      </c>
    </row>
    <row r="575" spans="1:14" ht="75" x14ac:dyDescent="0.25">
      <c r="A575" s="9" t="s">
        <v>10790</v>
      </c>
      <c r="B575" s="9" t="s">
        <v>3942</v>
      </c>
      <c r="C575" s="9" t="s">
        <v>12</v>
      </c>
      <c r="D575" s="9" t="s">
        <v>10764</v>
      </c>
      <c r="E575" s="9"/>
      <c r="F575" s="9" t="s">
        <v>68</v>
      </c>
      <c r="G575" s="9"/>
      <c r="H575" s="9"/>
      <c r="I575" s="9" t="s">
        <v>3943</v>
      </c>
      <c r="J575" s="9" t="s">
        <v>3941</v>
      </c>
      <c r="K575" s="9" t="s">
        <v>10791</v>
      </c>
      <c r="L575" s="9"/>
      <c r="M575" s="9" t="str">
        <f>HYPERLINK("https://ceds.ed.gov/cedselementdetails.aspx?termid=13885")</f>
        <v>https://ceds.ed.gov/cedselementdetails.aspx?termid=13885</v>
      </c>
      <c r="N575" s="9" t="str">
        <f>HYPERLINK("https://ceds.ed.gov/elementComment.aspx?elementName=Competency Framework Rights &amp;elementID=13885", "Click here to submit comment")</f>
        <v>Click here to submit comment</v>
      </c>
    </row>
    <row r="576" spans="1:14" ht="75" x14ac:dyDescent="0.25">
      <c r="A576" s="9" t="s">
        <v>10792</v>
      </c>
      <c r="B576" s="9" t="s">
        <v>10793</v>
      </c>
      <c r="C576" s="9" t="s">
        <v>12</v>
      </c>
      <c r="D576" s="9" t="s">
        <v>10764</v>
      </c>
      <c r="E576" s="9"/>
      <c r="F576" s="9" t="s">
        <v>87</v>
      </c>
      <c r="G576" s="9"/>
      <c r="H576" s="9"/>
      <c r="I576" s="9" t="s">
        <v>3945</v>
      </c>
      <c r="J576" s="9" t="s">
        <v>3944</v>
      </c>
      <c r="K576" s="9" t="s">
        <v>10794</v>
      </c>
      <c r="L576" s="9"/>
      <c r="M576" s="9" t="str">
        <f>HYPERLINK("https://ceds.ed.gov/cedselementdetails.aspx?termid=13886")</f>
        <v>https://ceds.ed.gov/cedselementdetails.aspx?termid=13886</v>
      </c>
      <c r="N576" s="9" t="str">
        <f>HYPERLINK("https://ceds.ed.gov/elementComment.aspx?elementName=Competency Framework Rights Holder &amp;elementID=13886", "Click here to submit comment")</f>
        <v>Click here to submit comment</v>
      </c>
    </row>
    <row r="577" spans="1:14" ht="75" x14ac:dyDescent="0.25">
      <c r="A577" s="9" t="s">
        <v>10795</v>
      </c>
      <c r="B577" s="9" t="s">
        <v>10796</v>
      </c>
      <c r="C577" s="9" t="s">
        <v>12</v>
      </c>
      <c r="D577" s="9" t="s">
        <v>10764</v>
      </c>
      <c r="E577" s="9"/>
      <c r="F577" s="9" t="s">
        <v>87</v>
      </c>
      <c r="G577" s="9"/>
      <c r="H577" s="9"/>
      <c r="I577" s="9" t="s">
        <v>3947</v>
      </c>
      <c r="J577" s="9" t="s">
        <v>3946</v>
      </c>
      <c r="K577" s="9" t="s">
        <v>10797</v>
      </c>
      <c r="L577" s="9" t="s">
        <v>795</v>
      </c>
      <c r="M577" s="9" t="str">
        <f>HYPERLINK("https://ceds.ed.gov/cedselementdetails.aspx?termid=13679")</f>
        <v>https://ceds.ed.gov/cedselementdetails.aspx?termid=13679</v>
      </c>
      <c r="N577" s="9" t="str">
        <f>HYPERLINK("https://ceds.ed.gov/elementComment.aspx?elementName=Competency Framework Subject &amp;elementID=13679", "Click here to submit comment")</f>
        <v>Click here to submit comment</v>
      </c>
    </row>
    <row r="578" spans="1:14" ht="75" x14ac:dyDescent="0.25">
      <c r="A578" s="9" t="s">
        <v>10798</v>
      </c>
      <c r="B578" s="9" t="s">
        <v>10799</v>
      </c>
      <c r="C578" s="9" t="s">
        <v>12</v>
      </c>
      <c r="D578" s="9" t="s">
        <v>10764</v>
      </c>
      <c r="E578" s="9"/>
      <c r="F578" s="9" t="s">
        <v>1492</v>
      </c>
      <c r="G578" s="9"/>
      <c r="H578" s="9"/>
      <c r="I578" s="9" t="s">
        <v>3949</v>
      </c>
      <c r="J578" s="9" t="s">
        <v>3948</v>
      </c>
      <c r="K578" s="9" t="s">
        <v>10800</v>
      </c>
      <c r="L578" s="9" t="s">
        <v>795</v>
      </c>
      <c r="M578" s="9" t="str">
        <f>HYPERLINK("https://ceds.ed.gov/cedselementdetails.aspx?termid=13671")</f>
        <v>https://ceds.ed.gov/cedselementdetails.aspx?termid=13671</v>
      </c>
      <c r="N578" s="9" t="str">
        <f>HYPERLINK("https://ceds.ed.gov/elementComment.aspx?elementName=Competency Framework Title &amp;elementID=13671", "Click here to submit comment")</f>
        <v>Click here to submit comment</v>
      </c>
    </row>
    <row r="579" spans="1:14" ht="75" x14ac:dyDescent="0.25">
      <c r="A579" s="9" t="s">
        <v>10801</v>
      </c>
      <c r="B579" s="9" t="s">
        <v>10802</v>
      </c>
      <c r="C579" s="9" t="s">
        <v>12</v>
      </c>
      <c r="D579" s="9" t="s">
        <v>10764</v>
      </c>
      <c r="E579" s="9"/>
      <c r="F579" s="9" t="s">
        <v>73</v>
      </c>
      <c r="G579" s="9"/>
      <c r="H579" s="9"/>
      <c r="I579" s="9" t="s">
        <v>3951</v>
      </c>
      <c r="J579" s="9" t="s">
        <v>3950</v>
      </c>
      <c r="K579" s="9" t="s">
        <v>10803</v>
      </c>
      <c r="L579" s="9"/>
      <c r="M579" s="9" t="str">
        <f>HYPERLINK("https://ceds.ed.gov/cedselementdetails.aspx?termid=13678")</f>
        <v>https://ceds.ed.gov/cedselementdetails.aspx?termid=13678</v>
      </c>
      <c r="N579" s="9" t="str">
        <f>HYPERLINK("https://ceds.ed.gov/elementComment.aspx?elementName=Competency Framework Valid End Date &amp;elementID=13678", "Click here to submit comment")</f>
        <v>Click here to submit comment</v>
      </c>
    </row>
    <row r="580" spans="1:14" ht="75" x14ac:dyDescent="0.25">
      <c r="A580" s="9" t="s">
        <v>10804</v>
      </c>
      <c r="B580" s="9" t="s">
        <v>10805</v>
      </c>
      <c r="C580" s="9" t="s">
        <v>12</v>
      </c>
      <c r="D580" s="9" t="s">
        <v>10764</v>
      </c>
      <c r="E580" s="9"/>
      <c r="F580" s="9" t="s">
        <v>73</v>
      </c>
      <c r="G580" s="9"/>
      <c r="H580" s="9"/>
      <c r="I580" s="9" t="s">
        <v>3953</v>
      </c>
      <c r="J580" s="9" t="s">
        <v>3952</v>
      </c>
      <c r="K580" s="9" t="s">
        <v>10806</v>
      </c>
      <c r="L580" s="9"/>
      <c r="M580" s="9" t="str">
        <f>HYPERLINK("https://ceds.ed.gov/cedselementdetails.aspx?termid=13677")</f>
        <v>https://ceds.ed.gov/cedselementdetails.aspx?termid=13677</v>
      </c>
      <c r="N580" s="9" t="str">
        <f>HYPERLINK("https://ceds.ed.gov/elementComment.aspx?elementName=Competency Framework Valid Start Date &amp;elementID=13677", "Click here to submit comment")</f>
        <v>Click here to submit comment</v>
      </c>
    </row>
    <row r="581" spans="1:14" ht="75" x14ac:dyDescent="0.25">
      <c r="A581" s="9" t="s">
        <v>10807</v>
      </c>
      <c r="B581" s="9" t="s">
        <v>10808</v>
      </c>
      <c r="C581" s="9" t="s">
        <v>12</v>
      </c>
      <c r="D581" s="9" t="s">
        <v>10764</v>
      </c>
      <c r="E581" s="9"/>
      <c r="F581" s="9" t="s">
        <v>87</v>
      </c>
      <c r="G581" s="9"/>
      <c r="H581" s="9"/>
      <c r="I581" s="9" t="s">
        <v>3955</v>
      </c>
      <c r="J581" s="9" t="s">
        <v>3954</v>
      </c>
      <c r="K581" s="9" t="s">
        <v>10809</v>
      </c>
      <c r="L581" s="9" t="s">
        <v>795</v>
      </c>
      <c r="M581" s="9" t="str">
        <f>HYPERLINK("https://ceds.ed.gov/cedselementdetails.aspx?termid=13672")</f>
        <v>https://ceds.ed.gov/cedselementdetails.aspx?termid=13672</v>
      </c>
      <c r="N581" s="9" t="str">
        <f>HYPERLINK("https://ceds.ed.gov/elementComment.aspx?elementName=Competency Framework Version &amp;elementID=13672", "Click here to submit comment")</f>
        <v>Click here to submit comment</v>
      </c>
    </row>
    <row r="582" spans="1:14" ht="60" x14ac:dyDescent="0.25">
      <c r="A582" s="9" t="s">
        <v>10810</v>
      </c>
      <c r="B582" s="9" t="s">
        <v>10811</v>
      </c>
      <c r="C582" s="10" t="s">
        <v>6595</v>
      </c>
      <c r="D582" s="9" t="s">
        <v>10812</v>
      </c>
      <c r="E582" s="9" t="s">
        <v>91</v>
      </c>
      <c r="F582" s="9"/>
      <c r="G582" s="9" t="s">
        <v>10738</v>
      </c>
      <c r="H582" s="9"/>
      <c r="I582" s="9" t="s">
        <v>3979</v>
      </c>
      <c r="J582" s="9" t="s">
        <v>3978</v>
      </c>
      <c r="K582" s="9" t="s">
        <v>10813</v>
      </c>
      <c r="L582" s="9"/>
      <c r="M582" s="9" t="str">
        <f>HYPERLINK("https://ceds.ed.gov/cedselementdetails.aspx?termid=13875")</f>
        <v>https://ceds.ed.gov/cedselementdetails.aspx?termid=13875</v>
      </c>
      <c r="N582" s="9" t="str">
        <f>HYPERLINK("https://ceds.ed.gov/elementComment.aspx?elementName=Competency Item Blooms Taxonomy Domain &amp;elementID=13875", "Click here to submit comment")</f>
        <v>Click here to submit comment</v>
      </c>
    </row>
    <row r="583" spans="1:14" ht="150" x14ac:dyDescent="0.25">
      <c r="A583" s="9" t="s">
        <v>3983</v>
      </c>
      <c r="B583" s="9" t="s">
        <v>10814</v>
      </c>
      <c r="C583" s="9" t="s">
        <v>12</v>
      </c>
      <c r="D583" s="9" t="s">
        <v>10815</v>
      </c>
      <c r="E583" s="9" t="s">
        <v>91</v>
      </c>
      <c r="F583" s="9" t="s">
        <v>87</v>
      </c>
      <c r="G583" s="9" t="s">
        <v>10738</v>
      </c>
      <c r="H583" s="9" t="s">
        <v>3981</v>
      </c>
      <c r="I583" s="9" t="s">
        <v>3982</v>
      </c>
      <c r="J583" s="9" t="s">
        <v>3980</v>
      </c>
      <c r="K583" s="9" t="s">
        <v>10816</v>
      </c>
      <c r="L583" s="9"/>
      <c r="M583" s="9" t="str">
        <f>HYPERLINK("https://ceds.ed.gov/cedselementdetails.aspx?termid=13669")</f>
        <v>https://ceds.ed.gov/cedselementdetails.aspx?termid=13669</v>
      </c>
      <c r="N583" s="9" t="str">
        <f>HYPERLINK("https://ceds.ed.gov/elementComment.aspx?elementName=Competency Item Code &amp;elementID=13669", "Click here to submit comment")</f>
        <v>Click here to submit comment</v>
      </c>
    </row>
    <row r="584" spans="1:14" ht="60" x14ac:dyDescent="0.25">
      <c r="A584" s="9" t="s">
        <v>10817</v>
      </c>
      <c r="B584" s="9" t="s">
        <v>10818</v>
      </c>
      <c r="C584" s="9" t="s">
        <v>12</v>
      </c>
      <c r="D584" s="9" t="s">
        <v>10812</v>
      </c>
      <c r="E584" s="9" t="s">
        <v>91</v>
      </c>
      <c r="F584" s="9" t="s">
        <v>68</v>
      </c>
      <c r="G584" s="9" t="s">
        <v>10738</v>
      </c>
      <c r="H584" s="9"/>
      <c r="I584" s="9" t="s">
        <v>3985</v>
      </c>
      <c r="J584" s="9" t="s">
        <v>3984</v>
      </c>
      <c r="K584" s="9" t="s">
        <v>10819</v>
      </c>
      <c r="L584" s="9"/>
      <c r="M584" s="9" t="str">
        <f>HYPERLINK("https://ceds.ed.gov/cedselementdetails.aspx?termid=13887")</f>
        <v>https://ceds.ed.gov/cedselementdetails.aspx?termid=13887</v>
      </c>
      <c r="N584" s="9" t="str">
        <f>HYPERLINK("https://ceds.ed.gov/elementComment.aspx?elementName=Competency Item Concept Keyword &amp;elementID=13887", "Click here to submit comment")</f>
        <v>Click here to submit comment</v>
      </c>
    </row>
    <row r="585" spans="1:14" ht="75" x14ac:dyDescent="0.25">
      <c r="A585" s="9" t="s">
        <v>10820</v>
      </c>
      <c r="B585" s="9" t="s">
        <v>10821</v>
      </c>
      <c r="C585" s="9" t="s">
        <v>12</v>
      </c>
      <c r="D585" s="9" t="s">
        <v>10812</v>
      </c>
      <c r="E585" s="9" t="s">
        <v>91</v>
      </c>
      <c r="F585" s="9" t="s">
        <v>87</v>
      </c>
      <c r="G585" s="9" t="s">
        <v>10738</v>
      </c>
      <c r="H585" s="9"/>
      <c r="I585" s="9" t="s">
        <v>3987</v>
      </c>
      <c r="J585" s="9" t="s">
        <v>3986</v>
      </c>
      <c r="K585" s="9" t="s">
        <v>10822</v>
      </c>
      <c r="L585" s="9"/>
      <c r="M585" s="9" t="str">
        <f>HYPERLINK("https://ceds.ed.gov/cedselementdetails.aspx?termid=13888")</f>
        <v>https://ceds.ed.gov/cedselementdetails.aspx?termid=13888</v>
      </c>
      <c r="N585" s="9" t="str">
        <f>HYPERLINK("https://ceds.ed.gov/elementComment.aspx?elementName=Competency Item Concept Term &amp;elementID=13888", "Click here to submit comment")</f>
        <v>Click here to submit comment</v>
      </c>
    </row>
    <row r="586" spans="1:14" ht="240" x14ac:dyDescent="0.25">
      <c r="A586" s="9" t="s">
        <v>10823</v>
      </c>
      <c r="B586" s="9" t="s">
        <v>10824</v>
      </c>
      <c r="C586" s="9" t="s">
        <v>6106</v>
      </c>
      <c r="D586" s="9" t="s">
        <v>10812</v>
      </c>
      <c r="E586" s="9" t="s">
        <v>91</v>
      </c>
      <c r="F586" s="9"/>
      <c r="G586" s="9" t="s">
        <v>10738</v>
      </c>
      <c r="H586" s="9" t="s">
        <v>3989</v>
      </c>
      <c r="I586" s="9" t="s">
        <v>3990</v>
      </c>
      <c r="J586" s="9" t="s">
        <v>3988</v>
      </c>
      <c r="K586" s="9" t="s">
        <v>10825</v>
      </c>
      <c r="L586" s="9"/>
      <c r="M586" s="9" t="str">
        <f>HYPERLINK("https://ceds.ed.gov/cedselementdetails.aspx?termid=14499")</f>
        <v>https://ceds.ed.gov/cedselementdetails.aspx?termid=14499</v>
      </c>
      <c r="N586" s="9" t="str">
        <f>HYPERLINK("https://ceds.ed.gov/elementComment.aspx?elementName=Competency Item Current Version Indicator &amp;elementID=14499", "Click here to submit comment")</f>
        <v>Click here to submit comment</v>
      </c>
    </row>
    <row r="587" spans="1:14" ht="409.5" x14ac:dyDescent="0.25">
      <c r="A587" s="9" t="s">
        <v>10826</v>
      </c>
      <c r="B587" s="9" t="s">
        <v>10827</v>
      </c>
      <c r="C587" s="10" t="s">
        <v>6377</v>
      </c>
      <c r="D587" s="9" t="s">
        <v>10812</v>
      </c>
      <c r="E587" s="9" t="s">
        <v>91</v>
      </c>
      <c r="F587" s="9"/>
      <c r="G587" s="9" t="s">
        <v>10738</v>
      </c>
      <c r="H587" s="9" t="s">
        <v>3992</v>
      </c>
      <c r="I587" s="9" t="s">
        <v>3993</v>
      </c>
      <c r="J587" s="9" t="s">
        <v>3991</v>
      </c>
      <c r="K587" s="9" t="s">
        <v>10828</v>
      </c>
      <c r="L587" s="9"/>
      <c r="M587" s="9" t="str">
        <f>HYPERLINK("https://ceds.ed.gov/cedselementdetails.aspx?termid=13701")</f>
        <v>https://ceds.ed.gov/cedselementdetails.aspx?termid=13701</v>
      </c>
      <c r="N587" s="9" t="str">
        <f>HYPERLINK("https://ceds.ed.gov/elementComment.aspx?elementName=Competency Item Education Level &amp;elementID=13701", "Click here to submit comment")</f>
        <v>Click here to submit comment</v>
      </c>
    </row>
    <row r="588" spans="1:14" ht="105" x14ac:dyDescent="0.25">
      <c r="A588" s="18" t="s">
        <v>3996</v>
      </c>
      <c r="B588" s="18" t="s">
        <v>10829</v>
      </c>
      <c r="C588" s="18" t="s">
        <v>12</v>
      </c>
      <c r="D588" s="18" t="s">
        <v>10812</v>
      </c>
      <c r="E588" s="18" t="s">
        <v>91</v>
      </c>
      <c r="F588" s="18" t="s">
        <v>119</v>
      </c>
      <c r="G588" s="18" t="s">
        <v>10738</v>
      </c>
      <c r="H588" s="9" t="s">
        <v>120</v>
      </c>
      <c r="I588" s="18" t="s">
        <v>3995</v>
      </c>
      <c r="J588" s="18" t="s">
        <v>3994</v>
      </c>
      <c r="K588" s="18" t="s">
        <v>10830</v>
      </c>
      <c r="L588" s="18" t="s">
        <v>795</v>
      </c>
      <c r="M588" s="18" t="str">
        <f>HYPERLINK("https://ceds.ed.gov/cedselementdetails.aspx?termid=13666")</f>
        <v>https://ceds.ed.gov/cedselementdetails.aspx?termid=13666</v>
      </c>
      <c r="N588" s="18" t="str">
        <f>HYPERLINK("https://ceds.ed.gov/elementComment.aspx?elementName=Competency Item Identifier &amp;elementID=13666", "Click here to submit comment")</f>
        <v>Click here to submit comment</v>
      </c>
    </row>
    <row r="589" spans="1:14" x14ac:dyDescent="0.25">
      <c r="A589" s="18"/>
      <c r="B589" s="18"/>
      <c r="C589" s="18"/>
      <c r="D589" s="18"/>
      <c r="E589" s="18"/>
      <c r="F589" s="18"/>
      <c r="G589" s="18"/>
      <c r="H589" s="9"/>
      <c r="I589" s="18"/>
      <c r="J589" s="18"/>
      <c r="K589" s="18"/>
      <c r="L589" s="18"/>
      <c r="M589" s="18"/>
      <c r="N589" s="18"/>
    </row>
    <row r="590" spans="1:14" ht="90" x14ac:dyDescent="0.25">
      <c r="A590" s="18"/>
      <c r="B590" s="18"/>
      <c r="C590" s="18"/>
      <c r="D590" s="18"/>
      <c r="E590" s="18"/>
      <c r="F590" s="18"/>
      <c r="G590" s="18"/>
      <c r="H590" s="9" t="s">
        <v>121</v>
      </c>
      <c r="I590" s="18"/>
      <c r="J590" s="18"/>
      <c r="K590" s="18"/>
      <c r="L590" s="18"/>
      <c r="M590" s="18"/>
      <c r="N590" s="18"/>
    </row>
    <row r="591" spans="1:14" ht="90" x14ac:dyDescent="0.25">
      <c r="A591" s="9" t="s">
        <v>10831</v>
      </c>
      <c r="B591" s="9" t="s">
        <v>10832</v>
      </c>
      <c r="C591" s="11" t="s">
        <v>966</v>
      </c>
      <c r="D591" s="9" t="s">
        <v>10812</v>
      </c>
      <c r="E591" s="9" t="s">
        <v>91</v>
      </c>
      <c r="F591" s="9"/>
      <c r="G591" s="9" t="s">
        <v>10738</v>
      </c>
      <c r="H591" s="11" t="s">
        <v>967</v>
      </c>
      <c r="I591" s="9" t="s">
        <v>3998</v>
      </c>
      <c r="J591" s="9" t="s">
        <v>3997</v>
      </c>
      <c r="K591" s="9" t="s">
        <v>10833</v>
      </c>
      <c r="L591" s="9"/>
      <c r="M591" s="9" t="str">
        <f>HYPERLINK("https://ceds.ed.gov/cedselementdetails.aspx?termid=13881")</f>
        <v>https://ceds.ed.gov/cedselementdetails.aspx?termid=13881</v>
      </c>
      <c r="N591" s="9" t="str">
        <f>HYPERLINK("https://ceds.ed.gov/elementComment.aspx?elementName=Competency Item Language &amp;elementID=13881", "Click here to submit comment")</f>
        <v>Click here to submit comment</v>
      </c>
    </row>
    <row r="592" spans="1:14" ht="15" customHeight="1" x14ac:dyDescent="0.25">
      <c r="A592" s="9" t="s">
        <v>10834</v>
      </c>
      <c r="B592" s="9" t="s">
        <v>10835</v>
      </c>
      <c r="C592" s="9" t="s">
        <v>12</v>
      </c>
      <c r="D592" s="9" t="s">
        <v>10812</v>
      </c>
      <c r="E592" s="9" t="s">
        <v>91</v>
      </c>
      <c r="F592" s="9" t="s">
        <v>68</v>
      </c>
      <c r="G592" s="9" t="s">
        <v>10738</v>
      </c>
      <c r="H592" s="9"/>
      <c r="I592" s="9" t="s">
        <v>4000</v>
      </c>
      <c r="J592" s="9" t="s">
        <v>3999</v>
      </c>
      <c r="K592" s="9" t="s">
        <v>10836</v>
      </c>
      <c r="L592" s="9"/>
      <c r="M592" s="9" t="str">
        <f>HYPERLINK("https://ceds.ed.gov/cedselementdetails.aspx?termid=13883")</f>
        <v>https://ceds.ed.gov/cedselementdetails.aspx?termid=13883</v>
      </c>
      <c r="N592" s="9" t="str">
        <f>HYPERLINK("https://ceds.ed.gov/elementComment.aspx?elementName=Competency Item License &amp;elementID=13883", "Click here to submit comment")</f>
        <v>Click here to submit comment</v>
      </c>
    </row>
    <row r="593" spans="1:14" ht="15" customHeight="1" x14ac:dyDescent="0.25">
      <c r="A593" s="9" t="s">
        <v>10837</v>
      </c>
      <c r="B593" s="9" t="s">
        <v>10838</v>
      </c>
      <c r="C593" s="10" t="s">
        <v>6596</v>
      </c>
      <c r="D593" s="9" t="s">
        <v>10812</v>
      </c>
      <c r="E593" s="9" t="s">
        <v>91</v>
      </c>
      <c r="F593" s="9"/>
      <c r="G593" s="9" t="s">
        <v>10738</v>
      </c>
      <c r="H593" s="9"/>
      <c r="I593" s="9" t="s">
        <v>4002</v>
      </c>
      <c r="J593" s="9" t="s">
        <v>4001</v>
      </c>
      <c r="K593" s="9" t="s">
        <v>10839</v>
      </c>
      <c r="L593" s="9"/>
      <c r="M593" s="9" t="str">
        <f>HYPERLINK("https://ceds.ed.gov/cedselementdetails.aspx?termid=13876")</f>
        <v>https://ceds.ed.gov/cedselementdetails.aspx?termid=13876</v>
      </c>
      <c r="N593" s="9" t="str">
        <f>HYPERLINK("https://ceds.ed.gov/elementComment.aspx?elementName=Competency Item Multiple Intelligence &amp;elementID=13876", "Click here to submit comment")</f>
        <v>Click here to submit comment</v>
      </c>
    </row>
    <row r="594" spans="1:14" ht="15" customHeight="1" x14ac:dyDescent="0.25">
      <c r="A594" s="9" t="s">
        <v>10840</v>
      </c>
      <c r="B594" s="9" t="s">
        <v>10841</v>
      </c>
      <c r="C594" s="10" t="s">
        <v>6597</v>
      </c>
      <c r="D594" s="9" t="s">
        <v>10842</v>
      </c>
      <c r="E594" s="9" t="s">
        <v>91</v>
      </c>
      <c r="F594" s="9"/>
      <c r="G594" s="9" t="s">
        <v>10738</v>
      </c>
      <c r="H594" s="9"/>
      <c r="I594" s="9" t="s">
        <v>4004</v>
      </c>
      <c r="J594" s="9" t="s">
        <v>4003</v>
      </c>
      <c r="K594" s="9" t="s">
        <v>10843</v>
      </c>
      <c r="L594" s="9"/>
      <c r="M594" s="9" t="str">
        <f>HYPERLINK("https://ceds.ed.gov/cedselementdetails.aspx?termid=14377")</f>
        <v>https://ceds.ed.gov/cedselementdetails.aspx?termid=14377</v>
      </c>
      <c r="N594" s="9" t="str">
        <f>HYPERLINK("https://ceds.ed.gov/elementComment.aspx?elementName=Competency Item Node Accessibility Profile &amp;elementID=14377", "Click here to submit comment")</f>
        <v>Click here to submit comment</v>
      </c>
    </row>
    <row r="595" spans="1:14" ht="45" x14ac:dyDescent="0.25">
      <c r="A595" s="9" t="s">
        <v>10844</v>
      </c>
      <c r="B595" s="9" t="s">
        <v>10845</v>
      </c>
      <c r="C595" s="9" t="s">
        <v>12</v>
      </c>
      <c r="D595" s="9" t="s">
        <v>10842</v>
      </c>
      <c r="E595" s="9" t="s">
        <v>91</v>
      </c>
      <c r="F595" s="9" t="s">
        <v>87</v>
      </c>
      <c r="G595" s="9" t="s">
        <v>10738</v>
      </c>
      <c r="H595" s="9"/>
      <c r="I595" s="9" t="s">
        <v>4006</v>
      </c>
      <c r="J595" s="9" t="s">
        <v>4005</v>
      </c>
      <c r="K595" s="9" t="s">
        <v>10846</v>
      </c>
      <c r="L595" s="9"/>
      <c r="M595" s="9" t="str">
        <f>HYPERLINK("https://ceds.ed.gov/cedselementdetails.aspx?termid=14378")</f>
        <v>https://ceds.ed.gov/cedselementdetails.aspx?termid=14378</v>
      </c>
      <c r="N595" s="9" t="str">
        <f>HYPERLINK("https://ceds.ed.gov/elementComment.aspx?elementName=Competency Item Node Name &amp;elementID=14378", "Click here to submit comment")</f>
        <v>Click here to submit comment</v>
      </c>
    </row>
    <row r="596" spans="1:14" ht="60" x14ac:dyDescent="0.25">
      <c r="A596" s="9" t="s">
        <v>10847</v>
      </c>
      <c r="B596" s="9" t="s">
        <v>10848</v>
      </c>
      <c r="C596" s="9" t="s">
        <v>12</v>
      </c>
      <c r="D596" s="9" t="s">
        <v>10812</v>
      </c>
      <c r="E596" s="9" t="s">
        <v>91</v>
      </c>
      <c r="F596" s="9" t="s">
        <v>303</v>
      </c>
      <c r="G596" s="9" t="s">
        <v>10738</v>
      </c>
      <c r="H596" s="9"/>
      <c r="I596" s="9" t="s">
        <v>4008</v>
      </c>
      <c r="J596" s="9" t="s">
        <v>4007</v>
      </c>
      <c r="K596" s="9" t="s">
        <v>10849</v>
      </c>
      <c r="L596" s="9"/>
      <c r="M596" s="9" t="str">
        <f>HYPERLINK("https://ceds.ed.gov/cedselementdetails.aspx?termid=14215")</f>
        <v>https://ceds.ed.gov/cedselementdetails.aspx?termid=14215</v>
      </c>
      <c r="N596" s="9" t="str">
        <f>HYPERLINK("https://ceds.ed.gov/elementComment.aspx?elementName=Competency Item Notes &amp;elementID=14215", "Click here to submit comment")</f>
        <v>Click here to submit comment</v>
      </c>
    </row>
    <row r="597" spans="1:14" ht="60" x14ac:dyDescent="0.25">
      <c r="A597" s="9" t="s">
        <v>10850</v>
      </c>
      <c r="B597" s="9" t="s">
        <v>10851</v>
      </c>
      <c r="C597" s="9" t="s">
        <v>12</v>
      </c>
      <c r="D597" s="9" t="s">
        <v>10812</v>
      </c>
      <c r="E597" s="9" t="s">
        <v>91</v>
      </c>
      <c r="F597" s="9" t="s">
        <v>87</v>
      </c>
      <c r="G597" s="9" t="s">
        <v>10738</v>
      </c>
      <c r="H597" s="9"/>
      <c r="I597" s="9" t="s">
        <v>4010</v>
      </c>
      <c r="J597" s="9" t="s">
        <v>4009</v>
      </c>
      <c r="K597" s="9" t="s">
        <v>10852</v>
      </c>
      <c r="L597" s="9"/>
      <c r="M597" s="9" t="str">
        <f>HYPERLINK("https://ceds.ed.gov/cedselementdetails.aspx?termid=13873")</f>
        <v>https://ceds.ed.gov/cedselementdetails.aspx?termid=13873</v>
      </c>
      <c r="N597" s="9" t="str">
        <f>HYPERLINK("https://ceds.ed.gov/elementComment.aspx?elementName=Competency Item Parent Code &amp;elementID=13873", "Click here to submit comment")</f>
        <v>Click here to submit comment</v>
      </c>
    </row>
    <row r="598" spans="1:14" ht="105" x14ac:dyDescent="0.25">
      <c r="A598" s="18" t="s">
        <v>10853</v>
      </c>
      <c r="B598" s="18" t="s">
        <v>10854</v>
      </c>
      <c r="C598" s="18" t="s">
        <v>12</v>
      </c>
      <c r="D598" s="18" t="s">
        <v>10812</v>
      </c>
      <c r="E598" s="18" t="s">
        <v>91</v>
      </c>
      <c r="F598" s="18" t="s">
        <v>119</v>
      </c>
      <c r="G598" s="18" t="s">
        <v>10738</v>
      </c>
      <c r="H598" s="9" t="s">
        <v>120</v>
      </c>
      <c r="I598" s="18" t="s">
        <v>4012</v>
      </c>
      <c r="J598" s="18" t="s">
        <v>4011</v>
      </c>
      <c r="K598" s="18" t="s">
        <v>10855</v>
      </c>
      <c r="L598" s="18"/>
      <c r="M598" s="18" t="str">
        <f>HYPERLINK("https://ceds.ed.gov/cedselementdetails.aspx?termid=13872")</f>
        <v>https://ceds.ed.gov/cedselementdetails.aspx?termid=13872</v>
      </c>
      <c r="N598" s="18" t="str">
        <f>HYPERLINK("https://ceds.ed.gov/elementComment.aspx?elementName=Competency Item Parent Identifier &amp;elementID=13872", "Click here to submit comment")</f>
        <v>Click here to submit comment</v>
      </c>
    </row>
    <row r="599" spans="1:14" x14ac:dyDescent="0.25">
      <c r="A599" s="18"/>
      <c r="B599" s="18"/>
      <c r="C599" s="18"/>
      <c r="D599" s="18"/>
      <c r="E599" s="18"/>
      <c r="F599" s="18"/>
      <c r="G599" s="18"/>
      <c r="H599" s="9"/>
      <c r="I599" s="18"/>
      <c r="J599" s="18"/>
      <c r="K599" s="18"/>
      <c r="L599" s="18"/>
      <c r="M599" s="18"/>
      <c r="N599" s="18"/>
    </row>
    <row r="600" spans="1:14" ht="90" x14ac:dyDescent="0.25">
      <c r="A600" s="18"/>
      <c r="B600" s="18"/>
      <c r="C600" s="18"/>
      <c r="D600" s="18"/>
      <c r="E600" s="18"/>
      <c r="F600" s="18"/>
      <c r="G600" s="18"/>
      <c r="H600" s="9" t="s">
        <v>121</v>
      </c>
      <c r="I600" s="18"/>
      <c r="J600" s="18"/>
      <c r="K600" s="18"/>
      <c r="L600" s="18"/>
      <c r="M600" s="18"/>
      <c r="N600" s="18"/>
    </row>
    <row r="601" spans="1:14" ht="75" x14ac:dyDescent="0.25">
      <c r="A601" s="9" t="s">
        <v>10856</v>
      </c>
      <c r="B601" s="9" t="s">
        <v>10857</v>
      </c>
      <c r="C601" s="9" t="s">
        <v>12</v>
      </c>
      <c r="D601" s="9" t="s">
        <v>10812</v>
      </c>
      <c r="E601" s="9" t="s">
        <v>91</v>
      </c>
      <c r="F601" s="9" t="s">
        <v>1143</v>
      </c>
      <c r="G601" s="9" t="s">
        <v>10738</v>
      </c>
      <c r="H601" s="9"/>
      <c r="I601" s="9" t="s">
        <v>4014</v>
      </c>
      <c r="J601" s="9" t="s">
        <v>4013</v>
      </c>
      <c r="K601" s="9" t="s">
        <v>10858</v>
      </c>
      <c r="L601" s="9"/>
      <c r="M601" s="9" t="str">
        <f>HYPERLINK("https://ceds.ed.gov/cedselementdetails.aspx?termid=14078")</f>
        <v>https://ceds.ed.gov/cedselementdetails.aspx?termid=14078</v>
      </c>
      <c r="N601" s="9" t="str">
        <f>HYPERLINK("https://ceds.ed.gov/elementComment.aspx?elementName=Competency Item Parent URL &amp;elementID=14078", "Click here to submit comment")</f>
        <v>Click here to submit comment</v>
      </c>
    </row>
    <row r="602" spans="1:14" ht="300" x14ac:dyDescent="0.25">
      <c r="A602" s="9" t="s">
        <v>10859</v>
      </c>
      <c r="B602" s="9" t="s">
        <v>10860</v>
      </c>
      <c r="C602" s="9" t="s">
        <v>12</v>
      </c>
      <c r="D602" s="9" t="s">
        <v>10812</v>
      </c>
      <c r="E602" s="9" t="s">
        <v>91</v>
      </c>
      <c r="F602" s="9" t="s">
        <v>119</v>
      </c>
      <c r="G602" s="9" t="s">
        <v>10738</v>
      </c>
      <c r="H602" s="9" t="s">
        <v>10861</v>
      </c>
      <c r="I602" s="9" t="s">
        <v>4016</v>
      </c>
      <c r="J602" s="9" t="s">
        <v>4015</v>
      </c>
      <c r="K602" s="9" t="s">
        <v>10862</v>
      </c>
      <c r="L602" s="9" t="s">
        <v>795</v>
      </c>
      <c r="M602" s="9" t="str">
        <f>HYPERLINK("https://ceds.ed.gov/cedselementdetails.aspx?termid=13691")</f>
        <v>https://ceds.ed.gov/cedselementdetails.aspx?termid=13691</v>
      </c>
      <c r="N602" s="9" t="str">
        <f>HYPERLINK("https://ceds.ed.gov/elementComment.aspx?elementName=Competency Item Prerequisite Identifier &amp;elementID=13691", "Click here to submit comment")</f>
        <v>Click here to submit comment</v>
      </c>
    </row>
    <row r="603" spans="1:14" ht="240" x14ac:dyDescent="0.25">
      <c r="A603" s="18" t="s">
        <v>10863</v>
      </c>
      <c r="B603" s="18" t="s">
        <v>10864</v>
      </c>
      <c r="C603" s="18" t="s">
        <v>12</v>
      </c>
      <c r="D603" s="18" t="s">
        <v>10812</v>
      </c>
      <c r="E603" s="18" t="s">
        <v>91</v>
      </c>
      <c r="F603" s="18" t="s">
        <v>119</v>
      </c>
      <c r="G603" s="18" t="s">
        <v>10738</v>
      </c>
      <c r="H603" s="9" t="s">
        <v>3989</v>
      </c>
      <c r="I603" s="18" t="s">
        <v>4018</v>
      </c>
      <c r="J603" s="18" t="s">
        <v>4017</v>
      </c>
      <c r="K603" s="18" t="s">
        <v>10865</v>
      </c>
      <c r="L603" s="18"/>
      <c r="M603" s="18" t="str">
        <f>HYPERLINK("https://ceds.ed.gov/cedselementdetails.aspx?termid=14498")</f>
        <v>https://ceds.ed.gov/cedselementdetails.aspx?termid=14498</v>
      </c>
      <c r="N603" s="18" t="str">
        <f>HYPERLINK("https://ceds.ed.gov/elementComment.aspx?elementName=Competency Item Previous Version Identifier &amp;elementID=14498", "Click here to submit comment")</f>
        <v>Click here to submit comment</v>
      </c>
    </row>
    <row r="604" spans="1:14" x14ac:dyDescent="0.25">
      <c r="A604" s="18"/>
      <c r="B604" s="18"/>
      <c r="C604" s="18"/>
      <c r="D604" s="18"/>
      <c r="E604" s="18"/>
      <c r="F604" s="18"/>
      <c r="G604" s="18"/>
      <c r="H604" s="9"/>
      <c r="I604" s="18"/>
      <c r="J604" s="18"/>
      <c r="K604" s="18"/>
      <c r="L604" s="18"/>
      <c r="M604" s="18"/>
      <c r="N604" s="18"/>
    </row>
    <row r="605" spans="1:14" x14ac:dyDescent="0.25">
      <c r="A605" s="18"/>
      <c r="B605" s="18"/>
      <c r="C605" s="18"/>
      <c r="D605" s="18"/>
      <c r="E605" s="18"/>
      <c r="F605" s="18"/>
      <c r="G605" s="18"/>
      <c r="H605" s="9"/>
      <c r="I605" s="18"/>
      <c r="J605" s="18"/>
      <c r="K605" s="18"/>
      <c r="L605" s="18"/>
      <c r="M605" s="18"/>
      <c r="N605" s="18"/>
    </row>
    <row r="606" spans="1:14" ht="105" x14ac:dyDescent="0.25">
      <c r="A606" s="18"/>
      <c r="B606" s="18"/>
      <c r="C606" s="18"/>
      <c r="D606" s="18"/>
      <c r="E606" s="18"/>
      <c r="F606" s="18"/>
      <c r="G606" s="18"/>
      <c r="H606" s="9" t="s">
        <v>120</v>
      </c>
      <c r="I606" s="18"/>
      <c r="J606" s="18"/>
      <c r="K606" s="18"/>
      <c r="L606" s="18"/>
      <c r="M606" s="18"/>
      <c r="N606" s="18"/>
    </row>
    <row r="607" spans="1:14" x14ac:dyDescent="0.25">
      <c r="A607" s="18"/>
      <c r="B607" s="18"/>
      <c r="C607" s="18"/>
      <c r="D607" s="18"/>
      <c r="E607" s="18"/>
      <c r="F607" s="18"/>
      <c r="G607" s="18"/>
      <c r="H607" s="9"/>
      <c r="I607" s="18"/>
      <c r="J607" s="18"/>
      <c r="K607" s="18"/>
      <c r="L607" s="18"/>
      <c r="M607" s="18"/>
      <c r="N607" s="18"/>
    </row>
    <row r="608" spans="1:14" x14ac:dyDescent="0.25">
      <c r="A608" s="18"/>
      <c r="B608" s="18"/>
      <c r="C608" s="18"/>
      <c r="D608" s="18"/>
      <c r="E608" s="18"/>
      <c r="F608" s="18"/>
      <c r="G608" s="18"/>
      <c r="H608" s="9"/>
      <c r="I608" s="18"/>
      <c r="J608" s="18"/>
      <c r="K608" s="18"/>
      <c r="L608" s="18"/>
      <c r="M608" s="18"/>
      <c r="N608" s="18"/>
    </row>
    <row r="609" spans="1:14" ht="90" x14ac:dyDescent="0.25">
      <c r="A609" s="18"/>
      <c r="B609" s="18"/>
      <c r="C609" s="18"/>
      <c r="D609" s="18"/>
      <c r="E609" s="18"/>
      <c r="F609" s="18"/>
      <c r="G609" s="18"/>
      <c r="H609" s="9" t="s">
        <v>121</v>
      </c>
      <c r="I609" s="18"/>
      <c r="J609" s="18"/>
      <c r="K609" s="18"/>
      <c r="L609" s="18"/>
      <c r="M609" s="18"/>
      <c r="N609" s="18"/>
    </row>
    <row r="610" spans="1:14" ht="75" x14ac:dyDescent="0.25">
      <c r="A610" s="9" t="s">
        <v>10866</v>
      </c>
      <c r="B610" s="9" t="s">
        <v>4020</v>
      </c>
      <c r="C610" s="9" t="s">
        <v>12</v>
      </c>
      <c r="D610" s="9" t="s">
        <v>10867</v>
      </c>
      <c r="E610" s="9" t="s">
        <v>91</v>
      </c>
      <c r="F610" s="9" t="s">
        <v>92</v>
      </c>
      <c r="G610" s="9" t="s">
        <v>10738</v>
      </c>
      <c r="H610" s="9" t="s">
        <v>4021</v>
      </c>
      <c r="I610" s="9" t="s">
        <v>4022</v>
      </c>
      <c r="J610" s="9" t="s">
        <v>4019</v>
      </c>
      <c r="K610" s="9" t="s">
        <v>10868</v>
      </c>
      <c r="L610" s="9"/>
      <c r="M610" s="9" t="str">
        <f>HYPERLINK("https://ceds.ed.gov/cedselementdetails.aspx?termid=14549")</f>
        <v>https://ceds.ed.gov/cedselementdetails.aspx?termid=14549</v>
      </c>
      <c r="N610" s="9" t="str">
        <f>HYPERLINK("https://ceds.ed.gov/elementComment.aspx?elementName=Competency Item Sequence &amp;elementID=14549", "Click here to submit comment")</f>
        <v>Click here to submit comment</v>
      </c>
    </row>
    <row r="611" spans="1:14" ht="225" x14ac:dyDescent="0.25">
      <c r="A611" s="9" t="s">
        <v>4026</v>
      </c>
      <c r="B611" s="9" t="s">
        <v>10869</v>
      </c>
      <c r="C611" s="9" t="s">
        <v>12</v>
      </c>
      <c r="D611" s="9" t="s">
        <v>10815</v>
      </c>
      <c r="E611" s="9" t="s">
        <v>91</v>
      </c>
      <c r="F611" s="9" t="s">
        <v>303</v>
      </c>
      <c r="G611" s="9" t="s">
        <v>10738</v>
      </c>
      <c r="H611" s="9" t="s">
        <v>4024</v>
      </c>
      <c r="I611" s="9" t="s">
        <v>4025</v>
      </c>
      <c r="J611" s="9" t="s">
        <v>4023</v>
      </c>
      <c r="K611" s="9" t="s">
        <v>10870</v>
      </c>
      <c r="L611" s="9" t="s">
        <v>795</v>
      </c>
      <c r="M611" s="9" t="str">
        <f>HYPERLINK("https://ceds.ed.gov/cedselementdetails.aspx?termid=13667")</f>
        <v>https://ceds.ed.gov/cedselementdetails.aspx?termid=13667</v>
      </c>
      <c r="N611" s="9" t="str">
        <f>HYPERLINK("https://ceds.ed.gov/elementComment.aspx?elementName=Competency Item Statement &amp;elementID=13667", "Click here to submit comment")</f>
        <v>Click here to submit comment</v>
      </c>
    </row>
    <row r="612" spans="1:14" ht="105" x14ac:dyDescent="0.25">
      <c r="A612" s="9" t="s">
        <v>10871</v>
      </c>
      <c r="B612" s="9" t="s">
        <v>10872</v>
      </c>
      <c r="C612" s="10" t="s">
        <v>6598</v>
      </c>
      <c r="D612" s="9" t="s">
        <v>10842</v>
      </c>
      <c r="E612" s="9" t="s">
        <v>91</v>
      </c>
      <c r="F612" s="9"/>
      <c r="G612" s="9" t="s">
        <v>10738</v>
      </c>
      <c r="H612" s="9"/>
      <c r="I612" s="9" t="s">
        <v>4028</v>
      </c>
      <c r="J612" s="9" t="s">
        <v>4027</v>
      </c>
      <c r="K612" s="9" t="s">
        <v>10873</v>
      </c>
      <c r="L612" s="9"/>
      <c r="M612" s="9" t="str">
        <f>HYPERLINK("https://ceds.ed.gov/cedselementdetails.aspx?termid=14380")</f>
        <v>https://ceds.ed.gov/cedselementdetails.aspx?termid=14380</v>
      </c>
      <c r="N612" s="9" t="str">
        <f>HYPERLINK("https://ceds.ed.gov/elementComment.aspx?elementName=Competency Item Testability Type &amp;elementID=14380", "Click here to submit comment")</f>
        <v>Click here to submit comment</v>
      </c>
    </row>
    <row r="613" spans="1:14" ht="75" x14ac:dyDescent="0.25">
      <c r="A613" s="9" t="s">
        <v>10874</v>
      </c>
      <c r="B613" s="9" t="s">
        <v>10875</v>
      </c>
      <c r="C613" s="9" t="s">
        <v>12</v>
      </c>
      <c r="D613" s="9" t="s">
        <v>10812</v>
      </c>
      <c r="E613" s="9" t="s">
        <v>91</v>
      </c>
      <c r="F613" s="9" t="s">
        <v>134</v>
      </c>
      <c r="G613" s="9" t="s">
        <v>10738</v>
      </c>
      <c r="H613" s="9"/>
      <c r="I613" s="9" t="s">
        <v>4030</v>
      </c>
      <c r="J613" s="9" t="s">
        <v>4029</v>
      </c>
      <c r="K613" s="9" t="s">
        <v>10876</v>
      </c>
      <c r="L613" s="9"/>
      <c r="M613" s="9" t="str">
        <f>HYPERLINK("https://ceds.ed.gov/cedselementdetails.aspx?termid=14115")</f>
        <v>https://ceds.ed.gov/cedselementdetails.aspx?termid=14115</v>
      </c>
      <c r="N613" s="9" t="str">
        <f>HYPERLINK("https://ceds.ed.gov/elementComment.aspx?elementName=Competency Item Text Complexity Maximum Value &amp;elementID=14115", "Click here to submit comment")</f>
        <v>Click here to submit comment</v>
      </c>
    </row>
    <row r="614" spans="1:14" ht="15" customHeight="1" x14ac:dyDescent="0.25">
      <c r="A614" s="9" t="s">
        <v>10877</v>
      </c>
      <c r="B614" s="9" t="s">
        <v>10878</v>
      </c>
      <c r="C614" s="9" t="s">
        <v>12</v>
      </c>
      <c r="D614" s="9" t="s">
        <v>10812</v>
      </c>
      <c r="E614" s="9" t="s">
        <v>91</v>
      </c>
      <c r="F614" s="9" t="s">
        <v>134</v>
      </c>
      <c r="G614" s="9" t="s">
        <v>10738</v>
      </c>
      <c r="H614" s="9"/>
      <c r="I614" s="9" t="s">
        <v>4032</v>
      </c>
      <c r="J614" s="9" t="s">
        <v>4031</v>
      </c>
      <c r="K614" s="9" t="s">
        <v>10879</v>
      </c>
      <c r="L614" s="9"/>
      <c r="M614" s="9" t="str">
        <f>HYPERLINK("https://ceds.ed.gov/cedselementdetails.aspx?termid=14114")</f>
        <v>https://ceds.ed.gov/cedselementdetails.aspx?termid=14114</v>
      </c>
      <c r="N614" s="9" t="str">
        <f>HYPERLINK("https://ceds.ed.gov/elementComment.aspx?elementName=Competency Item Text Complexity Minimum Value &amp;elementID=14114", "Click here to submit comment")</f>
        <v>Click here to submit comment</v>
      </c>
    </row>
    <row r="615" spans="1:14" ht="15" customHeight="1" x14ac:dyDescent="0.25">
      <c r="A615" s="9" t="s">
        <v>10880</v>
      </c>
      <c r="B615" s="9" t="s">
        <v>10881</v>
      </c>
      <c r="C615" s="9" t="s">
        <v>12</v>
      </c>
      <c r="D615" s="9" t="s">
        <v>10812</v>
      </c>
      <c r="E615" s="9" t="s">
        <v>91</v>
      </c>
      <c r="F615" s="9" t="s">
        <v>87</v>
      </c>
      <c r="G615" s="9" t="s">
        <v>10738</v>
      </c>
      <c r="H615" s="9"/>
      <c r="I615" s="9" t="s">
        <v>4034</v>
      </c>
      <c r="J615" s="9" t="s">
        <v>4033</v>
      </c>
      <c r="K615" s="9" t="s">
        <v>10882</v>
      </c>
      <c r="L615" s="9"/>
      <c r="M615" s="9" t="str">
        <f>HYPERLINK("https://ceds.ed.gov/cedselementdetails.aspx?termid=13910")</f>
        <v>https://ceds.ed.gov/cedselementdetails.aspx?termid=13910</v>
      </c>
      <c r="N615" s="9" t="str">
        <f>HYPERLINK("https://ceds.ed.gov/elementComment.aspx?elementName=Competency Item Text Complexity System &amp;elementID=13910", "Click here to submit comment")</f>
        <v>Click here to submit comment</v>
      </c>
    </row>
    <row r="616" spans="1:14" ht="15" customHeight="1" x14ac:dyDescent="0.25">
      <c r="A616" s="9" t="s">
        <v>4038</v>
      </c>
      <c r="B616" s="9" t="s">
        <v>4036</v>
      </c>
      <c r="C616" s="9" t="s">
        <v>12</v>
      </c>
      <c r="D616" s="9" t="s">
        <v>10812</v>
      </c>
      <c r="E616" s="9" t="s">
        <v>91</v>
      </c>
      <c r="F616" s="9" t="s">
        <v>92</v>
      </c>
      <c r="G616" s="9" t="s">
        <v>10738</v>
      </c>
      <c r="H616" s="9"/>
      <c r="I616" s="9" t="s">
        <v>4037</v>
      </c>
      <c r="J616" s="9" t="s">
        <v>4035</v>
      </c>
      <c r="K616" s="9" t="s">
        <v>10883</v>
      </c>
      <c r="L616" s="9" t="s">
        <v>795</v>
      </c>
      <c r="M616" s="9" t="str">
        <f>HYPERLINK("https://ceds.ed.gov/cedselementdetails.aspx?termid=13668")</f>
        <v>https://ceds.ed.gov/cedselementdetails.aspx?termid=13668</v>
      </c>
      <c r="N616" s="9" t="str">
        <f>HYPERLINK("https://ceds.ed.gov/elementComment.aspx?elementName=Competency Item Type &amp;elementID=13668", "Click here to submit comment")</f>
        <v>Click here to submit comment</v>
      </c>
    </row>
    <row r="617" spans="1:14" ht="60" x14ac:dyDescent="0.25">
      <c r="A617" s="9" t="s">
        <v>10884</v>
      </c>
      <c r="B617" s="9" t="s">
        <v>10885</v>
      </c>
      <c r="C617" s="9" t="s">
        <v>12</v>
      </c>
      <c r="D617" s="9" t="s">
        <v>10812</v>
      </c>
      <c r="E617" s="9" t="s">
        <v>91</v>
      </c>
      <c r="F617" s="9" t="s">
        <v>1143</v>
      </c>
      <c r="G617" s="9" t="s">
        <v>10738</v>
      </c>
      <c r="H617" s="9"/>
      <c r="I617" s="9" t="s">
        <v>10886</v>
      </c>
      <c r="J617" s="9"/>
      <c r="K617" s="9" t="s">
        <v>10887</v>
      </c>
      <c r="L617" s="9"/>
      <c r="M617" s="9" t="str">
        <f>HYPERLINK("https://ceds.ed.gov/cedselementdetails.aspx?termid=14738")</f>
        <v>https://ceds.ed.gov/cedselementdetails.aspx?termid=14738</v>
      </c>
      <c r="N617" s="9" t="str">
        <f>HYPERLINK("https://ceds.ed.gov/elementComment.aspx?elementName=Competency Item Type URL &amp;elementID=14738", "Click here to submit comment")</f>
        <v>Click here to submit comment</v>
      </c>
    </row>
    <row r="618" spans="1:14" ht="60" x14ac:dyDescent="0.25">
      <c r="A618" s="9" t="s">
        <v>10888</v>
      </c>
      <c r="B618" s="9" t="s">
        <v>4040</v>
      </c>
      <c r="C618" s="9" t="s">
        <v>12</v>
      </c>
      <c r="D618" s="9" t="s">
        <v>10812</v>
      </c>
      <c r="E618" s="9" t="s">
        <v>91</v>
      </c>
      <c r="F618" s="9" t="s">
        <v>1165</v>
      </c>
      <c r="G618" s="9" t="s">
        <v>10738</v>
      </c>
      <c r="H618" s="9" t="s">
        <v>4041</v>
      </c>
      <c r="I618" s="9" t="s">
        <v>4042</v>
      </c>
      <c r="J618" s="9" t="s">
        <v>4039</v>
      </c>
      <c r="K618" s="9" t="s">
        <v>10889</v>
      </c>
      <c r="L618" s="9"/>
      <c r="M618" s="9" t="str">
        <f>HYPERLINK("https://ceds.ed.gov/cedselementdetails.aspx?termid=13870")</f>
        <v>https://ceds.ed.gov/cedselementdetails.aspx?termid=13870</v>
      </c>
      <c r="N618" s="9" t="str">
        <f>HYPERLINK("https://ceds.ed.gov/elementComment.aspx?elementName=Competency Item Typical Age Range &amp;elementID=13870", "Click here to submit comment")</f>
        <v>Click here to submit comment</v>
      </c>
    </row>
    <row r="619" spans="1:14" ht="180" x14ac:dyDescent="0.25">
      <c r="A619" s="9" t="s">
        <v>10890</v>
      </c>
      <c r="B619" s="9" t="s">
        <v>10891</v>
      </c>
      <c r="C619" s="9" t="s">
        <v>12</v>
      </c>
      <c r="D619" s="9" t="s">
        <v>10892</v>
      </c>
      <c r="E619" s="9" t="s">
        <v>91</v>
      </c>
      <c r="F619" s="9" t="s">
        <v>1143</v>
      </c>
      <c r="G619" s="9" t="s">
        <v>10738</v>
      </c>
      <c r="H619" s="9" t="s">
        <v>121</v>
      </c>
      <c r="I619" s="9" t="s">
        <v>4044</v>
      </c>
      <c r="J619" s="9" t="s">
        <v>4043</v>
      </c>
      <c r="K619" s="9" t="s">
        <v>10893</v>
      </c>
      <c r="L619" s="9"/>
      <c r="M619" s="9" t="str">
        <f>HYPERLINK("https://ceds.ed.gov/cedselementdetails.aspx?termid=13874")</f>
        <v>https://ceds.ed.gov/cedselementdetails.aspx?termid=13874</v>
      </c>
      <c r="N619" s="9" t="str">
        <f>HYPERLINK("https://ceds.ed.gov/elementComment.aspx?elementName=Competency Item URL &amp;elementID=13874", "Click here to submit comment")</f>
        <v>Click here to submit comment</v>
      </c>
    </row>
    <row r="620" spans="1:14" ht="75" x14ac:dyDescent="0.25">
      <c r="A620" s="9" t="s">
        <v>10894</v>
      </c>
      <c r="B620" s="9" t="s">
        <v>10895</v>
      </c>
      <c r="C620" s="9" t="s">
        <v>12</v>
      </c>
      <c r="D620" s="9" t="s">
        <v>10896</v>
      </c>
      <c r="E620" s="9" t="s">
        <v>91</v>
      </c>
      <c r="F620" s="9" t="s">
        <v>73</v>
      </c>
      <c r="G620" s="9" t="s">
        <v>10897</v>
      </c>
      <c r="H620" s="9" t="s">
        <v>10898</v>
      </c>
      <c r="I620" s="9" t="s">
        <v>4046</v>
      </c>
      <c r="J620" s="9" t="s">
        <v>4045</v>
      </c>
      <c r="K620" s="9" t="s">
        <v>10899</v>
      </c>
      <c r="L620" s="9"/>
      <c r="M620" s="9" t="str">
        <f>HYPERLINK("https://ceds.ed.gov/cedselementdetails.aspx?termid=14483")</f>
        <v>https://ceds.ed.gov/cedselementdetails.aspx?termid=14483</v>
      </c>
      <c r="N620" s="9" t="str">
        <f>HYPERLINK("https://ceds.ed.gov/elementComment.aspx?elementName=Competency Item Valid End Date &amp;elementID=14483", "Click here to submit comment")</f>
        <v>Click here to submit comment</v>
      </c>
    </row>
    <row r="621" spans="1:14" ht="60" x14ac:dyDescent="0.25">
      <c r="A621" s="9" t="s">
        <v>10900</v>
      </c>
      <c r="B621" s="9" t="s">
        <v>10901</v>
      </c>
      <c r="C621" s="9" t="s">
        <v>12</v>
      </c>
      <c r="D621" s="9" t="s">
        <v>10896</v>
      </c>
      <c r="E621" s="9" t="s">
        <v>91</v>
      </c>
      <c r="F621" s="9" t="s">
        <v>73</v>
      </c>
      <c r="G621" s="9" t="s">
        <v>10738</v>
      </c>
      <c r="H621" s="9"/>
      <c r="I621" s="9" t="s">
        <v>4048</v>
      </c>
      <c r="J621" s="9" t="s">
        <v>4047</v>
      </c>
      <c r="K621" s="9" t="s">
        <v>10902</v>
      </c>
      <c r="L621" s="9"/>
      <c r="M621" s="9" t="str">
        <f>HYPERLINK("https://ceds.ed.gov/cedselementdetails.aspx?termid=14484")</f>
        <v>https://ceds.ed.gov/cedselementdetails.aspx?termid=14484</v>
      </c>
      <c r="N621" s="9" t="str">
        <f>HYPERLINK("https://ceds.ed.gov/elementComment.aspx?elementName=Competency Item Valid Start Date &amp;elementID=14484", "Click here to submit comment")</f>
        <v>Click here to submit comment</v>
      </c>
    </row>
    <row r="622" spans="1:14" ht="60" x14ac:dyDescent="0.25">
      <c r="A622" s="9" t="s">
        <v>10903</v>
      </c>
      <c r="B622" s="9" t="s">
        <v>10904</v>
      </c>
      <c r="C622" s="9" t="s">
        <v>12</v>
      </c>
      <c r="D622" s="9" t="s">
        <v>10812</v>
      </c>
      <c r="E622" s="9" t="s">
        <v>91</v>
      </c>
      <c r="F622" s="9" t="s">
        <v>303</v>
      </c>
      <c r="G622" s="9" t="s">
        <v>10738</v>
      </c>
      <c r="H622" s="9"/>
      <c r="I622" s="9" t="s">
        <v>4050</v>
      </c>
      <c r="J622" s="9" t="s">
        <v>4049</v>
      </c>
      <c r="K622" s="9" t="s">
        <v>10905</v>
      </c>
      <c r="L622" s="9"/>
      <c r="M622" s="9" t="str">
        <f>HYPERLINK("https://ceds.ed.gov/cedselementdetails.aspx?termid=14216")</f>
        <v>https://ceds.ed.gov/cedselementdetails.aspx?termid=14216</v>
      </c>
      <c r="N622" s="9" t="str">
        <f>HYPERLINK("https://ceds.ed.gov/elementComment.aspx?elementName=Competency Item Version &amp;elementID=14216", "Click here to submit comment")</f>
        <v>Click here to submit comment</v>
      </c>
    </row>
    <row r="623" spans="1:14" ht="120" x14ac:dyDescent="0.25">
      <c r="A623" s="9" t="s">
        <v>1824</v>
      </c>
      <c r="B623" s="9" t="s">
        <v>1825</v>
      </c>
      <c r="C623" s="10" t="s">
        <v>6412</v>
      </c>
      <c r="D623" s="9" t="s">
        <v>10906</v>
      </c>
      <c r="E623" s="9"/>
      <c r="F623" s="9"/>
      <c r="G623" s="9"/>
      <c r="H623" s="9" t="s">
        <v>1826</v>
      </c>
      <c r="I623" s="9" t="s">
        <v>1827</v>
      </c>
      <c r="J623" s="9"/>
      <c r="K623" s="9" t="s">
        <v>1828</v>
      </c>
      <c r="L623" s="9"/>
      <c r="M623" s="9" t="str">
        <f>HYPERLINK("https://ceds.ed.gov/cedselementdetails.aspx?termid=13877")</f>
        <v>https://ceds.ed.gov/cedselementdetails.aspx?termid=13877</v>
      </c>
      <c r="N623" s="9" t="str">
        <f>HYPERLINK("https://ceds.ed.gov/elementComment.aspx?elementName=Competency Set Completion Criteria &amp;elementID=13877", "Click here to submit comment")</f>
        <v>Click here to submit comment</v>
      </c>
    </row>
    <row r="624" spans="1:14" ht="90" x14ac:dyDescent="0.25">
      <c r="A624" s="9" t="s">
        <v>1829</v>
      </c>
      <c r="B624" s="9" t="s">
        <v>1830</v>
      </c>
      <c r="C624" s="9" t="s">
        <v>12</v>
      </c>
      <c r="D624" s="9" t="s">
        <v>10906</v>
      </c>
      <c r="E624" s="9"/>
      <c r="F624" s="9" t="s">
        <v>10489</v>
      </c>
      <c r="G624" s="9"/>
      <c r="H624" s="9" t="s">
        <v>1831</v>
      </c>
      <c r="I624" s="9" t="s">
        <v>1832</v>
      </c>
      <c r="J624" s="9"/>
      <c r="K624" s="9" t="s">
        <v>1833</v>
      </c>
      <c r="L624" s="9"/>
      <c r="M624" s="9" t="str">
        <f>HYPERLINK("https://ceds.ed.gov/cedselementdetails.aspx?termid=13878")</f>
        <v>https://ceds.ed.gov/cedselementdetails.aspx?termid=13878</v>
      </c>
      <c r="N624" s="9" t="str">
        <f>HYPERLINK("https://ceds.ed.gov/elementComment.aspx?elementName=Competency Set Completion Criteria Threshold &amp;elementID=13878", "Click here to submit comment")</f>
        <v>Click here to submit comment</v>
      </c>
    </row>
    <row r="625" spans="1:14" ht="45" x14ac:dyDescent="0.25">
      <c r="A625" s="9" t="s">
        <v>10907</v>
      </c>
      <c r="B625" s="9" t="s">
        <v>10908</v>
      </c>
      <c r="C625" s="9" t="s">
        <v>12</v>
      </c>
      <c r="D625" s="9" t="s">
        <v>10909</v>
      </c>
      <c r="E625" s="9" t="s">
        <v>1457</v>
      </c>
      <c r="F625" s="9" t="s">
        <v>73</v>
      </c>
      <c r="G625" s="9"/>
      <c r="H625" s="9"/>
      <c r="I625" s="9" t="s">
        <v>10910</v>
      </c>
      <c r="J625" s="9"/>
      <c r="K625" s="9" t="s">
        <v>12189</v>
      </c>
      <c r="L625" s="9"/>
      <c r="M625" s="9" t="str">
        <f>HYPERLINK("https://ceds.ed.gov/cedselementdetails.aspx?termid=14879")</f>
        <v>https://ceds.ed.gov/cedselementdetails.aspx?termid=14879</v>
      </c>
      <c r="N625" s="9" t="str">
        <f>HYPERLINK("https://ceds.ed.gov/elementComment.aspx?elementName=Component or Fixture Check Date &amp;elementID=14879", "Click here to submit comment")</f>
        <v>Click here to submit comment</v>
      </c>
    </row>
    <row r="626" spans="1:14" ht="60" x14ac:dyDescent="0.25">
      <c r="A626" s="9" t="s">
        <v>10911</v>
      </c>
      <c r="B626" s="9" t="s">
        <v>8621</v>
      </c>
      <c r="C626" s="9" t="s">
        <v>12</v>
      </c>
      <c r="D626" s="9" t="s">
        <v>10909</v>
      </c>
      <c r="E626" s="9" t="s">
        <v>1457</v>
      </c>
      <c r="F626" s="9" t="s">
        <v>73</v>
      </c>
      <c r="G626" s="9"/>
      <c r="H626" s="9"/>
      <c r="I626" s="9" t="s">
        <v>10912</v>
      </c>
      <c r="J626" s="9"/>
      <c r="K626" s="9" t="s">
        <v>12190</v>
      </c>
      <c r="L626" s="9"/>
      <c r="M626" s="9" t="str">
        <f>HYPERLINK("https://ceds.ed.gov/cedselementdetails.aspx?termid=14881")</f>
        <v>https://ceds.ed.gov/cedselementdetails.aspx?termid=14881</v>
      </c>
      <c r="N626" s="9" t="str">
        <f>HYPERLINK("https://ceds.ed.gov/elementComment.aspx?elementName=Component or Fixture Scheduled Serviced Date &amp;elementID=14881", "Click here to submit comment")</f>
        <v>Click here to submit comment</v>
      </c>
    </row>
    <row r="627" spans="1:14" ht="60" x14ac:dyDescent="0.25">
      <c r="A627" s="9" t="s">
        <v>10913</v>
      </c>
      <c r="B627" s="9" t="s">
        <v>10914</v>
      </c>
      <c r="C627" s="9" t="s">
        <v>12</v>
      </c>
      <c r="D627" s="9" t="s">
        <v>10909</v>
      </c>
      <c r="E627" s="9" t="s">
        <v>1457</v>
      </c>
      <c r="F627" s="9" t="s">
        <v>73</v>
      </c>
      <c r="G627" s="9"/>
      <c r="H627" s="9"/>
      <c r="I627" s="9" t="s">
        <v>10915</v>
      </c>
      <c r="J627" s="9"/>
      <c r="K627" s="9" t="s">
        <v>12191</v>
      </c>
      <c r="L627" s="9"/>
      <c r="M627" s="9" t="str">
        <f>HYPERLINK("https://ceds.ed.gov/cedselementdetails.aspx?termid=14880")</f>
        <v>https://ceds.ed.gov/cedselementdetails.aspx?termid=14880</v>
      </c>
      <c r="N627" s="9" t="str">
        <f>HYPERLINK("https://ceds.ed.gov/elementComment.aspx?elementName=Component or Fixture Serviced Date &amp;elementID=14880", "Click here to submit comment")</f>
        <v>Click here to submit comment</v>
      </c>
    </row>
    <row r="628" spans="1:14" ht="90" x14ac:dyDescent="0.25">
      <c r="A628" s="9" t="s">
        <v>10916</v>
      </c>
      <c r="B628" s="9" t="s">
        <v>9491</v>
      </c>
      <c r="C628" s="9" t="s">
        <v>12</v>
      </c>
      <c r="D628" s="9" t="s">
        <v>10909</v>
      </c>
      <c r="E628" s="9" t="s">
        <v>1457</v>
      </c>
      <c r="F628" s="9" t="s">
        <v>589</v>
      </c>
      <c r="G628" s="9"/>
      <c r="H628" s="9"/>
      <c r="I628" s="9" t="s">
        <v>10917</v>
      </c>
      <c r="J628" s="9"/>
      <c r="K628" s="9" t="s">
        <v>12192</v>
      </c>
      <c r="L628" s="9"/>
      <c r="M628" s="9" t="str">
        <f>HYPERLINK("https://ceds.ed.gov/cedselementdetails.aspx?termid=14882")</f>
        <v>https://ceds.ed.gov/cedselementdetails.aspx?termid=14882</v>
      </c>
      <c r="N628" s="9" t="str">
        <f>HYPERLINK("https://ceds.ed.gov/elementComment.aspx?elementName=Component or Fixture Useful Life &amp;elementID=14882", "Click here to submit comment")</f>
        <v>Click here to submit comment</v>
      </c>
    </row>
    <row r="629" spans="1:14" ht="90" x14ac:dyDescent="0.25">
      <c r="A629" s="9" t="s">
        <v>1834</v>
      </c>
      <c r="B629" s="9" t="s">
        <v>1835</v>
      </c>
      <c r="C629" s="9" t="s">
        <v>12</v>
      </c>
      <c r="D629" s="9" t="s">
        <v>213</v>
      </c>
      <c r="E629" s="9"/>
      <c r="F629" s="9" t="s">
        <v>1513</v>
      </c>
      <c r="G629" s="9"/>
      <c r="H629" s="9" t="s">
        <v>344</v>
      </c>
      <c r="I629" s="9" t="s">
        <v>1836</v>
      </c>
      <c r="J629" s="9"/>
      <c r="K629" s="9" t="s">
        <v>1837</v>
      </c>
      <c r="L629" s="9" t="s">
        <v>1552</v>
      </c>
      <c r="M629" s="9" t="str">
        <f>HYPERLINK("https://ceds.ed.gov/cedselementdetails.aspx?termid=13733")</f>
        <v>https://ceds.ed.gov/cedselementdetails.aspx?termid=13733</v>
      </c>
      <c r="N629" s="9" t="str">
        <f>HYPERLINK("https://ceds.ed.gov/elementComment.aspx?elementName=Comprehensive Fee &amp;elementID=13733", "Click here to submit comment")</f>
        <v>Click here to submit comment</v>
      </c>
    </row>
    <row r="630" spans="1:14" ht="45" x14ac:dyDescent="0.25">
      <c r="A630" s="9" t="s">
        <v>12209</v>
      </c>
      <c r="B630" s="9" t="s">
        <v>10918</v>
      </c>
      <c r="C630" s="9" t="s">
        <v>12</v>
      </c>
      <c r="D630" s="9" t="s">
        <v>10919</v>
      </c>
      <c r="E630" s="9"/>
      <c r="F630" s="9" t="s">
        <v>73</v>
      </c>
      <c r="G630" s="9"/>
      <c r="H630" s="9"/>
      <c r="I630" s="9" t="s">
        <v>10920</v>
      </c>
      <c r="J630" s="9"/>
      <c r="K630" s="9" t="s">
        <v>10921</v>
      </c>
      <c r="L630" s="9"/>
      <c r="M630" s="9" t="str">
        <f>HYPERLINK("https://ceds.ed.gov/cedselementdetails.aspx?termid=14708")</f>
        <v>https://ceds.ed.gov/cedselementdetails.aspx?termid=14708</v>
      </c>
      <c r="N630" s="9" t="str">
        <f>HYPERLINK("https://ceds.ed.gov/elementComment.aspx?elementName=Consent to Evaluation Date &amp;elementID=14708", "Click here to submit comment")</f>
        <v>Click here to submit comment</v>
      </c>
    </row>
    <row r="631" spans="1:14" ht="45" x14ac:dyDescent="0.25">
      <c r="A631" s="9" t="s">
        <v>12210</v>
      </c>
      <c r="B631" s="9" t="s">
        <v>10922</v>
      </c>
      <c r="C631" s="9" t="s">
        <v>6106</v>
      </c>
      <c r="D631" s="9" t="s">
        <v>10919</v>
      </c>
      <c r="E631" s="9"/>
      <c r="F631" s="9"/>
      <c r="G631" s="9"/>
      <c r="H631" s="9"/>
      <c r="I631" s="9" t="s">
        <v>10923</v>
      </c>
      <c r="J631" s="9"/>
      <c r="K631" s="9" t="s">
        <v>10924</v>
      </c>
      <c r="L631" s="9"/>
      <c r="M631" s="9" t="str">
        <f>HYPERLINK("https://ceds.ed.gov/cedselementdetails.aspx?termid=14707")</f>
        <v>https://ceds.ed.gov/cedselementdetails.aspx?termid=14707</v>
      </c>
      <c r="N631" s="9" t="str">
        <f>HYPERLINK("https://ceds.ed.gov/elementComment.aspx?elementName=Consent to Evaluation Indicator &amp;elementID=14707", "Click here to submit comment")</f>
        <v>Click here to submit comment</v>
      </c>
    </row>
    <row r="632" spans="1:14" ht="75" x14ac:dyDescent="0.25">
      <c r="A632" s="9" t="s">
        <v>1838</v>
      </c>
      <c r="B632" s="9" t="s">
        <v>1839</v>
      </c>
      <c r="C632" s="10" t="s">
        <v>6340</v>
      </c>
      <c r="D632" s="9" t="s">
        <v>1840</v>
      </c>
      <c r="E632" s="9"/>
      <c r="F632" s="9"/>
      <c r="G632" s="9"/>
      <c r="H632" s="9"/>
      <c r="I632" s="9" t="s">
        <v>1841</v>
      </c>
      <c r="J632" s="9" t="s">
        <v>1842</v>
      </c>
      <c r="K632" s="9" t="s">
        <v>1843</v>
      </c>
      <c r="L632" s="9" t="s">
        <v>199</v>
      </c>
      <c r="M632" s="9" t="str">
        <f>HYPERLINK("https://ceds.ed.gov/cedselementdetails.aspx?termid=13533")</f>
        <v>https://ceds.ed.gov/cedselementdetails.aspx?termid=13533</v>
      </c>
      <c r="N632" s="9" t="str">
        <f>HYPERLINK("https://ceds.ed.gov/elementComment.aspx?elementName=Consolidated Migrant Education Program Funds Status &amp;elementID=13533", "Click here to submit comment")</f>
        <v>Click here to submit comment</v>
      </c>
    </row>
    <row r="633" spans="1:14" ht="120" x14ac:dyDescent="0.25">
      <c r="A633" s="9" t="s">
        <v>1844</v>
      </c>
      <c r="B633" s="9" t="s">
        <v>1845</v>
      </c>
      <c r="C633" s="10" t="s">
        <v>6413</v>
      </c>
      <c r="D633" s="9" t="s">
        <v>1846</v>
      </c>
      <c r="E633" s="9"/>
      <c r="F633" s="9"/>
      <c r="G633" s="9"/>
      <c r="H633" s="9"/>
      <c r="I633" s="9" t="s">
        <v>1847</v>
      </c>
      <c r="J633" s="9"/>
      <c r="K633" s="9" t="s">
        <v>1848</v>
      </c>
      <c r="L633" s="9" t="s">
        <v>1537</v>
      </c>
      <c r="M633" s="9" t="str">
        <f>HYPERLINK("https://ceds.ed.gov/cedselementdetails.aspx?termid=13419")</f>
        <v>https://ceds.ed.gov/cedselementdetails.aspx?termid=13419</v>
      </c>
      <c r="N633" s="9" t="str">
        <f>HYPERLINK("https://ceds.ed.gov/elementComment.aspx?elementName=Continuation of Services Reason &amp;elementID=13419", "Click here to submit comment")</f>
        <v>Click here to submit comment</v>
      </c>
    </row>
    <row r="634" spans="1:14" ht="45" x14ac:dyDescent="0.25">
      <c r="A634" s="9" t="s">
        <v>1849</v>
      </c>
      <c r="B634" s="9" t="s">
        <v>1850</v>
      </c>
      <c r="C634" s="9" t="s">
        <v>12</v>
      </c>
      <c r="D634" s="9" t="s">
        <v>1851</v>
      </c>
      <c r="E634" s="9"/>
      <c r="F634" s="9" t="s">
        <v>73</v>
      </c>
      <c r="G634" s="9"/>
      <c r="H634" s="9"/>
      <c r="I634" s="9" t="s">
        <v>1852</v>
      </c>
      <c r="J634" s="9"/>
      <c r="K634" s="9" t="s">
        <v>1853</v>
      </c>
      <c r="L634" s="9" t="s">
        <v>6172</v>
      </c>
      <c r="M634" s="9" t="str">
        <f>HYPERLINK("https://ceds.ed.gov/cedselementdetails.aspx?termid=13348")</f>
        <v>https://ceds.ed.gov/cedselementdetails.aspx?termid=13348</v>
      </c>
      <c r="N634" s="9" t="str">
        <f>HYPERLINK("https://ceds.ed.gov/elementComment.aspx?elementName=Continuing License Date &amp;elementID=13348", "Click here to submit comment")</f>
        <v>Click here to submit comment</v>
      </c>
    </row>
    <row r="635" spans="1:14" ht="60" x14ac:dyDescent="0.25">
      <c r="A635" s="9" t="s">
        <v>12211</v>
      </c>
      <c r="B635" s="9" t="s">
        <v>1854</v>
      </c>
      <c r="C635" s="9" t="s">
        <v>12</v>
      </c>
      <c r="D635" s="9" t="s">
        <v>1855</v>
      </c>
      <c r="E635" s="9"/>
      <c r="F635" s="9" t="s">
        <v>1513</v>
      </c>
      <c r="G635" s="9"/>
      <c r="H635" s="9"/>
      <c r="I635" s="9" t="s">
        <v>1856</v>
      </c>
      <c r="J635" s="9"/>
      <c r="K635" s="9" t="s">
        <v>1857</v>
      </c>
      <c r="L635" s="9" t="s">
        <v>1858</v>
      </c>
      <c r="M635" s="9" t="str">
        <f>HYPERLINK("https://ceds.ed.gov/cedselementdetails.aspx?termid=13047")</f>
        <v>https://ceds.ed.gov/cedselementdetails.aspx?termid=13047</v>
      </c>
      <c r="N635" s="9" t="str">
        <f>HYPERLINK("https://ceds.ed.gov/elementComment.aspx?elementName=Contract Days of Service Per Year &amp;elementID=13047", "Click here to submit comment")</f>
        <v>Click here to submit comment</v>
      </c>
    </row>
    <row r="636" spans="1:14" ht="75" x14ac:dyDescent="0.25">
      <c r="A636" s="9" t="s">
        <v>1859</v>
      </c>
      <c r="B636" s="9" t="s">
        <v>1860</v>
      </c>
      <c r="C636" s="10" t="s">
        <v>6414</v>
      </c>
      <c r="D636" s="9" t="s">
        <v>33</v>
      </c>
      <c r="E636" s="9"/>
      <c r="F636" s="9"/>
      <c r="G636" s="9"/>
      <c r="H636" s="9" t="s">
        <v>1861</v>
      </c>
      <c r="I636" s="9" t="s">
        <v>1862</v>
      </c>
      <c r="J636" s="9"/>
      <c r="K636" s="9" t="s">
        <v>1863</v>
      </c>
      <c r="L636" s="9" t="s">
        <v>37</v>
      </c>
      <c r="M636" s="9" t="str">
        <f>HYPERLINK("https://ceds.ed.gov/cedselementdetails.aspx?termid=13714")</f>
        <v>https://ceds.ed.gov/cedselementdetails.aspx?termid=13714</v>
      </c>
      <c r="N636" s="9" t="str">
        <f>HYPERLINK("https://ceds.ed.gov/elementComment.aspx?elementName=Contract Type &amp;elementID=13714", "Click here to submit comment")</f>
        <v>Click here to submit comment</v>
      </c>
    </row>
    <row r="637" spans="1:14" ht="105" x14ac:dyDescent="0.25">
      <c r="A637" s="9" t="s">
        <v>1864</v>
      </c>
      <c r="B637" s="9" t="s">
        <v>1865</v>
      </c>
      <c r="C637" s="10" t="s">
        <v>6415</v>
      </c>
      <c r="D637" s="9" t="s">
        <v>1664</v>
      </c>
      <c r="E637" s="9"/>
      <c r="F637" s="9"/>
      <c r="G637" s="9"/>
      <c r="H637" s="9"/>
      <c r="I637" s="9" t="s">
        <v>1866</v>
      </c>
      <c r="J637" s="9"/>
      <c r="K637" s="9" t="s">
        <v>1867</v>
      </c>
      <c r="L637" s="9" t="s">
        <v>6161</v>
      </c>
      <c r="M637" s="9" t="str">
        <f>HYPERLINK("https://ceds.ed.gov/cedselementdetails.aspx?termid=13048")</f>
        <v>https://ceds.ed.gov/cedselementdetails.aspx?termid=13048</v>
      </c>
      <c r="N637" s="9" t="str">
        <f>HYPERLINK("https://ceds.ed.gov/elementComment.aspx?elementName=Control of Institution &amp;elementID=13048", "Click here to submit comment")</f>
        <v>Click here to submit comment</v>
      </c>
    </row>
    <row r="638" spans="1:14" ht="45" x14ac:dyDescent="0.25">
      <c r="A638" s="9" t="s">
        <v>1868</v>
      </c>
      <c r="B638" s="9" t="s">
        <v>1869</v>
      </c>
      <c r="C638" s="9" t="s">
        <v>6106</v>
      </c>
      <c r="D638" s="9" t="s">
        <v>6173</v>
      </c>
      <c r="E638" s="9"/>
      <c r="F638" s="9"/>
      <c r="G638" s="9"/>
      <c r="H638" s="9"/>
      <c r="I638" s="9" t="s">
        <v>1870</v>
      </c>
      <c r="J638" s="9"/>
      <c r="K638" s="9" t="s">
        <v>1871</v>
      </c>
      <c r="L638" s="9"/>
      <c r="M638" s="9" t="str">
        <f>HYPERLINK("https://ceds.ed.gov/cedselementdetails.aspx?termid=13509")</f>
        <v>https://ceds.ed.gov/cedselementdetails.aspx?termid=13509</v>
      </c>
      <c r="N638" s="9" t="str">
        <f>HYPERLINK("https://ceds.ed.gov/elementComment.aspx?elementName=Core Academic Course &amp;elementID=13509", "Click here to submit comment")</f>
        <v>Click here to submit comment</v>
      </c>
    </row>
    <row r="639" spans="1:14" ht="120" x14ac:dyDescent="0.25">
      <c r="A639" s="9" t="s">
        <v>1872</v>
      </c>
      <c r="B639" s="9" t="s">
        <v>1873</v>
      </c>
      <c r="C639" s="10" t="s">
        <v>6416</v>
      </c>
      <c r="D639" s="9" t="s">
        <v>235</v>
      </c>
      <c r="E639" s="9"/>
      <c r="F639" s="9"/>
      <c r="G639" s="9"/>
      <c r="H639" s="9"/>
      <c r="I639" s="9" t="s">
        <v>1874</v>
      </c>
      <c r="J639" s="9"/>
      <c r="K639" s="9" t="s">
        <v>1875</v>
      </c>
      <c r="L639" s="9"/>
      <c r="M639" s="9" t="str">
        <f>HYPERLINK("https://ceds.ed.gov/cedselementdetails.aspx?termid=14262")</f>
        <v>https://ceds.ed.gov/cedselementdetails.aspx?termid=14262</v>
      </c>
      <c r="N639" s="9" t="str">
        <f>HYPERLINK("https://ceds.ed.gov/elementComment.aspx?elementName=Correctional Education Facility Type &amp;elementID=14262", "Click here to submit comment")</f>
        <v>Click here to submit comment</v>
      </c>
    </row>
    <row r="640" spans="1:14" ht="75" x14ac:dyDescent="0.25">
      <c r="A640" s="9" t="s">
        <v>1876</v>
      </c>
      <c r="B640" s="9" t="s">
        <v>1877</v>
      </c>
      <c r="C640" s="9" t="s">
        <v>6106</v>
      </c>
      <c r="D640" s="9" t="s">
        <v>235</v>
      </c>
      <c r="E640" s="9"/>
      <c r="F640" s="9"/>
      <c r="G640" s="9"/>
      <c r="H640" s="9"/>
      <c r="I640" s="9" t="s">
        <v>1878</v>
      </c>
      <c r="J640" s="9"/>
      <c r="K640" s="9" t="s">
        <v>1879</v>
      </c>
      <c r="L640" s="9"/>
      <c r="M640" s="9" t="str">
        <f>HYPERLINK("https://ceds.ed.gov/cedselementdetails.aspx?termid=14263")</f>
        <v>https://ceds.ed.gov/cedselementdetails.aspx?termid=14263</v>
      </c>
      <c r="N640" s="9" t="str">
        <f>HYPERLINK("https://ceds.ed.gov/elementComment.aspx?elementName=Correctional Education Reentry Services Participation Indicator &amp;elementID=14263", "Click here to submit comment")</f>
        <v>Click here to submit comment</v>
      </c>
    </row>
    <row r="641" spans="1:14" ht="255" x14ac:dyDescent="0.25">
      <c r="A641" s="9" t="s">
        <v>1880</v>
      </c>
      <c r="B641" s="9" t="s">
        <v>1881</v>
      </c>
      <c r="C641" s="10" t="s">
        <v>6417</v>
      </c>
      <c r="D641" s="9" t="s">
        <v>1882</v>
      </c>
      <c r="E641" s="9"/>
      <c r="F641" s="9"/>
      <c r="G641" s="9"/>
      <c r="H641" s="9"/>
      <c r="I641" s="9" t="s">
        <v>1883</v>
      </c>
      <c r="J641" s="9"/>
      <c r="K641" s="9" t="s">
        <v>1884</v>
      </c>
      <c r="L641" s="9" t="s">
        <v>199</v>
      </c>
      <c r="M641" s="9" t="str">
        <f>HYPERLINK("https://ceds.ed.gov/cedselementdetails.aspx?termid=13049")</f>
        <v>https://ceds.ed.gov/cedselementdetails.aspx?termid=13049</v>
      </c>
      <c r="N641" s="9" t="str">
        <f>HYPERLINK("https://ceds.ed.gov/elementComment.aspx?elementName=Corrective Action Type &amp;elementID=13049", "Click here to submit comment")</f>
        <v>Click here to submit comment</v>
      </c>
    </row>
    <row r="642" spans="1:14" ht="105" x14ac:dyDescent="0.25">
      <c r="A642" s="9" t="s">
        <v>10925</v>
      </c>
      <c r="B642" s="9" t="s">
        <v>10926</v>
      </c>
      <c r="C642" s="9" t="s">
        <v>12</v>
      </c>
      <c r="D642" s="9" t="s">
        <v>10927</v>
      </c>
      <c r="E642" s="9"/>
      <c r="F642" s="9" t="s">
        <v>73</v>
      </c>
      <c r="G642" s="9"/>
      <c r="H642" s="9" t="s">
        <v>10928</v>
      </c>
      <c r="I642" s="9" t="s">
        <v>10929</v>
      </c>
      <c r="J642" s="9"/>
      <c r="K642" s="9" t="s">
        <v>10930</v>
      </c>
      <c r="L642" s="9"/>
      <c r="M642" s="9" t="str">
        <f>HYPERLINK("https://ceds.ed.gov/cedselementdetails.aspx?termid=14741")</f>
        <v>https://ceds.ed.gov/cedselementdetails.aspx?termid=14741</v>
      </c>
      <c r="N642" s="9" t="str">
        <f>HYPERLINK("https://ceds.ed.gov/elementComment.aspx?elementName=Count Date &amp;elementID=14741", "Click here to submit comment")</f>
        <v>Click here to submit comment</v>
      </c>
    </row>
    <row r="643" spans="1:14" ht="409.5" x14ac:dyDescent="0.25">
      <c r="A643" s="9" t="s">
        <v>1885</v>
      </c>
      <c r="B643" s="9" t="s">
        <v>1886</v>
      </c>
      <c r="C643" s="10" t="s">
        <v>11839</v>
      </c>
      <c r="D643" s="9" t="s">
        <v>10931</v>
      </c>
      <c r="E643" s="9"/>
      <c r="F643" s="9"/>
      <c r="G643" s="9"/>
      <c r="H643" s="11" t="s">
        <v>1887</v>
      </c>
      <c r="I643" s="9" t="s">
        <v>1888</v>
      </c>
      <c r="J643" s="9"/>
      <c r="K643" s="9" t="s">
        <v>1889</v>
      </c>
      <c r="L643" s="9" t="s">
        <v>6174</v>
      </c>
      <c r="M643" s="9" t="str">
        <f>HYPERLINK("https://ceds.ed.gov/cedselementdetails.aspx?termid=13050")</f>
        <v>https://ceds.ed.gov/cedselementdetails.aspx?termid=13050</v>
      </c>
      <c r="N643" s="9" t="str">
        <f>HYPERLINK("https://ceds.ed.gov/elementComment.aspx?elementName=Country Code &amp;elementID=13050", "Click here to submit comment")</f>
        <v>Click here to submit comment</v>
      </c>
    </row>
    <row r="644" spans="1:14" ht="409.5" x14ac:dyDescent="0.25">
      <c r="A644" s="9" t="s">
        <v>1890</v>
      </c>
      <c r="B644" s="9" t="s">
        <v>1891</v>
      </c>
      <c r="C644" s="10" t="s">
        <v>6418</v>
      </c>
      <c r="D644" s="9" t="s">
        <v>1754</v>
      </c>
      <c r="E644" s="9"/>
      <c r="F644" s="9"/>
      <c r="G644" s="9"/>
      <c r="H644" s="11" t="s">
        <v>1887</v>
      </c>
      <c r="I644" s="9" t="s">
        <v>1892</v>
      </c>
      <c r="J644" s="9"/>
      <c r="K644" s="9" t="s">
        <v>1893</v>
      </c>
      <c r="L644" s="9" t="s">
        <v>6175</v>
      </c>
      <c r="M644" s="9" t="str">
        <f>HYPERLINK("https://ceds.ed.gov/cedselementdetails.aspx?termid=13051")</f>
        <v>https://ceds.ed.gov/cedselementdetails.aspx?termid=13051</v>
      </c>
      <c r="N644" s="9" t="str">
        <f>HYPERLINK("https://ceds.ed.gov/elementComment.aspx?elementName=Country of Birth Code &amp;elementID=13051", "Click here to submit comment")</f>
        <v>Click here to submit comment</v>
      </c>
    </row>
    <row r="645" spans="1:14" ht="409.5" x14ac:dyDescent="0.25">
      <c r="A645" s="9" t="s">
        <v>1894</v>
      </c>
      <c r="B645" s="9" t="s">
        <v>1895</v>
      </c>
      <c r="C645" s="9" t="s">
        <v>12</v>
      </c>
      <c r="D645" s="9" t="s">
        <v>10932</v>
      </c>
      <c r="E645" s="9"/>
      <c r="F645" s="9" t="s">
        <v>10933</v>
      </c>
      <c r="G645" s="9"/>
      <c r="H645" s="9"/>
      <c r="I645" s="9" t="s">
        <v>1896</v>
      </c>
      <c r="J645" s="9"/>
      <c r="K645" s="9" t="s">
        <v>1897</v>
      </c>
      <c r="L645" s="9"/>
      <c r="M645" s="9" t="str">
        <f>HYPERLINK("https://ceds.ed.gov/cedselementdetails.aspx?termid=14176")</f>
        <v>https://ceds.ed.gov/cedselementdetails.aspx?termid=14176</v>
      </c>
      <c r="N645" s="9" t="str">
        <f>HYPERLINK("https://ceds.ed.gov/elementComment.aspx?elementName=County ANSI Code &amp;elementID=14176", "Click here to submit comment")</f>
        <v>Click here to submit comment</v>
      </c>
    </row>
    <row r="646" spans="1:14" ht="120" x14ac:dyDescent="0.25">
      <c r="A646" s="9" t="s">
        <v>1898</v>
      </c>
      <c r="B646" s="9" t="s">
        <v>1899</v>
      </c>
      <c r="C646" s="9" t="s">
        <v>12</v>
      </c>
      <c r="D646" s="9" t="s">
        <v>10934</v>
      </c>
      <c r="E646" s="9"/>
      <c r="F646" s="9" t="s">
        <v>1900</v>
      </c>
      <c r="G646" s="9"/>
      <c r="H646" s="9"/>
      <c r="I646" s="9" t="s">
        <v>1901</v>
      </c>
      <c r="J646" s="9"/>
      <c r="K646" s="9" t="s">
        <v>1902</v>
      </c>
      <c r="L646" s="9" t="s">
        <v>6161</v>
      </c>
      <c r="M646" s="9" t="str">
        <f>HYPERLINK("https://ceds.ed.gov/cedselementdetails.aspx?termid=13053")</f>
        <v>https://ceds.ed.gov/cedselementdetails.aspx?termid=13053</v>
      </c>
      <c r="N646" s="9" t="str">
        <f>HYPERLINK("https://ceds.ed.gov/elementComment.aspx?elementName=Course Academic Grade &amp;elementID=13053", "Click here to submit comment")</f>
        <v>Click here to submit comment</v>
      </c>
    </row>
    <row r="647" spans="1:14" ht="150" x14ac:dyDescent="0.25">
      <c r="A647" s="9" t="s">
        <v>1903</v>
      </c>
      <c r="B647" s="9" t="s">
        <v>1904</v>
      </c>
      <c r="C647" s="9" t="s">
        <v>12</v>
      </c>
      <c r="D647" s="9" t="s">
        <v>10935</v>
      </c>
      <c r="E647" s="9"/>
      <c r="F647" s="9" t="s">
        <v>10936</v>
      </c>
      <c r="G647" s="9"/>
      <c r="H647" s="9" t="s">
        <v>1905</v>
      </c>
      <c r="I647" s="9" t="s">
        <v>1906</v>
      </c>
      <c r="J647" s="9"/>
      <c r="K647" s="9" t="s">
        <v>1907</v>
      </c>
      <c r="L647" s="9"/>
      <c r="M647" s="9" t="str">
        <f>HYPERLINK("https://ceds.ed.gov/cedselementdetails.aspx?termid=14264")</f>
        <v>https://ceds.ed.gov/cedselementdetails.aspx?termid=14264</v>
      </c>
      <c r="N647" s="9" t="str">
        <f>HYPERLINK("https://ceds.ed.gov/elementComment.aspx?elementName=Course Academic Grade Scale Code &amp;elementID=14264", "Click here to submit comment")</f>
        <v>Click here to submit comment</v>
      </c>
    </row>
    <row r="648" spans="1:14" ht="285" x14ac:dyDescent="0.25">
      <c r="A648" s="9" t="s">
        <v>1908</v>
      </c>
      <c r="B648" s="9" t="s">
        <v>1909</v>
      </c>
      <c r="C648" s="10" t="s">
        <v>6419</v>
      </c>
      <c r="D648" s="9" t="s">
        <v>10937</v>
      </c>
      <c r="E648" s="9"/>
      <c r="F648" s="9"/>
      <c r="G648" s="9"/>
      <c r="H648" s="9"/>
      <c r="I648" s="9" t="s">
        <v>1910</v>
      </c>
      <c r="J648" s="9"/>
      <c r="K648" s="9" t="s">
        <v>1911</v>
      </c>
      <c r="L648" s="9"/>
      <c r="M648" s="9" t="str">
        <f>HYPERLINK("https://ceds.ed.gov/cedselementdetails.aspx?termid=14265")</f>
        <v>https://ceds.ed.gov/cedselementdetails.aspx?termid=14265</v>
      </c>
      <c r="N648" s="9" t="str">
        <f>HYPERLINK("https://ceds.ed.gov/elementComment.aspx?elementName=Course Academic Grade Status Code &amp;elementID=14265", "Click here to submit comment")</f>
        <v>Click here to submit comment</v>
      </c>
    </row>
    <row r="649" spans="1:14" ht="120" x14ac:dyDescent="0.25">
      <c r="A649" s="9" t="s">
        <v>1912</v>
      </c>
      <c r="B649" s="9" t="s">
        <v>1913</v>
      </c>
      <c r="C649" s="9" t="s">
        <v>12</v>
      </c>
      <c r="D649" s="9" t="s">
        <v>10934</v>
      </c>
      <c r="E649" s="9"/>
      <c r="F649" s="9" t="s">
        <v>73</v>
      </c>
      <c r="G649" s="9"/>
      <c r="H649" s="9"/>
      <c r="I649" s="9" t="s">
        <v>1914</v>
      </c>
      <c r="J649" s="9"/>
      <c r="K649" s="9" t="s">
        <v>1915</v>
      </c>
      <c r="L649" s="9"/>
      <c r="M649" s="9" t="str">
        <f>HYPERLINK("https://ceds.ed.gov/cedselementdetails.aspx?termid=14266")</f>
        <v>https://ceds.ed.gov/cedselementdetails.aspx?termid=14266</v>
      </c>
      <c r="N649" s="9" t="str">
        <f>HYPERLINK("https://ceds.ed.gov/elementComment.aspx?elementName=Course Add Date &amp;elementID=14266", "Click here to submit comment")</f>
        <v>Click here to submit comment</v>
      </c>
    </row>
    <row r="650" spans="1:14" ht="135" x14ac:dyDescent="0.25">
      <c r="A650" s="9" t="s">
        <v>1916</v>
      </c>
      <c r="B650" s="9" t="s">
        <v>1917</v>
      </c>
      <c r="C650" s="9" t="s">
        <v>6106</v>
      </c>
      <c r="D650" s="9" t="s">
        <v>10483</v>
      </c>
      <c r="E650" s="9"/>
      <c r="F650" s="9"/>
      <c r="G650" s="9"/>
      <c r="H650" s="9"/>
      <c r="I650" s="9" t="s">
        <v>1918</v>
      </c>
      <c r="J650" s="9"/>
      <c r="K650" s="9" t="s">
        <v>1919</v>
      </c>
      <c r="L650" s="9"/>
      <c r="M650" s="9" t="str">
        <f>HYPERLINK("https://ceds.ed.gov/cedselementdetails.aspx?termid=13013")</f>
        <v>https://ceds.ed.gov/cedselementdetails.aspx?termid=13013</v>
      </c>
      <c r="N650" s="9" t="str">
        <f>HYPERLINK("https://ceds.ed.gov/elementComment.aspx?elementName=Course Aligned with Standards &amp;elementID=13013", "Click here to submit comment")</f>
        <v>Click here to submit comment</v>
      </c>
    </row>
    <row r="651" spans="1:14" ht="409.5" x14ac:dyDescent="0.25">
      <c r="A651" s="9" t="s">
        <v>1920</v>
      </c>
      <c r="B651" s="9" t="s">
        <v>1921</v>
      </c>
      <c r="C651" s="10" t="s">
        <v>6420</v>
      </c>
      <c r="D651" s="9" t="s">
        <v>10527</v>
      </c>
      <c r="E651" s="9"/>
      <c r="F651" s="9"/>
      <c r="G651" s="9"/>
      <c r="H651" s="9" t="s">
        <v>1922</v>
      </c>
      <c r="I651" s="9" t="s">
        <v>1923</v>
      </c>
      <c r="J651" s="9"/>
      <c r="K651" s="9" t="s">
        <v>1924</v>
      </c>
      <c r="L651" s="9"/>
      <c r="M651" s="9" t="str">
        <f>HYPERLINK("https://ceds.ed.gov/cedselementdetails.aspx?termid=14267")</f>
        <v>https://ceds.ed.gov/cedselementdetails.aspx?termid=14267</v>
      </c>
      <c r="N651" s="9" t="str">
        <f>HYPERLINK("https://ceds.ed.gov/elementComment.aspx?elementName=Course Applicable Education Level &amp;elementID=14267", "Click here to submit comment")</f>
        <v>Click here to submit comment</v>
      </c>
    </row>
    <row r="652" spans="1:14" ht="120" x14ac:dyDescent="0.25">
      <c r="A652" s="9" t="s">
        <v>1925</v>
      </c>
      <c r="B652" s="9" t="s">
        <v>1926</v>
      </c>
      <c r="C652" s="9" t="s">
        <v>12</v>
      </c>
      <c r="D652" s="9" t="s">
        <v>10490</v>
      </c>
      <c r="E652" s="9"/>
      <c r="F652" s="9" t="s">
        <v>73</v>
      </c>
      <c r="G652" s="9"/>
      <c r="H652" s="9"/>
      <c r="I652" s="9" t="s">
        <v>1927</v>
      </c>
      <c r="J652" s="9"/>
      <c r="K652" s="9" t="s">
        <v>1928</v>
      </c>
      <c r="L652" s="9" t="s">
        <v>6161</v>
      </c>
      <c r="M652" s="9" t="str">
        <f>HYPERLINK("https://ceds.ed.gov/cedselementdetails.aspx?termid=13054")</f>
        <v>https://ceds.ed.gov/cedselementdetails.aspx?termid=13054</v>
      </c>
      <c r="N652" s="9" t="str">
        <f>HYPERLINK("https://ceds.ed.gov/elementComment.aspx?elementName=Course Begin Date &amp;elementID=13054", "Click here to submit comment")</f>
        <v>Click here to submit comment</v>
      </c>
    </row>
    <row r="653" spans="1:14" ht="105" x14ac:dyDescent="0.25">
      <c r="A653" s="9" t="s">
        <v>1929</v>
      </c>
      <c r="B653" s="9" t="s">
        <v>1930</v>
      </c>
      <c r="C653" s="9" t="s">
        <v>12</v>
      </c>
      <c r="D653" s="9" t="s">
        <v>10527</v>
      </c>
      <c r="E653" s="9"/>
      <c r="F653" s="9" t="s">
        <v>68</v>
      </c>
      <c r="G653" s="9"/>
      <c r="H653" s="9"/>
      <c r="I653" s="9" t="s">
        <v>1931</v>
      </c>
      <c r="J653" s="9"/>
      <c r="K653" s="9" t="s">
        <v>1932</v>
      </c>
      <c r="L653" s="9"/>
      <c r="M653" s="9" t="str">
        <f>HYPERLINK("https://ceds.ed.gov/cedselementdetails.aspx?termid=14268")</f>
        <v>https://ceds.ed.gov/cedselementdetails.aspx?termid=14268</v>
      </c>
      <c r="N653" s="9" t="str">
        <f>HYPERLINK("https://ceds.ed.gov/elementComment.aspx?elementName=Course Certification Description &amp;elementID=14268", "Click here to submit comment")</f>
        <v>Click here to submit comment</v>
      </c>
    </row>
    <row r="654" spans="1:14" ht="240" x14ac:dyDescent="0.25">
      <c r="A654" s="9" t="s">
        <v>1933</v>
      </c>
      <c r="B654" s="9" t="s">
        <v>1934</v>
      </c>
      <c r="C654" s="10" t="s">
        <v>6421</v>
      </c>
      <c r="D654" s="9" t="s">
        <v>10938</v>
      </c>
      <c r="E654" s="9"/>
      <c r="F654" s="9"/>
      <c r="G654" s="9"/>
      <c r="H654" s="9"/>
      <c r="I654" s="9" t="s">
        <v>1935</v>
      </c>
      <c r="J654" s="9"/>
      <c r="K654" s="9" t="s">
        <v>1936</v>
      </c>
      <c r="L654" s="9" t="s">
        <v>6150</v>
      </c>
      <c r="M654" s="9" t="str">
        <f>HYPERLINK("https://ceds.ed.gov/cedselementdetails.aspx?termid=13056")</f>
        <v>https://ceds.ed.gov/cedselementdetails.aspx?termid=13056</v>
      </c>
      <c r="N654" s="9" t="str">
        <f>HYPERLINK("https://ceds.ed.gov/elementComment.aspx?elementName=Course Code System &amp;elementID=13056", "Click here to submit comment")</f>
        <v>Click here to submit comment</v>
      </c>
    </row>
    <row r="655" spans="1:14" ht="409.5" x14ac:dyDescent="0.25">
      <c r="A655" s="9" t="s">
        <v>1937</v>
      </c>
      <c r="B655" s="9" t="s">
        <v>1938</v>
      </c>
      <c r="C655" s="10" t="s">
        <v>6422</v>
      </c>
      <c r="D655" s="9" t="s">
        <v>10935</v>
      </c>
      <c r="E655" s="9"/>
      <c r="F655" s="9"/>
      <c r="G655" s="9"/>
      <c r="H655" s="9"/>
      <c r="I655" s="9" t="s">
        <v>1939</v>
      </c>
      <c r="J655" s="9"/>
      <c r="K655" s="9" t="s">
        <v>1940</v>
      </c>
      <c r="L655" s="9"/>
      <c r="M655" s="9" t="str">
        <f>HYPERLINK("https://ceds.ed.gov/cedselementdetails.aspx?termid=14269")</f>
        <v>https://ceds.ed.gov/cedselementdetails.aspx?termid=14269</v>
      </c>
      <c r="N655" s="9" t="str">
        <f>HYPERLINK("https://ceds.ed.gov/elementComment.aspx?elementName=Course Credit Basis Type &amp;elementID=14269", "Click here to submit comment")</f>
        <v>Click here to submit comment</v>
      </c>
    </row>
    <row r="656" spans="1:14" ht="255" x14ac:dyDescent="0.25">
      <c r="A656" s="9" t="s">
        <v>1941</v>
      </c>
      <c r="B656" s="9" t="s">
        <v>1942</v>
      </c>
      <c r="C656" s="10" t="s">
        <v>6423</v>
      </c>
      <c r="D656" s="9" t="s">
        <v>10935</v>
      </c>
      <c r="E656" s="9"/>
      <c r="F656" s="9"/>
      <c r="G656" s="9"/>
      <c r="H656" s="9"/>
      <c r="I656" s="9" t="s">
        <v>1943</v>
      </c>
      <c r="J656" s="9"/>
      <c r="K656" s="9" t="s">
        <v>1944</v>
      </c>
      <c r="L656" s="9"/>
      <c r="M656" s="9" t="str">
        <f>HYPERLINK("https://ceds.ed.gov/cedselementdetails.aspx?termid=14270")</f>
        <v>https://ceds.ed.gov/cedselementdetails.aspx?termid=14270</v>
      </c>
      <c r="N656" s="9" t="str">
        <f>HYPERLINK("https://ceds.ed.gov/elementComment.aspx?elementName=Course Credit Level Type &amp;elementID=14270", "Click here to submit comment")</f>
        <v>Click here to submit comment</v>
      </c>
    </row>
    <row r="657" spans="1:14" ht="225" x14ac:dyDescent="0.25">
      <c r="A657" s="9" t="s">
        <v>1945</v>
      </c>
      <c r="B657" s="9" t="s">
        <v>1946</v>
      </c>
      <c r="C657" s="10" t="s">
        <v>6424</v>
      </c>
      <c r="D657" s="9" t="s">
        <v>10939</v>
      </c>
      <c r="E657" s="9"/>
      <c r="F657" s="9"/>
      <c r="G657" s="9"/>
      <c r="H657" s="9"/>
      <c r="I657" s="9" t="s">
        <v>1947</v>
      </c>
      <c r="J657" s="9"/>
      <c r="K657" s="9" t="s">
        <v>1948</v>
      </c>
      <c r="L657" s="9" t="s">
        <v>25</v>
      </c>
      <c r="M657" s="9" t="str">
        <f>HYPERLINK("https://ceds.ed.gov/cedselementdetails.aspx?termid=13057")</f>
        <v>https://ceds.ed.gov/cedselementdetails.aspx?termid=13057</v>
      </c>
      <c r="N657" s="9" t="str">
        <f>HYPERLINK("https://ceds.ed.gov/elementComment.aspx?elementName=Course Credit Units &amp;elementID=13057", "Click here to submit comment")</f>
        <v>Click here to submit comment</v>
      </c>
    </row>
    <row r="658" spans="1:14" ht="195" x14ac:dyDescent="0.25">
      <c r="A658" s="9" t="s">
        <v>1951</v>
      </c>
      <c r="B658" s="9" t="s">
        <v>1952</v>
      </c>
      <c r="C658" s="9" t="s">
        <v>12</v>
      </c>
      <c r="D658" s="9" t="s">
        <v>10940</v>
      </c>
      <c r="E658" s="9"/>
      <c r="F658" s="9" t="s">
        <v>92</v>
      </c>
      <c r="G658" s="9"/>
      <c r="H658" s="9"/>
      <c r="I658" s="9" t="s">
        <v>1953</v>
      </c>
      <c r="J658" s="9"/>
      <c r="K658" s="9" t="s">
        <v>1954</v>
      </c>
      <c r="L658" s="9"/>
      <c r="M658" s="9" t="str">
        <f>HYPERLINK("https://ceds.ed.gov/cedselementdetails.aspx?termid=14525")</f>
        <v>https://ceds.ed.gov/cedselementdetails.aspx?termid=14525</v>
      </c>
      <c r="N658" s="9" t="str">
        <f>HYPERLINK("https://ceds.ed.gov/elementComment.aspx?elementName=Course Department Name &amp;elementID=14525", "Click here to submit comment")</f>
        <v>Click here to submit comment</v>
      </c>
    </row>
    <row r="659" spans="1:14" ht="135" x14ac:dyDescent="0.25">
      <c r="A659" s="9" t="s">
        <v>1955</v>
      </c>
      <c r="B659" s="9" t="s">
        <v>1956</v>
      </c>
      <c r="C659" s="9" t="s">
        <v>12</v>
      </c>
      <c r="D659" s="9" t="s">
        <v>10483</v>
      </c>
      <c r="E659" s="9"/>
      <c r="F659" s="9" t="s">
        <v>92</v>
      </c>
      <c r="G659" s="9"/>
      <c r="H659" s="9"/>
      <c r="I659" s="9" t="s">
        <v>1957</v>
      </c>
      <c r="J659" s="9"/>
      <c r="K659" s="9" t="s">
        <v>1958</v>
      </c>
      <c r="L659" s="9"/>
      <c r="M659" s="9" t="str">
        <f>HYPERLINK("https://ceds.ed.gov/cedselementdetails.aspx?termid=13508")</f>
        <v>https://ceds.ed.gov/cedselementdetails.aspx?termid=13508</v>
      </c>
      <c r="N659" s="9" t="str">
        <f>HYPERLINK("https://ceds.ed.gov/elementComment.aspx?elementName=Course Description &amp;elementID=13508", "Click here to submit comment")</f>
        <v>Click here to submit comment</v>
      </c>
    </row>
    <row r="660" spans="1:14" ht="120" x14ac:dyDescent="0.25">
      <c r="A660" s="9" t="s">
        <v>1959</v>
      </c>
      <c r="B660" s="9" t="s">
        <v>1960</v>
      </c>
      <c r="C660" s="9" t="s">
        <v>12</v>
      </c>
      <c r="D660" s="9" t="s">
        <v>10934</v>
      </c>
      <c r="E660" s="9"/>
      <c r="F660" s="9" t="s">
        <v>73</v>
      </c>
      <c r="G660" s="9"/>
      <c r="H660" s="9"/>
      <c r="I660" s="9" t="s">
        <v>1961</v>
      </c>
      <c r="J660" s="9"/>
      <c r="K660" s="9" t="s">
        <v>1962</v>
      </c>
      <c r="L660" s="9" t="s">
        <v>1963</v>
      </c>
      <c r="M660" s="9" t="str">
        <f>HYPERLINK("https://ceds.ed.gov/cedselementdetails.aspx?termid=14271")</f>
        <v>https://ceds.ed.gov/cedselementdetails.aspx?termid=14271</v>
      </c>
      <c r="N660" s="9" t="str">
        <f>HYPERLINK("https://ceds.ed.gov/elementComment.aspx?elementName=Course Drop Date &amp;elementID=14271", "Click here to submit comment")</f>
        <v>Click here to submit comment</v>
      </c>
    </row>
    <row r="661" spans="1:14" ht="120" x14ac:dyDescent="0.25">
      <c r="A661" s="9" t="s">
        <v>1964</v>
      </c>
      <c r="B661" s="9" t="s">
        <v>1965</v>
      </c>
      <c r="C661" s="9" t="s">
        <v>12</v>
      </c>
      <c r="D661" s="9" t="s">
        <v>10490</v>
      </c>
      <c r="E661" s="9"/>
      <c r="F661" s="9" t="s">
        <v>73</v>
      </c>
      <c r="G661" s="9"/>
      <c r="H661" s="9"/>
      <c r="I661" s="9" t="s">
        <v>1966</v>
      </c>
      <c r="J661" s="9"/>
      <c r="K661" s="9" t="s">
        <v>1967</v>
      </c>
      <c r="L661" s="9" t="s">
        <v>6161</v>
      </c>
      <c r="M661" s="9" t="str">
        <f>HYPERLINK("https://ceds.ed.gov/cedselementdetails.aspx?termid=13059")</f>
        <v>https://ceds.ed.gov/cedselementdetails.aspx?termid=13059</v>
      </c>
      <c r="N661" s="9" t="str">
        <f>HYPERLINK("https://ceds.ed.gov/elementComment.aspx?elementName=Course End Date &amp;elementID=13059", "Click here to submit comment")</f>
        <v>Click here to submit comment</v>
      </c>
    </row>
    <row r="662" spans="1:14" ht="105" x14ac:dyDescent="0.25">
      <c r="A662" s="9" t="s">
        <v>1968</v>
      </c>
      <c r="B662" s="9" t="s">
        <v>1969</v>
      </c>
      <c r="C662" s="9" t="s">
        <v>12</v>
      </c>
      <c r="D662" s="9" t="s">
        <v>10527</v>
      </c>
      <c r="E662" s="9"/>
      <c r="F662" s="9" t="s">
        <v>87</v>
      </c>
      <c r="G662" s="9"/>
      <c r="H662" s="9" t="s">
        <v>1970</v>
      </c>
      <c r="I662" s="9" t="s">
        <v>1971</v>
      </c>
      <c r="J662" s="9"/>
      <c r="K662" s="9" t="s">
        <v>1972</v>
      </c>
      <c r="L662" s="9"/>
      <c r="M662" s="9" t="str">
        <f>HYPERLINK("https://ceds.ed.gov/cedselementdetails.aspx?termid=14272")</f>
        <v>https://ceds.ed.gov/cedselementdetails.aspx?termid=14272</v>
      </c>
      <c r="N662" s="9" t="str">
        <f>HYPERLINK("https://ceds.ed.gov/elementComment.aspx?elementName=Course Funding Program &amp;elementID=14272", "Click here to submit comment")</f>
        <v>Click here to submit comment</v>
      </c>
    </row>
    <row r="663" spans="1:14" ht="165" x14ac:dyDescent="0.25">
      <c r="A663" s="9" t="s">
        <v>1973</v>
      </c>
      <c r="B663" s="9" t="s">
        <v>1974</v>
      </c>
      <c r="C663" s="10" t="s">
        <v>6425</v>
      </c>
      <c r="D663" s="9" t="s">
        <v>10941</v>
      </c>
      <c r="E663" s="9"/>
      <c r="F663" s="9"/>
      <c r="G663" s="9"/>
      <c r="H663" s="9"/>
      <c r="I663" s="9" t="s">
        <v>1975</v>
      </c>
      <c r="J663" s="9" t="s">
        <v>1976</v>
      </c>
      <c r="K663" s="9" t="s">
        <v>1977</v>
      </c>
      <c r="L663" s="9" t="s">
        <v>6150</v>
      </c>
      <c r="M663" s="9" t="str">
        <f>HYPERLINK("https://ceds.ed.gov/cedselementdetails.aspx?termid=13060")</f>
        <v>https://ceds.ed.gov/cedselementdetails.aspx?termid=13060</v>
      </c>
      <c r="N663" s="9" t="str">
        <f>HYPERLINK("https://ceds.ed.gov/elementComment.aspx?elementName=Course Grade Point Average Applicability &amp;elementID=13060", "Click here to submit comment")</f>
        <v>Click here to submit comment</v>
      </c>
    </row>
    <row r="664" spans="1:14" ht="75" x14ac:dyDescent="0.25">
      <c r="A664" s="9" t="s">
        <v>1978</v>
      </c>
      <c r="B664" s="9" t="s">
        <v>1979</v>
      </c>
      <c r="C664" s="10" t="s">
        <v>6426</v>
      </c>
      <c r="D664" s="9" t="s">
        <v>10935</v>
      </c>
      <c r="E664" s="9"/>
      <c r="F664" s="9"/>
      <c r="G664" s="9"/>
      <c r="H664" s="9"/>
      <c r="I664" s="9" t="s">
        <v>1980</v>
      </c>
      <c r="J664" s="9"/>
      <c r="K664" s="9" t="s">
        <v>1981</v>
      </c>
      <c r="L664" s="9"/>
      <c r="M664" s="9" t="str">
        <f>HYPERLINK("https://ceds.ed.gov/cedselementdetails.aspx?termid=14273")</f>
        <v>https://ceds.ed.gov/cedselementdetails.aspx?termid=14273</v>
      </c>
      <c r="N664" s="9" t="str">
        <f>HYPERLINK("https://ceds.ed.gov/elementComment.aspx?elementName=Course Honors Type &amp;elementID=14273", "Click here to submit comment")</f>
        <v>Click here to submit comment</v>
      </c>
    </row>
    <row r="665" spans="1:14" ht="105" x14ac:dyDescent="0.25">
      <c r="A665" s="18" t="s">
        <v>1982</v>
      </c>
      <c r="B665" s="18" t="s">
        <v>1983</v>
      </c>
      <c r="C665" s="18" t="s">
        <v>12</v>
      </c>
      <c r="D665" s="18" t="s">
        <v>10938</v>
      </c>
      <c r="E665" s="18"/>
      <c r="F665" s="18" t="s">
        <v>119</v>
      </c>
      <c r="G665" s="18"/>
      <c r="H665" s="9" t="s">
        <v>120</v>
      </c>
      <c r="I665" s="18" t="s">
        <v>1984</v>
      </c>
      <c r="J665" s="18"/>
      <c r="K665" s="18" t="s">
        <v>1985</v>
      </c>
      <c r="L665" s="18" t="s">
        <v>6176</v>
      </c>
      <c r="M665" s="18" t="str">
        <f>HYPERLINK("https://ceds.ed.gov/cedselementdetails.aspx?termid=13055")</f>
        <v>https://ceds.ed.gov/cedselementdetails.aspx?termid=13055</v>
      </c>
      <c r="N665" s="18" t="str">
        <f>HYPERLINK("https://ceds.ed.gov/elementComment.aspx?elementName=Course Identifier &amp;elementID=13055", "Click here to submit comment")</f>
        <v>Click here to submit comment</v>
      </c>
    </row>
    <row r="666" spans="1:14" x14ac:dyDescent="0.25">
      <c r="A666" s="18"/>
      <c r="B666" s="18"/>
      <c r="C666" s="18"/>
      <c r="D666" s="18"/>
      <c r="E666" s="18"/>
      <c r="F666" s="18"/>
      <c r="G666" s="18"/>
      <c r="H666" s="9"/>
      <c r="I666" s="18"/>
      <c r="J666" s="18"/>
      <c r="K666" s="18"/>
      <c r="L666" s="18"/>
      <c r="M666" s="18"/>
      <c r="N666" s="18"/>
    </row>
    <row r="667" spans="1:14" ht="90" x14ac:dyDescent="0.25">
      <c r="A667" s="18"/>
      <c r="B667" s="18"/>
      <c r="C667" s="18"/>
      <c r="D667" s="18"/>
      <c r="E667" s="18"/>
      <c r="F667" s="18"/>
      <c r="G667" s="18"/>
      <c r="H667" s="9" t="s">
        <v>121</v>
      </c>
      <c r="I667" s="18"/>
      <c r="J667" s="18"/>
      <c r="K667" s="18"/>
      <c r="L667" s="18"/>
      <c r="M667" s="18"/>
      <c r="N667" s="18"/>
    </row>
    <row r="668" spans="1:14" ht="409.5" x14ac:dyDescent="0.25">
      <c r="A668" s="9" t="s">
        <v>1986</v>
      </c>
      <c r="B668" s="9" t="s">
        <v>1987</v>
      </c>
      <c r="C668" s="10" t="s">
        <v>6427</v>
      </c>
      <c r="D668" s="9" t="s">
        <v>10935</v>
      </c>
      <c r="E668" s="9"/>
      <c r="F668" s="9"/>
      <c r="G668" s="9"/>
      <c r="H668" s="9"/>
      <c r="I668" s="9" t="s">
        <v>1988</v>
      </c>
      <c r="J668" s="9"/>
      <c r="K668" s="9" t="s">
        <v>1989</v>
      </c>
      <c r="L668" s="9"/>
      <c r="M668" s="9" t="str">
        <f>HYPERLINK("https://ceds.ed.gov/cedselementdetails.aspx?termid=14274")</f>
        <v>https://ceds.ed.gov/cedselementdetails.aspx?termid=14274</v>
      </c>
      <c r="N668" s="9" t="str">
        <f>HYPERLINK("https://ceds.ed.gov/elementComment.aspx?elementName=Course Instruction Method &amp;elementID=14274", "Click here to submit comment")</f>
        <v>Click here to submit comment</v>
      </c>
    </row>
    <row r="669" spans="1:14" ht="75" x14ac:dyDescent="0.25">
      <c r="A669" s="9" t="s">
        <v>1990</v>
      </c>
      <c r="B669" s="9" t="s">
        <v>1991</v>
      </c>
      <c r="C669" s="9" t="s">
        <v>12</v>
      </c>
      <c r="D669" s="9" t="s">
        <v>10935</v>
      </c>
      <c r="E669" s="9"/>
      <c r="F669" s="9" t="s">
        <v>92</v>
      </c>
      <c r="G669" s="9"/>
      <c r="H669" s="9"/>
      <c r="I669" s="9" t="s">
        <v>1992</v>
      </c>
      <c r="J669" s="9"/>
      <c r="K669" s="9" t="s">
        <v>1993</v>
      </c>
      <c r="L669" s="9"/>
      <c r="M669" s="9" t="str">
        <f>HYPERLINK("https://ceds.ed.gov/cedselementdetails.aspx?termid=14275")</f>
        <v>https://ceds.ed.gov/cedselementdetails.aspx?termid=14275</v>
      </c>
      <c r="N669" s="9" t="str">
        <f>HYPERLINK("https://ceds.ed.gov/elementComment.aspx?elementName=Course Instruction Site Name &amp;elementID=14275", "Click here to submit comment")</f>
        <v>Click here to submit comment</v>
      </c>
    </row>
    <row r="670" spans="1:14" ht="180" x14ac:dyDescent="0.25">
      <c r="A670" s="9" t="s">
        <v>1994</v>
      </c>
      <c r="B670" s="9" t="s">
        <v>1995</v>
      </c>
      <c r="C670" s="10" t="s">
        <v>6428</v>
      </c>
      <c r="D670" s="9" t="s">
        <v>10935</v>
      </c>
      <c r="E670" s="9"/>
      <c r="F670" s="9"/>
      <c r="G670" s="9"/>
      <c r="H670" s="9"/>
      <c r="I670" s="9" t="s">
        <v>1996</v>
      </c>
      <c r="J670" s="9"/>
      <c r="K670" s="9" t="s">
        <v>1997</v>
      </c>
      <c r="L670" s="9"/>
      <c r="M670" s="9" t="str">
        <f>HYPERLINK("https://ceds.ed.gov/cedselementdetails.aspx?termid=14276")</f>
        <v>https://ceds.ed.gov/cedselementdetails.aspx?termid=14276</v>
      </c>
      <c r="N670" s="9" t="str">
        <f>HYPERLINK("https://ceds.ed.gov/elementComment.aspx?elementName=Course Instruction Site Type &amp;elementID=14276", "Click here to submit comment")</f>
        <v>Click here to submit comment</v>
      </c>
    </row>
    <row r="671" spans="1:14" ht="105" x14ac:dyDescent="0.25">
      <c r="A671" s="9" t="s">
        <v>1998</v>
      </c>
      <c r="B671" s="9" t="s">
        <v>1999</v>
      </c>
      <c r="C671" s="10" t="s">
        <v>6429</v>
      </c>
      <c r="D671" s="9" t="s">
        <v>10527</v>
      </c>
      <c r="E671" s="9"/>
      <c r="F671" s="9"/>
      <c r="G671" s="9"/>
      <c r="H671" s="9" t="s">
        <v>2000</v>
      </c>
      <c r="I671" s="9" t="s">
        <v>2001</v>
      </c>
      <c r="J671" s="9"/>
      <c r="K671" s="9" t="s">
        <v>2002</v>
      </c>
      <c r="L671" s="9"/>
      <c r="M671" s="9" t="str">
        <f>HYPERLINK("https://ceds.ed.gov/cedselementdetails.aspx?termid=14277")</f>
        <v>https://ceds.ed.gov/cedselementdetails.aspx?termid=14277</v>
      </c>
      <c r="N671" s="9" t="str">
        <f>HYPERLINK("https://ceds.ed.gov/elementComment.aspx?elementName=Course Interaction Mode &amp;elementID=14277", "Click here to submit comment")</f>
        <v>Click here to submit comment</v>
      </c>
    </row>
    <row r="672" spans="1:14" ht="330" x14ac:dyDescent="0.25">
      <c r="A672" s="9" t="s">
        <v>2003</v>
      </c>
      <c r="B672" s="9" t="s">
        <v>2004</v>
      </c>
      <c r="C672" s="10" t="s">
        <v>11840</v>
      </c>
      <c r="D672" s="9" t="s">
        <v>10520</v>
      </c>
      <c r="E672" s="9" t="s">
        <v>91</v>
      </c>
      <c r="F672" s="9"/>
      <c r="G672" s="9"/>
      <c r="H672" s="9"/>
      <c r="I672" s="9" t="s">
        <v>2005</v>
      </c>
      <c r="J672" s="9"/>
      <c r="K672" s="9" t="s">
        <v>2006</v>
      </c>
      <c r="L672" s="9" t="s">
        <v>6176</v>
      </c>
      <c r="M672" s="9" t="str">
        <f>HYPERLINK("https://ceds.ed.gov/cedselementdetails.aspx?termid=13061")</f>
        <v>https://ceds.ed.gov/cedselementdetails.aspx?termid=13061</v>
      </c>
      <c r="N672" s="9" t="str">
        <f>HYPERLINK("https://ceds.ed.gov/elementComment.aspx?elementName=Course Level Characteristic &amp;elementID=13061", "Click here to submit comment")</f>
        <v>Click here to submit comment</v>
      </c>
    </row>
    <row r="673" spans="1:14" ht="390" x14ac:dyDescent="0.25">
      <c r="A673" s="9" t="s">
        <v>2007</v>
      </c>
      <c r="B673" s="9" t="s">
        <v>2008</v>
      </c>
      <c r="C673" s="10" t="s">
        <v>11841</v>
      </c>
      <c r="D673" s="9" t="s">
        <v>10942</v>
      </c>
      <c r="E673" s="9" t="s">
        <v>91</v>
      </c>
      <c r="F673" s="9"/>
      <c r="G673" s="9"/>
      <c r="H673" s="9"/>
      <c r="I673" s="9" t="s">
        <v>2009</v>
      </c>
      <c r="J673" s="9"/>
      <c r="K673" s="9" t="s">
        <v>2010</v>
      </c>
      <c r="L673" s="9"/>
      <c r="M673" s="9" t="str">
        <f>HYPERLINK("https://ceds.ed.gov/cedselementdetails.aspx?termid=14278")</f>
        <v>https://ceds.ed.gov/cedselementdetails.aspx?termid=14278</v>
      </c>
      <c r="N673" s="9" t="str">
        <f>HYPERLINK("https://ceds.ed.gov/elementComment.aspx?elementName=Course Level Type &amp;elementID=14278", "Click here to submit comment")</f>
        <v>Click here to submit comment</v>
      </c>
    </row>
    <row r="674" spans="1:14" ht="90" x14ac:dyDescent="0.25">
      <c r="A674" s="9" t="s">
        <v>2011</v>
      </c>
      <c r="B674" s="9" t="s">
        <v>2012</v>
      </c>
      <c r="C674" s="9" t="s">
        <v>12</v>
      </c>
      <c r="D674" s="9" t="s">
        <v>10935</v>
      </c>
      <c r="E674" s="9"/>
      <c r="F674" s="9" t="s">
        <v>303</v>
      </c>
      <c r="G674" s="9"/>
      <c r="H674" s="9"/>
      <c r="I674" s="9" t="s">
        <v>2013</v>
      </c>
      <c r="J674" s="9"/>
      <c r="K674" s="9" t="s">
        <v>2014</v>
      </c>
      <c r="L674" s="9"/>
      <c r="M674" s="9" t="str">
        <f>HYPERLINK("https://ceds.ed.gov/cedselementdetails.aspx?termid=14279")</f>
        <v>https://ceds.ed.gov/cedselementdetails.aspx?termid=14279</v>
      </c>
      <c r="N674" s="9" t="str">
        <f>HYPERLINK("https://ceds.ed.gov/elementComment.aspx?elementName=Course Narrative Explanation Grade &amp;elementID=14279", "Click here to submit comment")</f>
        <v>Click here to submit comment</v>
      </c>
    </row>
    <row r="675" spans="1:14" ht="120" x14ac:dyDescent="0.25">
      <c r="A675" s="9" t="s">
        <v>2015</v>
      </c>
      <c r="B675" s="9" t="s">
        <v>2016</v>
      </c>
      <c r="C675" s="9" t="s">
        <v>12</v>
      </c>
      <c r="D675" s="9" t="s">
        <v>10943</v>
      </c>
      <c r="E675" s="9"/>
      <c r="F675" s="9" t="s">
        <v>87</v>
      </c>
      <c r="G675" s="9"/>
      <c r="H675" s="9"/>
      <c r="I675" s="9" t="s">
        <v>2017</v>
      </c>
      <c r="J675" s="9"/>
      <c r="K675" s="9" t="s">
        <v>2018</v>
      </c>
      <c r="L675" s="9"/>
      <c r="M675" s="9" t="str">
        <f>HYPERLINK("https://ceds.ed.gov/cedselementdetails.aspx?termid=14280")</f>
        <v>https://ceds.ed.gov/cedselementdetails.aspx?termid=14280</v>
      </c>
      <c r="N675" s="9" t="str">
        <f>HYPERLINK("https://ceds.ed.gov/elementComment.aspx?elementName=Course Number &amp;elementID=14280", "Click here to submit comment")</f>
        <v>Click here to submit comment</v>
      </c>
    </row>
    <row r="676" spans="1:14" ht="120" x14ac:dyDescent="0.25">
      <c r="A676" s="9" t="s">
        <v>2019</v>
      </c>
      <c r="B676" s="9" t="s">
        <v>2020</v>
      </c>
      <c r="C676" s="9" t="s">
        <v>12</v>
      </c>
      <c r="D676" s="9" t="s">
        <v>10934</v>
      </c>
      <c r="E676" s="9"/>
      <c r="F676" s="9" t="s">
        <v>22</v>
      </c>
      <c r="G676" s="9"/>
      <c r="H676" s="9"/>
      <c r="I676" s="9" t="s">
        <v>2021</v>
      </c>
      <c r="J676" s="9"/>
      <c r="K676" s="9" t="s">
        <v>2022</v>
      </c>
      <c r="L676" s="9" t="s">
        <v>25</v>
      </c>
      <c r="M676" s="9" t="str">
        <f>HYPERLINK("https://ceds.ed.gov/cedselementdetails.aspx?termid=13063")</f>
        <v>https://ceds.ed.gov/cedselementdetails.aspx?termid=13063</v>
      </c>
      <c r="N676" s="9" t="str">
        <f>HYPERLINK("https://ceds.ed.gov/elementComment.aspx?elementName=Course Override School &amp;elementID=13063", "Click here to submit comment")</f>
        <v>Click here to submit comment</v>
      </c>
    </row>
    <row r="677" spans="1:14" ht="120" x14ac:dyDescent="0.25">
      <c r="A677" s="9" t="s">
        <v>2023</v>
      </c>
      <c r="B677" s="9" t="s">
        <v>2024</v>
      </c>
      <c r="C677" s="9" t="s">
        <v>12</v>
      </c>
      <c r="D677" s="9" t="s">
        <v>10934</v>
      </c>
      <c r="E677" s="9"/>
      <c r="F677" s="9" t="s">
        <v>1513</v>
      </c>
      <c r="G677" s="9"/>
      <c r="H677" s="9"/>
      <c r="I677" s="9" t="s">
        <v>2025</v>
      </c>
      <c r="J677" s="9"/>
      <c r="K677" s="9" t="s">
        <v>2026</v>
      </c>
      <c r="L677" s="9" t="s">
        <v>25</v>
      </c>
      <c r="M677" s="9" t="str">
        <f>HYPERLINK("https://ceds.ed.gov/cedselementdetails.aspx?termid=13064")</f>
        <v>https://ceds.ed.gov/cedselementdetails.aspx?termid=13064</v>
      </c>
      <c r="N677" s="9" t="str">
        <f>HYPERLINK("https://ceds.ed.gov/elementComment.aspx?elementName=Course Quality Points Earned &amp;elementID=13064", "Click here to submit comment")</f>
        <v>Click here to submit comment</v>
      </c>
    </row>
    <row r="678" spans="1:14" ht="210" x14ac:dyDescent="0.25">
      <c r="A678" s="9" t="s">
        <v>2027</v>
      </c>
      <c r="B678" s="9" t="s">
        <v>2028</v>
      </c>
      <c r="C678" s="10" t="s">
        <v>6430</v>
      </c>
      <c r="D678" s="9" t="s">
        <v>10944</v>
      </c>
      <c r="E678" s="9"/>
      <c r="F678" s="9"/>
      <c r="G678" s="9"/>
      <c r="H678" s="9"/>
      <c r="I678" s="9" t="s">
        <v>2029</v>
      </c>
      <c r="J678" s="9"/>
      <c r="K678" s="9" t="s">
        <v>2030</v>
      </c>
      <c r="L678" s="9" t="s">
        <v>6109</v>
      </c>
      <c r="M678" s="9" t="str">
        <f>HYPERLINK("https://ceds.ed.gov/cedselementdetails.aspx?termid=13065")</f>
        <v>https://ceds.ed.gov/cedselementdetails.aspx?termid=13065</v>
      </c>
      <c r="N678" s="9" t="str">
        <f>HYPERLINK("https://ceds.ed.gov/elementComment.aspx?elementName=Course Repeat Code &amp;elementID=13065", "Click here to submit comment")</f>
        <v>Click here to submit comment</v>
      </c>
    </row>
    <row r="679" spans="1:14" ht="165" x14ac:dyDescent="0.25">
      <c r="A679" s="9" t="s">
        <v>10945</v>
      </c>
      <c r="B679" s="9" t="s">
        <v>10946</v>
      </c>
      <c r="C679" s="9" t="s">
        <v>12</v>
      </c>
      <c r="D679" s="9" t="s">
        <v>10520</v>
      </c>
      <c r="E679" s="9"/>
      <c r="F679" s="9" t="s">
        <v>589</v>
      </c>
      <c r="G679" s="9"/>
      <c r="H679" s="9"/>
      <c r="I679" s="9" t="s">
        <v>10947</v>
      </c>
      <c r="J679" s="9"/>
      <c r="K679" s="9" t="s">
        <v>10948</v>
      </c>
      <c r="L679" s="9"/>
      <c r="M679" s="9" t="str">
        <f>HYPERLINK("https://ceds.ed.gov/cedselementdetails.aspx?termid=14648")</f>
        <v>https://ceds.ed.gov/cedselementdetails.aspx?termid=14648</v>
      </c>
      <c r="N679" s="9" t="str">
        <f>HYPERLINK("https://ceds.ed.gov/elementComment.aspx?elementName=Course Repeatability Maximum Number &amp;elementID=14648", "Click here to submit comment")</f>
        <v>Click here to submit comment</v>
      </c>
    </row>
    <row r="680" spans="1:14" ht="409.5" x14ac:dyDescent="0.25">
      <c r="A680" s="9" t="s">
        <v>2031</v>
      </c>
      <c r="B680" s="9" t="s">
        <v>2032</v>
      </c>
      <c r="C680" s="10" t="s">
        <v>6374</v>
      </c>
      <c r="D680" s="9" t="s">
        <v>10949</v>
      </c>
      <c r="E680" s="9"/>
      <c r="F680" s="9"/>
      <c r="G680" s="9"/>
      <c r="H680" s="9"/>
      <c r="I680" s="9" t="s">
        <v>2033</v>
      </c>
      <c r="J680" s="9"/>
      <c r="K680" s="9" t="s">
        <v>2034</v>
      </c>
      <c r="L680" s="9" t="s">
        <v>6177</v>
      </c>
      <c r="M680" s="9" t="str">
        <f>HYPERLINK("https://ceds.ed.gov/cedselementdetails.aspx?termid=13027")</f>
        <v>https://ceds.ed.gov/cedselementdetails.aspx?termid=13027</v>
      </c>
      <c r="N680" s="9" t="str">
        <f>HYPERLINK("https://ceds.ed.gov/elementComment.aspx?elementName=Course Section Assessment Reporting Method &amp;elementID=13027", "Click here to submit comment")</f>
        <v>Click here to submit comment</v>
      </c>
    </row>
    <row r="681" spans="1:14" ht="120" x14ac:dyDescent="0.25">
      <c r="A681" s="9" t="s">
        <v>2035</v>
      </c>
      <c r="B681" s="9" t="s">
        <v>2036</v>
      </c>
      <c r="C681" s="9" t="s">
        <v>12</v>
      </c>
      <c r="D681" s="9" t="s">
        <v>2037</v>
      </c>
      <c r="E681" s="9"/>
      <c r="F681" s="9" t="s">
        <v>73</v>
      </c>
      <c r="G681" s="9"/>
      <c r="H681" s="9" t="s">
        <v>2038</v>
      </c>
      <c r="I681" s="9" t="s">
        <v>2039</v>
      </c>
      <c r="J681" s="9"/>
      <c r="K681" s="9" t="s">
        <v>2040</v>
      </c>
      <c r="L681" s="9"/>
      <c r="M681" s="9" t="str">
        <f>HYPERLINK("https://ceds.ed.gov/cedselementdetails.aspx?termid=13976")</f>
        <v>https://ceds.ed.gov/cedselementdetails.aspx?termid=13976</v>
      </c>
      <c r="N681" s="9" t="str">
        <f>HYPERLINK("https://ceds.ed.gov/elementComment.aspx?elementName=Course Section Enrollment Status End Date &amp;elementID=13976", "Click here to submit comment")</f>
        <v>Click here to submit comment</v>
      </c>
    </row>
    <row r="682" spans="1:14" ht="120" x14ac:dyDescent="0.25">
      <c r="A682" s="9" t="s">
        <v>2041</v>
      </c>
      <c r="B682" s="9" t="s">
        <v>2042</v>
      </c>
      <c r="C682" s="9" t="s">
        <v>12</v>
      </c>
      <c r="D682" s="9" t="s">
        <v>2037</v>
      </c>
      <c r="E682" s="9"/>
      <c r="F682" s="9" t="s">
        <v>73</v>
      </c>
      <c r="G682" s="9"/>
      <c r="H682" s="9" t="s">
        <v>2038</v>
      </c>
      <c r="I682" s="9" t="s">
        <v>2043</v>
      </c>
      <c r="J682" s="9"/>
      <c r="K682" s="9" t="s">
        <v>2044</v>
      </c>
      <c r="L682" s="9"/>
      <c r="M682" s="9" t="str">
        <f>HYPERLINK("https://ceds.ed.gov/cedselementdetails.aspx?termid=13975")</f>
        <v>https://ceds.ed.gov/cedselementdetails.aspx?termid=13975</v>
      </c>
      <c r="N682" s="9" t="str">
        <f>HYPERLINK("https://ceds.ed.gov/elementComment.aspx?elementName=Course Section Enrollment Status Start Date &amp;elementID=13975", "Click here to submit comment")</f>
        <v>Click here to submit comment</v>
      </c>
    </row>
    <row r="683" spans="1:14" ht="120" x14ac:dyDescent="0.25">
      <c r="A683" s="9" t="s">
        <v>2045</v>
      </c>
      <c r="B683" s="9" t="s">
        <v>2046</v>
      </c>
      <c r="C683" s="10" t="s">
        <v>6431</v>
      </c>
      <c r="D683" s="9" t="s">
        <v>2037</v>
      </c>
      <c r="E683" s="9"/>
      <c r="F683" s="9"/>
      <c r="G683" s="9"/>
      <c r="H683" s="9" t="s">
        <v>2038</v>
      </c>
      <c r="I683" s="9" t="s">
        <v>2047</v>
      </c>
      <c r="J683" s="9"/>
      <c r="K683" s="9" t="s">
        <v>2048</v>
      </c>
      <c r="L683" s="9"/>
      <c r="M683" s="9" t="str">
        <f>HYPERLINK("https://ceds.ed.gov/cedselementdetails.aspx?termid=13977")</f>
        <v>https://ceds.ed.gov/cedselementdetails.aspx?termid=13977</v>
      </c>
      <c r="N683" s="9" t="str">
        <f>HYPERLINK("https://ceds.ed.gov/elementComment.aspx?elementName=Course Section Enrollment Status Type &amp;elementID=13977", "Click here to submit comment")</f>
        <v>Click here to submit comment</v>
      </c>
    </row>
    <row r="684" spans="1:14" ht="45" x14ac:dyDescent="0.25">
      <c r="A684" s="9" t="s">
        <v>2049</v>
      </c>
      <c r="B684" s="9" t="s">
        <v>2050</v>
      </c>
      <c r="C684" s="10" t="s">
        <v>6432</v>
      </c>
      <c r="D684" s="9" t="s">
        <v>2037</v>
      </c>
      <c r="E684" s="9"/>
      <c r="F684" s="9"/>
      <c r="G684" s="9"/>
      <c r="H684" s="9"/>
      <c r="I684" s="9" t="s">
        <v>2051</v>
      </c>
      <c r="J684" s="9"/>
      <c r="K684" s="9" t="s">
        <v>2052</v>
      </c>
      <c r="L684" s="9" t="s">
        <v>2053</v>
      </c>
      <c r="M684" s="9" t="str">
        <f>HYPERLINK("https://ceds.ed.gov/cedselementdetails.aspx?termid=13652")</f>
        <v>https://ceds.ed.gov/cedselementdetails.aspx?termid=13652</v>
      </c>
      <c r="N684" s="9" t="str">
        <f>HYPERLINK("https://ceds.ed.gov/elementComment.aspx?elementName=Course Section Entry Type &amp;elementID=13652", "Click here to submit comment")</f>
        <v>Click here to submit comment</v>
      </c>
    </row>
    <row r="685" spans="1:14" ht="210" x14ac:dyDescent="0.25">
      <c r="A685" s="9" t="s">
        <v>2054</v>
      </c>
      <c r="B685" s="9" t="s">
        <v>2055</v>
      </c>
      <c r="C685" s="10" t="s">
        <v>6433</v>
      </c>
      <c r="D685" s="9" t="s">
        <v>2037</v>
      </c>
      <c r="E685" s="9"/>
      <c r="F685" s="9"/>
      <c r="G685" s="9"/>
      <c r="H685" s="9"/>
      <c r="I685" s="9" t="s">
        <v>2056</v>
      </c>
      <c r="J685" s="9"/>
      <c r="K685" s="9" t="s">
        <v>2057</v>
      </c>
      <c r="L685" s="9" t="s">
        <v>2053</v>
      </c>
      <c r="M685" s="9" t="str">
        <f>HYPERLINK("https://ceds.ed.gov/cedselementdetails.aspx?termid=13654")</f>
        <v>https://ceds.ed.gov/cedselementdetails.aspx?termid=13654</v>
      </c>
      <c r="N685" s="9" t="str">
        <f>HYPERLINK("https://ceds.ed.gov/elementComment.aspx?elementName=Course Section Exit Type &amp;elementID=13654", "Click here to submit comment")</f>
        <v>Click here to submit comment</v>
      </c>
    </row>
    <row r="686" spans="1:14" ht="45" x14ac:dyDescent="0.25">
      <c r="A686" s="9" t="s">
        <v>2058</v>
      </c>
      <c r="B686" s="9" t="s">
        <v>2059</v>
      </c>
      <c r="C686" s="9" t="s">
        <v>12</v>
      </c>
      <c r="D686" s="9" t="s">
        <v>2037</v>
      </c>
      <c r="E686" s="9"/>
      <c r="F686" s="9" t="s">
        <v>73</v>
      </c>
      <c r="G686" s="9"/>
      <c r="H686" s="9"/>
      <c r="I686" s="9" t="s">
        <v>2060</v>
      </c>
      <c r="J686" s="9"/>
      <c r="K686" s="9" t="s">
        <v>2061</v>
      </c>
      <c r="L686" s="9" t="s">
        <v>2053</v>
      </c>
      <c r="M686" s="9" t="str">
        <f>HYPERLINK("https://ceds.ed.gov/cedselementdetails.aspx?termid=13653")</f>
        <v>https://ceds.ed.gov/cedselementdetails.aspx?termid=13653</v>
      </c>
      <c r="N686" s="9" t="str">
        <f>HYPERLINK("https://ceds.ed.gov/elementComment.aspx?elementName=Course Section Exit Withdrawal Date &amp;elementID=13653", "Click here to submit comment")</f>
        <v>Click here to submit comment</v>
      </c>
    </row>
    <row r="687" spans="1:14" ht="105" x14ac:dyDescent="0.25">
      <c r="A687" s="18" t="s">
        <v>2062</v>
      </c>
      <c r="B687" s="18" t="s">
        <v>2063</v>
      </c>
      <c r="C687" s="18" t="s">
        <v>12</v>
      </c>
      <c r="D687" s="18" t="s">
        <v>10731</v>
      </c>
      <c r="E687" s="18"/>
      <c r="F687" s="18" t="s">
        <v>119</v>
      </c>
      <c r="G687" s="18"/>
      <c r="H687" s="9" t="s">
        <v>120</v>
      </c>
      <c r="I687" s="18" t="s">
        <v>2064</v>
      </c>
      <c r="J687" s="18"/>
      <c r="K687" s="18" t="s">
        <v>2065</v>
      </c>
      <c r="L687" s="18"/>
      <c r="M687" s="18" t="str">
        <f>HYPERLINK("https://ceds.ed.gov/cedselementdetails.aspx?termid=13979")</f>
        <v>https://ceds.ed.gov/cedselementdetails.aspx?termid=13979</v>
      </c>
      <c r="N687" s="18" t="str">
        <f>HYPERLINK("https://ceds.ed.gov/elementComment.aspx?elementName=Course Section Identifier &amp;elementID=13979", "Click here to submit comment")</f>
        <v>Click here to submit comment</v>
      </c>
    </row>
    <row r="688" spans="1:14" x14ac:dyDescent="0.25">
      <c r="A688" s="18"/>
      <c r="B688" s="18"/>
      <c r="C688" s="18"/>
      <c r="D688" s="18"/>
      <c r="E688" s="18"/>
      <c r="F688" s="18"/>
      <c r="G688" s="18"/>
      <c r="H688" s="9"/>
      <c r="I688" s="18"/>
      <c r="J688" s="18"/>
      <c r="K688" s="18"/>
      <c r="L688" s="18"/>
      <c r="M688" s="18"/>
      <c r="N688" s="18"/>
    </row>
    <row r="689" spans="1:14" ht="90" x14ac:dyDescent="0.25">
      <c r="A689" s="18"/>
      <c r="B689" s="18"/>
      <c r="C689" s="18"/>
      <c r="D689" s="18"/>
      <c r="E689" s="18"/>
      <c r="F689" s="18"/>
      <c r="G689" s="18"/>
      <c r="H689" s="9" t="s">
        <v>121</v>
      </c>
      <c r="I689" s="18"/>
      <c r="J689" s="18"/>
      <c r="K689" s="18"/>
      <c r="L689" s="18"/>
      <c r="M689" s="18"/>
      <c r="N689" s="18"/>
    </row>
    <row r="690" spans="1:14" ht="150" x14ac:dyDescent="0.25">
      <c r="A690" s="9" t="s">
        <v>2066</v>
      </c>
      <c r="B690" s="9" t="s">
        <v>2067</v>
      </c>
      <c r="C690" s="10" t="s">
        <v>6434</v>
      </c>
      <c r="D690" s="9" t="s">
        <v>10731</v>
      </c>
      <c r="E690" s="9"/>
      <c r="F690" s="9"/>
      <c r="G690" s="9"/>
      <c r="H690" s="9"/>
      <c r="I690" s="9" t="s">
        <v>2068</v>
      </c>
      <c r="J690" s="9"/>
      <c r="K690" s="9" t="s">
        <v>2069</v>
      </c>
      <c r="L690" s="9"/>
      <c r="M690" s="9" t="str">
        <f>HYPERLINK("https://ceds.ed.gov/cedselementdetails.aspx?termid=14168")</f>
        <v>https://ceds.ed.gov/cedselementdetails.aspx?termid=14168</v>
      </c>
      <c r="N690" s="9" t="str">
        <f>HYPERLINK("https://ceds.ed.gov/elementComment.aspx?elementName=Course Section Instructional Delivery Mode &amp;elementID=14168", "Click here to submit comment")</f>
        <v>Click here to submit comment</v>
      </c>
    </row>
    <row r="691" spans="1:14" ht="105" x14ac:dyDescent="0.25">
      <c r="A691" s="9" t="s">
        <v>2070</v>
      </c>
      <c r="B691" s="9" t="s">
        <v>2071</v>
      </c>
      <c r="C691" s="9" t="s">
        <v>12</v>
      </c>
      <c r="D691" s="9" t="s">
        <v>6178</v>
      </c>
      <c r="E691" s="9"/>
      <c r="F691" s="9" t="s">
        <v>10489</v>
      </c>
      <c r="G691" s="9"/>
      <c r="H691" s="9"/>
      <c r="I691" s="9" t="s">
        <v>2072</v>
      </c>
      <c r="J691" s="9"/>
      <c r="K691" s="9" t="s">
        <v>2073</v>
      </c>
      <c r="L691" s="9"/>
      <c r="M691" s="9" t="str">
        <f>HYPERLINK("https://ceds.ed.gov/cedselementdetails.aspx?termid=14636")</f>
        <v>https://ceds.ed.gov/cedselementdetails.aspx?termid=14636</v>
      </c>
      <c r="N691" s="9" t="str">
        <f>HYPERLINK("https://ceds.ed.gov/elementComment.aspx?elementName=Course Section Maximum Capacity &amp;elementID=14636", "Click here to submit comment")</f>
        <v>Click here to submit comment</v>
      </c>
    </row>
    <row r="692" spans="1:14" ht="75" x14ac:dyDescent="0.25">
      <c r="A692" s="9" t="s">
        <v>2074</v>
      </c>
      <c r="B692" s="9" t="s">
        <v>2075</v>
      </c>
      <c r="C692" s="9" t="s">
        <v>12</v>
      </c>
      <c r="D692" s="9" t="s">
        <v>10935</v>
      </c>
      <c r="E692" s="9"/>
      <c r="F692" s="9" t="s">
        <v>87</v>
      </c>
      <c r="G692" s="9"/>
      <c r="H692" s="9"/>
      <c r="I692" s="9" t="s">
        <v>2076</v>
      </c>
      <c r="J692" s="9"/>
      <c r="K692" s="9" t="s">
        <v>2077</v>
      </c>
      <c r="L692" s="9"/>
      <c r="M692" s="9" t="str">
        <f>HYPERLINK("https://ceds.ed.gov/cedselementdetails.aspx?termid=14281")</f>
        <v>https://ceds.ed.gov/cedselementdetails.aspx?termid=14281</v>
      </c>
      <c r="N692" s="9" t="str">
        <f>HYPERLINK("https://ceds.ed.gov/elementComment.aspx?elementName=Course Section Number &amp;elementID=14281", "Click here to submit comment")</f>
        <v>Click here to submit comment</v>
      </c>
    </row>
    <row r="693" spans="1:14" ht="75" x14ac:dyDescent="0.25">
      <c r="A693" s="9" t="s">
        <v>2078</v>
      </c>
      <c r="B693" s="9" t="s">
        <v>2079</v>
      </c>
      <c r="C693" s="10" t="s">
        <v>6435</v>
      </c>
      <c r="D693" s="9" t="s">
        <v>10731</v>
      </c>
      <c r="E693" s="9"/>
      <c r="F693" s="9"/>
      <c r="G693" s="9"/>
      <c r="H693" s="9"/>
      <c r="I693" s="9" t="s">
        <v>2080</v>
      </c>
      <c r="J693" s="9"/>
      <c r="K693" s="9" t="s">
        <v>2081</v>
      </c>
      <c r="L693" s="9" t="s">
        <v>6179</v>
      </c>
      <c r="M693" s="9" t="str">
        <f>HYPERLINK("https://ceds.ed.gov/cedselementdetails.aspx?termid=13258")</f>
        <v>https://ceds.ed.gov/cedselementdetails.aspx?termid=13258</v>
      </c>
      <c r="N693" s="9" t="str">
        <f>HYPERLINK("https://ceds.ed.gov/elementComment.aspx?elementName=Course Section Single Sex Class Status &amp;elementID=13258", "Click here to submit comment")</f>
        <v>Click here to submit comment</v>
      </c>
    </row>
    <row r="694" spans="1:14" ht="165" x14ac:dyDescent="0.25">
      <c r="A694" s="9" t="s">
        <v>12212</v>
      </c>
      <c r="B694" s="9" t="s">
        <v>2082</v>
      </c>
      <c r="C694" s="9" t="s">
        <v>12</v>
      </c>
      <c r="D694" s="9" t="s">
        <v>10731</v>
      </c>
      <c r="E694" s="9"/>
      <c r="F694" s="9" t="s">
        <v>10489</v>
      </c>
      <c r="G694" s="9"/>
      <c r="H694" s="9"/>
      <c r="I694" s="9" t="s">
        <v>2083</v>
      </c>
      <c r="J694" s="9"/>
      <c r="K694" s="9" t="s">
        <v>2084</v>
      </c>
      <c r="L694" s="9" t="s">
        <v>2085</v>
      </c>
      <c r="M694" s="9" t="str">
        <f>HYPERLINK("https://ceds.ed.gov/cedselementdetails.aspx?termid=13101")</f>
        <v>https://ceds.ed.gov/cedselementdetails.aspx?termid=13101</v>
      </c>
      <c r="N694" s="9" t="str">
        <f>HYPERLINK("https://ceds.ed.gov/elementComment.aspx?elementName=Course Section Time Required for Completion &amp;elementID=13101", "Click here to submit comment")</f>
        <v>Click here to submit comment</v>
      </c>
    </row>
    <row r="695" spans="1:14" ht="120" x14ac:dyDescent="0.25">
      <c r="A695" s="9" t="s">
        <v>2086</v>
      </c>
      <c r="B695" s="9" t="s">
        <v>2087</v>
      </c>
      <c r="C695" s="9" t="s">
        <v>12</v>
      </c>
      <c r="D695" s="9" t="s">
        <v>10490</v>
      </c>
      <c r="E695" s="9"/>
      <c r="F695" s="9" t="s">
        <v>2088</v>
      </c>
      <c r="G695" s="9"/>
      <c r="H695" s="9"/>
      <c r="I695" s="9" t="s">
        <v>2089</v>
      </c>
      <c r="J695" s="9"/>
      <c r="K695" s="9" t="s">
        <v>2090</v>
      </c>
      <c r="L695" s="9" t="s">
        <v>25</v>
      </c>
      <c r="M695" s="9" t="str">
        <f>HYPERLINK("https://ceds.ed.gov/cedselementdetails.aspx?termid=13066")</f>
        <v>https://ceds.ed.gov/cedselementdetails.aspx?termid=13066</v>
      </c>
      <c r="N695" s="9" t="str">
        <f>HYPERLINK("https://ceds.ed.gov/elementComment.aspx?elementName=Course Subject Abbreviation &amp;elementID=13066", "Click here to submit comment")</f>
        <v>Click here to submit comment</v>
      </c>
    </row>
    <row r="696" spans="1:14" ht="225" x14ac:dyDescent="0.25">
      <c r="A696" s="9" t="s">
        <v>2091</v>
      </c>
      <c r="B696" s="9" t="s">
        <v>2092</v>
      </c>
      <c r="C696" s="9" t="s">
        <v>12</v>
      </c>
      <c r="D696" s="9" t="s">
        <v>10940</v>
      </c>
      <c r="E696" s="9"/>
      <c r="F696" s="9" t="s">
        <v>92</v>
      </c>
      <c r="G696" s="9"/>
      <c r="H696" s="9"/>
      <c r="I696" s="9" t="s">
        <v>2093</v>
      </c>
      <c r="J696" s="9"/>
      <c r="K696" s="9" t="s">
        <v>2094</v>
      </c>
      <c r="L696" s="9" t="s">
        <v>6150</v>
      </c>
      <c r="M696" s="9" t="str">
        <f>HYPERLINK("https://ceds.ed.gov/cedselementdetails.aspx?termid=13067")</f>
        <v>https://ceds.ed.gov/cedselementdetails.aspx?termid=13067</v>
      </c>
      <c r="N696" s="9" t="str">
        <f>HYPERLINK("https://ceds.ed.gov/elementComment.aspx?elementName=Course Title &amp;elementID=13067", "Click here to submit comment")</f>
        <v>Click here to submit comment</v>
      </c>
    </row>
    <row r="697" spans="1:14" ht="45" x14ac:dyDescent="0.25">
      <c r="A697" s="9" t="s">
        <v>2095</v>
      </c>
      <c r="B697" s="9" t="s">
        <v>2096</v>
      </c>
      <c r="C697" s="9" t="s">
        <v>12</v>
      </c>
      <c r="D697" s="9" t="s">
        <v>293</v>
      </c>
      <c r="E697" s="9"/>
      <c r="F697" s="9" t="s">
        <v>10489</v>
      </c>
      <c r="G697" s="9"/>
      <c r="H697" s="9"/>
      <c r="I697" s="9" t="s">
        <v>2097</v>
      </c>
      <c r="J697" s="9"/>
      <c r="K697" s="9" t="s">
        <v>2098</v>
      </c>
      <c r="L697" s="9"/>
      <c r="M697" s="9" t="str">
        <f>HYPERLINK("https://ceds.ed.gov/cedselementdetails.aspx?termid=14282")</f>
        <v>https://ceds.ed.gov/cedselementdetails.aspx?termid=14282</v>
      </c>
      <c r="N697" s="9" t="str">
        <f>HYPERLINK("https://ceds.ed.gov/elementComment.aspx?elementName=Course Total &amp;elementID=14282", "Click here to submit comment")</f>
        <v>Click here to submit comment</v>
      </c>
    </row>
    <row r="698" spans="1:14" ht="45" x14ac:dyDescent="0.25">
      <c r="A698" s="9" t="s">
        <v>10950</v>
      </c>
      <c r="B698" s="9" t="s">
        <v>10951</v>
      </c>
      <c r="C698" s="9" t="s">
        <v>12</v>
      </c>
      <c r="D698" s="9" t="s">
        <v>10952</v>
      </c>
      <c r="E698" s="9"/>
      <c r="F698" s="9" t="s">
        <v>303</v>
      </c>
      <c r="G698" s="9"/>
      <c r="H698" s="9"/>
      <c r="I698" s="9" t="s">
        <v>10953</v>
      </c>
      <c r="J698" s="9"/>
      <c r="K698" s="9" t="s">
        <v>10954</v>
      </c>
      <c r="L698" s="9"/>
      <c r="M698" s="9" t="str">
        <f>HYPERLINK("https://ceds.ed.gov/cedselementdetails.aspx?termid=14715")</f>
        <v>https://ceds.ed.gov/cedselementdetails.aspx?termid=14715</v>
      </c>
      <c r="N698" s="9" t="str">
        <f>HYPERLINK("https://ceds.ed.gov/elementComment.aspx?elementName=Credential Advanced Standing Description &amp;elementID=14715", "Click here to submit comment")</f>
        <v>Click here to submit comment</v>
      </c>
    </row>
    <row r="699" spans="1:14" ht="45" x14ac:dyDescent="0.25">
      <c r="A699" s="9" t="s">
        <v>10955</v>
      </c>
      <c r="B699" s="9" t="s">
        <v>10956</v>
      </c>
      <c r="C699" s="9" t="s">
        <v>12</v>
      </c>
      <c r="D699" s="9" t="s">
        <v>10952</v>
      </c>
      <c r="E699" s="9"/>
      <c r="F699" s="9" t="s">
        <v>1143</v>
      </c>
      <c r="G699" s="9"/>
      <c r="H699" s="9"/>
      <c r="I699" s="9" t="s">
        <v>10957</v>
      </c>
      <c r="J699" s="9"/>
      <c r="K699" s="9" t="s">
        <v>10958</v>
      </c>
      <c r="L699" s="9"/>
      <c r="M699" s="9" t="str">
        <f>HYPERLINK("https://ceds.ed.gov/cedselementdetails.aspx?termid=14716")</f>
        <v>https://ceds.ed.gov/cedselementdetails.aspx?termid=14716</v>
      </c>
      <c r="N699" s="9" t="str">
        <f>HYPERLINK("https://ceds.ed.gov/elementComment.aspx?elementName=Credential Advanced Standing URL &amp;elementID=14716", "Click here to submit comment")</f>
        <v>Click here to submit comment</v>
      </c>
    </row>
    <row r="700" spans="1:14" ht="15" customHeight="1" x14ac:dyDescent="0.25">
      <c r="A700" s="9" t="s">
        <v>10959</v>
      </c>
      <c r="B700" s="9" t="s">
        <v>10960</v>
      </c>
      <c r="C700" s="9" t="s">
        <v>12</v>
      </c>
      <c r="D700" s="9" t="s">
        <v>6886</v>
      </c>
      <c r="E700" s="9"/>
      <c r="F700" s="9" t="s">
        <v>68</v>
      </c>
      <c r="G700" s="9"/>
      <c r="H700" s="9"/>
      <c r="I700" s="9" t="s">
        <v>10961</v>
      </c>
      <c r="J700" s="9"/>
      <c r="K700" s="9" t="s">
        <v>10962</v>
      </c>
      <c r="L700" s="9"/>
      <c r="M700" s="9" t="str">
        <f>HYPERLINK("https://ceds.ed.gov/cedselementdetails.aspx?termid=14717")</f>
        <v>https://ceds.ed.gov/cedselementdetails.aspx?termid=14717</v>
      </c>
      <c r="N700" s="9" t="str">
        <f>HYPERLINK("https://ceds.ed.gov/elementComment.aspx?elementName=Credential Alternate Name &amp;elementID=14717", "Click here to submit comment")</f>
        <v>Click here to submit comment</v>
      </c>
    </row>
    <row r="701" spans="1:14" ht="15" customHeight="1" x14ac:dyDescent="0.25">
      <c r="A701" s="9" t="s">
        <v>10963</v>
      </c>
      <c r="B701" s="9" t="s">
        <v>10964</v>
      </c>
      <c r="C701" s="10" t="s">
        <v>11842</v>
      </c>
      <c r="D701" s="9" t="s">
        <v>6886</v>
      </c>
      <c r="E701" s="9"/>
      <c r="F701" s="9"/>
      <c r="G701" s="9"/>
      <c r="H701" s="9"/>
      <c r="I701" s="9" t="s">
        <v>10965</v>
      </c>
      <c r="J701" s="9"/>
      <c r="K701" s="9" t="s">
        <v>10966</v>
      </c>
      <c r="L701" s="9"/>
      <c r="M701" s="9" t="str">
        <f>HYPERLINK("https://ceds.ed.gov/cedselementdetails.aspx?termid=14719")</f>
        <v>https://ceds.ed.gov/cedselementdetails.aspx?termid=14719</v>
      </c>
      <c r="N701" s="9" t="str">
        <f>HYPERLINK("https://ceds.ed.gov/elementComment.aspx?elementName=Credential Assessment Method Type &amp;elementID=14719", "Click here to submit comment")</f>
        <v>Click here to submit comment</v>
      </c>
    </row>
    <row r="702" spans="1:14" ht="15" customHeight="1" x14ac:dyDescent="0.25">
      <c r="A702" s="9" t="s">
        <v>10967</v>
      </c>
      <c r="B702" s="9" t="s">
        <v>10968</v>
      </c>
      <c r="C702" s="9" t="s">
        <v>12</v>
      </c>
      <c r="D702" s="9" t="s">
        <v>10952</v>
      </c>
      <c r="E702" s="9"/>
      <c r="F702" s="9" t="s">
        <v>68</v>
      </c>
      <c r="G702" s="9"/>
      <c r="H702" s="9"/>
      <c r="I702" s="9" t="s">
        <v>10969</v>
      </c>
      <c r="J702" s="9"/>
      <c r="K702" s="9" t="s">
        <v>10970</v>
      </c>
      <c r="L702" s="9"/>
      <c r="M702" s="9" t="str">
        <f>HYPERLINK("https://ceds.ed.gov/cedselementdetails.aspx?termid=14718")</f>
        <v>https://ceds.ed.gov/cedselementdetails.aspx?termid=14718</v>
      </c>
      <c r="N702" s="9" t="str">
        <f>HYPERLINK("https://ceds.ed.gov/elementComment.aspx?elementName=Credential Award Approver Name &amp;elementID=14718", "Click here to submit comment")</f>
        <v>Click here to submit comment</v>
      </c>
    </row>
    <row r="703" spans="1:14" ht="60" x14ac:dyDescent="0.25">
      <c r="A703" s="9" t="s">
        <v>10971</v>
      </c>
      <c r="B703" s="9" t="s">
        <v>10972</v>
      </c>
      <c r="C703" s="9" t="s">
        <v>12</v>
      </c>
      <c r="D703" s="9" t="s">
        <v>10952</v>
      </c>
      <c r="E703" s="9"/>
      <c r="F703" s="9" t="s">
        <v>1143</v>
      </c>
      <c r="G703" s="9"/>
      <c r="H703" s="9"/>
      <c r="I703" s="9" t="s">
        <v>10973</v>
      </c>
      <c r="J703" s="9"/>
      <c r="K703" s="9" t="s">
        <v>10974</v>
      </c>
      <c r="L703" s="9"/>
      <c r="M703" s="9" t="str">
        <f>HYPERLINK("https://ceds.ed.gov/cedselementdetails.aspx?termid=14650")</f>
        <v>https://ceds.ed.gov/cedselementdetails.aspx?termid=14650</v>
      </c>
      <c r="N703" s="9" t="str">
        <f>HYPERLINK("https://ceds.ed.gov/elementComment.aspx?elementName=Credential Award Evidence URL &amp;elementID=14650", "Click here to submit comment")</f>
        <v>Click here to submit comment</v>
      </c>
    </row>
    <row r="704" spans="1:14" ht="45" x14ac:dyDescent="0.25">
      <c r="A704" s="9" t="s">
        <v>10975</v>
      </c>
      <c r="B704" s="9" t="s">
        <v>80</v>
      </c>
      <c r="C704" s="9" t="s">
        <v>12</v>
      </c>
      <c r="D704" s="9" t="s">
        <v>10952</v>
      </c>
      <c r="E704" s="9"/>
      <c r="F704" s="9" t="s">
        <v>81</v>
      </c>
      <c r="G704" s="9"/>
      <c r="H704" s="9"/>
      <c r="I704" s="9" t="s">
        <v>82</v>
      </c>
      <c r="J704" s="9"/>
      <c r="K704" s="9" t="s">
        <v>10976</v>
      </c>
      <c r="L704" s="9"/>
      <c r="M704" s="9" t="str">
        <f>HYPERLINK("https://ceds.ed.gov/cedselementdetails.aspx?termid=13898")</f>
        <v>https://ceds.ed.gov/cedselementdetails.aspx?termid=13898</v>
      </c>
      <c r="N704" s="9" t="str">
        <f>HYPERLINK("https://ceds.ed.gov/elementComment.aspx?elementName=Credential Award Issuer Name &amp;elementID=13898", "Click here to submit comment")</f>
        <v>Click here to submit comment</v>
      </c>
    </row>
    <row r="705" spans="1:14" ht="45" x14ac:dyDescent="0.25">
      <c r="A705" s="9" t="s">
        <v>10977</v>
      </c>
      <c r="B705" s="9" t="s">
        <v>83</v>
      </c>
      <c r="C705" s="9" t="s">
        <v>12</v>
      </c>
      <c r="D705" s="9" t="s">
        <v>10952</v>
      </c>
      <c r="E705" s="9"/>
      <c r="F705" s="9" t="s">
        <v>1143</v>
      </c>
      <c r="G705" s="9"/>
      <c r="H705" s="9" t="s">
        <v>84</v>
      </c>
      <c r="I705" s="9" t="s">
        <v>85</v>
      </c>
      <c r="J705" s="9"/>
      <c r="K705" s="9" t="s">
        <v>10978</v>
      </c>
      <c r="L705" s="9"/>
      <c r="M705" s="9" t="str">
        <f>HYPERLINK("https://ceds.ed.gov/cedselementdetails.aspx?termid=13900")</f>
        <v>https://ceds.ed.gov/cedselementdetails.aspx?termid=13900</v>
      </c>
      <c r="N705" s="9" t="str">
        <f>HYPERLINK("https://ceds.ed.gov/elementComment.aspx?elementName=Credential Award Issuer Origin URL &amp;elementID=13900", "Click here to submit comment")</f>
        <v>Click here to submit comment</v>
      </c>
    </row>
    <row r="706" spans="1:14" ht="75" x14ac:dyDescent="0.25">
      <c r="A706" s="9" t="s">
        <v>10979</v>
      </c>
      <c r="B706" s="9" t="s">
        <v>86</v>
      </c>
      <c r="C706" s="9" t="s">
        <v>12</v>
      </c>
      <c r="D706" s="9" t="s">
        <v>6886</v>
      </c>
      <c r="E706" s="9"/>
      <c r="F706" s="9" t="s">
        <v>87</v>
      </c>
      <c r="G706" s="9"/>
      <c r="H706" s="9" t="s">
        <v>88</v>
      </c>
      <c r="I706" s="9" t="s">
        <v>89</v>
      </c>
      <c r="J706" s="9"/>
      <c r="K706" s="9" t="s">
        <v>10980</v>
      </c>
      <c r="L706" s="9"/>
      <c r="M706" s="9" t="str">
        <f>HYPERLINK("https://ceds.ed.gov/cedselementdetails.aspx?termid=14211")</f>
        <v>https://ceds.ed.gov/cedselementdetails.aspx?termid=14211</v>
      </c>
      <c r="N706" s="9" t="str">
        <f>HYPERLINK("https://ceds.ed.gov/elementComment.aspx?elementName=Credential Category System &amp;elementID=14211", "Click here to submit comment")</f>
        <v>Click here to submit comment</v>
      </c>
    </row>
    <row r="707" spans="1:14" ht="285" x14ac:dyDescent="0.25">
      <c r="A707" s="9" t="s">
        <v>10981</v>
      </c>
      <c r="B707" s="9" t="s">
        <v>90</v>
      </c>
      <c r="C707" s="9" t="s">
        <v>12</v>
      </c>
      <c r="D707" s="9" t="s">
        <v>6886</v>
      </c>
      <c r="E707" s="9"/>
      <c r="F707" s="9" t="s">
        <v>92</v>
      </c>
      <c r="G707" s="9"/>
      <c r="H707" s="9" t="s">
        <v>93</v>
      </c>
      <c r="I707" s="9" t="s">
        <v>94</v>
      </c>
      <c r="J707" s="9"/>
      <c r="K707" s="9" t="s">
        <v>10982</v>
      </c>
      <c r="L707" s="9"/>
      <c r="M707" s="9" t="str">
        <f>HYPERLINK("https://ceds.ed.gov/cedselementdetails.aspx?termid=13892")</f>
        <v>https://ceds.ed.gov/cedselementdetails.aspx?termid=13892</v>
      </c>
      <c r="N707" s="9" t="str">
        <f>HYPERLINK("https://ceds.ed.gov/elementComment.aspx?elementName=Credential Category Type &amp;elementID=13892", "Click here to submit comment")</f>
        <v>Click here to submit comment</v>
      </c>
    </row>
    <row r="708" spans="1:14" ht="45" x14ac:dyDescent="0.25">
      <c r="A708" s="9" t="s">
        <v>10983</v>
      </c>
      <c r="B708" s="9" t="s">
        <v>10984</v>
      </c>
      <c r="C708" s="9" t="s">
        <v>12</v>
      </c>
      <c r="D708" s="9" t="s">
        <v>10952</v>
      </c>
      <c r="E708" s="9"/>
      <c r="F708" s="9" t="s">
        <v>73</v>
      </c>
      <c r="G708" s="9"/>
      <c r="H708" s="9"/>
      <c r="I708" s="9" t="s">
        <v>10985</v>
      </c>
      <c r="J708" s="9"/>
      <c r="K708" s="9" t="s">
        <v>10986</v>
      </c>
      <c r="L708" s="9"/>
      <c r="M708" s="9" t="str">
        <f>HYPERLINK("https://ceds.ed.gov/cedselementdetails.aspx?termid=14645")</f>
        <v>https://ceds.ed.gov/cedselementdetails.aspx?termid=14645</v>
      </c>
      <c r="N708" s="9" t="str">
        <f>HYPERLINK("https://ceds.ed.gov/elementComment.aspx?elementName=Credential Completion Date &amp;elementID=14645", "Click here to submit comment")</f>
        <v>Click here to submit comment</v>
      </c>
    </row>
    <row r="709" spans="1:14" ht="45" x14ac:dyDescent="0.25">
      <c r="A709" s="9" t="s">
        <v>10987</v>
      </c>
      <c r="B709" s="9" t="s">
        <v>95</v>
      </c>
      <c r="C709" s="9" t="s">
        <v>12</v>
      </c>
      <c r="D709" s="9" t="s">
        <v>6886</v>
      </c>
      <c r="E709" s="9"/>
      <c r="F709" s="9" t="s">
        <v>68</v>
      </c>
      <c r="G709" s="9"/>
      <c r="H709" s="9"/>
      <c r="I709" s="9" t="s">
        <v>96</v>
      </c>
      <c r="J709" s="9"/>
      <c r="K709" s="9" t="s">
        <v>10988</v>
      </c>
      <c r="L709" s="9"/>
      <c r="M709" s="9" t="str">
        <f>HYPERLINK("https://ceds.ed.gov/cedselementdetails.aspx?termid=13896")</f>
        <v>https://ceds.ed.gov/cedselementdetails.aspx?termid=13896</v>
      </c>
      <c r="N709" s="9" t="str">
        <f>HYPERLINK("https://ceds.ed.gov/elementComment.aspx?elementName=Credential Criteria &amp;elementID=13896", "Click here to submit comment")</f>
        <v>Click here to submit comment</v>
      </c>
    </row>
    <row r="710" spans="1:14" ht="75" x14ac:dyDescent="0.25">
      <c r="A710" s="9" t="s">
        <v>10989</v>
      </c>
      <c r="B710" s="9" t="s">
        <v>97</v>
      </c>
      <c r="C710" s="9" t="s">
        <v>12</v>
      </c>
      <c r="D710" s="9" t="s">
        <v>6886</v>
      </c>
      <c r="E710" s="9"/>
      <c r="F710" s="9" t="s">
        <v>1143</v>
      </c>
      <c r="G710" s="9"/>
      <c r="H710" s="9"/>
      <c r="I710" s="9" t="s">
        <v>98</v>
      </c>
      <c r="J710" s="9"/>
      <c r="K710" s="9" t="s">
        <v>10990</v>
      </c>
      <c r="L710" s="9"/>
      <c r="M710" s="9" t="str">
        <f>HYPERLINK("https://ceds.ed.gov/cedselementdetails.aspx?termid=14113")</f>
        <v>https://ceds.ed.gov/cedselementdetails.aspx?termid=14113</v>
      </c>
      <c r="N710" s="9" t="str">
        <f>HYPERLINK("https://ceds.ed.gov/elementComment.aspx?elementName=Credential Criteria URL &amp;elementID=14113", "Click here to submit comment")</f>
        <v>Click here to submit comment</v>
      </c>
    </row>
    <row r="711" spans="1:14" ht="45" x14ac:dyDescent="0.25">
      <c r="A711" s="9" t="s">
        <v>7696</v>
      </c>
      <c r="B711" s="9" t="s">
        <v>99</v>
      </c>
      <c r="C711" s="9" t="s">
        <v>12</v>
      </c>
      <c r="D711" s="9" t="s">
        <v>6886</v>
      </c>
      <c r="E711" s="9"/>
      <c r="F711" s="9" t="s">
        <v>68</v>
      </c>
      <c r="G711" s="9"/>
      <c r="H711" s="9"/>
      <c r="I711" s="9" t="s">
        <v>100</v>
      </c>
      <c r="J711" s="9"/>
      <c r="K711" s="9" t="s">
        <v>10991</v>
      </c>
      <c r="L711" s="9"/>
      <c r="M711" s="9" t="str">
        <f>HYPERLINK("https://ceds.ed.gov/cedselementdetails.aspx?termid=13895")</f>
        <v>https://ceds.ed.gov/cedselementdetails.aspx?termid=13895</v>
      </c>
      <c r="N711" s="9" t="str">
        <f>HYPERLINK("https://ceds.ed.gov/elementComment.aspx?elementName=Credential Description &amp;elementID=13895", "Click here to submit comment")</f>
        <v>Click here to submit comment</v>
      </c>
    </row>
    <row r="712" spans="1:14" ht="45" x14ac:dyDescent="0.25">
      <c r="A712" s="9" t="s">
        <v>10992</v>
      </c>
      <c r="B712" s="9" t="s">
        <v>101</v>
      </c>
      <c r="C712" s="9" t="s">
        <v>12</v>
      </c>
      <c r="D712" s="9" t="s">
        <v>10993</v>
      </c>
      <c r="E712" s="9"/>
      <c r="F712" s="9" t="s">
        <v>73</v>
      </c>
      <c r="G712" s="9"/>
      <c r="H712" s="9"/>
      <c r="I712" s="9" t="s">
        <v>102</v>
      </c>
      <c r="J712" s="9"/>
      <c r="K712" s="9" t="s">
        <v>10994</v>
      </c>
      <c r="L712" s="9"/>
      <c r="M712" s="9" t="str">
        <f>HYPERLINK("https://ceds.ed.gov/cedselementdetails.aspx?termid=14121")</f>
        <v>https://ceds.ed.gov/cedselementdetails.aspx?termid=14121</v>
      </c>
      <c r="N712" s="9" t="str">
        <f>HYPERLINK("https://ceds.ed.gov/elementComment.aspx?elementName=Credential End Date &amp;elementID=14121", "Click here to submit comment")</f>
        <v>Click here to submit comment</v>
      </c>
    </row>
    <row r="713" spans="1:14" ht="45" x14ac:dyDescent="0.25">
      <c r="A713" s="9" t="s">
        <v>10995</v>
      </c>
      <c r="B713" s="9" t="s">
        <v>10996</v>
      </c>
      <c r="C713" s="9" t="s">
        <v>12</v>
      </c>
      <c r="D713" s="9" t="s">
        <v>6886</v>
      </c>
      <c r="E713" s="9"/>
      <c r="F713" s="9" t="s">
        <v>4841</v>
      </c>
      <c r="G713" s="9"/>
      <c r="H713" s="9"/>
      <c r="I713" s="9" t="s">
        <v>10997</v>
      </c>
      <c r="J713" s="9"/>
      <c r="K713" s="9" t="s">
        <v>10998</v>
      </c>
      <c r="L713" s="9"/>
      <c r="M713" s="9" t="str">
        <f>HYPERLINK("https://ceds.ed.gov/cedselementdetails.aspx?termid=14722")</f>
        <v>https://ceds.ed.gov/cedselementdetails.aspx?termid=14722</v>
      </c>
      <c r="N713" s="9" t="str">
        <f>HYPERLINK("https://ceds.ed.gov/elementComment.aspx?elementName=Credential Estimated Duration &amp;elementID=14722", "Click here to submit comment")</f>
        <v>Click here to submit comment</v>
      </c>
    </row>
    <row r="714" spans="1:14" ht="120" x14ac:dyDescent="0.25">
      <c r="A714" s="9" t="s">
        <v>10999</v>
      </c>
      <c r="B714" s="9" t="s">
        <v>103</v>
      </c>
      <c r="C714" s="9" t="s">
        <v>12</v>
      </c>
      <c r="D714" s="9" t="s">
        <v>10952</v>
      </c>
      <c r="E714" s="9"/>
      <c r="F714" s="9" t="s">
        <v>68</v>
      </c>
      <c r="G714" s="9"/>
      <c r="H714" s="9" t="s">
        <v>11000</v>
      </c>
      <c r="I714" s="9" t="s">
        <v>104</v>
      </c>
      <c r="J714" s="9"/>
      <c r="K714" s="9" t="s">
        <v>11001</v>
      </c>
      <c r="L714" s="9"/>
      <c r="M714" s="9" t="str">
        <f>HYPERLINK("https://ceds.ed.gov/cedselementdetails.aspx?termid=13901")</f>
        <v>https://ceds.ed.gov/cedselementdetails.aspx?termid=13901</v>
      </c>
      <c r="N714" s="9" t="str">
        <f>HYPERLINK("https://ceds.ed.gov/elementComment.aspx?elementName=Credential Evidence Statement &amp;elementID=13901", "Click here to submit comment")</f>
        <v>Click here to submit comment</v>
      </c>
    </row>
    <row r="715" spans="1:14" ht="60" x14ac:dyDescent="0.25">
      <c r="A715" s="9" t="s">
        <v>2099</v>
      </c>
      <c r="B715" s="9" t="s">
        <v>2100</v>
      </c>
      <c r="C715" s="9" t="s">
        <v>12</v>
      </c>
      <c r="D715" s="9" t="s">
        <v>6180</v>
      </c>
      <c r="E715" s="9"/>
      <c r="F715" s="9" t="s">
        <v>73</v>
      </c>
      <c r="G715" s="9"/>
      <c r="H715" s="9"/>
      <c r="I715" s="9" t="s">
        <v>2101</v>
      </c>
      <c r="J715" s="9"/>
      <c r="K715" s="9" t="s">
        <v>2102</v>
      </c>
      <c r="L715" s="9" t="s">
        <v>182</v>
      </c>
      <c r="M715" s="9" t="str">
        <f>HYPERLINK("https://ceds.ed.gov/cedselementdetails.aspx?termid=13069")</f>
        <v>https://ceds.ed.gov/cedselementdetails.aspx?termid=13069</v>
      </c>
      <c r="N715" s="9" t="str">
        <f>HYPERLINK("https://ceds.ed.gov/elementComment.aspx?elementName=Credential Expiration Date &amp;elementID=13069", "Click here to submit comment")</f>
        <v>Click here to submit comment</v>
      </c>
    </row>
    <row r="716" spans="1:14" ht="195" x14ac:dyDescent="0.25">
      <c r="A716" s="9" t="s">
        <v>11002</v>
      </c>
      <c r="B716" s="9" t="s">
        <v>11003</v>
      </c>
      <c r="C716" s="9" t="s">
        <v>12</v>
      </c>
      <c r="D716" s="9" t="s">
        <v>6886</v>
      </c>
      <c r="E716" s="9"/>
      <c r="F716" s="9" t="s">
        <v>1143</v>
      </c>
      <c r="G716" s="9"/>
      <c r="H716" s="9" t="s">
        <v>11004</v>
      </c>
      <c r="I716" s="9" t="s">
        <v>11005</v>
      </c>
      <c r="J716" s="9"/>
      <c r="K716" s="9" t="s">
        <v>11006</v>
      </c>
      <c r="L716" s="9"/>
      <c r="M716" s="9" t="str">
        <f>HYPERLINK("https://ceds.ed.gov/cedselementdetails.aspx?termid=14639")</f>
        <v>https://ceds.ed.gov/cedselementdetails.aspx?termid=14639</v>
      </c>
      <c r="N716" s="9" t="str">
        <f>HYPERLINK("https://ceds.ed.gov/elementComment.aspx?elementName=Credential Identifier &amp;elementID=14639", "Click here to submit comment")</f>
        <v>Click here to submit comment</v>
      </c>
    </row>
    <row r="717" spans="1:14" ht="150" x14ac:dyDescent="0.25">
      <c r="A717" s="9" t="s">
        <v>11007</v>
      </c>
      <c r="B717" s="9" t="s">
        <v>11008</v>
      </c>
      <c r="C717" s="10" t="s">
        <v>11843</v>
      </c>
      <c r="D717" s="9" t="s">
        <v>6886</v>
      </c>
      <c r="E717" s="9"/>
      <c r="F717" s="9"/>
      <c r="G717" s="9"/>
      <c r="H717" s="9"/>
      <c r="I717" s="9" t="s">
        <v>11009</v>
      </c>
      <c r="J717" s="9"/>
      <c r="K717" s="9" t="s">
        <v>11010</v>
      </c>
      <c r="L717" s="9"/>
      <c r="M717" s="9" t="str">
        <f>HYPERLINK("https://ceds.ed.gov/cedselementdetails.aspx?termid=14720")</f>
        <v>https://ceds.ed.gov/cedselementdetails.aspx?termid=14720</v>
      </c>
      <c r="N717" s="9" t="str">
        <f>HYPERLINK("https://ceds.ed.gov/elementComment.aspx?elementName=Credential Identifier System &amp;elementID=14720", "Click here to submit comment")</f>
        <v>Click here to submit comment</v>
      </c>
    </row>
    <row r="718" spans="1:14" ht="60" x14ac:dyDescent="0.25">
      <c r="A718" s="9" t="s">
        <v>11011</v>
      </c>
      <c r="B718" s="9" t="s">
        <v>105</v>
      </c>
      <c r="C718" s="9" t="s">
        <v>12</v>
      </c>
      <c r="D718" s="9" t="s">
        <v>6886</v>
      </c>
      <c r="E718" s="9"/>
      <c r="F718" s="9" t="s">
        <v>1143</v>
      </c>
      <c r="G718" s="9"/>
      <c r="H718" s="9" t="s">
        <v>106</v>
      </c>
      <c r="I718" s="9" t="s">
        <v>107</v>
      </c>
      <c r="J718" s="9"/>
      <c r="K718" s="9" t="s">
        <v>11012</v>
      </c>
      <c r="L718" s="9"/>
      <c r="M718" s="9" t="str">
        <f>HYPERLINK("https://ceds.ed.gov/cedselementdetails.aspx?termid=13894")</f>
        <v>https://ceds.ed.gov/cedselementdetails.aspx?termid=13894</v>
      </c>
      <c r="N718" s="9" t="str">
        <f>HYPERLINK("https://ceds.ed.gov/elementComment.aspx?elementName=Credential Image URL &amp;elementID=13894", "Click here to submit comment")</f>
        <v>Click here to submit comment</v>
      </c>
    </row>
    <row r="719" spans="1:14" ht="105" x14ac:dyDescent="0.25">
      <c r="A719" s="9" t="s">
        <v>11013</v>
      </c>
      <c r="B719" s="9" t="s">
        <v>11014</v>
      </c>
      <c r="C719" s="10" t="s">
        <v>11844</v>
      </c>
      <c r="D719" s="9" t="s">
        <v>6886</v>
      </c>
      <c r="E719" s="9"/>
      <c r="F719" s="9"/>
      <c r="G719" s="9"/>
      <c r="H719" s="9"/>
      <c r="I719" s="9" t="s">
        <v>11015</v>
      </c>
      <c r="J719" s="9"/>
      <c r="K719" s="9" t="s">
        <v>11016</v>
      </c>
      <c r="L719" s="9"/>
      <c r="M719" s="9" t="str">
        <f>HYPERLINK("https://ceds.ed.gov/cedselementdetails.aspx?termid=14730")</f>
        <v>https://ceds.ed.gov/cedselementdetails.aspx?termid=14730</v>
      </c>
      <c r="N719" s="9" t="str">
        <f>HYPERLINK("https://ceds.ed.gov/elementComment.aspx?elementName=Credential Intended Purpose Type &amp;elementID=14730", "Click here to submit comment")</f>
        <v>Click here to submit comment</v>
      </c>
    </row>
    <row r="720" spans="1:14" ht="60" x14ac:dyDescent="0.25">
      <c r="A720" s="9" t="s">
        <v>2103</v>
      </c>
      <c r="B720" s="9" t="s">
        <v>2104</v>
      </c>
      <c r="C720" s="9" t="s">
        <v>12</v>
      </c>
      <c r="D720" s="9" t="s">
        <v>6180</v>
      </c>
      <c r="E720" s="9"/>
      <c r="F720" s="9" t="s">
        <v>73</v>
      </c>
      <c r="G720" s="9"/>
      <c r="H720" s="9"/>
      <c r="I720" s="9" t="s">
        <v>2105</v>
      </c>
      <c r="J720" s="9"/>
      <c r="K720" s="9" t="s">
        <v>2106</v>
      </c>
      <c r="L720" s="9" t="s">
        <v>182</v>
      </c>
      <c r="M720" s="9" t="str">
        <f>HYPERLINK("https://ceds.ed.gov/cedselementdetails.aspx?termid=13070")</f>
        <v>https://ceds.ed.gov/cedselementdetails.aspx?termid=13070</v>
      </c>
      <c r="N720" s="9" t="str">
        <f>HYPERLINK("https://ceds.ed.gov/elementComment.aspx?elementName=Credential Issuance Date &amp;elementID=13070", "Click here to submit comment")</f>
        <v>Click here to submit comment</v>
      </c>
    </row>
    <row r="721" spans="1:14" ht="45" x14ac:dyDescent="0.25">
      <c r="A721" s="9" t="s">
        <v>11017</v>
      </c>
      <c r="B721" s="9" t="s">
        <v>11018</v>
      </c>
      <c r="C721" s="9" t="s">
        <v>12</v>
      </c>
      <c r="D721" s="9" t="s">
        <v>11019</v>
      </c>
      <c r="E721" s="9"/>
      <c r="F721" s="9" t="s">
        <v>1143</v>
      </c>
      <c r="G721" s="9"/>
      <c r="H721" s="11" t="s">
        <v>11020</v>
      </c>
      <c r="I721" s="9" t="s">
        <v>11021</v>
      </c>
      <c r="J721" s="9"/>
      <c r="K721" s="9" t="s">
        <v>11022</v>
      </c>
      <c r="L721" s="9"/>
      <c r="M721" s="9" t="str">
        <f>HYPERLINK("https://ceds.ed.gov/cedselementdetails.aspx?termid=14643")</f>
        <v>https://ceds.ed.gov/cedselementdetails.aspx?termid=14643</v>
      </c>
      <c r="N721" s="9" t="str">
        <f>HYPERLINK("https://ceds.ed.gov/elementComment.aspx?elementName=Credential Issuer Revocation List URL &amp;elementID=14643", "Click here to submit comment")</f>
        <v>Click here to submit comment</v>
      </c>
    </row>
    <row r="722" spans="1:14" ht="45" x14ac:dyDescent="0.25">
      <c r="A722" s="9" t="s">
        <v>11023</v>
      </c>
      <c r="B722" s="9" t="s">
        <v>11024</v>
      </c>
      <c r="C722" s="9" t="s">
        <v>12</v>
      </c>
      <c r="D722" s="9" t="s">
        <v>6886</v>
      </c>
      <c r="E722" s="9"/>
      <c r="F722" s="9" t="s">
        <v>11025</v>
      </c>
      <c r="G722" s="9"/>
      <c r="H722" s="11" t="s">
        <v>11026</v>
      </c>
      <c r="I722" s="9" t="s">
        <v>11027</v>
      </c>
      <c r="J722" s="9"/>
      <c r="K722" s="9" t="s">
        <v>11028</v>
      </c>
      <c r="L722" s="9"/>
      <c r="M722" s="9" t="str">
        <f>HYPERLINK("https://ceds.ed.gov/cedselementdetails.aspx?termid=14724")</f>
        <v>https://ceds.ed.gov/cedselementdetails.aspx?termid=14724</v>
      </c>
      <c r="N722" s="9" t="str">
        <f>HYPERLINK("https://ceds.ed.gov/elementComment.aspx?elementName=Credential Jurisdiction Region &amp;elementID=14724", "Click here to submit comment")</f>
        <v>Click here to submit comment</v>
      </c>
    </row>
    <row r="723" spans="1:14" ht="45" x14ac:dyDescent="0.25">
      <c r="A723" s="9" t="s">
        <v>11029</v>
      </c>
      <c r="B723" s="9" t="s">
        <v>11030</v>
      </c>
      <c r="C723" s="9" t="s">
        <v>12</v>
      </c>
      <c r="D723" s="9" t="s">
        <v>6886</v>
      </c>
      <c r="E723" s="9"/>
      <c r="F723" s="9" t="s">
        <v>11025</v>
      </c>
      <c r="G723" s="9"/>
      <c r="H723" s="11" t="s">
        <v>11026</v>
      </c>
      <c r="I723" s="9" t="s">
        <v>11031</v>
      </c>
      <c r="J723" s="9"/>
      <c r="K723" s="9" t="s">
        <v>11032</v>
      </c>
      <c r="L723" s="9"/>
      <c r="M723" s="9" t="str">
        <f>HYPERLINK("https://ceds.ed.gov/cedselementdetails.aspx?termid=14725")</f>
        <v>https://ceds.ed.gov/cedselementdetails.aspx?termid=14725</v>
      </c>
      <c r="N723" s="9" t="str">
        <f>HYPERLINK("https://ceds.ed.gov/elementComment.aspx?elementName=Credential Jurisdiction Region Exception &amp;elementID=14725", "Click here to submit comment")</f>
        <v>Click here to submit comment</v>
      </c>
    </row>
    <row r="724" spans="1:14" ht="45" x14ac:dyDescent="0.25">
      <c r="A724" s="9" t="s">
        <v>11033</v>
      </c>
      <c r="B724" s="9" t="s">
        <v>11034</v>
      </c>
      <c r="C724" s="9" t="s">
        <v>12</v>
      </c>
      <c r="D724" s="9" t="s">
        <v>6886</v>
      </c>
      <c r="E724" s="9"/>
      <c r="F724" s="9" t="s">
        <v>303</v>
      </c>
      <c r="G724" s="9"/>
      <c r="H724" s="9"/>
      <c r="I724" s="9" t="s">
        <v>11035</v>
      </c>
      <c r="J724" s="9"/>
      <c r="K724" s="9" t="s">
        <v>11036</v>
      </c>
      <c r="L724" s="9"/>
      <c r="M724" s="9" t="str">
        <f>HYPERLINK("https://ceds.ed.gov/cedselementdetails.aspx?termid=14726")</f>
        <v>https://ceds.ed.gov/cedselementdetails.aspx?termid=14726</v>
      </c>
      <c r="N724" s="9" t="str">
        <f>HYPERLINK("https://ceds.ed.gov/elementComment.aspx?elementName=Credential Keywords &amp;elementID=14726", "Click here to submit comment")</f>
        <v>Click here to submit comment</v>
      </c>
    </row>
    <row r="725" spans="1:14" ht="45" x14ac:dyDescent="0.25">
      <c r="A725" s="9" t="s">
        <v>11037</v>
      </c>
      <c r="B725" s="9" t="s">
        <v>11038</v>
      </c>
      <c r="C725" s="9" t="s">
        <v>12</v>
      </c>
      <c r="D725" s="9" t="s">
        <v>6886</v>
      </c>
      <c r="E725" s="9"/>
      <c r="F725" s="9" t="s">
        <v>4841</v>
      </c>
      <c r="G725" s="9"/>
      <c r="H725" s="9"/>
      <c r="I725" s="9" t="s">
        <v>11039</v>
      </c>
      <c r="J725" s="9"/>
      <c r="K725" s="9" t="s">
        <v>11040</v>
      </c>
      <c r="L725" s="9"/>
      <c r="M725" s="9" t="str">
        <f>HYPERLINK("https://ceds.ed.gov/cedselementdetails.aspx?termid=14727")</f>
        <v>https://ceds.ed.gov/cedselementdetails.aspx?termid=14727</v>
      </c>
      <c r="N725" s="9" t="str">
        <f>HYPERLINK("https://ceds.ed.gov/elementComment.aspx?elementName=Credential Maximum Duration &amp;elementID=14727", "Click here to submit comment")</f>
        <v>Click here to submit comment</v>
      </c>
    </row>
    <row r="726" spans="1:14" ht="45" x14ac:dyDescent="0.25">
      <c r="A726" s="9" t="s">
        <v>11041</v>
      </c>
      <c r="B726" s="9" t="s">
        <v>11042</v>
      </c>
      <c r="C726" s="9" t="s">
        <v>12</v>
      </c>
      <c r="D726" s="9" t="s">
        <v>6886</v>
      </c>
      <c r="E726" s="9"/>
      <c r="F726" s="9" t="s">
        <v>589</v>
      </c>
      <c r="G726" s="9"/>
      <c r="H726" s="9"/>
      <c r="I726" s="9" t="s">
        <v>11043</v>
      </c>
      <c r="J726" s="9"/>
      <c r="K726" s="9" t="s">
        <v>11044</v>
      </c>
      <c r="L726" s="9"/>
      <c r="M726" s="9" t="str">
        <f>HYPERLINK("https://ceds.ed.gov/cedselementdetails.aspx?termid=14728")</f>
        <v>https://ceds.ed.gov/cedselementdetails.aspx?termid=14728</v>
      </c>
      <c r="N726" s="9" t="str">
        <f>HYPERLINK("https://ceds.ed.gov/elementComment.aspx?elementName=Credential Minimum Age &amp;elementID=14728", "Click here to submit comment")</f>
        <v>Click here to submit comment</v>
      </c>
    </row>
    <row r="727" spans="1:14" ht="45" x14ac:dyDescent="0.25">
      <c r="A727" s="9" t="s">
        <v>11045</v>
      </c>
      <c r="B727" s="9" t="s">
        <v>11046</v>
      </c>
      <c r="C727" s="9" t="s">
        <v>12</v>
      </c>
      <c r="D727" s="9" t="s">
        <v>6886</v>
      </c>
      <c r="E727" s="9"/>
      <c r="F727" s="9" t="s">
        <v>4841</v>
      </c>
      <c r="G727" s="9"/>
      <c r="H727" s="9"/>
      <c r="I727" s="9" t="s">
        <v>11047</v>
      </c>
      <c r="J727" s="9"/>
      <c r="K727" s="9" t="s">
        <v>11048</v>
      </c>
      <c r="L727" s="9"/>
      <c r="M727" s="9" t="str">
        <f>HYPERLINK("https://ceds.ed.gov/cedselementdetails.aspx?termid=14729")</f>
        <v>https://ceds.ed.gov/cedselementdetails.aspx?termid=14729</v>
      </c>
      <c r="N727" s="9" t="str">
        <f>HYPERLINK("https://ceds.ed.gov/elementComment.aspx?elementName=Credential Minimum Duration &amp;elementID=14729", "Click here to submit comment")</f>
        <v>Click here to submit comment</v>
      </c>
    </row>
    <row r="728" spans="1:14" ht="60" x14ac:dyDescent="0.25">
      <c r="A728" s="9" t="s">
        <v>11049</v>
      </c>
      <c r="B728" s="9" t="s">
        <v>11050</v>
      </c>
      <c r="C728" s="9" t="s">
        <v>2638</v>
      </c>
      <c r="D728" s="9" t="s">
        <v>6886</v>
      </c>
      <c r="E728" s="9"/>
      <c r="F728" s="9" t="s">
        <v>11051</v>
      </c>
      <c r="G728" s="9"/>
      <c r="H728" s="9"/>
      <c r="I728" s="9" t="s">
        <v>11052</v>
      </c>
      <c r="J728" s="9"/>
      <c r="K728" s="9" t="s">
        <v>11053</v>
      </c>
      <c r="L728" s="9"/>
      <c r="M728" s="9" t="str">
        <f>HYPERLINK("https://ceds.ed.gov/cedselementdetails.aspx?termid=14723")</f>
        <v>https://ceds.ed.gov/cedselementdetails.aspx?termid=14723</v>
      </c>
      <c r="N728" s="9" t="str">
        <f>HYPERLINK("https://ceds.ed.gov/elementComment.aspx?elementName=Credential NAICS Industry Type &amp;elementID=14723", "Click here to submit comment")</f>
        <v>Click here to submit comment</v>
      </c>
    </row>
    <row r="729" spans="1:14" ht="60" x14ac:dyDescent="0.25">
      <c r="A729" s="9" t="s">
        <v>2107</v>
      </c>
      <c r="B729" s="9" t="s">
        <v>2108</v>
      </c>
      <c r="C729" s="9" t="s">
        <v>12</v>
      </c>
      <c r="D729" s="9" t="s">
        <v>6180</v>
      </c>
      <c r="E729" s="9"/>
      <c r="F729" s="9" t="s">
        <v>92</v>
      </c>
      <c r="G729" s="9"/>
      <c r="H729" s="9"/>
      <c r="I729" s="9" t="s">
        <v>2109</v>
      </c>
      <c r="J729" s="9"/>
      <c r="K729" s="9" t="s">
        <v>2110</v>
      </c>
      <c r="L729" s="9"/>
      <c r="M729" s="9" t="str">
        <f>HYPERLINK("https://ceds.ed.gov/cedselementdetails.aspx?termid=14566")</f>
        <v>https://ceds.ed.gov/cedselementdetails.aspx?termid=14566</v>
      </c>
      <c r="N729" s="9" t="str">
        <f>HYPERLINK("https://ceds.ed.gov/elementComment.aspx?elementName=Credential or License Award Entity &amp;elementID=14566", "Click here to submit comment")</f>
        <v>Click here to submit comment</v>
      </c>
    </row>
    <row r="730" spans="1:14" ht="60" x14ac:dyDescent="0.25">
      <c r="A730" s="9" t="s">
        <v>11054</v>
      </c>
      <c r="B730" s="9" t="s">
        <v>11055</v>
      </c>
      <c r="C730" s="9" t="s">
        <v>12</v>
      </c>
      <c r="D730" s="9" t="s">
        <v>10952</v>
      </c>
      <c r="E730" s="9"/>
      <c r="F730" s="9" t="s">
        <v>73</v>
      </c>
      <c r="G730" s="9"/>
      <c r="H730" s="9" t="s">
        <v>11056</v>
      </c>
      <c r="I730" s="9" t="s">
        <v>11057</v>
      </c>
      <c r="J730" s="9"/>
      <c r="K730" s="9" t="s">
        <v>11058</v>
      </c>
      <c r="L730" s="9"/>
      <c r="M730" s="9" t="str">
        <f>HYPERLINK("https://ceds.ed.gov/cedselementdetails.aspx?termid=14641")</f>
        <v>https://ceds.ed.gov/cedselementdetails.aspx?termid=14641</v>
      </c>
      <c r="N730" s="9" t="str">
        <f>HYPERLINK("https://ceds.ed.gov/elementComment.aspx?elementName=Credential Revoked Date &amp;elementID=14641", "Click here to submit comment")</f>
        <v>Click here to submit comment</v>
      </c>
    </row>
    <row r="731" spans="1:14" ht="45" x14ac:dyDescent="0.25">
      <c r="A731" s="9" t="s">
        <v>11059</v>
      </c>
      <c r="B731" s="9" t="s">
        <v>11060</v>
      </c>
      <c r="C731" s="9" t="s">
        <v>6106</v>
      </c>
      <c r="D731" s="9" t="s">
        <v>10952</v>
      </c>
      <c r="E731" s="9"/>
      <c r="F731" s="9"/>
      <c r="G731" s="9"/>
      <c r="H731" s="9"/>
      <c r="I731" s="9" t="s">
        <v>11061</v>
      </c>
      <c r="J731" s="9"/>
      <c r="K731" s="9" t="s">
        <v>11062</v>
      </c>
      <c r="L731" s="9"/>
      <c r="M731" s="9" t="str">
        <f>HYPERLINK("https://ceds.ed.gov/cedselementdetails.aspx?termid=14732")</f>
        <v>https://ceds.ed.gov/cedselementdetails.aspx?termid=14732</v>
      </c>
      <c r="N731" s="9" t="str">
        <f>HYPERLINK("https://ceds.ed.gov/elementComment.aspx?elementName=Credential Revoked Indicator &amp;elementID=14732", "Click here to submit comment")</f>
        <v>Click here to submit comment</v>
      </c>
    </row>
    <row r="732" spans="1:14" ht="45" x14ac:dyDescent="0.25">
      <c r="A732" s="9" t="s">
        <v>11063</v>
      </c>
      <c r="B732" s="9" t="s">
        <v>11064</v>
      </c>
      <c r="C732" s="9" t="s">
        <v>12</v>
      </c>
      <c r="D732" s="9" t="s">
        <v>10952</v>
      </c>
      <c r="E732" s="9"/>
      <c r="F732" s="9" t="s">
        <v>303</v>
      </c>
      <c r="G732" s="9"/>
      <c r="H732" s="9"/>
      <c r="I732" s="9" t="s">
        <v>11065</v>
      </c>
      <c r="J732" s="9"/>
      <c r="K732" s="9" t="s">
        <v>11066</v>
      </c>
      <c r="L732" s="9"/>
      <c r="M732" s="9" t="str">
        <f>HYPERLINK("https://ceds.ed.gov/cedselementdetails.aspx?termid=14642")</f>
        <v>https://ceds.ed.gov/cedselementdetails.aspx?termid=14642</v>
      </c>
      <c r="N732" s="9" t="str">
        <f>HYPERLINK("https://ceds.ed.gov/elementComment.aspx?elementName=Credential Revoked Reason &amp;elementID=14642", "Click here to submit comment")</f>
        <v>Click here to submit comment</v>
      </c>
    </row>
    <row r="733" spans="1:14" ht="45" x14ac:dyDescent="0.25">
      <c r="A733" s="9" t="s">
        <v>11067</v>
      </c>
      <c r="B733" s="9" t="s">
        <v>108</v>
      </c>
      <c r="C733" s="9" t="s">
        <v>12</v>
      </c>
      <c r="D733" s="9" t="s">
        <v>10993</v>
      </c>
      <c r="E733" s="9"/>
      <c r="F733" s="9" t="s">
        <v>73</v>
      </c>
      <c r="G733" s="9"/>
      <c r="H733" s="9"/>
      <c r="I733" s="9" t="s">
        <v>109</v>
      </c>
      <c r="J733" s="9"/>
      <c r="K733" s="9" t="s">
        <v>11068</v>
      </c>
      <c r="L733" s="9"/>
      <c r="M733" s="9" t="str">
        <f>HYPERLINK("https://ceds.ed.gov/cedselementdetails.aspx?termid=14120")</f>
        <v>https://ceds.ed.gov/cedselementdetails.aspx?termid=14120</v>
      </c>
      <c r="N733" s="9" t="str">
        <f>HYPERLINK("https://ceds.ed.gov/elementComment.aspx?elementName=Credential Start Date &amp;elementID=14120", "Click here to submit comment")</f>
        <v>Click here to submit comment</v>
      </c>
    </row>
    <row r="734" spans="1:14" ht="75" x14ac:dyDescent="0.25">
      <c r="A734" s="9" t="s">
        <v>11069</v>
      </c>
      <c r="B734" s="9" t="s">
        <v>11070</v>
      </c>
      <c r="C734" s="10" t="s">
        <v>11845</v>
      </c>
      <c r="D734" s="9" t="s">
        <v>6886</v>
      </c>
      <c r="E734" s="9"/>
      <c r="F734" s="9"/>
      <c r="G734" s="9"/>
      <c r="H734" s="9"/>
      <c r="I734" s="9" t="s">
        <v>11071</v>
      </c>
      <c r="J734" s="9"/>
      <c r="K734" s="9" t="s">
        <v>11072</v>
      </c>
      <c r="L734" s="9"/>
      <c r="M734" s="9" t="str">
        <f>HYPERLINK("https://ceds.ed.gov/cedselementdetails.aspx?termid=14721")</f>
        <v>https://ceds.ed.gov/cedselementdetails.aspx?termid=14721</v>
      </c>
      <c r="N734" s="9" t="str">
        <f>HYPERLINK("https://ceds.ed.gov/elementComment.aspx?elementName=Credential Status Type &amp;elementID=14721", "Click here to submit comment")</f>
        <v>Click here to submit comment</v>
      </c>
    </row>
    <row r="735" spans="1:14" ht="45" x14ac:dyDescent="0.25">
      <c r="A735" s="9" t="s">
        <v>11073</v>
      </c>
      <c r="B735" s="9" t="s">
        <v>110</v>
      </c>
      <c r="C735" s="9" t="s">
        <v>12</v>
      </c>
      <c r="D735" s="9" t="s">
        <v>6886</v>
      </c>
      <c r="E735" s="9"/>
      <c r="F735" s="9" t="s">
        <v>68</v>
      </c>
      <c r="G735" s="9"/>
      <c r="H735" s="9"/>
      <c r="I735" s="9" t="s">
        <v>111</v>
      </c>
      <c r="J735" s="9"/>
      <c r="K735" s="9" t="s">
        <v>11074</v>
      </c>
      <c r="L735" s="9"/>
      <c r="M735" s="9" t="str">
        <f>HYPERLINK("https://ceds.ed.gov/cedselementdetails.aspx?termid=13893")</f>
        <v>https://ceds.ed.gov/cedselementdetails.aspx?termid=13893</v>
      </c>
      <c r="N735" s="9" t="str">
        <f>HYPERLINK("https://ceds.ed.gov/elementComment.aspx?elementName=Credential Title &amp;elementID=13893", "Click here to submit comment")</f>
        <v>Click here to submit comment</v>
      </c>
    </row>
    <row r="736" spans="1:14" ht="150" x14ac:dyDescent="0.25">
      <c r="A736" s="9" t="s">
        <v>2111</v>
      </c>
      <c r="B736" s="9" t="s">
        <v>2112</v>
      </c>
      <c r="C736" s="10" t="s">
        <v>6436</v>
      </c>
      <c r="D736" s="9" t="s">
        <v>11075</v>
      </c>
      <c r="E736" s="9"/>
      <c r="F736" s="9"/>
      <c r="G736" s="9"/>
      <c r="H736" s="9"/>
      <c r="I736" s="9" t="s">
        <v>2113</v>
      </c>
      <c r="J736" s="9"/>
      <c r="K736" s="9" t="s">
        <v>2114</v>
      </c>
      <c r="L736" s="9"/>
      <c r="M736" s="9" t="str">
        <f>HYPERLINK("https://ceds.ed.gov/cedselementdetails.aspx?termid=13071")</f>
        <v>https://ceds.ed.gov/cedselementdetails.aspx?termid=13071</v>
      </c>
      <c r="N736" s="9" t="str">
        <f>HYPERLINK("https://ceds.ed.gov/elementComment.aspx?elementName=Credential Type &amp;elementID=13071", "Click here to submit comment")</f>
        <v>Click here to submit comment</v>
      </c>
    </row>
    <row r="737" spans="1:14" ht="45" x14ac:dyDescent="0.25">
      <c r="A737" s="9" t="s">
        <v>11076</v>
      </c>
      <c r="B737" s="9" t="s">
        <v>11077</v>
      </c>
      <c r="C737" s="9" t="s">
        <v>12</v>
      </c>
      <c r="D737" s="9" t="s">
        <v>6886</v>
      </c>
      <c r="E737" s="9"/>
      <c r="F737" s="9" t="s">
        <v>303</v>
      </c>
      <c r="G737" s="9"/>
      <c r="H737" s="9"/>
      <c r="I737" s="9" t="s">
        <v>11078</v>
      </c>
      <c r="J737" s="9"/>
      <c r="K737" s="9" t="s">
        <v>11079</v>
      </c>
      <c r="L737" s="9"/>
      <c r="M737" s="9" t="str">
        <f>HYPERLINK("https://ceds.ed.gov/cedselementdetails.aspx?termid=14733")</f>
        <v>https://ceds.ed.gov/cedselementdetails.aspx?termid=14733</v>
      </c>
      <c r="N737" s="9" t="str">
        <f>HYPERLINK("https://ceds.ed.gov/elementComment.aspx?elementName=Credential Validation Method Description &amp;elementID=14733", "Click here to submit comment")</f>
        <v>Click here to submit comment</v>
      </c>
    </row>
    <row r="738" spans="1:14" ht="60" x14ac:dyDescent="0.25">
      <c r="A738" s="9" t="s">
        <v>11080</v>
      </c>
      <c r="B738" s="9" t="s">
        <v>11081</v>
      </c>
      <c r="C738" s="10" t="s">
        <v>11846</v>
      </c>
      <c r="D738" s="9" t="s">
        <v>6886</v>
      </c>
      <c r="E738" s="9"/>
      <c r="F738" s="9"/>
      <c r="G738" s="9"/>
      <c r="H738" s="9"/>
      <c r="I738" s="9" t="s">
        <v>11082</v>
      </c>
      <c r="J738" s="9"/>
      <c r="K738" s="9" t="s">
        <v>11083</v>
      </c>
      <c r="L738" s="9"/>
      <c r="M738" s="9" t="str">
        <f>HYPERLINK("https://ceds.ed.gov/cedselementdetails.aspx?termid=14734")</f>
        <v>https://ceds.ed.gov/cedselementdetails.aspx?termid=14734</v>
      </c>
      <c r="N738" s="9" t="str">
        <f>HYPERLINK("https://ceds.ed.gov/elementComment.aspx?elementName=Credential Verification Type &amp;elementID=14734", "Click here to submit comment")</f>
        <v>Click here to submit comment</v>
      </c>
    </row>
    <row r="739" spans="1:14" ht="60" x14ac:dyDescent="0.25">
      <c r="A739" s="9" t="s">
        <v>11084</v>
      </c>
      <c r="B739" s="9" t="s">
        <v>11085</v>
      </c>
      <c r="C739" s="9" t="s">
        <v>12</v>
      </c>
      <c r="D739" s="9" t="s">
        <v>6886</v>
      </c>
      <c r="E739" s="9"/>
      <c r="F739" s="9" t="s">
        <v>134</v>
      </c>
      <c r="G739" s="9"/>
      <c r="H739" s="9"/>
      <c r="I739" s="9" t="s">
        <v>11086</v>
      </c>
      <c r="J739" s="9"/>
      <c r="K739" s="9" t="s">
        <v>11087</v>
      </c>
      <c r="L739" s="9"/>
      <c r="M739" s="9" t="str">
        <f>HYPERLINK("https://ceds.ed.gov/cedselementdetails.aspx?termid=14735")</f>
        <v>https://ceds.ed.gov/cedselementdetails.aspx?termid=14735</v>
      </c>
      <c r="N739" s="9" t="str">
        <f>HYPERLINK("https://ceds.ed.gov/elementComment.aspx?elementName=Credential Version &amp;elementID=14735", "Click here to submit comment")</f>
        <v>Click here to submit comment</v>
      </c>
    </row>
    <row r="740" spans="1:14" ht="270" x14ac:dyDescent="0.25">
      <c r="A740" s="9" t="s">
        <v>2115</v>
      </c>
      <c r="B740" s="9" t="s">
        <v>2116</v>
      </c>
      <c r="C740" s="10" t="s">
        <v>6437</v>
      </c>
      <c r="D740" s="9" t="s">
        <v>11088</v>
      </c>
      <c r="E740" s="9"/>
      <c r="F740" s="9"/>
      <c r="G740" s="9"/>
      <c r="H740" s="9"/>
      <c r="I740" s="9" t="s">
        <v>2117</v>
      </c>
      <c r="J740" s="9"/>
      <c r="K740" s="9" t="s">
        <v>2118</v>
      </c>
      <c r="L740" s="9"/>
      <c r="M740" s="9" t="str">
        <f>HYPERLINK("https://ceds.ed.gov/cedselementdetails.aspx?termid=14283")</f>
        <v>https://ceds.ed.gov/cedselementdetails.aspx?termid=14283</v>
      </c>
      <c r="N740" s="9" t="str">
        <f>HYPERLINK("https://ceds.ed.gov/elementComment.aspx?elementName=Credit Hours Applied Other Program &amp;elementID=14283", "Click here to submit comment")</f>
        <v>Click here to submit comment</v>
      </c>
    </row>
    <row r="741" spans="1:14" ht="15" customHeight="1" x14ac:dyDescent="0.25">
      <c r="A741" s="9" t="s">
        <v>11089</v>
      </c>
      <c r="B741" s="9" t="s">
        <v>2119</v>
      </c>
      <c r="C741" s="10" t="s">
        <v>11847</v>
      </c>
      <c r="D741" s="9" t="s">
        <v>11090</v>
      </c>
      <c r="E741" s="9"/>
      <c r="F741" s="9"/>
      <c r="G741" s="9"/>
      <c r="H741" s="9"/>
      <c r="I741" s="9" t="s">
        <v>2120</v>
      </c>
      <c r="J741" s="9"/>
      <c r="K741" s="9" t="s">
        <v>11091</v>
      </c>
      <c r="L741" s="9" t="s">
        <v>6109</v>
      </c>
      <c r="M741" s="9" t="str">
        <f>HYPERLINK("https://ceds.ed.gov/cedselementdetails.aspx?termid=13072")</f>
        <v>https://ceds.ed.gov/cedselementdetails.aspx?termid=13072</v>
      </c>
      <c r="N741" s="9" t="str">
        <f>HYPERLINK("https://ceds.ed.gov/elementComment.aspx?elementName=Credit Unit Type &amp;elementID=13072", "Click here to submit comment")</f>
        <v>Click here to submit comment</v>
      </c>
    </row>
    <row r="742" spans="1:14" ht="105" customHeight="1" x14ac:dyDescent="0.25">
      <c r="A742" s="9" t="s">
        <v>11092</v>
      </c>
      <c r="B742" s="9" t="s">
        <v>11093</v>
      </c>
      <c r="C742" s="9" t="s">
        <v>12</v>
      </c>
      <c r="D742" s="9" t="s">
        <v>11094</v>
      </c>
      <c r="E742" s="9"/>
      <c r="F742" s="9" t="s">
        <v>1513</v>
      </c>
      <c r="G742" s="9"/>
      <c r="H742" s="9" t="s">
        <v>1949</v>
      </c>
      <c r="I742" s="9" t="s">
        <v>1950</v>
      </c>
      <c r="J742" s="9"/>
      <c r="K742" s="9" t="s">
        <v>11095</v>
      </c>
      <c r="L742" s="9" t="s">
        <v>25</v>
      </c>
      <c r="M742" s="9" t="str">
        <f>HYPERLINK("https://ceds.ed.gov/cedselementdetails.aspx?termid=13058")</f>
        <v>https://ceds.ed.gov/cedselementdetails.aspx?termid=13058</v>
      </c>
      <c r="N742" s="9" t="str">
        <f>HYPERLINK("https://ceds.ed.gov/elementComment.aspx?elementName=Credit Value &amp;elementID=13058", "Click here to submit comment")</f>
        <v>Click here to submit comment</v>
      </c>
    </row>
    <row r="743" spans="1:14" ht="15" customHeight="1" x14ac:dyDescent="0.25">
      <c r="A743" s="9" t="s">
        <v>2121</v>
      </c>
      <c r="B743" s="9" t="s">
        <v>2122</v>
      </c>
      <c r="C743" s="9" t="s">
        <v>12</v>
      </c>
      <c r="D743" s="9" t="s">
        <v>28</v>
      </c>
      <c r="E743" s="9"/>
      <c r="F743" s="9" t="s">
        <v>1513</v>
      </c>
      <c r="G743" s="9"/>
      <c r="H743" s="9"/>
      <c r="I743" s="9" t="s">
        <v>2123</v>
      </c>
      <c r="J743" s="9"/>
      <c r="K743" s="9" t="s">
        <v>2124</v>
      </c>
      <c r="L743" s="9" t="s">
        <v>6109</v>
      </c>
      <c r="M743" s="9" t="str">
        <f>HYPERLINK("https://ceds.ed.gov/cedselementdetails.aspx?termid=13073")</f>
        <v>https://ceds.ed.gov/cedselementdetails.aspx?termid=13073</v>
      </c>
      <c r="N743" s="9" t="str">
        <f>HYPERLINK("https://ceds.ed.gov/elementComment.aspx?elementName=Credits Attempted Cumulative &amp;elementID=13073", "Click here to submit comment")</f>
        <v>Click here to submit comment</v>
      </c>
    </row>
    <row r="744" spans="1:14" ht="105" x14ac:dyDescent="0.25">
      <c r="A744" s="9" t="s">
        <v>2125</v>
      </c>
      <c r="B744" s="9" t="s">
        <v>2126</v>
      </c>
      <c r="C744" s="9" t="s">
        <v>12</v>
      </c>
      <c r="D744" s="9" t="s">
        <v>28</v>
      </c>
      <c r="E744" s="9"/>
      <c r="F744" s="9" t="s">
        <v>1513</v>
      </c>
      <c r="G744" s="9"/>
      <c r="H744" s="9"/>
      <c r="I744" s="9" t="s">
        <v>2127</v>
      </c>
      <c r="J744" s="9"/>
      <c r="K744" s="9" t="s">
        <v>2128</v>
      </c>
      <c r="L744" s="9" t="s">
        <v>6109</v>
      </c>
      <c r="M744" s="9" t="str">
        <f>HYPERLINK("https://ceds.ed.gov/cedselementdetails.aspx?termid=13074")</f>
        <v>https://ceds.ed.gov/cedselementdetails.aspx?termid=13074</v>
      </c>
      <c r="N744" s="9" t="str">
        <f>HYPERLINK("https://ceds.ed.gov/elementComment.aspx?elementName=Credits Earned Cumulative &amp;elementID=13074", "Click here to submit comment")</f>
        <v>Click here to submit comment</v>
      </c>
    </row>
    <row r="745" spans="1:14" ht="120" x14ac:dyDescent="0.25">
      <c r="A745" s="9" t="s">
        <v>2129</v>
      </c>
      <c r="B745" s="9" t="s">
        <v>2130</v>
      </c>
      <c r="C745" s="9" t="s">
        <v>12</v>
      </c>
      <c r="D745" s="9" t="s">
        <v>6181</v>
      </c>
      <c r="E745" s="9"/>
      <c r="F745" s="9" t="s">
        <v>1513</v>
      </c>
      <c r="G745" s="9"/>
      <c r="H745" s="9" t="s">
        <v>2131</v>
      </c>
      <c r="I745" s="9" t="s">
        <v>2132</v>
      </c>
      <c r="J745" s="9"/>
      <c r="K745" s="9" t="s">
        <v>2133</v>
      </c>
      <c r="L745" s="9"/>
      <c r="M745" s="9" t="str">
        <f>HYPERLINK("https://ceds.ed.gov/cedselementdetails.aspx?termid=14553")</f>
        <v>https://ceds.ed.gov/cedselementdetails.aspx?termid=14553</v>
      </c>
      <c r="N745" s="9" t="str">
        <f>HYPERLINK("https://ceds.ed.gov/elementComment.aspx?elementName=Credits Required &amp;elementID=14553", "Click here to submit comment")</f>
        <v>Click here to submit comment</v>
      </c>
    </row>
    <row r="746" spans="1:14" ht="15" customHeight="1" x14ac:dyDescent="0.25">
      <c r="A746" s="9" t="s">
        <v>2134</v>
      </c>
      <c r="B746" s="9" t="s">
        <v>2135</v>
      </c>
      <c r="C746" s="9" t="s">
        <v>12</v>
      </c>
      <c r="D746" s="9" t="s">
        <v>2136</v>
      </c>
      <c r="E746" s="9"/>
      <c r="F746" s="9" t="s">
        <v>87</v>
      </c>
      <c r="G746" s="9"/>
      <c r="H746" s="9"/>
      <c r="I746" s="9" t="s">
        <v>2137</v>
      </c>
      <c r="J746" s="9"/>
      <c r="K746" s="9" t="s">
        <v>2138</v>
      </c>
      <c r="L746" s="9"/>
      <c r="M746" s="9" t="str">
        <f>HYPERLINK("https://ceds.ed.gov/cedselementdetails.aspx?termid=13604")</f>
        <v>https://ceds.ed.gov/cedselementdetails.aspx?termid=13604</v>
      </c>
      <c r="N746" s="9" t="str">
        <f>HYPERLINK("https://ceds.ed.gov/elementComment.aspx?elementName=Crisis Code &amp;elementID=13604", "Click here to submit comment")</f>
        <v>Click here to submit comment</v>
      </c>
    </row>
    <row r="747" spans="1:14" ht="15" customHeight="1" x14ac:dyDescent="0.25">
      <c r="A747" s="9" t="s">
        <v>2139</v>
      </c>
      <c r="B747" s="9" t="s">
        <v>2140</v>
      </c>
      <c r="C747" s="9" t="s">
        <v>12</v>
      </c>
      <c r="D747" s="9" t="s">
        <v>2136</v>
      </c>
      <c r="E747" s="9"/>
      <c r="F747" s="9" t="s">
        <v>68</v>
      </c>
      <c r="G747" s="9"/>
      <c r="H747" s="9"/>
      <c r="I747" s="9" t="s">
        <v>2141</v>
      </c>
      <c r="J747" s="9"/>
      <c r="K747" s="9" t="s">
        <v>2142</v>
      </c>
      <c r="L747" s="9"/>
      <c r="M747" s="9" t="str">
        <f>HYPERLINK("https://ceds.ed.gov/cedselementdetails.aspx?termid=14526")</f>
        <v>https://ceds.ed.gov/cedselementdetails.aspx?termid=14526</v>
      </c>
      <c r="N747" s="9" t="str">
        <f>HYPERLINK("https://ceds.ed.gov/elementComment.aspx?elementName=Crisis Description &amp;elementID=14526", "Click here to submit comment")</f>
        <v>Click here to submit comment</v>
      </c>
    </row>
    <row r="748" spans="1:14" ht="15" customHeight="1" x14ac:dyDescent="0.25">
      <c r="A748" s="9" t="s">
        <v>2143</v>
      </c>
      <c r="B748" s="9" t="s">
        <v>2144</v>
      </c>
      <c r="C748" s="9" t="s">
        <v>12</v>
      </c>
      <c r="D748" s="9" t="s">
        <v>2136</v>
      </c>
      <c r="E748" s="9"/>
      <c r="F748" s="9" t="s">
        <v>73</v>
      </c>
      <c r="G748" s="9"/>
      <c r="H748" s="9"/>
      <c r="I748" s="9" t="s">
        <v>2145</v>
      </c>
      <c r="J748" s="9"/>
      <c r="K748" s="9" t="s">
        <v>2146</v>
      </c>
      <c r="L748" s="9"/>
      <c r="M748" s="9" t="str">
        <f>HYPERLINK("https://ceds.ed.gov/cedselementdetails.aspx?termid=14528")</f>
        <v>https://ceds.ed.gov/cedselementdetails.aspx?termid=14528</v>
      </c>
      <c r="N748" s="9" t="str">
        <f>HYPERLINK("https://ceds.ed.gov/elementComment.aspx?elementName=Crisis End Date &amp;elementID=14528", "Click here to submit comment")</f>
        <v>Click here to submit comment</v>
      </c>
    </row>
    <row r="749" spans="1:14" ht="45" x14ac:dyDescent="0.25">
      <c r="A749" s="9" t="s">
        <v>2147</v>
      </c>
      <c r="B749" s="9" t="s">
        <v>2148</v>
      </c>
      <c r="C749" s="9" t="s">
        <v>12</v>
      </c>
      <c r="D749" s="9" t="s">
        <v>2136</v>
      </c>
      <c r="E749" s="9"/>
      <c r="F749" s="9" t="s">
        <v>1347</v>
      </c>
      <c r="G749" s="9"/>
      <c r="H749" s="9"/>
      <c r="I749" s="9" t="s">
        <v>2149</v>
      </c>
      <c r="J749" s="9"/>
      <c r="K749" s="9" t="s">
        <v>2150</v>
      </c>
      <c r="L749" s="9"/>
      <c r="M749" s="9" t="str">
        <f>HYPERLINK("https://ceds.ed.gov/cedselementdetails.aspx?termid=13605")</f>
        <v>https://ceds.ed.gov/cedselementdetails.aspx?termid=13605</v>
      </c>
      <c r="N749" s="9" t="str">
        <f>HYPERLINK("https://ceds.ed.gov/elementComment.aspx?elementName=Crisis Name &amp;elementID=13605", "Click here to submit comment")</f>
        <v>Click here to submit comment</v>
      </c>
    </row>
    <row r="750" spans="1:14" ht="75" x14ac:dyDescent="0.25">
      <c r="A750" s="9" t="s">
        <v>2151</v>
      </c>
      <c r="B750" s="9" t="s">
        <v>2152</v>
      </c>
      <c r="C750" s="9" t="s">
        <v>12</v>
      </c>
      <c r="D750" s="9" t="s">
        <v>2136</v>
      </c>
      <c r="E750" s="9"/>
      <c r="F750" s="9" t="s">
        <v>73</v>
      </c>
      <c r="G750" s="9"/>
      <c r="H750" s="9"/>
      <c r="I750" s="9" t="s">
        <v>2153</v>
      </c>
      <c r="J750" s="9"/>
      <c r="K750" s="9" t="s">
        <v>2154</v>
      </c>
      <c r="L750" s="9"/>
      <c r="M750" s="9" t="str">
        <f>HYPERLINK("https://ceds.ed.gov/cedselementdetails.aspx?termid=13607")</f>
        <v>https://ceds.ed.gov/cedselementdetails.aspx?termid=13607</v>
      </c>
      <c r="N750" s="9" t="str">
        <f>HYPERLINK("https://ceds.ed.gov/elementComment.aspx?elementName=Crisis Start Date &amp;elementID=13607", "Click here to submit comment")</f>
        <v>Click here to submit comment</v>
      </c>
    </row>
    <row r="751" spans="1:14" ht="24.75" customHeight="1" x14ac:dyDescent="0.25">
      <c r="A751" s="9" t="s">
        <v>2155</v>
      </c>
      <c r="B751" s="9" t="s">
        <v>2156</v>
      </c>
      <c r="C751" s="9" t="s">
        <v>12</v>
      </c>
      <c r="D751" s="9" t="s">
        <v>2136</v>
      </c>
      <c r="E751" s="9"/>
      <c r="F751" s="9" t="s">
        <v>1347</v>
      </c>
      <c r="G751" s="9"/>
      <c r="H751" s="9"/>
      <c r="I751" s="9" t="s">
        <v>2157</v>
      </c>
      <c r="J751" s="9"/>
      <c r="K751" s="9" t="s">
        <v>2158</v>
      </c>
      <c r="L751" s="9"/>
      <c r="M751" s="9" t="str">
        <f>HYPERLINK("https://ceds.ed.gov/cedselementdetails.aspx?termid=13606")</f>
        <v>https://ceds.ed.gov/cedselementdetails.aspx?termid=13606</v>
      </c>
      <c r="N751" s="9" t="str">
        <f>HYPERLINK("https://ceds.ed.gov/elementComment.aspx?elementName=Crisis Type &amp;elementID=13606", "Click here to submit comment")</f>
        <v>Click here to submit comment</v>
      </c>
    </row>
    <row r="752" spans="1:14" ht="60" x14ac:dyDescent="0.25">
      <c r="A752" s="9" t="s">
        <v>2159</v>
      </c>
      <c r="B752" s="9" t="s">
        <v>2160</v>
      </c>
      <c r="C752" s="10" t="s">
        <v>6340</v>
      </c>
      <c r="D752" s="9" t="s">
        <v>326</v>
      </c>
      <c r="E752" s="9"/>
      <c r="F752" s="9"/>
      <c r="G752" s="9"/>
      <c r="H752" s="9" t="s">
        <v>2161</v>
      </c>
      <c r="I752" s="9" t="s">
        <v>2162</v>
      </c>
      <c r="J752" s="9"/>
      <c r="K752" s="9" t="s">
        <v>2163</v>
      </c>
      <c r="L752" s="9" t="s">
        <v>329</v>
      </c>
      <c r="M752" s="9" t="str">
        <f>HYPERLINK("https://ceds.ed.gov/cedselementdetails.aspx?termid=13753")</f>
        <v>https://ceds.ed.gov/cedselementdetails.aspx?termid=13753</v>
      </c>
      <c r="N752" s="9" t="str">
        <f>HYPERLINK("https://ceds.ed.gov/elementComment.aspx?elementName=Critical Teacher Shortage Area Candidate &amp;elementID=13753", "Click here to submit comment")</f>
        <v>Click here to submit comment</v>
      </c>
    </row>
    <row r="753" spans="1:14" ht="75" customHeight="1" x14ac:dyDescent="0.25">
      <c r="A753" s="9" t="s">
        <v>11096</v>
      </c>
      <c r="B753" s="9" t="s">
        <v>11097</v>
      </c>
      <c r="C753" s="10" t="s">
        <v>11848</v>
      </c>
      <c r="D753" s="9" t="s">
        <v>11098</v>
      </c>
      <c r="E753" s="9"/>
      <c r="F753" s="9"/>
      <c r="G753" s="9"/>
      <c r="H753" s="9" t="s">
        <v>11099</v>
      </c>
      <c r="I753" s="9" t="s">
        <v>11100</v>
      </c>
      <c r="J753" s="9"/>
      <c r="K753" s="9" t="s">
        <v>11101</v>
      </c>
      <c r="L753" s="9"/>
      <c r="M753" s="9" t="str">
        <f>HYPERLINK("https://ceds.ed.gov/cedselementdetails.aspx?termid=14736")</f>
        <v>https://ceds.ed.gov/cedselementdetails.aspx?termid=14736</v>
      </c>
      <c r="N753" s="9" t="str">
        <f>HYPERLINK("https://ceds.ed.gov/elementComment.aspx?elementName=CTDL Organization Type &amp;elementID=14736", "Click here to submit comment")</f>
        <v>Click here to submit comment</v>
      </c>
    </row>
    <row r="754" spans="1:14" ht="37.5" customHeight="1" x14ac:dyDescent="0.25">
      <c r="A754" s="9" t="s">
        <v>2164</v>
      </c>
      <c r="B754" s="9" t="s">
        <v>2165</v>
      </c>
      <c r="C754" s="10" t="s">
        <v>6438</v>
      </c>
      <c r="D754" s="9" t="s">
        <v>6173</v>
      </c>
      <c r="E754" s="9"/>
      <c r="F754" s="9"/>
      <c r="G754" s="9"/>
      <c r="H754" s="9"/>
      <c r="I754" s="9" t="s">
        <v>2166</v>
      </c>
      <c r="J754" s="9"/>
      <c r="K754" s="9" t="s">
        <v>2167</v>
      </c>
      <c r="L754" s="9"/>
      <c r="M754" s="9" t="str">
        <f>HYPERLINK("https://ceds.ed.gov/cedselementdetails.aspx?termid=13688")</f>
        <v>https://ceds.ed.gov/cedselementdetails.aspx?termid=13688</v>
      </c>
      <c r="N754" s="9" t="str">
        <f>HYPERLINK("https://ceds.ed.gov/elementComment.aspx?elementName=Curriculum Framework Type &amp;elementID=13688", "Click here to submit comment")</f>
        <v>Click here to submit comment</v>
      </c>
    </row>
    <row r="755" spans="1:14" ht="15" customHeight="1" x14ac:dyDescent="0.25">
      <c r="A755" s="9" t="s">
        <v>2168</v>
      </c>
      <c r="B755" s="9" t="s">
        <v>2169</v>
      </c>
      <c r="C755" s="10" t="s">
        <v>6439</v>
      </c>
      <c r="D755" s="9" t="s">
        <v>2170</v>
      </c>
      <c r="E755" s="9"/>
      <c r="F755" s="9"/>
      <c r="G755" s="9"/>
      <c r="H755" s="9"/>
      <c r="I755" s="9" t="s">
        <v>2171</v>
      </c>
      <c r="J755" s="9"/>
      <c r="K755" s="9" t="s">
        <v>2172</v>
      </c>
      <c r="L755" s="9" t="s">
        <v>6124</v>
      </c>
      <c r="M755" s="9" t="str">
        <f>HYPERLINK("https://ceds.ed.gov/cedselementdetails.aspx?termid=13328")</f>
        <v>https://ceds.ed.gov/cedselementdetails.aspx?termid=13328</v>
      </c>
      <c r="N755" s="9" t="str">
        <f>HYPERLINK("https://ceds.ed.gov/elementComment.aspx?elementName=Custodial Parent or Guardian Indicator &amp;elementID=13328", "Click here to submit comment")</f>
        <v>Click here to submit comment</v>
      </c>
    </row>
    <row r="756" spans="1:14" ht="37.5" customHeight="1" x14ac:dyDescent="0.25">
      <c r="A756" s="9" t="s">
        <v>2173</v>
      </c>
      <c r="B756" s="9" t="s">
        <v>2174</v>
      </c>
      <c r="C756" s="9" t="s">
        <v>12</v>
      </c>
      <c r="D756" s="9" t="s">
        <v>2175</v>
      </c>
      <c r="E756" s="9"/>
      <c r="F756" s="9" t="s">
        <v>73</v>
      </c>
      <c r="G756" s="9"/>
      <c r="H756" s="9"/>
      <c r="I756" s="9" t="s">
        <v>2176</v>
      </c>
      <c r="J756" s="9"/>
      <c r="K756" s="9" t="s">
        <v>2177</v>
      </c>
      <c r="L756" s="9"/>
      <c r="M756" s="9" t="str">
        <f>HYPERLINK("https://ceds.ed.gov/cedselementdetails.aspx?termid=14335")</f>
        <v>https://ceds.ed.gov/cedselementdetails.aspx?termid=14335</v>
      </c>
      <c r="N756" s="9" t="str">
        <f>HYPERLINK("https://ceds.ed.gov/elementComment.aspx?elementName=Date of Transition Plan &amp;elementID=14335", "Click here to submit comment")</f>
        <v>Click here to submit comment</v>
      </c>
    </row>
    <row r="757" spans="1:14" ht="45" x14ac:dyDescent="0.25">
      <c r="A757" s="9" t="s">
        <v>2178</v>
      </c>
      <c r="B757" s="9" t="s">
        <v>2179</v>
      </c>
      <c r="C757" s="9" t="s">
        <v>12</v>
      </c>
      <c r="D757" s="9" t="s">
        <v>2180</v>
      </c>
      <c r="E757" s="9"/>
      <c r="F757" s="9" t="s">
        <v>73</v>
      </c>
      <c r="G757" s="9"/>
      <c r="H757" s="9"/>
      <c r="I757" s="9" t="s">
        <v>2181</v>
      </c>
      <c r="J757" s="9"/>
      <c r="K757" s="9" t="s">
        <v>2182</v>
      </c>
      <c r="L757" s="9" t="s">
        <v>188</v>
      </c>
      <c r="M757" s="9" t="str">
        <f>HYPERLINK("https://ceds.ed.gov/cedselementdetails.aspx?termid=13445")</f>
        <v>https://ceds.ed.gov/cedselementdetails.aspx?termid=13445</v>
      </c>
      <c r="N757" s="9" t="str">
        <f>HYPERLINK("https://ceds.ed.gov/elementComment.aspx?elementName=Date State Received Title III Allocation &amp;elementID=13445", "Click here to submit comment")</f>
        <v>Click here to submit comment</v>
      </c>
    </row>
    <row r="758" spans="1:14" ht="381.75" customHeight="1" x14ac:dyDescent="0.25">
      <c r="A758" s="9" t="s">
        <v>2183</v>
      </c>
      <c r="B758" s="9" t="s">
        <v>2184</v>
      </c>
      <c r="C758" s="9" t="s">
        <v>12</v>
      </c>
      <c r="D758" s="9" t="s">
        <v>2180</v>
      </c>
      <c r="E758" s="9"/>
      <c r="F758" s="9" t="s">
        <v>73</v>
      </c>
      <c r="G758" s="9"/>
      <c r="H758" s="9"/>
      <c r="I758" s="9" t="s">
        <v>2185</v>
      </c>
      <c r="J758" s="9"/>
      <c r="K758" s="9" t="s">
        <v>2186</v>
      </c>
      <c r="L758" s="9" t="s">
        <v>188</v>
      </c>
      <c r="M758" s="9" t="str">
        <f>HYPERLINK("https://ceds.ed.gov/cedselementdetails.aspx?termid=13446")</f>
        <v>https://ceds.ed.gov/cedselementdetails.aspx?termid=13446</v>
      </c>
      <c r="N758" s="9" t="str">
        <f>HYPERLINK("https://ceds.ed.gov/elementComment.aspx?elementName=Date Title III Funds Available to Subgrantees &amp;elementID=13446", "Click here to submit comment")</f>
        <v>Click here to submit comment</v>
      </c>
    </row>
    <row r="759" spans="1:14" ht="60" x14ac:dyDescent="0.25">
      <c r="A759" s="9" t="s">
        <v>2187</v>
      </c>
      <c r="B759" s="9" t="s">
        <v>2188</v>
      </c>
      <c r="C759" s="9" t="s">
        <v>12</v>
      </c>
      <c r="D759" s="9" t="s">
        <v>11102</v>
      </c>
      <c r="E759" s="9"/>
      <c r="F759" s="9" t="s">
        <v>10489</v>
      </c>
      <c r="G759" s="9"/>
      <c r="H759" s="9"/>
      <c r="I759" s="9" t="s">
        <v>2189</v>
      </c>
      <c r="J759" s="9"/>
      <c r="K759" s="9" t="s">
        <v>2190</v>
      </c>
      <c r="L759" s="9" t="s">
        <v>6182</v>
      </c>
      <c r="M759" s="9" t="str">
        <f>HYPERLINK("https://ceds.ed.gov/cedselementdetails.aspx?termid=13354")</f>
        <v>https://ceds.ed.gov/cedselementdetails.aspx?termid=13354</v>
      </c>
      <c r="N759" s="9" t="str">
        <f>HYPERLINK("https://ceds.ed.gov/elementComment.aspx?elementName=Days Available Per Week &amp;elementID=13354", "Click here to submit comment")</f>
        <v>Click here to submit comment</v>
      </c>
    </row>
    <row r="760" spans="1:14" ht="135" x14ac:dyDescent="0.25">
      <c r="A760" s="9" t="s">
        <v>12213</v>
      </c>
      <c r="B760" s="9" t="s">
        <v>2191</v>
      </c>
      <c r="C760" s="9" t="s">
        <v>12</v>
      </c>
      <c r="D760" s="9" t="s">
        <v>2192</v>
      </c>
      <c r="E760" s="9"/>
      <c r="F760" s="9" t="s">
        <v>10489</v>
      </c>
      <c r="G760" s="9"/>
      <c r="H760" s="9"/>
      <c r="I760" s="9" t="s">
        <v>2193</v>
      </c>
      <c r="J760" s="9"/>
      <c r="K760" s="9" t="s">
        <v>2194</v>
      </c>
      <c r="L760" s="9"/>
      <c r="M760" s="9" t="str">
        <f>HYPERLINK("https://ceds.ed.gov/cedselementdetails.aspx?termid=13487")</f>
        <v>https://ceds.ed.gov/cedselementdetails.aspx?termid=13487</v>
      </c>
      <c r="N760" s="9" t="str">
        <f>HYPERLINK("https://ceds.ed.gov/elementComment.aspx?elementName=Days in Session &amp;elementID=13487", "Click here to submit comment")</f>
        <v>Click here to submit comment</v>
      </c>
    </row>
    <row r="761" spans="1:14" ht="45" x14ac:dyDescent="0.25">
      <c r="A761" s="9" t="s">
        <v>11103</v>
      </c>
      <c r="B761" s="9" t="s">
        <v>11104</v>
      </c>
      <c r="C761" s="9" t="s">
        <v>12</v>
      </c>
      <c r="D761" s="9" t="s">
        <v>11105</v>
      </c>
      <c r="E761" s="9"/>
      <c r="F761" s="9" t="s">
        <v>73</v>
      </c>
      <c r="G761" s="9"/>
      <c r="H761" s="9"/>
      <c r="I761" s="9" t="s">
        <v>11106</v>
      </c>
      <c r="J761" s="9"/>
      <c r="K761" s="9" t="s">
        <v>11107</v>
      </c>
      <c r="L761" s="9"/>
      <c r="M761" s="9" t="str">
        <f>HYPERLINK("https://ceds.ed.gov/cedselementdetails.aspx?termid=14693")</f>
        <v>https://ceds.ed.gov/cedselementdetails.aspx?termid=14693</v>
      </c>
      <c r="N761" s="9" t="str">
        <f>HYPERLINK("https://ceds.ed.gov/elementComment.aspx?elementName=Declined Services Date &amp;elementID=14693", "Click here to submit comment")</f>
        <v>Click here to submit comment</v>
      </c>
    </row>
    <row r="762" spans="1:14" ht="120" x14ac:dyDescent="0.25">
      <c r="A762" s="9" t="s">
        <v>2195</v>
      </c>
      <c r="B762" s="9" t="s">
        <v>2196</v>
      </c>
      <c r="C762" s="9" t="s">
        <v>6106</v>
      </c>
      <c r="D762" s="9" t="s">
        <v>10934</v>
      </c>
      <c r="E762" s="9"/>
      <c r="F762" s="9"/>
      <c r="G762" s="9"/>
      <c r="H762" s="9"/>
      <c r="I762" s="9" t="s">
        <v>2197</v>
      </c>
      <c r="J762" s="9"/>
      <c r="K762" s="9" t="s">
        <v>2198</v>
      </c>
      <c r="L762" s="9" t="s">
        <v>25</v>
      </c>
      <c r="M762" s="9" t="str">
        <f>HYPERLINK("https://ceds.ed.gov/cedselementdetails.aspx?termid=13077")</f>
        <v>https://ceds.ed.gov/cedselementdetails.aspx?termid=13077</v>
      </c>
      <c r="N762" s="9" t="str">
        <f>HYPERLINK("https://ceds.ed.gov/elementComment.aspx?elementName=Degree Applicability &amp;elementID=13077", "Click here to submit comment")</f>
        <v>Click here to submit comment</v>
      </c>
    </row>
    <row r="763" spans="1:14" ht="120" x14ac:dyDescent="0.25">
      <c r="A763" s="9" t="s">
        <v>2199</v>
      </c>
      <c r="B763" s="9" t="s">
        <v>2200</v>
      </c>
      <c r="C763" s="9" t="s">
        <v>12</v>
      </c>
      <c r="D763" s="9" t="s">
        <v>11108</v>
      </c>
      <c r="E763" s="9"/>
      <c r="F763" s="9" t="s">
        <v>73</v>
      </c>
      <c r="G763" s="9"/>
      <c r="H763" s="9"/>
      <c r="I763" s="9" t="s">
        <v>2201</v>
      </c>
      <c r="J763" s="9"/>
      <c r="K763" s="9" t="s">
        <v>2202</v>
      </c>
      <c r="L763" s="9" t="s">
        <v>6183</v>
      </c>
      <c r="M763" s="9" t="str">
        <f>HYPERLINK("https://ceds.ed.gov/cedselementdetails.aspx?termid=13343")</f>
        <v>https://ceds.ed.gov/cedselementdetails.aspx?termid=13343</v>
      </c>
      <c r="N763" s="9" t="str">
        <f>HYPERLINK("https://ceds.ed.gov/elementComment.aspx?elementName=Degree or Certificate Conferring Date &amp;elementID=13343", "Click here to submit comment")</f>
        <v>Click here to submit comment</v>
      </c>
    </row>
    <row r="764" spans="1:14" ht="105" x14ac:dyDescent="0.25">
      <c r="A764" s="9" t="s">
        <v>2203</v>
      </c>
      <c r="B764" s="9" t="s">
        <v>2204</v>
      </c>
      <c r="C764" s="9" t="s">
        <v>6106</v>
      </c>
      <c r="D764" s="9" t="s">
        <v>1808</v>
      </c>
      <c r="E764" s="9"/>
      <c r="F764" s="9"/>
      <c r="G764" s="9"/>
      <c r="H764" s="9"/>
      <c r="I764" s="9" t="s">
        <v>2205</v>
      </c>
      <c r="J764" s="9"/>
      <c r="K764" s="9" t="s">
        <v>2206</v>
      </c>
      <c r="L764" s="9" t="s">
        <v>6108</v>
      </c>
      <c r="M764" s="9" t="str">
        <f>HYPERLINK("https://ceds.ed.gov/cedselementdetails.aspx?termid=13078")</f>
        <v>https://ceds.ed.gov/cedselementdetails.aspx?termid=13078</v>
      </c>
      <c r="N764" s="9" t="str">
        <f>HYPERLINK("https://ceds.ed.gov/elementComment.aspx?elementName=Degree or Certificate Seeking Student &amp;elementID=13078", "Click here to submit comment")</f>
        <v>Click here to submit comment</v>
      </c>
    </row>
    <row r="765" spans="1:14" ht="120" x14ac:dyDescent="0.25">
      <c r="A765" s="9" t="s">
        <v>2207</v>
      </c>
      <c r="B765" s="9" t="s">
        <v>2208</v>
      </c>
      <c r="C765" s="9" t="s">
        <v>12</v>
      </c>
      <c r="D765" s="9" t="s">
        <v>11108</v>
      </c>
      <c r="E765" s="9"/>
      <c r="F765" s="9" t="s">
        <v>1347</v>
      </c>
      <c r="G765" s="9"/>
      <c r="H765" s="9"/>
      <c r="I765" s="9" t="s">
        <v>2209</v>
      </c>
      <c r="J765" s="9"/>
      <c r="K765" s="9" t="s">
        <v>2210</v>
      </c>
      <c r="L765" s="9" t="s">
        <v>6183</v>
      </c>
      <c r="M765" s="9" t="str">
        <f>HYPERLINK("https://ceds.ed.gov/cedselementdetails.aspx?termid=13341")</f>
        <v>https://ceds.ed.gov/cedselementdetails.aspx?termid=13341</v>
      </c>
      <c r="N765" s="9" t="str">
        <f>HYPERLINK("https://ceds.ed.gov/elementComment.aspx?elementName=Degree or Certificate Title or Subject &amp;elementID=13341", "Click here to submit comment")</f>
        <v>Click here to submit comment</v>
      </c>
    </row>
    <row r="766" spans="1:14" ht="405" x14ac:dyDescent="0.25">
      <c r="A766" s="9" t="s">
        <v>2211</v>
      </c>
      <c r="B766" s="9" t="s">
        <v>2212</v>
      </c>
      <c r="C766" s="10" t="s">
        <v>6440</v>
      </c>
      <c r="D766" s="9" t="s">
        <v>11108</v>
      </c>
      <c r="E766" s="9"/>
      <c r="F766" s="9"/>
      <c r="G766" s="9"/>
      <c r="H766" s="9"/>
      <c r="I766" s="9" t="s">
        <v>2213</v>
      </c>
      <c r="J766" s="9"/>
      <c r="K766" s="9" t="s">
        <v>2214</v>
      </c>
      <c r="L766" s="9" t="s">
        <v>6183</v>
      </c>
      <c r="M766" s="9" t="str">
        <f>HYPERLINK("https://ceds.ed.gov/cedselementdetails.aspx?termid=13342")</f>
        <v>https://ceds.ed.gov/cedselementdetails.aspx?termid=13342</v>
      </c>
      <c r="N766" s="9" t="str">
        <f>HYPERLINK("https://ceds.ed.gov/elementComment.aspx?elementName=Degree or Certificate Type &amp;elementID=13342", "Click here to submit comment")</f>
        <v>Click here to submit comment</v>
      </c>
    </row>
    <row r="767" spans="1:14" ht="75" x14ac:dyDescent="0.25">
      <c r="A767" s="9" t="s">
        <v>2215</v>
      </c>
      <c r="B767" s="9" t="s">
        <v>2216</v>
      </c>
      <c r="C767" s="9" t="s">
        <v>6106</v>
      </c>
      <c r="D767" s="9" t="s">
        <v>6184</v>
      </c>
      <c r="E767" s="9"/>
      <c r="F767" s="9"/>
      <c r="G767" s="9"/>
      <c r="H767" s="9" t="s">
        <v>2217</v>
      </c>
      <c r="I767" s="9" t="s">
        <v>2218</v>
      </c>
      <c r="J767" s="9"/>
      <c r="K767" s="9" t="s">
        <v>2219</v>
      </c>
      <c r="L767" s="9"/>
      <c r="M767" s="9" t="str">
        <f>HYPERLINK("https://ceds.ed.gov/cedselementdetails.aspx?termid=13974")</f>
        <v>https://ceds.ed.gov/cedselementdetails.aspx?termid=13974</v>
      </c>
      <c r="N767" s="9" t="str">
        <f>HYPERLINK("https://ceds.ed.gov/elementComment.aspx?elementName=Demographic Race Two or More Races &amp;elementID=13974", "Click here to submit comment")</f>
        <v>Click here to submit comment</v>
      </c>
    </row>
    <row r="768" spans="1:14" ht="210" x14ac:dyDescent="0.25">
      <c r="A768" s="9" t="s">
        <v>2220</v>
      </c>
      <c r="B768" s="9" t="s">
        <v>2221</v>
      </c>
      <c r="C768" s="10" t="s">
        <v>6441</v>
      </c>
      <c r="D768" s="9" t="s">
        <v>11109</v>
      </c>
      <c r="E768" s="9"/>
      <c r="F768" s="9"/>
      <c r="G768" s="9"/>
      <c r="H768" s="9" t="s">
        <v>2222</v>
      </c>
      <c r="I768" s="9" t="s">
        <v>2223</v>
      </c>
      <c r="J768" s="9"/>
      <c r="K768" s="9" t="s">
        <v>2224</v>
      </c>
      <c r="L768" s="9" t="s">
        <v>2225</v>
      </c>
      <c r="M768" s="9" t="str">
        <f>HYPERLINK("https://ceds.ed.gov/cedselementdetails.aspx?termid=13335")</f>
        <v>https://ceds.ed.gov/cedselementdetails.aspx?termid=13335</v>
      </c>
      <c r="N768" s="9" t="str">
        <f>HYPERLINK("https://ceds.ed.gov/elementComment.aspx?elementName=Dental Insurance Coverage Type &amp;elementID=13335", "Click here to submit comment")</f>
        <v>Click here to submit comment</v>
      </c>
    </row>
    <row r="769" spans="1:14" ht="60" x14ac:dyDescent="0.25">
      <c r="A769" s="9" t="s">
        <v>2226</v>
      </c>
      <c r="B769" s="9" t="s">
        <v>2227</v>
      </c>
      <c r="C769" s="9" t="s">
        <v>12</v>
      </c>
      <c r="D769" s="9" t="s">
        <v>11110</v>
      </c>
      <c r="E769" s="9"/>
      <c r="F769" s="9" t="s">
        <v>73</v>
      </c>
      <c r="G769" s="9"/>
      <c r="H769" s="9"/>
      <c r="I769" s="9" t="s">
        <v>2228</v>
      </c>
      <c r="J769" s="9"/>
      <c r="K769" s="9" t="s">
        <v>2229</v>
      </c>
      <c r="L769" s="9"/>
      <c r="M769" s="9" t="str">
        <f>HYPERLINK("https://ceds.ed.gov/cedselementdetails.aspx?termid=13682")</f>
        <v>https://ceds.ed.gov/cedselementdetails.aspx?termid=13682</v>
      </c>
      <c r="N769" s="9" t="str">
        <f>HYPERLINK("https://ceds.ed.gov/elementComment.aspx?elementName=Dental Screening Date &amp;elementID=13682", "Click here to submit comment")</f>
        <v>Click here to submit comment</v>
      </c>
    </row>
    <row r="770" spans="1:14" ht="135" x14ac:dyDescent="0.25">
      <c r="A770" s="9" t="s">
        <v>2230</v>
      </c>
      <c r="B770" s="9" t="s">
        <v>2231</v>
      </c>
      <c r="C770" s="10" t="s">
        <v>6442</v>
      </c>
      <c r="D770" s="9" t="s">
        <v>11110</v>
      </c>
      <c r="E770" s="9"/>
      <c r="F770" s="9"/>
      <c r="G770" s="9"/>
      <c r="H770" s="9"/>
      <c r="I770" s="9" t="s">
        <v>2232</v>
      </c>
      <c r="J770" s="9"/>
      <c r="K770" s="9" t="s">
        <v>2233</v>
      </c>
      <c r="L770" s="9" t="s">
        <v>1714</v>
      </c>
      <c r="M770" s="9" t="str">
        <f>HYPERLINK("https://ceds.ed.gov/cedselementdetails.aspx?termid=13310")</f>
        <v>https://ceds.ed.gov/cedselementdetails.aspx?termid=13310</v>
      </c>
      <c r="N770" s="9" t="str">
        <f>HYPERLINK("https://ceds.ed.gov/elementComment.aspx?elementName=Dental Screening Status &amp;elementID=13310", "Click here to submit comment")</f>
        <v>Click here to submit comment</v>
      </c>
    </row>
    <row r="771" spans="1:14" ht="60" x14ac:dyDescent="0.25">
      <c r="A771" s="9" t="s">
        <v>2234</v>
      </c>
      <c r="B771" s="9" t="s">
        <v>2235</v>
      </c>
      <c r="C771" s="10" t="s">
        <v>6443</v>
      </c>
      <c r="D771" s="9" t="s">
        <v>1587</v>
      </c>
      <c r="E771" s="9"/>
      <c r="F771" s="9"/>
      <c r="G771" s="9"/>
      <c r="H771" s="9"/>
      <c r="I771" s="9" t="s">
        <v>2236</v>
      </c>
      <c r="J771" s="9"/>
      <c r="K771" s="9" t="s">
        <v>2237</v>
      </c>
      <c r="L771" s="9" t="s">
        <v>6185</v>
      </c>
      <c r="M771" s="9" t="str">
        <f>HYPERLINK("https://ceds.ed.gov/cedselementdetails.aspx?termid=13079")</f>
        <v>https://ceds.ed.gov/cedselementdetails.aspx?termid=13079</v>
      </c>
      <c r="N771" s="9" t="str">
        <f>HYPERLINK("https://ceds.ed.gov/elementComment.aspx?elementName=Dependency Status &amp;elementID=13079", "Click here to submit comment")</f>
        <v>Click here to submit comment</v>
      </c>
    </row>
    <row r="772" spans="1:14" ht="75" x14ac:dyDescent="0.25">
      <c r="A772" s="9" t="s">
        <v>2238</v>
      </c>
      <c r="B772" s="9" t="s">
        <v>2239</v>
      </c>
      <c r="C772" s="9" t="s">
        <v>6106</v>
      </c>
      <c r="D772" s="9" t="s">
        <v>1522</v>
      </c>
      <c r="E772" s="9"/>
      <c r="F772" s="9"/>
      <c r="G772" s="9"/>
      <c r="H772" s="9"/>
      <c r="I772" s="9" t="s">
        <v>2240</v>
      </c>
      <c r="J772" s="9"/>
      <c r="K772" s="9" t="s">
        <v>2241</v>
      </c>
      <c r="L772" s="9" t="s">
        <v>4</v>
      </c>
      <c r="M772" s="9" t="str">
        <f>HYPERLINK("https://ceds.ed.gov/cedselementdetails.aspx?termid=13080")</f>
        <v>https://ceds.ed.gov/cedselementdetails.aspx?termid=13080</v>
      </c>
      <c r="N772" s="9" t="str">
        <f>HYPERLINK("https://ceds.ed.gov/elementComment.aspx?elementName=Desegregation Order or Plan &amp;elementID=13080", "Click here to submit comment")</f>
        <v>Click here to submit comment</v>
      </c>
    </row>
    <row r="773" spans="1:14" ht="105" x14ac:dyDescent="0.25">
      <c r="A773" s="18" t="s">
        <v>2242</v>
      </c>
      <c r="B773" s="18" t="s">
        <v>2243</v>
      </c>
      <c r="C773" s="18" t="s">
        <v>12</v>
      </c>
      <c r="D773" s="18" t="s">
        <v>1846</v>
      </c>
      <c r="E773" s="18"/>
      <c r="F773" s="18" t="s">
        <v>119</v>
      </c>
      <c r="G773" s="18"/>
      <c r="H773" s="9" t="s">
        <v>120</v>
      </c>
      <c r="I773" s="18" t="s">
        <v>2244</v>
      </c>
      <c r="J773" s="18"/>
      <c r="K773" s="18" t="s">
        <v>2245</v>
      </c>
      <c r="L773" s="18" t="s">
        <v>1537</v>
      </c>
      <c r="M773" s="18" t="str">
        <f>HYPERLINK("https://ceds.ed.gov/cedselementdetails.aspx?termid=13426")</f>
        <v>https://ceds.ed.gov/cedselementdetails.aspx?termid=13426</v>
      </c>
      <c r="N773" s="18" t="str">
        <f>HYPERLINK("https://ceds.ed.gov/elementComment.aspx?elementName=Designated Graduation School Identifier &amp;elementID=13426", "Click here to submit comment")</f>
        <v>Click here to submit comment</v>
      </c>
    </row>
    <row r="774" spans="1:14" x14ac:dyDescent="0.25">
      <c r="A774" s="18"/>
      <c r="B774" s="18"/>
      <c r="C774" s="18"/>
      <c r="D774" s="18"/>
      <c r="E774" s="18"/>
      <c r="F774" s="18"/>
      <c r="G774" s="18"/>
      <c r="H774" s="9"/>
      <c r="I774" s="18"/>
      <c r="J774" s="18"/>
      <c r="K774" s="18"/>
      <c r="L774" s="18"/>
      <c r="M774" s="18"/>
      <c r="N774" s="18"/>
    </row>
    <row r="775" spans="1:14" ht="90" x14ac:dyDescent="0.25">
      <c r="A775" s="18"/>
      <c r="B775" s="18"/>
      <c r="C775" s="18"/>
      <c r="D775" s="18"/>
      <c r="E775" s="18"/>
      <c r="F775" s="18"/>
      <c r="G775" s="18"/>
      <c r="H775" s="9" t="s">
        <v>121</v>
      </c>
      <c r="I775" s="18"/>
      <c r="J775" s="18"/>
      <c r="K775" s="18"/>
      <c r="L775" s="18"/>
      <c r="M775" s="18"/>
      <c r="N775" s="18"/>
    </row>
    <row r="776" spans="1:14" ht="45" x14ac:dyDescent="0.25">
      <c r="A776" s="9" t="s">
        <v>2246</v>
      </c>
      <c r="B776" s="9" t="s">
        <v>2247</v>
      </c>
      <c r="C776" s="10" t="s">
        <v>6444</v>
      </c>
      <c r="D776" s="9" t="s">
        <v>1808</v>
      </c>
      <c r="E776" s="9"/>
      <c r="F776" s="9"/>
      <c r="G776" s="9"/>
      <c r="H776" s="9"/>
      <c r="I776" s="9" t="s">
        <v>2248</v>
      </c>
      <c r="J776" s="9"/>
      <c r="K776" s="9" t="s">
        <v>2249</v>
      </c>
      <c r="L776" s="9" t="s">
        <v>2250</v>
      </c>
      <c r="M776" s="9" t="str">
        <f>HYPERLINK("https://ceds.ed.gov/cedselementdetails.aspx?termid=14567")</f>
        <v>https://ceds.ed.gov/cedselementdetails.aspx?termid=14567</v>
      </c>
      <c r="N776" s="9" t="str">
        <f>HYPERLINK("https://ceds.ed.gov/elementComment.aspx?elementName=Developmental Education Referral Status &amp;elementID=14567", "Click here to submit comment")</f>
        <v>Click here to submit comment</v>
      </c>
    </row>
    <row r="777" spans="1:14" ht="165" x14ac:dyDescent="0.25">
      <c r="A777" s="9" t="s">
        <v>2251</v>
      </c>
      <c r="B777" s="9" t="s">
        <v>2252</v>
      </c>
      <c r="C777" s="10" t="s">
        <v>6445</v>
      </c>
      <c r="D777" s="9" t="s">
        <v>11111</v>
      </c>
      <c r="E777" s="9"/>
      <c r="F777" s="9"/>
      <c r="G777" s="9"/>
      <c r="H777" s="9"/>
      <c r="I777" s="9" t="s">
        <v>2253</v>
      </c>
      <c r="J777" s="9"/>
      <c r="K777" s="9" t="s">
        <v>2254</v>
      </c>
      <c r="L777" s="9" t="s">
        <v>2250</v>
      </c>
      <c r="M777" s="9" t="str">
        <f>HYPERLINK("https://ceds.ed.gov/cedselementdetails.aspx?termid=14568")</f>
        <v>https://ceds.ed.gov/cedselementdetails.aspx?termid=14568</v>
      </c>
      <c r="N777" s="9" t="str">
        <f>HYPERLINK("https://ceds.ed.gov/elementComment.aspx?elementName=Developmental Education Type &amp;elementID=14568", "Click here to submit comment")</f>
        <v>Click here to submit comment</v>
      </c>
    </row>
    <row r="778" spans="1:14" ht="255" x14ac:dyDescent="0.25">
      <c r="A778" s="9" t="s">
        <v>2255</v>
      </c>
      <c r="B778" s="9" t="s">
        <v>2256</v>
      </c>
      <c r="C778" s="10" t="s">
        <v>6446</v>
      </c>
      <c r="D778" s="9" t="s">
        <v>1711</v>
      </c>
      <c r="E778" s="9"/>
      <c r="F778" s="9"/>
      <c r="G778" s="9"/>
      <c r="H778" s="9"/>
      <c r="I778" s="9" t="s">
        <v>2257</v>
      </c>
      <c r="J778" s="9"/>
      <c r="K778" s="9" t="s">
        <v>2258</v>
      </c>
      <c r="L778" s="9" t="s">
        <v>1714</v>
      </c>
      <c r="M778" s="9" t="str">
        <f>HYPERLINK("https://ceds.ed.gov/cedselementdetails.aspx?termid=13315")</f>
        <v>https://ceds.ed.gov/cedselementdetails.aspx?termid=13315</v>
      </c>
      <c r="N778" s="9" t="str">
        <f>HYPERLINK("https://ceds.ed.gov/elementComment.aspx?elementName=Developmental Evaluation Finding &amp;elementID=13315", "Click here to submit comment")</f>
        <v>Click here to submit comment</v>
      </c>
    </row>
    <row r="779" spans="1:14" ht="60" x14ac:dyDescent="0.25">
      <c r="A779" s="9" t="s">
        <v>2259</v>
      </c>
      <c r="B779" s="9" t="s">
        <v>2260</v>
      </c>
      <c r="C779" s="9" t="s">
        <v>12</v>
      </c>
      <c r="D779" s="9" t="s">
        <v>1253</v>
      </c>
      <c r="E779" s="9"/>
      <c r="F779" s="9" t="s">
        <v>68</v>
      </c>
      <c r="G779" s="9"/>
      <c r="H779" s="9"/>
      <c r="I779" s="9" t="s">
        <v>2261</v>
      </c>
      <c r="J779" s="9"/>
      <c r="K779" s="9" t="s">
        <v>2262</v>
      </c>
      <c r="L779" s="9"/>
      <c r="M779" s="9" t="str">
        <f>HYPERLINK("https://ceds.ed.gov/cedselementdetails.aspx?termid=14011")</f>
        <v>https://ceds.ed.gov/cedselementdetails.aspx?termid=14011</v>
      </c>
      <c r="N779" s="9" t="str">
        <f>HYPERLINK("https://ceds.ed.gov/elementComment.aspx?elementName=Diagnostic Statement Source &amp;elementID=14011", "Click here to submit comment")</f>
        <v>Click here to submit comment</v>
      </c>
    </row>
    <row r="780" spans="1:14" ht="60" x14ac:dyDescent="0.25">
      <c r="A780" s="9" t="s">
        <v>2263</v>
      </c>
      <c r="B780" s="9" t="s">
        <v>2264</v>
      </c>
      <c r="C780" s="10" t="s">
        <v>6340</v>
      </c>
      <c r="D780" s="9" t="s">
        <v>2265</v>
      </c>
      <c r="E780" s="9"/>
      <c r="F780" s="9"/>
      <c r="G780" s="9"/>
      <c r="H780" s="9"/>
      <c r="I780" s="9" t="s">
        <v>2266</v>
      </c>
      <c r="J780" s="9"/>
      <c r="K780" s="9" t="s">
        <v>2267</v>
      </c>
      <c r="L780" s="9" t="s">
        <v>182</v>
      </c>
      <c r="M780" s="9" t="str">
        <f>HYPERLINK("https://ceds.ed.gov/cedselementdetails.aspx?termid=13868")</f>
        <v>https://ceds.ed.gov/cedselementdetails.aspx?termid=13868</v>
      </c>
      <c r="N780" s="9" t="str">
        <f>HYPERLINK("https://ceds.ed.gov/elementComment.aspx?elementName=Differential Shift Pay Indicator &amp;elementID=13868", "Click here to submit comment")</f>
        <v>Click here to submit comment</v>
      </c>
    </row>
    <row r="781" spans="1:14" ht="330" x14ac:dyDescent="0.25">
      <c r="A781" s="9" t="s">
        <v>2268</v>
      </c>
      <c r="B781" s="9" t="s">
        <v>2269</v>
      </c>
      <c r="C781" s="9" t="s">
        <v>12</v>
      </c>
      <c r="D781" s="9" t="s">
        <v>11112</v>
      </c>
      <c r="E781" s="9"/>
      <c r="F781" s="9" t="s">
        <v>2270</v>
      </c>
      <c r="G781" s="9"/>
      <c r="H781" s="9"/>
      <c r="I781" s="9" t="s">
        <v>2271</v>
      </c>
      <c r="J781" s="9"/>
      <c r="K781" s="9" t="s">
        <v>2272</v>
      </c>
      <c r="L781" s="9" t="s">
        <v>6186</v>
      </c>
      <c r="M781" s="9" t="str">
        <f>HYPERLINK("https://ceds.ed.gov/cedselementdetails.aspx?termid=13081")</f>
        <v>https://ceds.ed.gov/cedselementdetails.aspx?termid=13081</v>
      </c>
      <c r="N781" s="9" t="str">
        <f>HYPERLINK("https://ceds.ed.gov/elementComment.aspx?elementName=Diploma or Credential Award Date &amp;elementID=13081", "Click here to submit comment")</f>
        <v>Click here to submit comment</v>
      </c>
    </row>
    <row r="782" spans="1:14" ht="75" x14ac:dyDescent="0.25">
      <c r="A782" s="9" t="s">
        <v>2273</v>
      </c>
      <c r="B782" s="9" t="s">
        <v>2274</v>
      </c>
      <c r="C782" s="10" t="s">
        <v>6447</v>
      </c>
      <c r="D782" s="9" t="s">
        <v>6187</v>
      </c>
      <c r="E782" s="9"/>
      <c r="F782" s="9"/>
      <c r="G782" s="9"/>
      <c r="H782" s="9"/>
      <c r="I782" s="9" t="s">
        <v>2275</v>
      </c>
      <c r="J782" s="9"/>
      <c r="K782" s="9" t="s">
        <v>2276</v>
      </c>
      <c r="L782" s="9" t="s">
        <v>6188</v>
      </c>
      <c r="M782" s="9" t="str">
        <f>HYPERLINK("https://ceds.ed.gov/cedselementdetails.aspx?termid=14569")</f>
        <v>https://ceds.ed.gov/cedselementdetails.aspx?termid=14569</v>
      </c>
      <c r="N782" s="9" t="str">
        <f>HYPERLINK("https://ceds.ed.gov/elementComment.aspx?elementName=Directory Information Block Status &amp;elementID=14569", "Click here to submit comment")</f>
        <v>Click here to submit comment</v>
      </c>
    </row>
    <row r="783" spans="1:14" ht="75" x14ac:dyDescent="0.25">
      <c r="A783" s="9" t="s">
        <v>2277</v>
      </c>
      <c r="B783" s="9" t="s">
        <v>2278</v>
      </c>
      <c r="C783" s="10" t="s">
        <v>6448</v>
      </c>
      <c r="D783" s="9" t="s">
        <v>50</v>
      </c>
      <c r="E783" s="9"/>
      <c r="F783" s="9"/>
      <c r="G783" s="9"/>
      <c r="H783" s="9"/>
      <c r="I783" s="9" t="s">
        <v>2279</v>
      </c>
      <c r="J783" s="9" t="s">
        <v>2280</v>
      </c>
      <c r="K783" s="9" t="s">
        <v>2281</v>
      </c>
      <c r="L783" s="9"/>
      <c r="M783" s="9" t="str">
        <f>HYPERLINK("https://ceds.ed.gov/cedselementdetails.aspx?termid=14285")</f>
        <v>https://ceds.ed.gov/cedselementdetails.aspx?termid=14285</v>
      </c>
      <c r="N783" s="9" t="str">
        <f>HYPERLINK("https://ceds.ed.gov/elementComment.aspx?elementName=Disability Condition Status Type &amp;elementID=14285", "Click here to submit comment")</f>
        <v>Click here to submit comment</v>
      </c>
    </row>
    <row r="784" spans="1:14" ht="255" x14ac:dyDescent="0.25">
      <c r="A784" s="9" t="s">
        <v>2282</v>
      </c>
      <c r="B784" s="9" t="s">
        <v>2283</v>
      </c>
      <c r="C784" s="10" t="s">
        <v>6449</v>
      </c>
      <c r="D784" s="9" t="s">
        <v>11113</v>
      </c>
      <c r="E784" s="9"/>
      <c r="F784" s="9"/>
      <c r="G784" s="9"/>
      <c r="H784" s="9" t="s">
        <v>2284</v>
      </c>
      <c r="I784" s="9" t="s">
        <v>2285</v>
      </c>
      <c r="J784" s="9"/>
      <c r="K784" s="9" t="s">
        <v>2286</v>
      </c>
      <c r="L784" s="9"/>
      <c r="M784" s="9" t="str">
        <f>HYPERLINK("https://ceds.ed.gov/cedselementdetails.aspx?termid=14286")</f>
        <v>https://ceds.ed.gov/cedselementdetails.aspx?termid=14286</v>
      </c>
      <c r="N784" s="9" t="str">
        <f>HYPERLINK("https://ceds.ed.gov/elementComment.aspx?elementName=Disability Condition Type &amp;elementID=14286", "Click here to submit comment")</f>
        <v>Click here to submit comment</v>
      </c>
    </row>
    <row r="785" spans="1:14" ht="180" x14ac:dyDescent="0.25">
      <c r="A785" s="9" t="s">
        <v>2287</v>
      </c>
      <c r="B785" s="9" t="s">
        <v>2288</v>
      </c>
      <c r="C785" s="10" t="s">
        <v>6450</v>
      </c>
      <c r="D785" s="9" t="s">
        <v>11114</v>
      </c>
      <c r="E785" s="9"/>
      <c r="F785" s="9"/>
      <c r="G785" s="9"/>
      <c r="H785" s="9" t="s">
        <v>2284</v>
      </c>
      <c r="I785" s="9" t="s">
        <v>2289</v>
      </c>
      <c r="J785" s="9"/>
      <c r="K785" s="9" t="s">
        <v>2290</v>
      </c>
      <c r="L785" s="9"/>
      <c r="M785" s="9" t="str">
        <f>HYPERLINK("https://ceds.ed.gov/cedselementdetails.aspx?termid=14287")</f>
        <v>https://ceds.ed.gov/cedselementdetails.aspx?termid=14287</v>
      </c>
      <c r="N785" s="9" t="str">
        <f>HYPERLINK("https://ceds.ed.gov/elementComment.aspx?elementName=Disability Determination Source Type &amp;elementID=14287", "Click here to submit comment")</f>
        <v>Click here to submit comment</v>
      </c>
    </row>
    <row r="786" spans="1:14" ht="225" x14ac:dyDescent="0.25">
      <c r="A786" s="9" t="s">
        <v>2291</v>
      </c>
      <c r="B786" s="9" t="s">
        <v>2292</v>
      </c>
      <c r="C786" s="9" t="s">
        <v>6106</v>
      </c>
      <c r="D786" s="9" t="s">
        <v>11115</v>
      </c>
      <c r="E786" s="9"/>
      <c r="F786" s="9"/>
      <c r="G786" s="9"/>
      <c r="H786" s="9"/>
      <c r="I786" s="9" t="s">
        <v>2293</v>
      </c>
      <c r="J786" s="9"/>
      <c r="K786" s="9" t="s">
        <v>2294</v>
      </c>
      <c r="L786" s="9" t="s">
        <v>199</v>
      </c>
      <c r="M786" s="9" t="str">
        <f>HYPERLINK("https://ceds.ed.gov/cedselementdetails.aspx?termid=13569")</f>
        <v>https://ceds.ed.gov/cedselementdetails.aspx?termid=13569</v>
      </c>
      <c r="N786" s="9" t="str">
        <f>HYPERLINK("https://ceds.ed.gov/elementComment.aspx?elementName=Disability Status &amp;elementID=13569", "Click here to submit comment")</f>
        <v>Click here to submit comment</v>
      </c>
    </row>
    <row r="787" spans="1:14" ht="45" x14ac:dyDescent="0.25">
      <c r="A787" s="9" t="s">
        <v>2295</v>
      </c>
      <c r="B787" s="9" t="s">
        <v>2296</v>
      </c>
      <c r="C787" s="9" t="s">
        <v>12</v>
      </c>
      <c r="D787" s="9" t="s">
        <v>6189</v>
      </c>
      <c r="E787" s="9"/>
      <c r="F787" s="9" t="s">
        <v>73</v>
      </c>
      <c r="G787" s="9"/>
      <c r="H787" s="9"/>
      <c r="I787" s="9" t="s">
        <v>2297</v>
      </c>
      <c r="J787" s="9"/>
      <c r="K787" s="9" t="s">
        <v>2298</v>
      </c>
      <c r="L787" s="9" t="s">
        <v>4</v>
      </c>
      <c r="M787" s="9" t="str">
        <f>HYPERLINK("https://ceds.ed.gov/cedselementdetails.aspx?termid=13082")</f>
        <v>https://ceds.ed.gov/cedselementdetails.aspx?termid=13082</v>
      </c>
      <c r="N787" s="9" t="str">
        <f>HYPERLINK("https://ceds.ed.gov/elementComment.aspx?elementName=Disciplinary Action End Date &amp;elementID=13082", "Click here to submit comment")</f>
        <v>Click here to submit comment</v>
      </c>
    </row>
    <row r="788" spans="1:14" ht="75" x14ac:dyDescent="0.25">
      <c r="A788" s="9" t="s">
        <v>2299</v>
      </c>
      <c r="B788" s="9" t="s">
        <v>2300</v>
      </c>
      <c r="C788" s="9" t="s">
        <v>6106</v>
      </c>
      <c r="D788" s="9" t="s">
        <v>2301</v>
      </c>
      <c r="E788" s="9"/>
      <c r="F788" s="9"/>
      <c r="G788" s="9"/>
      <c r="H788" s="9"/>
      <c r="I788" s="9" t="s">
        <v>2302</v>
      </c>
      <c r="J788" s="9"/>
      <c r="K788" s="9" t="s">
        <v>2303</v>
      </c>
      <c r="L788" s="9"/>
      <c r="M788" s="9" t="str">
        <f>HYPERLINK("https://ceds.ed.gov/cedselementdetails.aspx?termid=14288")</f>
        <v>https://ceds.ed.gov/cedselementdetails.aspx?termid=14288</v>
      </c>
      <c r="N788" s="9" t="str">
        <f>HYPERLINK("https://ceds.ed.gov/elementComment.aspx?elementName=Disciplinary Action IEP Placement Meeting Indicator &amp;elementID=14288", "Click here to submit comment")</f>
        <v>Click here to submit comment</v>
      </c>
    </row>
    <row r="789" spans="1:14" ht="45" x14ac:dyDescent="0.25">
      <c r="A789" s="9" t="s">
        <v>2304</v>
      </c>
      <c r="B789" s="9" t="s">
        <v>2305</v>
      </c>
      <c r="C789" s="9" t="s">
        <v>12</v>
      </c>
      <c r="D789" s="9" t="s">
        <v>6189</v>
      </c>
      <c r="E789" s="9"/>
      <c r="F789" s="9" t="s">
        <v>73</v>
      </c>
      <c r="G789" s="9"/>
      <c r="H789" s="9"/>
      <c r="I789" s="9" t="s">
        <v>2306</v>
      </c>
      <c r="J789" s="9"/>
      <c r="K789" s="9" t="s">
        <v>2307</v>
      </c>
      <c r="L789" s="9" t="s">
        <v>4</v>
      </c>
      <c r="M789" s="9" t="str">
        <f>HYPERLINK("https://ceds.ed.gov/cedselementdetails.aspx?termid=13083")</f>
        <v>https://ceds.ed.gov/cedselementdetails.aspx?termid=13083</v>
      </c>
      <c r="N789" s="9" t="str">
        <f>HYPERLINK("https://ceds.ed.gov/elementComment.aspx?elementName=Disciplinary Action Start Date &amp;elementID=13083", "Click here to submit comment")</f>
        <v>Click here to submit comment</v>
      </c>
    </row>
    <row r="790" spans="1:14" ht="409.5" x14ac:dyDescent="0.25">
      <c r="A790" s="9" t="s">
        <v>2308</v>
      </c>
      <c r="B790" s="9" t="s">
        <v>2309</v>
      </c>
      <c r="C790" s="10" t="s">
        <v>6451</v>
      </c>
      <c r="D790" s="9" t="s">
        <v>6189</v>
      </c>
      <c r="E790" s="9"/>
      <c r="F790" s="9"/>
      <c r="G790" s="9"/>
      <c r="H790" s="9"/>
      <c r="I790" s="9" t="s">
        <v>2310</v>
      </c>
      <c r="J790" s="9"/>
      <c r="K790" s="9" t="s">
        <v>2311</v>
      </c>
      <c r="L790" s="9" t="s">
        <v>4</v>
      </c>
      <c r="M790" s="9" t="str">
        <f>HYPERLINK("https://ceds.ed.gov/cedselementdetails.aspx?termid=13479")</f>
        <v>https://ceds.ed.gov/cedselementdetails.aspx?termid=13479</v>
      </c>
      <c r="N790" s="9" t="str">
        <f>HYPERLINK("https://ceds.ed.gov/elementComment.aspx?elementName=Disciplinary Action Taken &amp;elementID=13479", "Click here to submit comment")</f>
        <v>Click here to submit comment</v>
      </c>
    </row>
    <row r="791" spans="1:14" ht="300" x14ac:dyDescent="0.25">
      <c r="A791" s="9" t="s">
        <v>2312</v>
      </c>
      <c r="B791" s="9" t="s">
        <v>2313</v>
      </c>
      <c r="C791" s="10" t="s">
        <v>6452</v>
      </c>
      <c r="D791" s="9" t="s">
        <v>6189</v>
      </c>
      <c r="E791" s="9"/>
      <c r="F791" s="9"/>
      <c r="G791" s="9"/>
      <c r="H791" s="9"/>
      <c r="I791" s="9" t="s">
        <v>2314</v>
      </c>
      <c r="J791" s="9"/>
      <c r="K791" s="9" t="s">
        <v>2315</v>
      </c>
      <c r="L791" s="9"/>
      <c r="M791" s="9" t="str">
        <f>HYPERLINK("https://ceds.ed.gov/cedselementdetails.aspx?termid=13602")</f>
        <v>https://ceds.ed.gov/cedselementdetails.aspx?termid=13602</v>
      </c>
      <c r="N791" s="9" t="str">
        <f>HYPERLINK("https://ceds.ed.gov/elementComment.aspx?elementName=Discipline Action Length Difference Reason &amp;elementID=13602", "Click here to submit comment")</f>
        <v>Click here to submit comment</v>
      </c>
    </row>
    <row r="792" spans="1:14" ht="255" x14ac:dyDescent="0.25">
      <c r="A792" s="9" t="s">
        <v>2316</v>
      </c>
      <c r="B792" s="9" t="s">
        <v>2317</v>
      </c>
      <c r="C792" s="10" t="s">
        <v>6453</v>
      </c>
      <c r="D792" s="9" t="s">
        <v>2301</v>
      </c>
      <c r="E792" s="9"/>
      <c r="F792" s="9"/>
      <c r="G792" s="9"/>
      <c r="H792" s="9"/>
      <c r="I792" s="9" t="s">
        <v>2318</v>
      </c>
      <c r="J792" s="9"/>
      <c r="K792" s="9" t="s">
        <v>2319</v>
      </c>
      <c r="L792" s="9" t="s">
        <v>199</v>
      </c>
      <c r="M792" s="9" t="str">
        <f>HYPERLINK("https://ceds.ed.gov/cedselementdetails.aspx?termid=13546")</f>
        <v>https://ceds.ed.gov/cedselementdetails.aspx?termid=13546</v>
      </c>
      <c r="N792" s="9" t="str">
        <f>HYPERLINK("https://ceds.ed.gov/elementComment.aspx?elementName=Discipline Method for Firearms Incidents &amp;elementID=13546", "Click here to submit comment")</f>
        <v>Click here to submit comment</v>
      </c>
    </row>
    <row r="793" spans="1:14" ht="60" x14ac:dyDescent="0.25">
      <c r="A793" s="9" t="s">
        <v>2320</v>
      </c>
      <c r="B793" s="9" t="s">
        <v>2321</v>
      </c>
      <c r="C793" s="10" t="s">
        <v>6454</v>
      </c>
      <c r="D793" s="9" t="s">
        <v>2301</v>
      </c>
      <c r="E793" s="9"/>
      <c r="F793" s="9"/>
      <c r="G793" s="9"/>
      <c r="H793" s="9"/>
      <c r="I793" s="9" t="s">
        <v>2322</v>
      </c>
      <c r="J793" s="9"/>
      <c r="K793" s="9" t="s">
        <v>2323</v>
      </c>
      <c r="L793" s="9" t="s">
        <v>199</v>
      </c>
      <c r="M793" s="9" t="str">
        <f>HYPERLINK("https://ceds.ed.gov/cedselementdetails.aspx?termid=13529")</f>
        <v>https://ceds.ed.gov/cedselementdetails.aspx?termid=13529</v>
      </c>
      <c r="N793" s="9" t="str">
        <f>HYPERLINK("https://ceds.ed.gov/elementComment.aspx?elementName=Discipline Method of Children with Disabilities &amp;elementID=13529", "Click here to submit comment")</f>
        <v>Click here to submit comment</v>
      </c>
    </row>
    <row r="794" spans="1:14" ht="180" x14ac:dyDescent="0.25">
      <c r="A794" s="9" t="s">
        <v>2324</v>
      </c>
      <c r="B794" s="9" t="s">
        <v>2325</v>
      </c>
      <c r="C794" s="10" t="s">
        <v>6455</v>
      </c>
      <c r="D794" s="9" t="s">
        <v>6189</v>
      </c>
      <c r="E794" s="9"/>
      <c r="F794" s="9"/>
      <c r="G794" s="9"/>
      <c r="H794" s="9"/>
      <c r="I794" s="9" t="s">
        <v>2326</v>
      </c>
      <c r="J794" s="9"/>
      <c r="K794" s="9" t="s">
        <v>2327</v>
      </c>
      <c r="L794" s="9" t="s">
        <v>199</v>
      </c>
      <c r="M794" s="9" t="str">
        <f>HYPERLINK("https://ceds.ed.gov/cedselementdetails.aspx?termid=13536")</f>
        <v>https://ceds.ed.gov/cedselementdetails.aspx?termid=13536</v>
      </c>
      <c r="N794" s="9" t="str">
        <f>HYPERLINK("https://ceds.ed.gov/elementComment.aspx?elementName=Discipline Reason &amp;elementID=13536", "Click here to submit comment")</f>
        <v>Click here to submit comment</v>
      </c>
    </row>
    <row r="795" spans="1:14" ht="135" x14ac:dyDescent="0.25">
      <c r="A795" s="9" t="s">
        <v>2328</v>
      </c>
      <c r="B795" s="9" t="s">
        <v>2329</v>
      </c>
      <c r="C795" s="9" t="s">
        <v>6106</v>
      </c>
      <c r="D795" s="9" t="s">
        <v>2330</v>
      </c>
      <c r="E795" s="9"/>
      <c r="F795" s="9"/>
      <c r="G795" s="9"/>
      <c r="H795" s="9"/>
      <c r="I795" s="9" t="s">
        <v>2331</v>
      </c>
      <c r="J795" s="9"/>
      <c r="K795" s="9" t="s">
        <v>2332</v>
      </c>
      <c r="L795" s="9"/>
      <c r="M795" s="9" t="str">
        <f>HYPERLINK("https://ceds.ed.gov/cedselementdetails.aspx?termid=13759")</f>
        <v>https://ceds.ed.gov/cedselementdetails.aspx?termid=13759</v>
      </c>
      <c r="N795" s="9" t="str">
        <f>HYPERLINK("https://ceds.ed.gov/elementComment.aspx?elementName=Dislocated Worker Status &amp;elementID=13759", "Click here to submit comment")</f>
        <v>Click here to submit comment</v>
      </c>
    </row>
    <row r="796" spans="1:14" ht="381.75" customHeight="1" x14ac:dyDescent="0.25">
      <c r="A796" s="9" t="s">
        <v>2333</v>
      </c>
      <c r="B796" s="9" t="s">
        <v>2334</v>
      </c>
      <c r="C796" s="9" t="s">
        <v>6106</v>
      </c>
      <c r="D796" s="9" t="s">
        <v>2335</v>
      </c>
      <c r="E796" s="9"/>
      <c r="F796" s="9"/>
      <c r="G796" s="9"/>
      <c r="H796" s="9"/>
      <c r="I796" s="9" t="s">
        <v>2336</v>
      </c>
      <c r="J796" s="9"/>
      <c r="K796" s="9" t="s">
        <v>2337</v>
      </c>
      <c r="L796" s="9"/>
      <c r="M796" s="9" t="str">
        <f>HYPERLINK("https://ceds.ed.gov/cedselementdetails.aspx?termid=13603")</f>
        <v>https://ceds.ed.gov/cedselementdetails.aspx?termid=13603</v>
      </c>
      <c r="N796" s="9" t="str">
        <f>HYPERLINK("https://ceds.ed.gov/elementComment.aspx?elementName=Displaced Student Status &amp;elementID=13603", "Click here to submit comment")</f>
        <v>Click here to submit comment</v>
      </c>
    </row>
    <row r="797" spans="1:14" ht="345" x14ac:dyDescent="0.25">
      <c r="A797" s="9" t="s">
        <v>2338</v>
      </c>
      <c r="B797" s="9" t="s">
        <v>2339</v>
      </c>
      <c r="C797" s="10" t="s">
        <v>6456</v>
      </c>
      <c r="D797" s="9" t="s">
        <v>2340</v>
      </c>
      <c r="E797" s="9"/>
      <c r="F797" s="9"/>
      <c r="G797" s="9"/>
      <c r="H797" s="9" t="s">
        <v>2341</v>
      </c>
      <c r="I797" s="9" t="s">
        <v>2342</v>
      </c>
      <c r="J797" s="9"/>
      <c r="K797" s="9" t="s">
        <v>2343</v>
      </c>
      <c r="L797" s="9" t="s">
        <v>2344</v>
      </c>
      <c r="M797" s="9" t="str">
        <f>HYPERLINK("https://ceds.ed.gov/cedselementdetails.aspx?termid=13704")</f>
        <v>https://ceds.ed.gov/cedselementdetails.aspx?termid=13704</v>
      </c>
      <c r="N797" s="9" t="str">
        <f>HYPERLINK("https://ceds.ed.gov/elementComment.aspx?elementName=Distance Education Course Enrollment &amp;elementID=13704", "Click here to submit comment")</f>
        <v>Click here to submit comment</v>
      </c>
    </row>
    <row r="798" spans="1:14" ht="180" x14ac:dyDescent="0.25">
      <c r="A798" s="9" t="s">
        <v>2345</v>
      </c>
      <c r="B798" s="9" t="s">
        <v>2346</v>
      </c>
      <c r="C798" s="9" t="s">
        <v>6106</v>
      </c>
      <c r="D798" s="9" t="s">
        <v>6190</v>
      </c>
      <c r="E798" s="9"/>
      <c r="F798" s="9"/>
      <c r="G798" s="9"/>
      <c r="H798" s="9" t="s">
        <v>2341</v>
      </c>
      <c r="I798" s="9" t="s">
        <v>2347</v>
      </c>
      <c r="J798" s="9"/>
      <c r="K798" s="9" t="s">
        <v>2348</v>
      </c>
      <c r="L798" s="9"/>
      <c r="M798" s="9" t="str">
        <f>HYPERLINK("https://ceds.ed.gov/cedselementdetails.aspx?termid=14289")</f>
        <v>https://ceds.ed.gov/cedselementdetails.aspx?termid=14289</v>
      </c>
      <c r="N798" s="9" t="str">
        <f>HYPERLINK("https://ceds.ed.gov/elementComment.aspx?elementName=Distance Education Program Enrollment Indicator &amp;elementID=14289", "Click here to submit comment")</f>
        <v>Click here to submit comment</v>
      </c>
    </row>
    <row r="799" spans="1:14" ht="75" x14ac:dyDescent="0.25">
      <c r="A799" s="9" t="s">
        <v>2349</v>
      </c>
      <c r="B799" s="9" t="s">
        <v>2350</v>
      </c>
      <c r="C799" s="10" t="s">
        <v>6457</v>
      </c>
      <c r="D799" s="9" t="s">
        <v>2351</v>
      </c>
      <c r="E799" s="9"/>
      <c r="F799" s="9"/>
      <c r="G799" s="9"/>
      <c r="H799" s="9"/>
      <c r="I799" s="9" t="s">
        <v>2352</v>
      </c>
      <c r="J799" s="9"/>
      <c r="K799" s="9" t="s">
        <v>2353</v>
      </c>
      <c r="L799" s="9"/>
      <c r="M799" s="9" t="str">
        <f>HYPERLINK("https://ceds.ed.gov/cedselementdetails.aspx?termid=14290")</f>
        <v>https://ceds.ed.gov/cedselementdetails.aspx?termid=14290</v>
      </c>
      <c r="N799" s="9" t="str">
        <f>HYPERLINK("https://ceds.ed.gov/elementComment.aspx?elementName=Doctoral Candidacy Admit Indicator &amp;elementID=14290", "Click here to submit comment")</f>
        <v>Click here to submit comment</v>
      </c>
    </row>
    <row r="800" spans="1:14" ht="45" x14ac:dyDescent="0.25">
      <c r="A800" s="9" t="s">
        <v>2354</v>
      </c>
      <c r="B800" s="9" t="s">
        <v>2355</v>
      </c>
      <c r="C800" s="9" t="s">
        <v>12</v>
      </c>
      <c r="D800" s="9" t="s">
        <v>2351</v>
      </c>
      <c r="E800" s="9"/>
      <c r="F800" s="9" t="s">
        <v>73</v>
      </c>
      <c r="G800" s="9"/>
      <c r="H800" s="9"/>
      <c r="I800" s="9" t="s">
        <v>2356</v>
      </c>
      <c r="J800" s="9"/>
      <c r="K800" s="9" t="s">
        <v>2357</v>
      </c>
      <c r="L800" s="9"/>
      <c r="M800" s="9" t="str">
        <f>HYPERLINK("https://ceds.ed.gov/cedselementdetails.aspx?termid=14291")</f>
        <v>https://ceds.ed.gov/cedselementdetails.aspx?termid=14291</v>
      </c>
      <c r="N800" s="9" t="str">
        <f>HYPERLINK("https://ceds.ed.gov/elementComment.aspx?elementName=Doctoral Candidacy Date &amp;elementID=14291", "Click here to submit comment")</f>
        <v>Click here to submit comment</v>
      </c>
    </row>
    <row r="801" spans="1:14" ht="60" x14ac:dyDescent="0.25">
      <c r="A801" s="9" t="s">
        <v>2358</v>
      </c>
      <c r="B801" s="9" t="s">
        <v>2359</v>
      </c>
      <c r="C801" s="9" t="s">
        <v>12</v>
      </c>
      <c r="D801" s="9" t="s">
        <v>2351</v>
      </c>
      <c r="E801" s="9"/>
      <c r="F801" s="9" t="s">
        <v>73</v>
      </c>
      <c r="G801" s="9"/>
      <c r="H801" s="9"/>
      <c r="I801" s="9" t="s">
        <v>2360</v>
      </c>
      <c r="J801" s="9"/>
      <c r="K801" s="9" t="s">
        <v>2361</v>
      </c>
      <c r="L801" s="9"/>
      <c r="M801" s="9" t="str">
        <f>HYPERLINK("https://ceds.ed.gov/cedselementdetails.aspx?termid=14292")</f>
        <v>https://ceds.ed.gov/cedselementdetails.aspx?termid=14292</v>
      </c>
      <c r="N801" s="9" t="str">
        <f>HYPERLINK("https://ceds.ed.gov/elementComment.aspx?elementName=Doctoral Exam Taken Date &amp;elementID=14292", "Click here to submit comment")</f>
        <v>Click here to submit comment</v>
      </c>
    </row>
    <row r="802" spans="1:14" ht="135" x14ac:dyDescent="0.25">
      <c r="A802" s="9" t="s">
        <v>2362</v>
      </c>
      <c r="B802" s="9" t="s">
        <v>2363</v>
      </c>
      <c r="C802" s="10" t="s">
        <v>6458</v>
      </c>
      <c r="D802" s="9" t="s">
        <v>2351</v>
      </c>
      <c r="E802" s="9"/>
      <c r="F802" s="9"/>
      <c r="G802" s="9"/>
      <c r="H802" s="9"/>
      <c r="I802" s="9" t="s">
        <v>2364</v>
      </c>
      <c r="J802" s="9"/>
      <c r="K802" s="9" t="s">
        <v>2365</v>
      </c>
      <c r="L802" s="9"/>
      <c r="M802" s="9" t="str">
        <f>HYPERLINK("https://ceds.ed.gov/cedselementdetails.aspx?termid=14293")</f>
        <v>https://ceds.ed.gov/cedselementdetails.aspx?termid=14293</v>
      </c>
      <c r="N802" s="9" t="str">
        <f>HYPERLINK("https://ceds.ed.gov/elementComment.aspx?elementName=Doctoral Exams Required Type &amp;elementID=14293", "Click here to submit comment")</f>
        <v>Click here to submit comment</v>
      </c>
    </row>
    <row r="803" spans="1:14" ht="240" x14ac:dyDescent="0.25">
      <c r="A803" s="9" t="s">
        <v>2366</v>
      </c>
      <c r="B803" s="9" t="s">
        <v>2367</v>
      </c>
      <c r="C803" s="10" t="s">
        <v>6459</v>
      </c>
      <c r="D803" s="9" t="s">
        <v>11116</v>
      </c>
      <c r="E803" s="9"/>
      <c r="F803" s="9"/>
      <c r="G803" s="9"/>
      <c r="H803" s="11" t="s">
        <v>2368</v>
      </c>
      <c r="I803" s="9" t="s">
        <v>2369</v>
      </c>
      <c r="J803" s="9"/>
      <c r="K803" s="9" t="s">
        <v>2370</v>
      </c>
      <c r="L803" s="9"/>
      <c r="M803" s="9" t="str">
        <f>HYPERLINK("https://ceds.ed.gov/cedselementdetails.aspx?termid=14622")</f>
        <v>https://ceds.ed.gov/cedselementdetails.aspx?termid=14622</v>
      </c>
      <c r="N803" s="9" t="str">
        <f>HYPERLINK("https://ceds.ed.gov/elementComment.aspx?elementName=DQP Categories of Learning &amp;elementID=14622", "Click here to submit comment")</f>
        <v>Click here to submit comment</v>
      </c>
    </row>
    <row r="804" spans="1:14" ht="75" x14ac:dyDescent="0.25">
      <c r="A804" s="9" t="s">
        <v>2371</v>
      </c>
      <c r="B804" s="9" t="s">
        <v>2372</v>
      </c>
      <c r="C804" s="9" t="s">
        <v>12</v>
      </c>
      <c r="D804" s="9" t="s">
        <v>293</v>
      </c>
      <c r="E804" s="9"/>
      <c r="F804" s="9" t="s">
        <v>1513</v>
      </c>
      <c r="G804" s="9"/>
      <c r="H804" s="9"/>
      <c r="I804" s="9" t="s">
        <v>2373</v>
      </c>
      <c r="J804" s="9"/>
      <c r="K804" s="9" t="s">
        <v>2374</v>
      </c>
      <c r="L804" s="9" t="s">
        <v>25</v>
      </c>
      <c r="M804" s="9" t="str">
        <f>HYPERLINK("https://ceds.ed.gov/cedselementdetails.aspx?termid=13085")</f>
        <v>https://ceds.ed.gov/cedselementdetails.aspx?termid=13085</v>
      </c>
      <c r="N804" s="9" t="str">
        <f>HYPERLINK("https://ceds.ed.gov/elementComment.aspx?elementName=Dual Credit Dual Enrollment Credits Awarded &amp;elementID=13085", "Click here to submit comment")</f>
        <v>Click here to submit comment</v>
      </c>
    </row>
    <row r="805" spans="1:14" ht="45" x14ac:dyDescent="0.25">
      <c r="A805" s="9" t="s">
        <v>11117</v>
      </c>
      <c r="B805" s="9" t="s">
        <v>11118</v>
      </c>
      <c r="C805" s="9" t="s">
        <v>12</v>
      </c>
      <c r="D805" s="9" t="s">
        <v>11105</v>
      </c>
      <c r="E805" s="9"/>
      <c r="F805" s="9" t="s">
        <v>589</v>
      </c>
      <c r="G805" s="9"/>
      <c r="H805" s="9"/>
      <c r="I805" s="9" t="s">
        <v>11119</v>
      </c>
      <c r="J805" s="9"/>
      <c r="K805" s="9" t="s">
        <v>11120</v>
      </c>
      <c r="L805" s="9"/>
      <c r="M805" s="9" t="str">
        <f>HYPERLINK("https://ceds.ed.gov/cedselementdetails.aspx?termid=14697")</f>
        <v>https://ceds.ed.gov/cedselementdetails.aspx?termid=14697</v>
      </c>
      <c r="N805" s="9" t="str">
        <f>HYPERLINK("https://ceds.ed.gov/elementComment.aspx?elementName=Duration Length in Minutes &amp;elementID=14697", "Click here to submit comment")</f>
        <v>Click here to submit comment</v>
      </c>
    </row>
    <row r="806" spans="1:14" ht="45" x14ac:dyDescent="0.25">
      <c r="A806" s="9" t="s">
        <v>2375</v>
      </c>
      <c r="B806" s="9" t="s">
        <v>2376</v>
      </c>
      <c r="C806" s="9" t="s">
        <v>12</v>
      </c>
      <c r="D806" s="9" t="s">
        <v>6189</v>
      </c>
      <c r="E806" s="9"/>
      <c r="F806" s="9" t="s">
        <v>1513</v>
      </c>
      <c r="G806" s="9"/>
      <c r="H806" s="9"/>
      <c r="I806" s="9" t="s">
        <v>2377</v>
      </c>
      <c r="J806" s="9"/>
      <c r="K806" s="9" t="s">
        <v>2378</v>
      </c>
      <c r="L806" s="9"/>
      <c r="M806" s="9" t="str">
        <f>HYPERLINK("https://ceds.ed.gov/cedselementdetails.aspx?termid=13502")</f>
        <v>https://ceds.ed.gov/cedselementdetails.aspx?termid=13502</v>
      </c>
      <c r="N806" s="9" t="str">
        <f>HYPERLINK("https://ceds.ed.gov/elementComment.aspx?elementName=Duration of Disciplinary Action &amp;elementID=13502", "Click here to submit comment")</f>
        <v>Click here to submit comment</v>
      </c>
    </row>
    <row r="807" spans="1:14" ht="180" x14ac:dyDescent="0.25">
      <c r="A807" s="9" t="s">
        <v>2379</v>
      </c>
      <c r="B807" s="9" t="s">
        <v>2380</v>
      </c>
      <c r="C807" s="10" t="s">
        <v>6460</v>
      </c>
      <c r="D807" s="9" t="s">
        <v>1705</v>
      </c>
      <c r="E807" s="9"/>
      <c r="F807" s="9"/>
      <c r="G807" s="9"/>
      <c r="H807" s="9"/>
      <c r="I807" s="9" t="s">
        <v>2381</v>
      </c>
      <c r="J807" s="9"/>
      <c r="K807" s="9" t="s">
        <v>2382</v>
      </c>
      <c r="L807" s="9" t="s">
        <v>6183</v>
      </c>
      <c r="M807" s="9" t="str">
        <f>HYPERLINK("https://ceds.ed.gov/cedselementdetails.aspx?termid=13344")</f>
        <v>https://ceds.ed.gov/cedselementdetails.aspx?termid=13344</v>
      </c>
      <c r="N807" s="9" t="str">
        <f>HYPERLINK("https://ceds.ed.gov/elementComment.aspx?elementName=Early Childhood Credential &amp;elementID=13344", "Click here to submit comment")</f>
        <v>Click here to submit comment</v>
      </c>
    </row>
    <row r="808" spans="1:14" ht="45" x14ac:dyDescent="0.25">
      <c r="A808" s="9" t="s">
        <v>2383</v>
      </c>
      <c r="B808" s="9" t="s">
        <v>2384</v>
      </c>
      <c r="C808" s="9" t="s">
        <v>6106</v>
      </c>
      <c r="D808" s="9" t="s">
        <v>2385</v>
      </c>
      <c r="E808" s="9"/>
      <c r="F808" s="9"/>
      <c r="G808" s="9"/>
      <c r="H808" s="9"/>
      <c r="I808" s="9" t="s">
        <v>2386</v>
      </c>
      <c r="J808" s="9"/>
      <c r="K808" s="9" t="s">
        <v>2387</v>
      </c>
      <c r="L808" s="9" t="s">
        <v>182</v>
      </c>
      <c r="M808" s="9" t="str">
        <f>HYPERLINK("https://ceds.ed.gov/cedselementdetails.aspx?termid=13786")</f>
        <v>https://ceds.ed.gov/cedselementdetails.aspx?termid=13786</v>
      </c>
      <c r="N808" s="9" t="str">
        <f>HYPERLINK("https://ceds.ed.gov/elementComment.aspx?elementName=Early Childhood Degree or Certificate Holder &amp;elementID=13786", "Click here to submit comment")</f>
        <v>Click here to submit comment</v>
      </c>
    </row>
    <row r="809" spans="1:14" ht="60" x14ac:dyDescent="0.25">
      <c r="A809" s="9" t="s">
        <v>2388</v>
      </c>
      <c r="B809" s="9" t="s">
        <v>2389</v>
      </c>
      <c r="C809" s="9" t="s">
        <v>6106</v>
      </c>
      <c r="D809" s="9" t="s">
        <v>2390</v>
      </c>
      <c r="E809" s="9"/>
      <c r="F809" s="9"/>
      <c r="G809" s="9"/>
      <c r="H809" s="9"/>
      <c r="I809" s="9" t="s">
        <v>2391</v>
      </c>
      <c r="J809" s="9"/>
      <c r="K809" s="9" t="s">
        <v>2392</v>
      </c>
      <c r="L809" s="9"/>
      <c r="M809" s="9" t="str">
        <f>HYPERLINK("https://ceds.ed.gov/cedselementdetails.aspx?termid=14570")</f>
        <v>https://ceds.ed.gov/cedselementdetails.aspx?termid=14570</v>
      </c>
      <c r="N809" s="9" t="str">
        <f>HYPERLINK("https://ceds.ed.gov/elementComment.aspx?elementName=Early Childhood Education and Assistance Program Eligibility &amp;elementID=14570", "Click here to submit comment")</f>
        <v>Click here to submit comment</v>
      </c>
    </row>
    <row r="810" spans="1:14" ht="210" x14ac:dyDescent="0.25">
      <c r="A810" s="9" t="s">
        <v>2393</v>
      </c>
      <c r="B810" s="9" t="s">
        <v>2394</v>
      </c>
      <c r="C810" s="10" t="s">
        <v>6461</v>
      </c>
      <c r="D810" s="9" t="s">
        <v>6171</v>
      </c>
      <c r="E810" s="9"/>
      <c r="F810" s="9"/>
      <c r="G810" s="9"/>
      <c r="H810" s="9"/>
      <c r="I810" s="9" t="s">
        <v>2395</v>
      </c>
      <c r="J810" s="9"/>
      <c r="K810" s="9" t="s">
        <v>2396</v>
      </c>
      <c r="L810" s="9" t="s">
        <v>64</v>
      </c>
      <c r="M810" s="9" t="str">
        <f>HYPERLINK("https://ceds.ed.gov/cedselementdetails.aspx?termid=13829")</f>
        <v>https://ceds.ed.gov/cedselementdetails.aspx?termid=13829</v>
      </c>
      <c r="N810" s="9" t="str">
        <f>HYPERLINK("https://ceds.ed.gov/elementComment.aspx?elementName=Early Childhood Program Enrollment Type &amp;elementID=13829", "Click here to submit comment")</f>
        <v>Click here to submit comment</v>
      </c>
    </row>
    <row r="811" spans="1:14" ht="345" x14ac:dyDescent="0.25">
      <c r="A811" s="9" t="s">
        <v>2397</v>
      </c>
      <c r="B811" s="9" t="s">
        <v>2398</v>
      </c>
      <c r="C811" s="10" t="s">
        <v>6462</v>
      </c>
      <c r="D811" s="9" t="s">
        <v>2390</v>
      </c>
      <c r="E811" s="9"/>
      <c r="F811" s="9"/>
      <c r="G811" s="9"/>
      <c r="H811" s="9"/>
      <c r="I811" s="9" t="s">
        <v>2399</v>
      </c>
      <c r="J811" s="9"/>
      <c r="K811" s="9" t="s">
        <v>2400</v>
      </c>
      <c r="L811" s="9"/>
      <c r="M811" s="9" t="str">
        <f>HYPERLINK("https://ceds.ed.gov/cedselementdetails.aspx?termid=14529")</f>
        <v>https://ceds.ed.gov/cedselementdetails.aspx?termid=14529</v>
      </c>
      <c r="N811" s="9" t="str">
        <f>HYPERLINK("https://ceds.ed.gov/elementComment.aspx?elementName=Early Childhood Services Offered &amp;elementID=14529", "Click here to submit comment")</f>
        <v>Click here to submit comment</v>
      </c>
    </row>
    <row r="812" spans="1:14" ht="345" x14ac:dyDescent="0.25">
      <c r="A812" s="9" t="s">
        <v>2401</v>
      </c>
      <c r="B812" s="9" t="s">
        <v>2402</v>
      </c>
      <c r="C812" s="10" t="s">
        <v>6462</v>
      </c>
      <c r="D812" s="9" t="s">
        <v>2390</v>
      </c>
      <c r="E812" s="9"/>
      <c r="F812" s="9"/>
      <c r="G812" s="9"/>
      <c r="H812" s="9"/>
      <c r="I812" s="9" t="s">
        <v>2403</v>
      </c>
      <c r="J812" s="9"/>
      <c r="K812" s="9" t="s">
        <v>2404</v>
      </c>
      <c r="L812" s="9" t="s">
        <v>1714</v>
      </c>
      <c r="M812" s="9" t="str">
        <f>HYPERLINK("https://ceds.ed.gov/cedselementdetails.aspx?termid=13321")</f>
        <v>https://ceds.ed.gov/cedselementdetails.aspx?termid=13321</v>
      </c>
      <c r="N812" s="9" t="str">
        <f>HYPERLINK("https://ceds.ed.gov/elementComment.aspx?elementName=Early Childhood Services Received &amp;elementID=13321", "Click here to submit comment")</f>
        <v>Click here to submit comment</v>
      </c>
    </row>
    <row r="813" spans="1:14" ht="195" x14ac:dyDescent="0.25">
      <c r="A813" s="9" t="s">
        <v>2405</v>
      </c>
      <c r="B813" s="9" t="s">
        <v>2406</v>
      </c>
      <c r="C813" s="10" t="s">
        <v>6463</v>
      </c>
      <c r="D813" s="9" t="s">
        <v>11102</v>
      </c>
      <c r="E813" s="9"/>
      <c r="F813" s="9"/>
      <c r="G813" s="9"/>
      <c r="H813" s="9"/>
      <c r="I813" s="9" t="s">
        <v>2407</v>
      </c>
      <c r="J813" s="9"/>
      <c r="K813" s="9" t="s">
        <v>2408</v>
      </c>
      <c r="L813" s="9" t="s">
        <v>6182</v>
      </c>
      <c r="M813" s="9" t="str">
        <f>HYPERLINK("https://ceds.ed.gov/cedselementdetails.aspx?termid=13355")</f>
        <v>https://ceds.ed.gov/cedselementdetails.aspx?termid=13355</v>
      </c>
      <c r="N813" s="9" t="str">
        <f>HYPERLINK("https://ceds.ed.gov/elementComment.aspx?elementName=Early Childhood Setting &amp;elementID=13355", "Click here to submit comment")</f>
        <v>Click here to submit comment</v>
      </c>
    </row>
    <row r="814" spans="1:14" ht="105" x14ac:dyDescent="0.25">
      <c r="A814" s="18" t="s">
        <v>2409</v>
      </c>
      <c r="B814" s="18" t="s">
        <v>2410</v>
      </c>
      <c r="C814" s="18" t="s">
        <v>12</v>
      </c>
      <c r="D814" s="18" t="s">
        <v>2411</v>
      </c>
      <c r="E814" s="18"/>
      <c r="F814" s="18" t="s">
        <v>119</v>
      </c>
      <c r="G814" s="18"/>
      <c r="H814" s="9" t="s">
        <v>120</v>
      </c>
      <c r="I814" s="18" t="s">
        <v>2412</v>
      </c>
      <c r="J814" s="18"/>
      <c r="K814" s="18" t="s">
        <v>2413</v>
      </c>
      <c r="L814" s="18"/>
      <c r="M814" s="18" t="str">
        <f>HYPERLINK("https://ceds.ed.gov/cedselementdetails.aspx?termid=14576")</f>
        <v>https://ceds.ed.gov/cedselementdetails.aspx?termid=14576</v>
      </c>
      <c r="N814" s="18" t="str">
        <f>HYPERLINK("https://ceds.ed.gov/elementComment.aspx?elementName=Early Learning Application Identifier &amp;elementID=14576", "Click here to submit comment")</f>
        <v>Click here to submit comment</v>
      </c>
    </row>
    <row r="815" spans="1:14" x14ac:dyDescent="0.25">
      <c r="A815" s="18"/>
      <c r="B815" s="18"/>
      <c r="C815" s="18"/>
      <c r="D815" s="18"/>
      <c r="E815" s="18"/>
      <c r="F815" s="18"/>
      <c r="G815" s="18"/>
      <c r="H815" s="9"/>
      <c r="I815" s="18"/>
      <c r="J815" s="18"/>
      <c r="K815" s="18"/>
      <c r="L815" s="18"/>
      <c r="M815" s="18"/>
      <c r="N815" s="18"/>
    </row>
    <row r="816" spans="1:14" ht="90" x14ac:dyDescent="0.25">
      <c r="A816" s="18"/>
      <c r="B816" s="18"/>
      <c r="C816" s="18"/>
      <c r="D816" s="18"/>
      <c r="E816" s="18"/>
      <c r="F816" s="18"/>
      <c r="G816" s="18"/>
      <c r="H816" s="9" t="s">
        <v>121</v>
      </c>
      <c r="I816" s="18"/>
      <c r="J816" s="18"/>
      <c r="K816" s="18"/>
      <c r="L816" s="18"/>
      <c r="M816" s="18"/>
      <c r="N816" s="18"/>
    </row>
    <row r="817" spans="1:14" ht="45" x14ac:dyDescent="0.25">
      <c r="A817" s="9" t="s">
        <v>2414</v>
      </c>
      <c r="B817" s="9" t="s">
        <v>2415</v>
      </c>
      <c r="C817" s="9" t="s">
        <v>6106</v>
      </c>
      <c r="D817" s="9" t="s">
        <v>2411</v>
      </c>
      <c r="E817" s="9"/>
      <c r="F817" s="9"/>
      <c r="G817" s="9"/>
      <c r="H817" s="9"/>
      <c r="I817" s="9" t="s">
        <v>2416</v>
      </c>
      <c r="J817" s="9"/>
      <c r="K817" s="9" t="s">
        <v>2417</v>
      </c>
      <c r="L817" s="9"/>
      <c r="M817" s="9" t="str">
        <f>HYPERLINK("https://ceds.ed.gov/cedselementdetails.aspx?termid=14578")</f>
        <v>https://ceds.ed.gov/cedselementdetails.aspx?termid=14578</v>
      </c>
      <c r="N817" s="9" t="str">
        <f>HYPERLINK("https://ceds.ed.gov/elementComment.aspx?elementName=Early Learning Application Required Document &amp;elementID=14578", "Click here to submit comment")</f>
        <v>Click here to submit comment</v>
      </c>
    </row>
    <row r="818" spans="1:14" ht="180" x14ac:dyDescent="0.25">
      <c r="A818" s="9" t="s">
        <v>2418</v>
      </c>
      <c r="B818" s="9" t="s">
        <v>2419</v>
      </c>
      <c r="C818" s="10" t="s">
        <v>6464</v>
      </c>
      <c r="D818" s="9" t="s">
        <v>11121</v>
      </c>
      <c r="E818" s="9"/>
      <c r="F818" s="9" t="s">
        <v>92</v>
      </c>
      <c r="G818" s="9"/>
      <c r="H818" s="9"/>
      <c r="I818" s="9" t="s">
        <v>2420</v>
      </c>
      <c r="J818" s="9"/>
      <c r="K818" s="9" t="s">
        <v>2421</v>
      </c>
      <c r="L818" s="9" t="s">
        <v>64</v>
      </c>
      <c r="M818" s="9" t="str">
        <f>HYPERLINK("https://ceds.ed.gov/cedselementdetails.aspx?termid=13822")</f>
        <v>https://ceds.ed.gov/cedselementdetails.aspx?termid=13822</v>
      </c>
      <c r="N818" s="9" t="str">
        <f>HYPERLINK("https://ceds.ed.gov/elementComment.aspx?elementName=Early Learning Class Group Curriculum Type &amp;elementID=13822", "Click here to submit comment")</f>
        <v>Click here to submit comment</v>
      </c>
    </row>
    <row r="819" spans="1:14" ht="105" x14ac:dyDescent="0.25">
      <c r="A819" s="18" t="s">
        <v>2422</v>
      </c>
      <c r="B819" s="18" t="s">
        <v>2423</v>
      </c>
      <c r="C819" s="18" t="s">
        <v>12</v>
      </c>
      <c r="D819" s="18" t="s">
        <v>11121</v>
      </c>
      <c r="E819" s="18"/>
      <c r="F819" s="18" t="s">
        <v>119</v>
      </c>
      <c r="G819" s="18"/>
      <c r="H819" s="9" t="s">
        <v>120</v>
      </c>
      <c r="I819" s="18" t="s">
        <v>2424</v>
      </c>
      <c r="J819" s="18"/>
      <c r="K819" s="18" t="s">
        <v>2425</v>
      </c>
      <c r="L819" s="18" t="s">
        <v>6165</v>
      </c>
      <c r="M819" s="18" t="str">
        <f>HYPERLINK("https://ceds.ed.gov/cedselementdetails.aspx?termid=13819")</f>
        <v>https://ceds.ed.gov/cedselementdetails.aspx?termid=13819</v>
      </c>
      <c r="N819" s="18" t="str">
        <f>HYPERLINK("https://ceds.ed.gov/elementComment.aspx?elementName=Early Learning Class Group Identifier &amp;elementID=13819", "Click here to submit comment")</f>
        <v>Click here to submit comment</v>
      </c>
    </row>
    <row r="820" spans="1:14" x14ac:dyDescent="0.25">
      <c r="A820" s="18"/>
      <c r="B820" s="18"/>
      <c r="C820" s="18"/>
      <c r="D820" s="18"/>
      <c r="E820" s="18"/>
      <c r="F820" s="18"/>
      <c r="G820" s="18"/>
      <c r="H820" s="9"/>
      <c r="I820" s="18"/>
      <c r="J820" s="18"/>
      <c r="K820" s="18"/>
      <c r="L820" s="18"/>
      <c r="M820" s="18"/>
      <c r="N820" s="18"/>
    </row>
    <row r="821" spans="1:14" ht="90" x14ac:dyDescent="0.25">
      <c r="A821" s="18"/>
      <c r="B821" s="18"/>
      <c r="C821" s="18"/>
      <c r="D821" s="18"/>
      <c r="E821" s="18"/>
      <c r="F821" s="18"/>
      <c r="G821" s="18"/>
      <c r="H821" s="9" t="s">
        <v>121</v>
      </c>
      <c r="I821" s="18"/>
      <c r="J821" s="18"/>
      <c r="K821" s="18"/>
      <c r="L821" s="18"/>
      <c r="M821" s="18"/>
      <c r="N821" s="18"/>
    </row>
    <row r="822" spans="1:14" ht="60" x14ac:dyDescent="0.25">
      <c r="A822" s="9" t="s">
        <v>2426</v>
      </c>
      <c r="B822" s="9" t="s">
        <v>2427</v>
      </c>
      <c r="C822" s="9" t="s">
        <v>12</v>
      </c>
      <c r="D822" s="9" t="s">
        <v>11121</v>
      </c>
      <c r="E822" s="9"/>
      <c r="F822" s="9" t="s">
        <v>92</v>
      </c>
      <c r="G822" s="9"/>
      <c r="H822" s="9"/>
      <c r="I822" s="9" t="s">
        <v>2428</v>
      </c>
      <c r="J822" s="9"/>
      <c r="K822" s="9" t="s">
        <v>2429</v>
      </c>
      <c r="L822" s="9" t="s">
        <v>6165</v>
      </c>
      <c r="M822" s="9" t="str">
        <f>HYPERLINK("https://ceds.ed.gov/cedselementdetails.aspx?termid=13820")</f>
        <v>https://ceds.ed.gov/cedselementdetails.aspx?termid=13820</v>
      </c>
      <c r="N822" s="9" t="str">
        <f>HYPERLINK("https://ceds.ed.gov/elementComment.aspx?elementName=Early Learning Class Group Name &amp;elementID=13820", "Click here to submit comment")</f>
        <v>Click here to submit comment</v>
      </c>
    </row>
    <row r="823" spans="1:14" ht="165" x14ac:dyDescent="0.25">
      <c r="A823" s="9" t="s">
        <v>2430</v>
      </c>
      <c r="B823" s="9" t="s">
        <v>2431</v>
      </c>
      <c r="C823" s="10" t="s">
        <v>6465</v>
      </c>
      <c r="D823" s="9" t="s">
        <v>1592</v>
      </c>
      <c r="E823" s="9"/>
      <c r="F823" s="9"/>
      <c r="G823" s="9"/>
      <c r="H823" s="9"/>
      <c r="I823" s="9" t="s">
        <v>2432</v>
      </c>
      <c r="J823" s="9"/>
      <c r="K823" s="9" t="s">
        <v>2433</v>
      </c>
      <c r="L823" s="9" t="s">
        <v>182</v>
      </c>
      <c r="M823" s="9" t="str">
        <f>HYPERLINK("https://ceds.ed.gov/cedselementdetails.aspx?termid=13812")</f>
        <v>https://ceds.ed.gov/cedselementdetails.aspx?termid=13812</v>
      </c>
      <c r="N823" s="9" t="str">
        <f>HYPERLINK("https://ceds.ed.gov/elementComment.aspx?elementName=Early Learning Core Knowledge Area &amp;elementID=13812", "Click here to submit comment")</f>
        <v>Click here to submit comment</v>
      </c>
    </row>
    <row r="824" spans="1:14" ht="409.5" x14ac:dyDescent="0.25">
      <c r="A824" s="9" t="s">
        <v>2434</v>
      </c>
      <c r="B824" s="9" t="s">
        <v>2435</v>
      </c>
      <c r="C824" s="10" t="s">
        <v>6466</v>
      </c>
      <c r="D824" s="9" t="s">
        <v>2436</v>
      </c>
      <c r="E824" s="9"/>
      <c r="F824" s="9"/>
      <c r="G824" s="9"/>
      <c r="H824" s="9"/>
      <c r="I824" s="9" t="s">
        <v>2437</v>
      </c>
      <c r="J824" s="9"/>
      <c r="K824" s="9" t="s">
        <v>2438</v>
      </c>
      <c r="L824" s="9"/>
      <c r="M824" s="9" t="str">
        <f>HYPERLINK("https://ceds.ed.gov/cedselementdetails.aspx?termid=14581")</f>
        <v>https://ceds.ed.gov/cedselementdetails.aspx?termid=14581</v>
      </c>
      <c r="N824" s="9" t="str">
        <f>HYPERLINK("https://ceds.ed.gov/elementComment.aspx?elementName=Early Learning Education Staff Classification &amp;elementID=14581", "Click here to submit comment")</f>
        <v>Click here to submit comment</v>
      </c>
    </row>
    <row r="825" spans="1:14" ht="15" customHeight="1" x14ac:dyDescent="0.25">
      <c r="A825" s="9" t="s">
        <v>2439</v>
      </c>
      <c r="B825" s="9" t="s">
        <v>2440</v>
      </c>
      <c r="C825" s="10" t="s">
        <v>6467</v>
      </c>
      <c r="D825" s="9" t="s">
        <v>2436</v>
      </c>
      <c r="E825" s="9"/>
      <c r="F825" s="9"/>
      <c r="G825" s="9"/>
      <c r="H825" s="9"/>
      <c r="I825" s="9" t="s">
        <v>2441</v>
      </c>
      <c r="J825" s="9"/>
      <c r="K825" s="9" t="s">
        <v>2442</v>
      </c>
      <c r="L825" s="9"/>
      <c r="M825" s="9" t="str">
        <f>HYPERLINK("https://ceds.ed.gov/cedselementdetails.aspx?termid=14613")</f>
        <v>https://ceds.ed.gov/cedselementdetails.aspx?termid=14613</v>
      </c>
      <c r="N825" s="9" t="str">
        <f>HYPERLINK("https://ceds.ed.gov/elementComment.aspx?elementName=Early Learning Employment Separation Reason &amp;elementID=14613", "Click here to submit comment")</f>
        <v>Click here to submit comment</v>
      </c>
    </row>
    <row r="826" spans="1:14" ht="105" x14ac:dyDescent="0.25">
      <c r="A826" s="18" t="s">
        <v>2443</v>
      </c>
      <c r="B826" s="18" t="s">
        <v>2444</v>
      </c>
      <c r="C826" s="18" t="s">
        <v>12</v>
      </c>
      <c r="D826" s="18" t="s">
        <v>2411</v>
      </c>
      <c r="E826" s="18"/>
      <c r="F826" s="18" t="s">
        <v>119</v>
      </c>
      <c r="G826" s="18"/>
      <c r="H826" s="9" t="s">
        <v>120</v>
      </c>
      <c r="I826" s="18" t="s">
        <v>2445</v>
      </c>
      <c r="J826" s="18"/>
      <c r="K826" s="18" t="s">
        <v>2446</v>
      </c>
      <c r="L826" s="18"/>
      <c r="M826" s="18" t="str">
        <f>HYPERLINK("https://ceds.ed.gov/cedselementdetails.aspx?termid=14572")</f>
        <v>https://ceds.ed.gov/cedselementdetails.aspx?termid=14572</v>
      </c>
      <c r="N826" s="18" t="str">
        <f>HYPERLINK("https://ceds.ed.gov/elementComment.aspx?elementName=Early Learning Enrollment Application Document Identifier &amp;elementID=14572", "Click here to submit comment")</f>
        <v>Click here to submit comment</v>
      </c>
    </row>
    <row r="827" spans="1:14" x14ac:dyDescent="0.25">
      <c r="A827" s="18"/>
      <c r="B827" s="18"/>
      <c r="C827" s="18"/>
      <c r="D827" s="18"/>
      <c r="E827" s="18"/>
      <c r="F827" s="18"/>
      <c r="G827" s="18"/>
      <c r="H827" s="9"/>
      <c r="I827" s="18"/>
      <c r="J827" s="18"/>
      <c r="K827" s="18"/>
      <c r="L827" s="18"/>
      <c r="M827" s="18"/>
      <c r="N827" s="18"/>
    </row>
    <row r="828" spans="1:14" ht="90" x14ac:dyDescent="0.25">
      <c r="A828" s="18"/>
      <c r="B828" s="18"/>
      <c r="C828" s="18"/>
      <c r="D828" s="18"/>
      <c r="E828" s="18"/>
      <c r="F828" s="18"/>
      <c r="G828" s="18"/>
      <c r="H828" s="9" t="s">
        <v>121</v>
      </c>
      <c r="I828" s="18"/>
      <c r="J828" s="18"/>
      <c r="K828" s="18"/>
      <c r="L828" s="18"/>
      <c r="M828" s="18"/>
      <c r="N828" s="18"/>
    </row>
    <row r="829" spans="1:14" ht="45" x14ac:dyDescent="0.25">
      <c r="A829" s="9" t="s">
        <v>2447</v>
      </c>
      <c r="B829" s="9" t="s">
        <v>2448</v>
      </c>
      <c r="C829" s="9" t="s">
        <v>12</v>
      </c>
      <c r="D829" s="9" t="s">
        <v>2411</v>
      </c>
      <c r="E829" s="9"/>
      <c r="F829" s="9" t="s">
        <v>92</v>
      </c>
      <c r="G829" s="9"/>
      <c r="H829" s="9"/>
      <c r="I829" s="9" t="s">
        <v>2449</v>
      </c>
      <c r="J829" s="9"/>
      <c r="K829" s="9" t="s">
        <v>2450</v>
      </c>
      <c r="L829" s="9"/>
      <c r="M829" s="9" t="str">
        <f>HYPERLINK("https://ceds.ed.gov/cedselementdetails.aspx?termid=14573")</f>
        <v>https://ceds.ed.gov/cedselementdetails.aspx?termid=14573</v>
      </c>
      <c r="N829" s="9" t="str">
        <f>HYPERLINK("https://ceds.ed.gov/elementComment.aspx?elementName=Early Learning Enrollment Application Document Name &amp;elementID=14573", "Click here to submit comment")</f>
        <v>Click here to submit comment</v>
      </c>
    </row>
    <row r="830" spans="1:14" ht="45" x14ac:dyDescent="0.25">
      <c r="A830" s="9" t="s">
        <v>2451</v>
      </c>
      <c r="B830" s="9" t="s">
        <v>2452</v>
      </c>
      <c r="C830" s="9" t="s">
        <v>12</v>
      </c>
      <c r="D830" s="9" t="s">
        <v>2411</v>
      </c>
      <c r="E830" s="9"/>
      <c r="F830" s="9" t="s">
        <v>762</v>
      </c>
      <c r="G830" s="9"/>
      <c r="H830" s="9"/>
      <c r="I830" s="9" t="s">
        <v>2453</v>
      </c>
      <c r="J830" s="9"/>
      <c r="K830" s="9" t="s">
        <v>2454</v>
      </c>
      <c r="L830" s="9"/>
      <c r="M830" s="9" t="str">
        <f>HYPERLINK("https://ceds.ed.gov/cedselementdetails.aspx?termid=14574")</f>
        <v>https://ceds.ed.gov/cedselementdetails.aspx?termid=14574</v>
      </c>
      <c r="N830" s="9" t="str">
        <f>HYPERLINK("https://ceds.ed.gov/elementComment.aspx?elementName=Early Learning Enrollment Application Document Type &amp;elementID=14574", "Click here to submit comment")</f>
        <v>Click here to submit comment</v>
      </c>
    </row>
    <row r="831" spans="1:14" ht="45" x14ac:dyDescent="0.25">
      <c r="A831" s="9" t="s">
        <v>2455</v>
      </c>
      <c r="B831" s="9" t="s">
        <v>2456</v>
      </c>
      <c r="C831" s="9" t="s">
        <v>12</v>
      </c>
      <c r="D831" s="9" t="s">
        <v>2411</v>
      </c>
      <c r="E831" s="9"/>
      <c r="F831" s="9" t="s">
        <v>73</v>
      </c>
      <c r="G831" s="9"/>
      <c r="H831" s="9"/>
      <c r="I831" s="9" t="s">
        <v>2457</v>
      </c>
      <c r="J831" s="9"/>
      <c r="K831" s="9" t="s">
        <v>2458</v>
      </c>
      <c r="L831" s="9"/>
      <c r="M831" s="9" t="str">
        <f>HYPERLINK("https://ceds.ed.gov/cedselementdetails.aspx?termid=14571")</f>
        <v>https://ceds.ed.gov/cedselementdetails.aspx?termid=14571</v>
      </c>
      <c r="N831" s="9" t="str">
        <f>HYPERLINK("https://ceds.ed.gov/elementComment.aspx?elementName=Early Learning Enrollment Application Verification Date &amp;elementID=14571", "Click here to submit comment")</f>
        <v>Click here to submit comment</v>
      </c>
    </row>
    <row r="832" spans="1:14" ht="145.5" customHeight="1" x14ac:dyDescent="0.25">
      <c r="A832" s="9" t="s">
        <v>2459</v>
      </c>
      <c r="B832" s="9" t="s">
        <v>2460</v>
      </c>
      <c r="C832" s="9" t="s">
        <v>12</v>
      </c>
      <c r="D832" s="9" t="s">
        <v>2411</v>
      </c>
      <c r="E832" s="9"/>
      <c r="F832" s="9" t="s">
        <v>762</v>
      </c>
      <c r="G832" s="9"/>
      <c r="H832" s="9"/>
      <c r="I832" s="9" t="s">
        <v>2461</v>
      </c>
      <c r="J832" s="9"/>
      <c r="K832" s="9" t="s">
        <v>2462</v>
      </c>
      <c r="L832" s="9"/>
      <c r="M832" s="9" t="str">
        <f>HYPERLINK("https://ceds.ed.gov/cedselementdetails.aspx?termid=14579")</f>
        <v>https://ceds.ed.gov/cedselementdetails.aspx?termid=14579</v>
      </c>
      <c r="N832" s="9" t="str">
        <f>HYPERLINK("https://ceds.ed.gov/elementComment.aspx?elementName=Early Learning Enrollment Application Verification Reason Type &amp;elementID=14579", "Click here to submit comment")</f>
        <v>Click here to submit comment</v>
      </c>
    </row>
    <row r="833" spans="1:14" ht="409.5" x14ac:dyDescent="0.25">
      <c r="A833" s="9" t="s">
        <v>2463</v>
      </c>
      <c r="B833" s="9" t="s">
        <v>2464</v>
      </c>
      <c r="C833" s="10" t="s">
        <v>6468</v>
      </c>
      <c r="D833" s="9" t="s">
        <v>6191</v>
      </c>
      <c r="E833" s="9"/>
      <c r="F833" s="9"/>
      <c r="G833" s="9"/>
      <c r="H833" s="9"/>
      <c r="I833" s="9" t="s">
        <v>2465</v>
      </c>
      <c r="J833" s="9"/>
      <c r="K833" s="9" t="s">
        <v>2466</v>
      </c>
      <c r="L833" s="9"/>
      <c r="M833" s="9" t="str">
        <f>HYPERLINK("https://ceds.ed.gov/cedselementdetails.aspx?termid=14294")</f>
        <v>https://ceds.ed.gov/cedselementdetails.aspx?termid=14294</v>
      </c>
      <c r="N833" s="9" t="str">
        <f>HYPERLINK("https://ceds.ed.gov/elementComment.aspx?elementName=Early Learning Federal Funding Type &amp;elementID=14294", "Click here to submit comment")</f>
        <v>Click here to submit comment</v>
      </c>
    </row>
    <row r="834" spans="1:14" ht="45" x14ac:dyDescent="0.25">
      <c r="A834" s="9" t="s">
        <v>2467</v>
      </c>
      <c r="B834" s="9" t="s">
        <v>2468</v>
      </c>
      <c r="C834" s="9" t="s">
        <v>12</v>
      </c>
      <c r="D834" s="9" t="s">
        <v>11121</v>
      </c>
      <c r="E834" s="9"/>
      <c r="F834" s="9" t="s">
        <v>10489</v>
      </c>
      <c r="G834" s="9"/>
      <c r="H834" s="9"/>
      <c r="I834" s="9" t="s">
        <v>2469</v>
      </c>
      <c r="J834" s="9"/>
      <c r="K834" s="9" t="s">
        <v>2470</v>
      </c>
      <c r="L834" s="9"/>
      <c r="M834" s="9" t="str">
        <f>HYPERLINK("https://ceds.ed.gov/cedselementdetails.aspx?termid=14295")</f>
        <v>https://ceds.ed.gov/cedselementdetails.aspx?termid=14295</v>
      </c>
      <c r="N834" s="9" t="str">
        <f>HYPERLINK("https://ceds.ed.gov/elementComment.aspx?elementName=Early Learning Group Size &amp;elementID=14295", "Click here to submit comment")</f>
        <v>Click here to submit comment</v>
      </c>
    </row>
    <row r="835" spans="1:14" ht="135" x14ac:dyDescent="0.25">
      <c r="A835" s="9" t="s">
        <v>2471</v>
      </c>
      <c r="B835" s="9" t="s">
        <v>2472</v>
      </c>
      <c r="C835" s="10" t="s">
        <v>6469</v>
      </c>
      <c r="D835" s="9" t="s">
        <v>11121</v>
      </c>
      <c r="E835" s="9"/>
      <c r="F835" s="9"/>
      <c r="G835" s="9"/>
      <c r="H835" s="9"/>
      <c r="I835" s="9" t="s">
        <v>2473</v>
      </c>
      <c r="J835" s="9"/>
      <c r="K835" s="9" t="s">
        <v>2474</v>
      </c>
      <c r="L835" s="9" t="s">
        <v>64</v>
      </c>
      <c r="M835" s="9" t="str">
        <f>HYPERLINK("https://ceds.ed.gov/cedselementdetails.aspx?termid=13823")</f>
        <v>https://ceds.ed.gov/cedselementdetails.aspx?termid=13823</v>
      </c>
      <c r="N835" s="9" t="str">
        <f>HYPERLINK("https://ceds.ed.gov/elementComment.aspx?elementName=Early Learning Group Size Standards Met &amp;elementID=13823", "Click here to submit comment")</f>
        <v>Click here to submit comment</v>
      </c>
    </row>
    <row r="836" spans="1:14" ht="15" customHeight="1" x14ac:dyDescent="0.25">
      <c r="A836" s="9" t="s">
        <v>2475</v>
      </c>
      <c r="B836" s="9" t="s">
        <v>2476</v>
      </c>
      <c r="C836" s="10" t="s">
        <v>6470</v>
      </c>
      <c r="D836" s="9" t="s">
        <v>1527</v>
      </c>
      <c r="E836" s="9"/>
      <c r="F836" s="9"/>
      <c r="G836" s="9"/>
      <c r="H836" s="9"/>
      <c r="I836" s="9" t="s">
        <v>2477</v>
      </c>
      <c r="J836" s="9"/>
      <c r="K836" s="9" t="s">
        <v>2478</v>
      </c>
      <c r="L836" s="9"/>
      <c r="M836" s="9" t="str">
        <f>HYPERLINK("https://ceds.ed.gov/cedselementdetails.aspx?termid=14582")</f>
        <v>https://ceds.ed.gov/cedselementdetails.aspx?termid=14582</v>
      </c>
      <c r="N836" s="9" t="str">
        <f>HYPERLINK("https://ceds.ed.gov/elementComment.aspx?elementName=Early Learning Local Revenue Source &amp;elementID=14582", "Click here to submit comment")</f>
        <v>Click here to submit comment</v>
      </c>
    </row>
    <row r="837" spans="1:14" ht="15" customHeight="1" x14ac:dyDescent="0.25">
      <c r="A837" s="9" t="s">
        <v>2479</v>
      </c>
      <c r="B837" s="9" t="s">
        <v>2480</v>
      </c>
      <c r="C837" s="9" t="s">
        <v>12</v>
      </c>
      <c r="D837" s="9" t="s">
        <v>11102</v>
      </c>
      <c r="E837" s="9"/>
      <c r="F837" s="9" t="s">
        <v>10489</v>
      </c>
      <c r="G837" s="9"/>
      <c r="H837" s="9"/>
      <c r="I837" s="9" t="s">
        <v>2481</v>
      </c>
      <c r="J837" s="9"/>
      <c r="K837" s="9" t="s">
        <v>2482</v>
      </c>
      <c r="L837" s="9" t="s">
        <v>6192</v>
      </c>
      <c r="M837" s="9" t="str">
        <f>HYPERLINK("https://ceds.ed.gov/cedselementdetails.aspx?termid=14189")</f>
        <v>https://ceds.ed.gov/cedselementdetails.aspx?termid=14189</v>
      </c>
      <c r="N837" s="9" t="str">
        <f>HYPERLINK("https://ceds.ed.gov/elementComment.aspx?elementName=Early Learning Oldest Age Authorized to Serve &amp;elementID=14189", "Click here to submit comment")</f>
        <v>Click here to submit comment</v>
      </c>
    </row>
    <row r="838" spans="1:14" ht="15" customHeight="1" x14ac:dyDescent="0.25">
      <c r="A838" s="9" t="s">
        <v>2483</v>
      </c>
      <c r="B838" s="9" t="s">
        <v>2484</v>
      </c>
      <c r="C838" s="10" t="s">
        <v>6471</v>
      </c>
      <c r="D838" s="9" t="s">
        <v>6191</v>
      </c>
      <c r="E838" s="9"/>
      <c r="F838" s="9"/>
      <c r="G838" s="9"/>
      <c r="H838" s="9"/>
      <c r="I838" s="9" t="s">
        <v>2485</v>
      </c>
      <c r="J838" s="9"/>
      <c r="K838" s="9" t="s">
        <v>2486</v>
      </c>
      <c r="L838" s="9"/>
      <c r="M838" s="9" t="str">
        <f>HYPERLINK("https://ceds.ed.gov/cedselementdetails.aspx?termid=14302")</f>
        <v>https://ceds.ed.gov/cedselementdetails.aspx?termid=14302</v>
      </c>
      <c r="N838" s="9" t="str">
        <f>HYPERLINK("https://ceds.ed.gov/elementComment.aspx?elementName=Early Learning Other Federal Funding Sources &amp;elementID=14302", "Click here to submit comment")</f>
        <v>Click here to submit comment</v>
      </c>
    </row>
    <row r="839" spans="1:14" ht="75" x14ac:dyDescent="0.25">
      <c r="A839" s="9" t="s">
        <v>2487</v>
      </c>
      <c r="B839" s="9" t="s">
        <v>2488</v>
      </c>
      <c r="C839" s="10" t="s">
        <v>6472</v>
      </c>
      <c r="D839" s="9" t="s">
        <v>1724</v>
      </c>
      <c r="E839" s="9"/>
      <c r="F839" s="9"/>
      <c r="G839" s="9"/>
      <c r="H839" s="9"/>
      <c r="I839" s="9" t="s">
        <v>2489</v>
      </c>
      <c r="J839" s="9"/>
      <c r="K839" s="9" t="s">
        <v>2490</v>
      </c>
      <c r="L839" s="9"/>
      <c r="M839" s="9" t="str">
        <f>HYPERLINK("https://ceds.ed.gov/cedselementdetails.aspx?termid=14303")</f>
        <v>https://ceds.ed.gov/cedselementdetails.aspx?termid=14303</v>
      </c>
      <c r="N839" s="9" t="str">
        <f>HYPERLINK("https://ceds.ed.gov/elementComment.aspx?elementName=Early Learning Outcome Measurement Level &amp;elementID=14303", "Click here to submit comment")</f>
        <v>Click here to submit comment</v>
      </c>
    </row>
    <row r="840" spans="1:14" ht="75" x14ac:dyDescent="0.25">
      <c r="A840" s="9" t="s">
        <v>2491</v>
      </c>
      <c r="B840" s="9" t="s">
        <v>2492</v>
      </c>
      <c r="C840" s="10" t="s">
        <v>6473</v>
      </c>
      <c r="D840" s="9" t="s">
        <v>1724</v>
      </c>
      <c r="E840" s="9"/>
      <c r="F840" s="9"/>
      <c r="G840" s="9"/>
      <c r="H840" s="9"/>
      <c r="I840" s="9" t="s">
        <v>2493</v>
      </c>
      <c r="J840" s="9"/>
      <c r="K840" s="9" t="s">
        <v>2494</v>
      </c>
      <c r="L840" s="9"/>
      <c r="M840" s="9" t="str">
        <f>HYPERLINK("https://ceds.ed.gov/cedselementdetails.aspx?termid=14475")</f>
        <v>https://ceds.ed.gov/cedselementdetails.aspx?termid=14475</v>
      </c>
      <c r="N840" s="9" t="str">
        <f>HYPERLINK("https://ceds.ed.gov/elementComment.aspx?elementName=Early Learning Outcome Time Point &amp;elementID=14475", "Click here to submit comment")</f>
        <v>Click here to submit comment</v>
      </c>
    </row>
    <row r="841" spans="1:14" ht="180" x14ac:dyDescent="0.25">
      <c r="A841" s="9" t="s">
        <v>2495</v>
      </c>
      <c r="B841" s="9" t="s">
        <v>2496</v>
      </c>
      <c r="C841" s="10" t="s">
        <v>6474</v>
      </c>
      <c r="D841" s="9" t="s">
        <v>1592</v>
      </c>
      <c r="E841" s="9"/>
      <c r="F841" s="9"/>
      <c r="G841" s="9"/>
      <c r="H841" s="9"/>
      <c r="I841" s="9" t="s">
        <v>2497</v>
      </c>
      <c r="J841" s="9"/>
      <c r="K841" s="9" t="s">
        <v>2498</v>
      </c>
      <c r="L841" s="9"/>
      <c r="M841" s="9" t="str">
        <f>HYPERLINK("https://ceds.ed.gov/cedselementdetails.aspx?termid=14304")</f>
        <v>https://ceds.ed.gov/cedselementdetails.aspx?termid=14304</v>
      </c>
      <c r="N841" s="9" t="str">
        <f>HYPERLINK("https://ceds.ed.gov/elementComment.aspx?elementName=Early Learning Professional Development Topic Area &amp;elementID=14304", "Click here to submit comment")</f>
        <v>Click here to submit comment</v>
      </c>
    </row>
    <row r="842" spans="1:14" ht="60" x14ac:dyDescent="0.25">
      <c r="A842" s="9" t="s">
        <v>2499</v>
      </c>
      <c r="B842" s="9" t="s">
        <v>2500</v>
      </c>
      <c r="C842" s="9" t="s">
        <v>12</v>
      </c>
      <c r="D842" s="9" t="s">
        <v>11122</v>
      </c>
      <c r="E842" s="9"/>
      <c r="F842" s="9" t="s">
        <v>11123</v>
      </c>
      <c r="G842" s="9"/>
      <c r="H842" s="9"/>
      <c r="I842" s="9" t="s">
        <v>2501</v>
      </c>
      <c r="J842" s="9"/>
      <c r="K842" s="9" t="s">
        <v>2502</v>
      </c>
      <c r="L842" s="9" t="s">
        <v>6167</v>
      </c>
      <c r="M842" s="9" t="str">
        <f>HYPERLINK("https://ceds.ed.gov/cedselementdetails.aspx?termid=13824")</f>
        <v>https://ceds.ed.gov/cedselementdetails.aspx?termid=13824</v>
      </c>
      <c r="N842" s="9" t="str">
        <f>HYPERLINK("https://ceds.ed.gov/elementComment.aspx?elementName=Early Learning Program Annual Operating Weeks &amp;elementID=13824", "Click here to submit comment")</f>
        <v>Click here to submit comment</v>
      </c>
    </row>
    <row r="843" spans="1:14" ht="60" x14ac:dyDescent="0.25">
      <c r="A843" s="9" t="s">
        <v>2503</v>
      </c>
      <c r="B843" s="9" t="s">
        <v>2504</v>
      </c>
      <c r="C843" s="9" t="s">
        <v>6106</v>
      </c>
      <c r="D843" s="9" t="s">
        <v>2505</v>
      </c>
      <c r="E843" s="9"/>
      <c r="F843" s="9"/>
      <c r="G843" s="9"/>
      <c r="H843" s="9"/>
      <c r="I843" s="9" t="s">
        <v>2506</v>
      </c>
      <c r="J843" s="9"/>
      <c r="K843" s="9" t="s">
        <v>2507</v>
      </c>
      <c r="L843" s="9" t="s">
        <v>64</v>
      </c>
      <c r="M843" s="9" t="str">
        <f>HYPERLINK("https://ceds.ed.gov/cedselementdetails.aspx?termid=13848")</f>
        <v>https://ceds.ed.gov/cedselementdetails.aspx?termid=13848</v>
      </c>
      <c r="N843" s="9" t="str">
        <f>HYPERLINK("https://ceds.ed.gov/elementComment.aspx?elementName=Early Learning Program Developmental Screening Status &amp;elementID=13848", "Click here to submit comment")</f>
        <v>Click here to submit comment</v>
      </c>
    </row>
    <row r="844" spans="1:14" ht="300" x14ac:dyDescent="0.25">
      <c r="A844" s="9" t="s">
        <v>2508</v>
      </c>
      <c r="B844" s="9" t="s">
        <v>2509</v>
      </c>
      <c r="C844" s="10" t="s">
        <v>6475</v>
      </c>
      <c r="D844" s="9" t="s">
        <v>2510</v>
      </c>
      <c r="E844" s="9"/>
      <c r="F844" s="9"/>
      <c r="G844" s="9"/>
      <c r="H844" s="9"/>
      <c r="I844" s="9" t="s">
        <v>2511</v>
      </c>
      <c r="J844" s="9"/>
      <c r="K844" s="9" t="s">
        <v>2512</v>
      </c>
      <c r="L844" s="9" t="s">
        <v>2225</v>
      </c>
      <c r="M844" s="9" t="str">
        <f>HYPERLINK("https://ceds.ed.gov/cedselementdetails.aspx?termid=13304")</f>
        <v>https://ceds.ed.gov/cedselementdetails.aspx?termid=13304</v>
      </c>
      <c r="N844" s="9" t="str">
        <f>HYPERLINK("https://ceds.ed.gov/elementComment.aspx?elementName=Early Learning Program Eligibility Category &amp;elementID=13304", "Click here to submit comment")</f>
        <v>Click here to submit comment</v>
      </c>
    </row>
    <row r="845" spans="1:14" ht="45" x14ac:dyDescent="0.25">
      <c r="A845" s="9" t="s">
        <v>2513</v>
      </c>
      <c r="B845" s="9" t="s">
        <v>2514</v>
      </c>
      <c r="C845" s="9" t="s">
        <v>12</v>
      </c>
      <c r="D845" s="9" t="s">
        <v>2510</v>
      </c>
      <c r="E845" s="9"/>
      <c r="F845" s="9" t="s">
        <v>73</v>
      </c>
      <c r="G845" s="9"/>
      <c r="H845" s="9"/>
      <c r="I845" s="9" t="s">
        <v>2515</v>
      </c>
      <c r="J845" s="9"/>
      <c r="K845" s="9" t="s">
        <v>2516</v>
      </c>
      <c r="L845" s="9"/>
      <c r="M845" s="9" t="str">
        <f>HYPERLINK("https://ceds.ed.gov/cedselementdetails.aspx?termid=14305")</f>
        <v>https://ceds.ed.gov/cedselementdetails.aspx?termid=14305</v>
      </c>
      <c r="N845" s="9" t="str">
        <f>HYPERLINK("https://ceds.ed.gov/elementComment.aspx?elementName=Early Learning Program Eligibility Expiration Date &amp;elementID=14305", "Click here to submit comment")</f>
        <v>Click here to submit comment</v>
      </c>
    </row>
    <row r="846" spans="1:14" ht="75" x14ac:dyDescent="0.25">
      <c r="A846" s="9" t="s">
        <v>2517</v>
      </c>
      <c r="B846" s="9" t="s">
        <v>2518</v>
      </c>
      <c r="C846" s="10" t="s">
        <v>6476</v>
      </c>
      <c r="D846" s="9" t="s">
        <v>2510</v>
      </c>
      <c r="E846" s="9"/>
      <c r="F846" s="9"/>
      <c r="G846" s="9"/>
      <c r="H846" s="9"/>
      <c r="I846" s="9" t="s">
        <v>2519</v>
      </c>
      <c r="J846" s="9"/>
      <c r="K846" s="9" t="s">
        <v>2520</v>
      </c>
      <c r="L846" s="9"/>
      <c r="M846" s="9" t="str">
        <f>HYPERLINK("https://ceds.ed.gov/cedselementdetails.aspx?termid=14306")</f>
        <v>https://ceds.ed.gov/cedselementdetails.aspx?termid=14306</v>
      </c>
      <c r="N846" s="9" t="str">
        <f>HYPERLINK("https://ceds.ed.gov/elementComment.aspx?elementName=Early Learning Program Eligibility Status &amp;elementID=14306", "Click here to submit comment")</f>
        <v>Click here to submit comment</v>
      </c>
    </row>
    <row r="847" spans="1:14" ht="45" x14ac:dyDescent="0.25">
      <c r="A847" s="9" t="s">
        <v>2521</v>
      </c>
      <c r="B847" s="9" t="s">
        <v>2522</v>
      </c>
      <c r="C847" s="9" t="s">
        <v>12</v>
      </c>
      <c r="D847" s="9" t="s">
        <v>2510</v>
      </c>
      <c r="E847" s="9"/>
      <c r="F847" s="9" t="s">
        <v>73</v>
      </c>
      <c r="G847" s="9"/>
      <c r="H847" s="9"/>
      <c r="I847" s="9" t="s">
        <v>2523</v>
      </c>
      <c r="J847" s="9"/>
      <c r="K847" s="9" t="s">
        <v>2524</v>
      </c>
      <c r="L847" s="9"/>
      <c r="M847" s="9" t="str">
        <f>HYPERLINK("https://ceds.ed.gov/cedselementdetails.aspx?termid=14307")</f>
        <v>https://ceds.ed.gov/cedselementdetails.aspx?termid=14307</v>
      </c>
      <c r="N847" s="9" t="str">
        <f>HYPERLINK("https://ceds.ed.gov/elementComment.aspx?elementName=Early Learning Program Eligibility Status Date &amp;elementID=14307", "Click here to submit comment")</f>
        <v>Click here to submit comment</v>
      </c>
    </row>
    <row r="848" spans="1:14" ht="45" x14ac:dyDescent="0.25">
      <c r="A848" s="9" t="s">
        <v>2525</v>
      </c>
      <c r="B848" s="9" t="s">
        <v>2526</v>
      </c>
      <c r="C848" s="9" t="s">
        <v>6106</v>
      </c>
      <c r="D848" s="9" t="s">
        <v>1851</v>
      </c>
      <c r="E848" s="9"/>
      <c r="F848" s="9"/>
      <c r="G848" s="9"/>
      <c r="H848" s="9"/>
      <c r="I848" s="9" t="s">
        <v>2527</v>
      </c>
      <c r="J848" s="9"/>
      <c r="K848" s="9" t="s">
        <v>2528</v>
      </c>
      <c r="L848" s="9" t="s">
        <v>64</v>
      </c>
      <c r="M848" s="9" t="str">
        <f>HYPERLINK("https://ceds.ed.gov/cedselementdetails.aspx?termid=13838")</f>
        <v>https://ceds.ed.gov/cedselementdetails.aspx?termid=13838</v>
      </c>
      <c r="N848" s="9" t="str">
        <f>HYPERLINK("https://ceds.ed.gov/elementComment.aspx?elementName=Early Learning Program License Revocation Status &amp;elementID=13838", "Click here to submit comment")</f>
        <v>Click here to submit comment</v>
      </c>
    </row>
    <row r="849" spans="1:14" ht="15" customHeight="1" x14ac:dyDescent="0.25">
      <c r="A849" s="9" t="s">
        <v>2529</v>
      </c>
      <c r="B849" s="9" t="s">
        <v>2530</v>
      </c>
      <c r="C849" s="9" t="s">
        <v>6106</v>
      </c>
      <c r="D849" s="9" t="s">
        <v>1851</v>
      </c>
      <c r="E849" s="9"/>
      <c r="F849" s="9"/>
      <c r="G849" s="9"/>
      <c r="H849" s="9"/>
      <c r="I849" s="9" t="s">
        <v>2531</v>
      </c>
      <c r="J849" s="9"/>
      <c r="K849" s="9" t="s">
        <v>2532</v>
      </c>
      <c r="L849" s="9" t="s">
        <v>64</v>
      </c>
      <c r="M849" s="9" t="str">
        <f>HYPERLINK("https://ceds.ed.gov/cedselementdetails.aspx?termid=13837")</f>
        <v>https://ceds.ed.gov/cedselementdetails.aspx?termid=13837</v>
      </c>
      <c r="N849" s="9" t="str">
        <f>HYPERLINK("https://ceds.ed.gov/elementComment.aspx?elementName=Early Learning Program License Suspension Status &amp;elementID=13837", "Click here to submit comment")</f>
        <v>Click here to submit comment</v>
      </c>
    </row>
    <row r="850" spans="1:14" ht="15" customHeight="1" x14ac:dyDescent="0.25">
      <c r="A850" s="9" t="s">
        <v>2533</v>
      </c>
      <c r="B850" s="9" t="s">
        <v>2534</v>
      </c>
      <c r="C850" s="10" t="s">
        <v>6477</v>
      </c>
      <c r="D850" s="9" t="s">
        <v>1851</v>
      </c>
      <c r="E850" s="9"/>
      <c r="F850" s="9"/>
      <c r="G850" s="9"/>
      <c r="H850" s="9"/>
      <c r="I850" s="9" t="s">
        <v>2535</v>
      </c>
      <c r="J850" s="9"/>
      <c r="K850" s="9" t="s">
        <v>2536</v>
      </c>
      <c r="L850" s="9" t="s">
        <v>64</v>
      </c>
      <c r="M850" s="9" t="str">
        <f>HYPERLINK("https://ceds.ed.gov/cedselementdetails.aspx?termid=13828")</f>
        <v>https://ceds.ed.gov/cedselementdetails.aspx?termid=13828</v>
      </c>
      <c r="N850" s="9" t="str">
        <f>HYPERLINK("https://ceds.ed.gov/elementComment.aspx?elementName=Early Learning Program Licensing Status &amp;elementID=13828", "Click here to submit comment")</f>
        <v>Click here to submit comment</v>
      </c>
    </row>
    <row r="851" spans="1:14" ht="15" customHeight="1" x14ac:dyDescent="0.25">
      <c r="A851" s="9" t="s">
        <v>2537</v>
      </c>
      <c r="B851" s="9" t="s">
        <v>2538</v>
      </c>
      <c r="C851" s="9" t="s">
        <v>12</v>
      </c>
      <c r="D851" s="9" t="s">
        <v>2265</v>
      </c>
      <c r="E851" s="9"/>
      <c r="F851" s="9" t="s">
        <v>1813</v>
      </c>
      <c r="G851" s="9"/>
      <c r="H851" s="9"/>
      <c r="I851" s="9" t="s">
        <v>2539</v>
      </c>
      <c r="J851" s="9"/>
      <c r="K851" s="9" t="s">
        <v>2540</v>
      </c>
      <c r="L851" s="9" t="s">
        <v>6167</v>
      </c>
      <c r="M851" s="9" t="str">
        <f>HYPERLINK("https://ceds.ed.gov/cedselementdetails.aspx?termid=13864")</f>
        <v>https://ceds.ed.gov/cedselementdetails.aspx?termid=13864</v>
      </c>
      <c r="N851" s="9" t="str">
        <f>HYPERLINK("https://ceds.ed.gov/elementComment.aspx?elementName=Early Learning Program Year &amp;elementID=13864", "Click here to submit comment")</f>
        <v>Click here to submit comment</v>
      </c>
    </row>
    <row r="852" spans="1:14" ht="409.5" x14ac:dyDescent="0.25">
      <c r="A852" s="9" t="s">
        <v>2541</v>
      </c>
      <c r="B852" s="9" t="s">
        <v>2542</v>
      </c>
      <c r="C852" s="10" t="s">
        <v>6478</v>
      </c>
      <c r="D852" s="9" t="s">
        <v>2436</v>
      </c>
      <c r="E852" s="9"/>
      <c r="F852" s="9"/>
      <c r="G852" s="9"/>
      <c r="H852" s="9"/>
      <c r="I852" s="9" t="s">
        <v>2543</v>
      </c>
      <c r="J852" s="9"/>
      <c r="K852" s="9" t="s">
        <v>2544</v>
      </c>
      <c r="L852" s="9"/>
      <c r="M852" s="9" t="str">
        <f>HYPERLINK("https://ceds.ed.gov/cedselementdetails.aspx?termid=14617")</f>
        <v>https://ceds.ed.gov/cedselementdetails.aspx?termid=14617</v>
      </c>
      <c r="N852" s="9" t="str">
        <f>HYPERLINK("https://ceds.ed.gov/elementComment.aspx?elementName=Early Learning Service Professional Staff Classification &amp;elementID=14617", "Click here to submit comment")</f>
        <v>Click here to submit comment</v>
      </c>
    </row>
    <row r="853" spans="1:14" ht="120" x14ac:dyDescent="0.25">
      <c r="A853" s="9" t="s">
        <v>2545</v>
      </c>
      <c r="B853" s="9" t="s">
        <v>2546</v>
      </c>
      <c r="C853" s="10" t="s">
        <v>6479</v>
      </c>
      <c r="D853" s="9" t="s">
        <v>2390</v>
      </c>
      <c r="E853" s="9"/>
      <c r="F853" s="9"/>
      <c r="G853" s="9"/>
      <c r="H853" s="9"/>
      <c r="I853" s="9" t="s">
        <v>2547</v>
      </c>
      <c r="J853" s="9"/>
      <c r="K853" s="9" t="s">
        <v>2548</v>
      </c>
      <c r="L853" s="9"/>
      <c r="M853" s="9" t="str">
        <f>HYPERLINK("https://ceds.ed.gov/cedselementdetails.aspx?termid=14583")</f>
        <v>https://ceds.ed.gov/cedselementdetails.aspx?termid=14583</v>
      </c>
      <c r="N853" s="9" t="str">
        <f>HYPERLINK("https://ceds.ed.gov/elementComment.aspx?elementName=Early Learning Service Type &amp;elementID=14583", "Click here to submit comment")</f>
        <v>Click here to submit comment</v>
      </c>
    </row>
    <row r="854" spans="1:14" ht="75" x14ac:dyDescent="0.25">
      <c r="A854" s="9" t="s">
        <v>2549</v>
      </c>
      <c r="B854" s="9" t="s">
        <v>2550</v>
      </c>
      <c r="C854" s="9" t="s">
        <v>12</v>
      </c>
      <c r="D854" s="9" t="s">
        <v>2385</v>
      </c>
      <c r="E854" s="9"/>
      <c r="F854" s="9" t="s">
        <v>1513</v>
      </c>
      <c r="G854" s="9"/>
      <c r="H854" s="9"/>
      <c r="I854" s="9" t="s">
        <v>2551</v>
      </c>
      <c r="J854" s="9"/>
      <c r="K854" s="9" t="s">
        <v>2552</v>
      </c>
      <c r="L854" s="9" t="s">
        <v>182</v>
      </c>
      <c r="M854" s="9" t="str">
        <f>HYPERLINK("https://ceds.ed.gov/cedselementdetails.aspx?termid=13791")</f>
        <v>https://ceds.ed.gov/cedselementdetails.aspx?termid=13791</v>
      </c>
      <c r="N854" s="9" t="str">
        <f>HYPERLINK("https://ceds.ed.gov/elementComment.aspx?elementName=Early Learning Staff Total College Credits Earned &amp;elementID=13791", "Click here to submit comment")</f>
        <v>Click here to submit comment</v>
      </c>
    </row>
    <row r="855" spans="1:14" ht="409.5" x14ac:dyDescent="0.25">
      <c r="A855" s="9" t="s">
        <v>2553</v>
      </c>
      <c r="B855" s="9" t="s">
        <v>2554</v>
      </c>
      <c r="C855" s="10" t="s">
        <v>6480</v>
      </c>
      <c r="D855" s="9" t="s">
        <v>1527</v>
      </c>
      <c r="E855" s="9"/>
      <c r="F855" s="9"/>
      <c r="G855" s="9"/>
      <c r="H855" s="9"/>
      <c r="I855" s="9" t="s">
        <v>2555</v>
      </c>
      <c r="J855" s="9"/>
      <c r="K855" s="9" t="s">
        <v>2556</v>
      </c>
      <c r="L855" s="9"/>
      <c r="M855" s="9" t="str">
        <f>HYPERLINK("https://ceds.ed.gov/cedselementdetails.aspx?termid=14584")</f>
        <v>https://ceds.ed.gov/cedselementdetails.aspx?termid=14584</v>
      </c>
      <c r="N855" s="9" t="str">
        <f>HYPERLINK("https://ceds.ed.gov/elementComment.aspx?elementName=Early Learning State Revenue Source &amp;elementID=14584", "Click here to submit comment")</f>
        <v>Click here to submit comment</v>
      </c>
    </row>
    <row r="856" spans="1:14" ht="180" x14ac:dyDescent="0.25">
      <c r="A856" s="9" t="s">
        <v>2557</v>
      </c>
      <c r="B856" s="9" t="s">
        <v>2558</v>
      </c>
      <c r="C856" s="10" t="s">
        <v>6481</v>
      </c>
      <c r="D856" s="9" t="s">
        <v>11124</v>
      </c>
      <c r="E856" s="9"/>
      <c r="F856" s="9"/>
      <c r="G856" s="9"/>
      <c r="H856" s="9"/>
      <c r="I856" s="9" t="s">
        <v>2559</v>
      </c>
      <c r="J856" s="9"/>
      <c r="K856" s="9" t="s">
        <v>2560</v>
      </c>
      <c r="L856" s="9"/>
      <c r="M856" s="9" t="str">
        <f>HYPERLINK("https://ceds.ed.gov/cedselementdetails.aspx?termid=14585")</f>
        <v>https://ceds.ed.gov/cedselementdetails.aspx?termid=14585</v>
      </c>
      <c r="N856" s="9" t="str">
        <f>HYPERLINK("https://ceds.ed.gov/elementComment.aspx?elementName=Early Learning Trainer Core Knowledge Area &amp;elementID=14585", "Click here to submit comment")</f>
        <v>Click here to submit comment</v>
      </c>
    </row>
    <row r="857" spans="1:14" ht="60" x14ac:dyDescent="0.25">
      <c r="A857" s="9" t="s">
        <v>2561</v>
      </c>
      <c r="B857" s="9" t="s">
        <v>2562</v>
      </c>
      <c r="C857" s="9" t="s">
        <v>12</v>
      </c>
      <c r="D857" s="9" t="s">
        <v>11102</v>
      </c>
      <c r="E857" s="9"/>
      <c r="F857" s="9" t="s">
        <v>10489</v>
      </c>
      <c r="G857" s="9"/>
      <c r="H857" s="9"/>
      <c r="I857" s="9" t="s">
        <v>2563</v>
      </c>
      <c r="J857" s="9"/>
      <c r="K857" s="9" t="s">
        <v>2564</v>
      </c>
      <c r="L857" s="9" t="s">
        <v>6192</v>
      </c>
      <c r="M857" s="9" t="str">
        <f>HYPERLINK("https://ceds.ed.gov/cedselementdetails.aspx?termid=13626")</f>
        <v>https://ceds.ed.gov/cedselementdetails.aspx?termid=13626</v>
      </c>
      <c r="N857" s="9" t="str">
        <f>HYPERLINK("https://ceds.ed.gov/elementComment.aspx?elementName=Early Learning Youngest Age Authorized to Serve &amp;elementID=13626", "Click here to submit comment")</f>
        <v>Click here to submit comment</v>
      </c>
    </row>
    <row r="858" spans="1:14" ht="105" x14ac:dyDescent="0.25">
      <c r="A858" s="9" t="s">
        <v>2565</v>
      </c>
      <c r="B858" s="9" t="s">
        <v>2566</v>
      </c>
      <c r="C858" s="9" t="s">
        <v>6106</v>
      </c>
      <c r="D858" s="9" t="s">
        <v>2567</v>
      </c>
      <c r="E858" s="9"/>
      <c r="F858" s="9"/>
      <c r="G858" s="9"/>
      <c r="H858" s="9"/>
      <c r="I858" s="9" t="s">
        <v>2568</v>
      </c>
      <c r="J858" s="9"/>
      <c r="K858" s="9" t="s">
        <v>2569</v>
      </c>
      <c r="L858" s="9" t="s">
        <v>6155</v>
      </c>
      <c r="M858" s="9" t="str">
        <f>HYPERLINK("https://ceds.ed.gov/cedselementdetails.aspx?termid=13086")</f>
        <v>https://ceds.ed.gov/cedselementdetails.aspx?termid=13086</v>
      </c>
      <c r="N858" s="9" t="str">
        <f>HYPERLINK("https://ceds.ed.gov/elementComment.aspx?elementName=Economic Disadvantage Status &amp;elementID=13086", "Click here to submit comment")</f>
        <v>Click here to submit comment</v>
      </c>
    </row>
    <row r="859" spans="1:14" ht="315" x14ac:dyDescent="0.25">
      <c r="A859" s="9" t="s">
        <v>2570</v>
      </c>
      <c r="B859" s="9" t="s">
        <v>2571</v>
      </c>
      <c r="C859" s="10" t="s">
        <v>6482</v>
      </c>
      <c r="D859" s="9" t="s">
        <v>2572</v>
      </c>
      <c r="E859" s="9"/>
      <c r="F859" s="9"/>
      <c r="G859" s="9"/>
      <c r="H859" s="9"/>
      <c r="I859" s="9" t="s">
        <v>2573</v>
      </c>
      <c r="J859" s="9" t="s">
        <v>2574</v>
      </c>
      <c r="K859" s="9" t="s">
        <v>2575</v>
      </c>
      <c r="L859" s="9" t="s">
        <v>6193</v>
      </c>
      <c r="M859" s="9" t="str">
        <f>HYPERLINK("https://ceds.ed.gov/cedselementdetails.aspx?termid=13862")</f>
        <v>https://ceds.ed.gov/cedselementdetails.aspx?termid=13862</v>
      </c>
      <c r="N859" s="9" t="str">
        <f>HYPERLINK("https://ceds.ed.gov/elementComment.aspx?elementName=Economic Research Service Rural-Urban Continuum Code &amp;elementID=13862", "Click here to submit comment")</f>
        <v>Click here to submit comment</v>
      </c>
    </row>
    <row r="860" spans="1:14" ht="90" x14ac:dyDescent="0.25">
      <c r="A860" s="9" t="s">
        <v>2576</v>
      </c>
      <c r="B860" s="9" t="s">
        <v>2577</v>
      </c>
      <c r="C860" s="10" t="s">
        <v>6483</v>
      </c>
      <c r="D860" s="9" t="s">
        <v>11125</v>
      </c>
      <c r="E860" s="9"/>
      <c r="F860" s="9"/>
      <c r="G860" s="9"/>
      <c r="H860" s="9"/>
      <c r="I860" s="9" t="s">
        <v>2578</v>
      </c>
      <c r="J860" s="9"/>
      <c r="K860" s="9" t="s">
        <v>2579</v>
      </c>
      <c r="L860" s="9"/>
      <c r="M860" s="9" t="str">
        <f>HYPERLINK("https://ceds.ed.gov/cedselementdetails.aspx?termid=14586")</f>
        <v>https://ceds.ed.gov/cedselementdetails.aspx?termid=14586</v>
      </c>
      <c r="N860" s="9" t="str">
        <f>HYPERLINK("https://ceds.ed.gov/elementComment.aspx?elementName=Education Verification Method &amp;elementID=14586", "Click here to submit comment")</f>
        <v>Click here to submit comment</v>
      </c>
    </row>
    <row r="861" spans="1:14" ht="15" customHeight="1" x14ac:dyDescent="0.25">
      <c r="A861" s="9" t="s">
        <v>2580</v>
      </c>
      <c r="B861" s="9" t="s">
        <v>2581</v>
      </c>
      <c r="C861" s="9" t="s">
        <v>6106</v>
      </c>
      <c r="D861" s="9" t="s">
        <v>6189</v>
      </c>
      <c r="E861" s="9"/>
      <c r="F861" s="9"/>
      <c r="G861" s="9"/>
      <c r="H861" s="9"/>
      <c r="I861" s="9" t="s">
        <v>2582</v>
      </c>
      <c r="J861" s="9"/>
      <c r="K861" s="9" t="s">
        <v>2583</v>
      </c>
      <c r="L861" s="9"/>
      <c r="M861" s="9" t="str">
        <f>HYPERLINK("https://ceds.ed.gov/cedselementdetails.aspx?termid=13570")</f>
        <v>https://ceds.ed.gov/cedselementdetails.aspx?termid=13570</v>
      </c>
      <c r="N861" s="9" t="str">
        <f>HYPERLINK("https://ceds.ed.gov/elementComment.aspx?elementName=Educational Services After Removal &amp;elementID=13570", "Click here to submit comment")</f>
        <v>Click here to submit comment</v>
      </c>
    </row>
    <row r="862" spans="1:14" ht="15" customHeight="1" x14ac:dyDescent="0.25">
      <c r="A862" s="9" t="s">
        <v>2584</v>
      </c>
      <c r="B862" s="9" t="s">
        <v>2585</v>
      </c>
      <c r="C862" s="9" t="s">
        <v>12</v>
      </c>
      <c r="D862" s="9" t="s">
        <v>11126</v>
      </c>
      <c r="E862" s="9"/>
      <c r="F862" s="9" t="s">
        <v>11127</v>
      </c>
      <c r="G862" s="9"/>
      <c r="H862" s="9"/>
      <c r="I862" s="9" t="s">
        <v>2586</v>
      </c>
      <c r="J862" s="9" t="s">
        <v>2587</v>
      </c>
      <c r="K862" s="9" t="s">
        <v>2588</v>
      </c>
      <c r="L862" s="9" t="s">
        <v>6109</v>
      </c>
      <c r="M862" s="9" t="str">
        <f>HYPERLINK("https://ceds.ed.gov/cedselementdetails.aspx?termid=13088")</f>
        <v>https://ceds.ed.gov/cedselementdetails.aspx?termid=13088</v>
      </c>
      <c r="N862" s="9" t="str">
        <f>HYPERLINK("https://ceds.ed.gov/elementComment.aspx?elementName=Electronic Mail Address &amp;elementID=13088", "Click here to submit comment")</f>
        <v>Click here to submit comment</v>
      </c>
    </row>
    <row r="863" spans="1:14" ht="409.5" x14ac:dyDescent="0.25">
      <c r="A863" s="9" t="s">
        <v>2589</v>
      </c>
      <c r="B863" s="9" t="s">
        <v>2590</v>
      </c>
      <c r="C863" s="10" t="s">
        <v>6484</v>
      </c>
      <c r="D863" s="9" t="s">
        <v>11126</v>
      </c>
      <c r="E863" s="9"/>
      <c r="F863" s="9"/>
      <c r="G863" s="9"/>
      <c r="H863" s="9"/>
      <c r="I863" s="9" t="s">
        <v>2591</v>
      </c>
      <c r="J863" s="9" t="s">
        <v>2592</v>
      </c>
      <c r="K863" s="9" t="s">
        <v>2593</v>
      </c>
      <c r="L863" s="9" t="s">
        <v>6109</v>
      </c>
      <c r="M863" s="9" t="str">
        <f>HYPERLINK("https://ceds.ed.gov/cedselementdetails.aspx?termid=13089")</f>
        <v>https://ceds.ed.gov/cedselementdetails.aspx?termid=13089</v>
      </c>
      <c r="N863" s="9" t="str">
        <f>HYPERLINK("https://ceds.ed.gov/elementComment.aspx?elementName=Electronic Mail Address Type &amp;elementID=13089", "Click here to submit comment")</f>
        <v>Click here to submit comment</v>
      </c>
    </row>
    <row r="864" spans="1:14" ht="15" customHeight="1" x14ac:dyDescent="0.25">
      <c r="A864" s="9" t="s">
        <v>2594</v>
      </c>
      <c r="B864" s="9" t="s">
        <v>2595</v>
      </c>
      <c r="C864" s="10" t="s">
        <v>6485</v>
      </c>
      <c r="D864" s="9" t="s">
        <v>6116</v>
      </c>
      <c r="E864" s="9"/>
      <c r="F864" s="9"/>
      <c r="G864" s="9"/>
      <c r="H864" s="9"/>
      <c r="I864" s="9" t="s">
        <v>2596</v>
      </c>
      <c r="J864" s="9"/>
      <c r="K864" s="9" t="s">
        <v>2597</v>
      </c>
      <c r="L864" s="9" t="s">
        <v>199</v>
      </c>
      <c r="M864" s="9" t="str">
        <f>HYPERLINK("https://ceds.ed.gov/cedselementdetails.aspx?termid=13091")</f>
        <v>https://ceds.ed.gov/cedselementdetails.aspx?termid=13091</v>
      </c>
      <c r="N864" s="9" t="str">
        <f>HYPERLINK("https://ceds.ed.gov/elementComment.aspx?elementName=Elementary-Middle Additional Indicator Status &amp;elementID=13091", "Click here to submit comment")</f>
        <v>Click here to submit comment</v>
      </c>
    </row>
    <row r="865" spans="1:14" ht="15" customHeight="1" x14ac:dyDescent="0.25">
      <c r="A865" s="9" t="s">
        <v>11128</v>
      </c>
      <c r="B865" s="9" t="s">
        <v>11129</v>
      </c>
      <c r="C865" s="9" t="s">
        <v>12</v>
      </c>
      <c r="D865" s="9" t="s">
        <v>11130</v>
      </c>
      <c r="E865" s="9"/>
      <c r="F865" s="9" t="s">
        <v>73</v>
      </c>
      <c r="G865" s="9"/>
      <c r="H865" s="9"/>
      <c r="I865" s="9" t="s">
        <v>11131</v>
      </c>
      <c r="J865" s="9"/>
      <c r="K865" s="9" t="s">
        <v>11132</v>
      </c>
      <c r="L865" s="9"/>
      <c r="M865" s="9" t="str">
        <f>HYPERLINK("https://ceds.ed.gov/cedselementdetails.aspx?termid=14712")</f>
        <v>https://ceds.ed.gov/cedselementdetails.aspx?termid=14712</v>
      </c>
      <c r="N865" s="9" t="str">
        <f>HYPERLINK("https://ceds.ed.gov/elementComment.aspx?elementName=Eligibility Evaluation Date &amp;elementID=14712", "Click here to submit comment")</f>
        <v>Click here to submit comment</v>
      </c>
    </row>
    <row r="866" spans="1:14" ht="15" customHeight="1" x14ac:dyDescent="0.25">
      <c r="A866" s="9" t="s">
        <v>11133</v>
      </c>
      <c r="B866" s="9" t="s">
        <v>11134</v>
      </c>
      <c r="C866" s="9" t="s">
        <v>12</v>
      </c>
      <c r="D866" s="9" t="s">
        <v>11130</v>
      </c>
      <c r="E866" s="9"/>
      <c r="F866" s="9" t="s">
        <v>303</v>
      </c>
      <c r="G866" s="9"/>
      <c r="H866" s="9"/>
      <c r="I866" s="9" t="s">
        <v>11135</v>
      </c>
      <c r="J866" s="9"/>
      <c r="K866" s="9" t="s">
        <v>11136</v>
      </c>
      <c r="L866" s="9"/>
      <c r="M866" s="9" t="str">
        <f>HYPERLINK("https://ceds.ed.gov/cedselementdetails.aspx?termid=14711")</f>
        <v>https://ceds.ed.gov/cedselementdetails.aspx?termid=14711</v>
      </c>
      <c r="N866" s="9" t="str">
        <f>HYPERLINK("https://ceds.ed.gov/elementComment.aspx?elementName=Eligibility Evaluation Description &amp;elementID=14711", "Click here to submit comment")</f>
        <v>Click here to submit comment</v>
      </c>
    </row>
    <row r="867" spans="1:14" ht="15" customHeight="1" x14ac:dyDescent="0.25">
      <c r="A867" s="9" t="s">
        <v>11137</v>
      </c>
      <c r="B867" s="9" t="s">
        <v>11138</v>
      </c>
      <c r="C867" s="9" t="s">
        <v>12</v>
      </c>
      <c r="D867" s="9" t="s">
        <v>11130</v>
      </c>
      <c r="E867" s="9"/>
      <c r="F867" s="9" t="s">
        <v>303</v>
      </c>
      <c r="G867" s="9"/>
      <c r="H867" s="9"/>
      <c r="I867" s="9" t="s">
        <v>11139</v>
      </c>
      <c r="J867" s="9"/>
      <c r="K867" s="9" t="s">
        <v>11140</v>
      </c>
      <c r="L867" s="9"/>
      <c r="M867" s="9" t="str">
        <f>HYPERLINK("https://ceds.ed.gov/cedselementdetails.aspx?termid=14713")</f>
        <v>https://ceds.ed.gov/cedselementdetails.aspx?termid=14713</v>
      </c>
      <c r="N867" s="9" t="str">
        <f>HYPERLINK("https://ceds.ed.gov/elementComment.aspx?elementName=Eligibility Parent Observations Explanation &amp;elementID=14713", "Click here to submit comment")</f>
        <v>Click here to submit comment</v>
      </c>
    </row>
    <row r="868" spans="1:14" ht="15" customHeight="1" x14ac:dyDescent="0.25">
      <c r="A868" s="9" t="s">
        <v>2598</v>
      </c>
      <c r="B868" s="9" t="s">
        <v>2599</v>
      </c>
      <c r="C868" s="9" t="s">
        <v>12</v>
      </c>
      <c r="D868" s="9" t="s">
        <v>2390</v>
      </c>
      <c r="E868" s="9"/>
      <c r="F868" s="9" t="s">
        <v>762</v>
      </c>
      <c r="G868" s="9"/>
      <c r="H868" s="9"/>
      <c r="I868" s="9" t="s">
        <v>2600</v>
      </c>
      <c r="J868" s="9"/>
      <c r="K868" s="9" t="s">
        <v>2601</v>
      </c>
      <c r="L868" s="9"/>
      <c r="M868" s="9" t="str">
        <f>HYPERLINK("https://ceds.ed.gov/cedselementdetails.aspx?termid=14597")</f>
        <v>https://ceds.ed.gov/cedselementdetails.aspx?termid=14597</v>
      </c>
      <c r="N868" s="9" t="str">
        <f>HYPERLINK("https://ceds.ed.gov/elementComment.aspx?elementName=Eligibility Priority Points &amp;elementID=14597", "Click here to submit comment")</f>
        <v>Click here to submit comment</v>
      </c>
    </row>
    <row r="869" spans="1:14" ht="15" customHeight="1" x14ac:dyDescent="0.25">
      <c r="A869" s="9" t="s">
        <v>2602</v>
      </c>
      <c r="B869" s="9" t="s">
        <v>2603</v>
      </c>
      <c r="C869" s="10" t="s">
        <v>6486</v>
      </c>
      <c r="D869" s="9" t="s">
        <v>2567</v>
      </c>
      <c r="E869" s="9"/>
      <c r="F869" s="9"/>
      <c r="G869" s="9"/>
      <c r="H869" s="9"/>
      <c r="I869" s="9" t="s">
        <v>2604</v>
      </c>
      <c r="J869" s="9"/>
      <c r="K869" s="9" t="s">
        <v>2605</v>
      </c>
      <c r="L869" s="9" t="s">
        <v>6109</v>
      </c>
      <c r="M869" s="9" t="str">
        <f>HYPERLINK("https://ceds.ed.gov/cedselementdetails.aspx?termid=13092")</f>
        <v>https://ceds.ed.gov/cedselementdetails.aspx?termid=13092</v>
      </c>
      <c r="N869" s="9" t="str">
        <f>HYPERLINK("https://ceds.ed.gov/elementComment.aspx?elementName=Eligibility Status for School Food Service Programs &amp;elementID=13092", "Click here to submit comment")</f>
        <v>Click here to submit comment</v>
      </c>
    </row>
    <row r="870" spans="1:14" ht="60" x14ac:dyDescent="0.25">
      <c r="A870" s="9" t="s">
        <v>2606</v>
      </c>
      <c r="B870" s="9" t="s">
        <v>2607</v>
      </c>
      <c r="C870" s="9" t="s">
        <v>6106</v>
      </c>
      <c r="D870" s="9" t="s">
        <v>6194</v>
      </c>
      <c r="E870" s="9"/>
      <c r="F870" s="9"/>
      <c r="G870" s="9"/>
      <c r="H870" s="9"/>
      <c r="I870" s="9" t="s">
        <v>2608</v>
      </c>
      <c r="J870" s="9"/>
      <c r="K870" s="9" t="s">
        <v>2609</v>
      </c>
      <c r="L870" s="9"/>
      <c r="M870" s="9" t="str">
        <f>HYPERLINK("https://ceds.ed.gov/cedselementdetails.aspx?termid=14308")</f>
        <v>https://ceds.ed.gov/cedselementdetails.aspx?termid=14308</v>
      </c>
      <c r="N870" s="9" t="str">
        <f>HYPERLINK("https://ceds.ed.gov/elementComment.aspx?elementName=Emergency Contact Indicator &amp;elementID=14308", "Click here to submit comment")</f>
        <v>Click here to submit comment</v>
      </c>
    </row>
    <row r="871" spans="1:14" ht="270" x14ac:dyDescent="0.25">
      <c r="A871" s="9" t="s">
        <v>2610</v>
      </c>
      <c r="B871" s="9" t="s">
        <v>2611</v>
      </c>
      <c r="C871" s="9" t="s">
        <v>6195</v>
      </c>
      <c r="D871" s="9" t="s">
        <v>6196</v>
      </c>
      <c r="E871" s="9"/>
      <c r="F871" s="9"/>
      <c r="G871" s="9"/>
      <c r="H871" s="9" t="s">
        <v>2612</v>
      </c>
      <c r="I871" s="9" t="s">
        <v>2613</v>
      </c>
      <c r="J871" s="9"/>
      <c r="K871" s="9" t="s">
        <v>2614</v>
      </c>
      <c r="L871" s="9" t="s">
        <v>2615</v>
      </c>
      <c r="M871" s="9" t="str">
        <f>HYPERLINK("https://ceds.ed.gov/cedselementdetails.aspx?termid=13990")</f>
        <v>https://ceds.ed.gov/cedselementdetails.aspx?termid=13990</v>
      </c>
      <c r="N871" s="9" t="str">
        <f>HYPERLINK("https://ceds.ed.gov/elementComment.aspx?elementName=Employed After Exit &amp;elementID=13990", "Click here to submit comment")</f>
        <v>Click here to submit comment</v>
      </c>
    </row>
    <row r="872" spans="1:14" ht="225" x14ac:dyDescent="0.25">
      <c r="A872" s="9" t="s">
        <v>2616</v>
      </c>
      <c r="B872" s="9" t="s">
        <v>2617</v>
      </c>
      <c r="C872" s="9" t="s">
        <v>6195</v>
      </c>
      <c r="D872" s="9" t="s">
        <v>2618</v>
      </c>
      <c r="E872" s="9"/>
      <c r="F872" s="9"/>
      <c r="G872" s="9"/>
      <c r="H872" s="9" t="s">
        <v>2619</v>
      </c>
      <c r="I872" s="9" t="s">
        <v>2620</v>
      </c>
      <c r="J872" s="9"/>
      <c r="K872" s="9" t="s">
        <v>2621</v>
      </c>
      <c r="L872" s="9"/>
      <c r="M872" s="9" t="str">
        <f>HYPERLINK("https://ceds.ed.gov/cedselementdetails.aspx?termid=14309")</f>
        <v>https://ceds.ed.gov/cedselementdetails.aspx?termid=14309</v>
      </c>
      <c r="N872" s="9" t="str">
        <f>HYPERLINK("https://ceds.ed.gov/elementComment.aspx?elementName=Employed Prior to Enrollment &amp;elementID=14309", "Click here to submit comment")</f>
        <v>Click here to submit comment</v>
      </c>
    </row>
    <row r="873" spans="1:14" ht="225" x14ac:dyDescent="0.25">
      <c r="A873" s="9" t="s">
        <v>2622</v>
      </c>
      <c r="B873" s="9" t="s">
        <v>2623</v>
      </c>
      <c r="C873" s="9" t="s">
        <v>6195</v>
      </c>
      <c r="D873" s="9" t="s">
        <v>6196</v>
      </c>
      <c r="E873" s="9"/>
      <c r="F873" s="9"/>
      <c r="G873" s="9"/>
      <c r="H873" s="9" t="s">
        <v>2624</v>
      </c>
      <c r="I873" s="9" t="s">
        <v>2625</v>
      </c>
      <c r="J873" s="9"/>
      <c r="K873" s="9" t="s">
        <v>2626</v>
      </c>
      <c r="L873" s="9" t="s">
        <v>2615</v>
      </c>
      <c r="M873" s="9" t="str">
        <f>HYPERLINK("https://ceds.ed.gov/cedselementdetails.aspx?termid=13989")</f>
        <v>https://ceds.ed.gov/cedselementdetails.aspx?termid=13989</v>
      </c>
      <c r="N873" s="9" t="str">
        <f>HYPERLINK("https://ceds.ed.gov/elementComment.aspx?elementName=Employed While Enrolled &amp;elementID=13989", "Click here to submit comment")</f>
        <v>Click here to submit comment</v>
      </c>
    </row>
    <row r="874" spans="1:14" ht="315" x14ac:dyDescent="0.25">
      <c r="A874" s="9" t="s">
        <v>2627</v>
      </c>
      <c r="B874" s="9" t="s">
        <v>2628</v>
      </c>
      <c r="C874" s="9" t="s">
        <v>12</v>
      </c>
      <c r="D874" s="9" t="s">
        <v>6197</v>
      </c>
      <c r="E874" s="9"/>
      <c r="F874" s="9" t="s">
        <v>73</v>
      </c>
      <c r="G874" s="9"/>
      <c r="H874" s="9"/>
      <c r="I874" s="9" t="s">
        <v>2629</v>
      </c>
      <c r="J874" s="9"/>
      <c r="K874" s="9" t="s">
        <v>2630</v>
      </c>
      <c r="L874" s="9" t="s">
        <v>182</v>
      </c>
      <c r="M874" s="9" t="str">
        <f>HYPERLINK("https://ceds.ed.gov/cedselementdetails.aspx?termid=13794")</f>
        <v>https://ceds.ed.gov/cedselementdetails.aspx?termid=13794</v>
      </c>
      <c r="N874" s="9" t="str">
        <f>HYPERLINK("https://ceds.ed.gov/elementComment.aspx?elementName=Employment End Date &amp;elementID=13794", "Click here to submit comment")</f>
        <v>Click here to submit comment</v>
      </c>
    </row>
    <row r="875" spans="1:14" ht="409.5" x14ac:dyDescent="0.25">
      <c r="A875" s="9" t="s">
        <v>2631</v>
      </c>
      <c r="B875" s="9" t="s">
        <v>2632</v>
      </c>
      <c r="C875" s="10" t="s">
        <v>6487</v>
      </c>
      <c r="D875" s="9" t="s">
        <v>2618</v>
      </c>
      <c r="E875" s="9"/>
      <c r="F875" s="9"/>
      <c r="G875" s="9"/>
      <c r="H875" s="9" t="s">
        <v>2633</v>
      </c>
      <c r="I875" s="9" t="s">
        <v>2634</v>
      </c>
      <c r="J875" s="9"/>
      <c r="K875" s="9" t="s">
        <v>2635</v>
      </c>
      <c r="L875" s="9"/>
      <c r="M875" s="9" t="str">
        <f>HYPERLINK("https://ceds.ed.gov/cedselementdetails.aspx?termid=13992")</f>
        <v>https://ceds.ed.gov/cedselementdetails.aspx?termid=13992</v>
      </c>
      <c r="N875" s="9" t="str">
        <f>HYPERLINK("https://ceds.ed.gov/elementComment.aspx?elementName=Employment Location &amp;elementID=13992", "Click here to submit comment")</f>
        <v>Click here to submit comment</v>
      </c>
    </row>
    <row r="876" spans="1:14" ht="225" x14ac:dyDescent="0.25">
      <c r="A876" s="9" t="s">
        <v>2636</v>
      </c>
      <c r="B876" s="9" t="s">
        <v>2637</v>
      </c>
      <c r="C876" s="9" t="s">
        <v>2638</v>
      </c>
      <c r="D876" s="9" t="s">
        <v>11141</v>
      </c>
      <c r="E876" s="9"/>
      <c r="F876" s="9" t="s">
        <v>11051</v>
      </c>
      <c r="G876" s="9"/>
      <c r="H876" s="9"/>
      <c r="I876" s="9" t="s">
        <v>2639</v>
      </c>
      <c r="J876" s="9"/>
      <c r="K876" s="9" t="s">
        <v>2640</v>
      </c>
      <c r="L876" s="9"/>
      <c r="M876" s="9" t="str">
        <f>HYPERLINK("https://ceds.ed.gov/cedselementdetails.aspx?termid=14070")</f>
        <v>https://ceds.ed.gov/cedselementdetails.aspx?termid=14070</v>
      </c>
      <c r="N876" s="9" t="str">
        <f>HYPERLINK("https://ceds.ed.gov/elementComment.aspx?elementName=Employment NAICS Code &amp;elementID=14070", "Click here to submit comment")</f>
        <v>Click here to submit comment</v>
      </c>
    </row>
    <row r="877" spans="1:14" ht="300" x14ac:dyDescent="0.25">
      <c r="A877" s="9" t="s">
        <v>2641</v>
      </c>
      <c r="B877" s="9" t="s">
        <v>2642</v>
      </c>
      <c r="C877" s="10" t="s">
        <v>6488</v>
      </c>
      <c r="D877" s="9" t="s">
        <v>2618</v>
      </c>
      <c r="E877" s="9"/>
      <c r="F877" s="9"/>
      <c r="G877" s="9"/>
      <c r="H877" s="9" t="s">
        <v>2643</v>
      </c>
      <c r="I877" s="9" t="s">
        <v>2644</v>
      </c>
      <c r="J877" s="9"/>
      <c r="K877" s="9" t="s">
        <v>2645</v>
      </c>
      <c r="L877" s="9"/>
      <c r="M877" s="9" t="str">
        <f>HYPERLINK("https://ceds.ed.gov/cedselementdetails.aspx?termid=13996")</f>
        <v>https://ceds.ed.gov/cedselementdetails.aspx?termid=13996</v>
      </c>
      <c r="N877" s="9" t="str">
        <f>HYPERLINK("https://ceds.ed.gov/elementComment.aspx?elementName=Employment Record Administrative Data Source &amp;elementID=13996", "Click here to submit comment")</f>
        <v>Click here to submit comment</v>
      </c>
    </row>
    <row r="878" spans="1:14" ht="360" x14ac:dyDescent="0.25">
      <c r="A878" s="9" t="s">
        <v>2646</v>
      </c>
      <c r="B878" s="9" t="s">
        <v>2647</v>
      </c>
      <c r="C878" s="9" t="s">
        <v>12</v>
      </c>
      <c r="D878" s="9" t="s">
        <v>2618</v>
      </c>
      <c r="E878" s="9"/>
      <c r="F878" s="9" t="s">
        <v>73</v>
      </c>
      <c r="G878" s="9"/>
      <c r="H878" s="9" t="s">
        <v>2648</v>
      </c>
      <c r="I878" s="9" t="s">
        <v>2649</v>
      </c>
      <c r="J878" s="9"/>
      <c r="K878" s="9" t="s">
        <v>2650</v>
      </c>
      <c r="L878" s="9"/>
      <c r="M878" s="9" t="str">
        <f>HYPERLINK("https://ceds.ed.gov/cedselementdetails.aspx?termid=13995")</f>
        <v>https://ceds.ed.gov/cedselementdetails.aspx?termid=13995</v>
      </c>
      <c r="N878" s="9" t="str">
        <f>HYPERLINK("https://ceds.ed.gov/elementComment.aspx?elementName=Employment Record Reference Period End Date &amp;elementID=13995", "Click here to submit comment")</f>
        <v>Click here to submit comment</v>
      </c>
    </row>
    <row r="879" spans="1:14" ht="360" x14ac:dyDescent="0.25">
      <c r="A879" s="9" t="s">
        <v>2651</v>
      </c>
      <c r="B879" s="9" t="s">
        <v>2652</v>
      </c>
      <c r="C879" s="9" t="s">
        <v>12</v>
      </c>
      <c r="D879" s="9" t="s">
        <v>2618</v>
      </c>
      <c r="E879" s="9"/>
      <c r="F879" s="9" t="s">
        <v>73</v>
      </c>
      <c r="G879" s="9"/>
      <c r="H879" s="9" t="s">
        <v>2648</v>
      </c>
      <c r="I879" s="9" t="s">
        <v>2653</v>
      </c>
      <c r="J879" s="9"/>
      <c r="K879" s="9" t="s">
        <v>2654</v>
      </c>
      <c r="L879" s="9"/>
      <c r="M879" s="9" t="str">
        <f>HYPERLINK("https://ceds.ed.gov/cedselementdetails.aspx?termid=13994")</f>
        <v>https://ceds.ed.gov/cedselementdetails.aspx?termid=13994</v>
      </c>
      <c r="N879" s="9" t="str">
        <f>HYPERLINK("https://ceds.ed.gov/elementComment.aspx?elementName=Employment Record Reference Period Start Date &amp;elementID=13994", "Click here to submit comment")</f>
        <v>Click here to submit comment</v>
      </c>
    </row>
    <row r="880" spans="1:14" ht="15" customHeight="1" x14ac:dyDescent="0.25">
      <c r="A880" s="9" t="s">
        <v>2655</v>
      </c>
      <c r="B880" s="9" t="s">
        <v>2440</v>
      </c>
      <c r="C880" s="10" t="s">
        <v>6467</v>
      </c>
      <c r="D880" s="9" t="s">
        <v>6198</v>
      </c>
      <c r="E880" s="9"/>
      <c r="F880" s="9"/>
      <c r="G880" s="9"/>
      <c r="H880" s="9"/>
      <c r="I880" s="9" t="s">
        <v>2656</v>
      </c>
      <c r="J880" s="9"/>
      <c r="K880" s="9" t="s">
        <v>2657</v>
      </c>
      <c r="L880" s="9"/>
      <c r="M880" s="9" t="str">
        <f>HYPERLINK("https://ceds.ed.gov/cedselementdetails.aspx?termid=13613")</f>
        <v>https://ceds.ed.gov/cedselementdetails.aspx?termid=13613</v>
      </c>
      <c r="N880" s="9" t="str">
        <f>HYPERLINK("https://ceds.ed.gov/elementComment.aspx?elementName=Employment Separation Reason &amp;elementID=13613", "Click here to submit comment")</f>
        <v>Click here to submit comment</v>
      </c>
    </row>
    <row r="881" spans="1:14" ht="15" customHeight="1" x14ac:dyDescent="0.25">
      <c r="A881" s="9" t="s">
        <v>2658</v>
      </c>
      <c r="B881" s="9" t="s">
        <v>2659</v>
      </c>
      <c r="C881" s="10" t="s">
        <v>6489</v>
      </c>
      <c r="D881" s="9" t="s">
        <v>6198</v>
      </c>
      <c r="E881" s="9"/>
      <c r="F881" s="9"/>
      <c r="G881" s="9"/>
      <c r="H881" s="9"/>
      <c r="I881" s="9" t="s">
        <v>2660</v>
      </c>
      <c r="J881" s="9"/>
      <c r="K881" s="9" t="s">
        <v>2661</v>
      </c>
      <c r="L881" s="9"/>
      <c r="M881" s="9" t="str">
        <f>HYPERLINK("https://ceds.ed.gov/cedselementdetails.aspx?termid=13614")</f>
        <v>https://ceds.ed.gov/cedselementdetails.aspx?termid=13614</v>
      </c>
      <c r="N881" s="9" t="str">
        <f>HYPERLINK("https://ceds.ed.gov/elementComment.aspx?elementName=Employment Separation Type &amp;elementID=13614", "Click here to submit comment")</f>
        <v>Click here to submit comment</v>
      </c>
    </row>
    <row r="882" spans="1:14" ht="15" customHeight="1" x14ac:dyDescent="0.25">
      <c r="A882" s="9" t="s">
        <v>2662</v>
      </c>
      <c r="B882" s="9" t="s">
        <v>2663</v>
      </c>
      <c r="C882" s="9" t="s">
        <v>12</v>
      </c>
      <c r="D882" s="9" t="s">
        <v>6197</v>
      </c>
      <c r="E882" s="9"/>
      <c r="F882" s="9" t="s">
        <v>73</v>
      </c>
      <c r="G882" s="9"/>
      <c r="H882" s="9"/>
      <c r="I882" s="9" t="s">
        <v>2664</v>
      </c>
      <c r="J882" s="9"/>
      <c r="K882" s="9" t="s">
        <v>2665</v>
      </c>
      <c r="L882" s="9" t="s">
        <v>6199</v>
      </c>
      <c r="M882" s="9" t="str">
        <f>HYPERLINK("https://ceds.ed.gov/cedselementdetails.aspx?termid=13345")</f>
        <v>https://ceds.ed.gov/cedselementdetails.aspx?termid=13345</v>
      </c>
      <c r="N882" s="9" t="str">
        <f>HYPERLINK("https://ceds.ed.gov/elementComment.aspx?elementName=Employment Start Date &amp;elementID=13345", "Click here to submit comment")</f>
        <v>Click here to submit comment</v>
      </c>
    </row>
    <row r="883" spans="1:14" ht="15" customHeight="1" x14ac:dyDescent="0.25">
      <c r="A883" s="9" t="s">
        <v>2666</v>
      </c>
      <c r="B883" s="9" t="s">
        <v>270</v>
      </c>
      <c r="C883" s="10" t="s">
        <v>6490</v>
      </c>
      <c r="D883" s="9" t="s">
        <v>6198</v>
      </c>
      <c r="E883" s="9"/>
      <c r="F883" s="9"/>
      <c r="G883" s="9"/>
      <c r="H883" s="9"/>
      <c r="I883" s="9" t="s">
        <v>2667</v>
      </c>
      <c r="J883" s="9"/>
      <c r="K883" s="9" t="s">
        <v>2668</v>
      </c>
      <c r="L883" s="9" t="s">
        <v>6183</v>
      </c>
      <c r="M883" s="9" t="str">
        <f>HYPERLINK("https://ceds.ed.gov/cedselementdetails.aspx?termid=13346")</f>
        <v>https://ceds.ed.gov/cedselementdetails.aspx?termid=13346</v>
      </c>
      <c r="N883" s="9" t="str">
        <f>HYPERLINK("https://ceds.ed.gov/elementComment.aspx?elementName=Employment Status &amp;elementID=13346", "Click here to submit comment")</f>
        <v>Click here to submit comment</v>
      </c>
    </row>
    <row r="884" spans="1:14" ht="15" customHeight="1" x14ac:dyDescent="0.25">
      <c r="A884" s="9" t="s">
        <v>2669</v>
      </c>
      <c r="B884" s="9" t="s">
        <v>2670</v>
      </c>
      <c r="C884" s="10" t="s">
        <v>6491</v>
      </c>
      <c r="D884" s="9" t="s">
        <v>2671</v>
      </c>
      <c r="E884" s="9"/>
      <c r="F884" s="9"/>
      <c r="G884" s="9"/>
      <c r="H884" s="9"/>
      <c r="I884" s="9" t="s">
        <v>2672</v>
      </c>
      <c r="J884" s="9"/>
      <c r="K884" s="9" t="s">
        <v>2673</v>
      </c>
      <c r="L884" s="9"/>
      <c r="M884" s="9" t="str">
        <f>HYPERLINK("https://ceds.ed.gov/cedselementdetails.aspx?termid=14310")</f>
        <v>https://ceds.ed.gov/cedselementdetails.aspx?termid=14310</v>
      </c>
      <c r="N884" s="9" t="str">
        <f>HYPERLINK("https://ceds.ed.gov/elementComment.aspx?elementName=Employment Status While Enrolled &amp;elementID=14310", "Click here to submit comment")</f>
        <v>Click here to submit comment</v>
      </c>
    </row>
    <row r="885" spans="1:14" ht="15" customHeight="1" x14ac:dyDescent="0.25">
      <c r="A885" s="9" t="s">
        <v>2674</v>
      </c>
      <c r="B885" s="9" t="s">
        <v>2675</v>
      </c>
      <c r="C885" s="10" t="s">
        <v>6492</v>
      </c>
      <c r="D885" s="9" t="s">
        <v>28</v>
      </c>
      <c r="E885" s="9"/>
      <c r="F885" s="9"/>
      <c r="G885" s="9"/>
      <c r="H885" s="9"/>
      <c r="I885" s="9" t="s">
        <v>2676</v>
      </c>
      <c r="J885" s="9"/>
      <c r="K885" s="9" t="s">
        <v>2677</v>
      </c>
      <c r="L885" s="9" t="s">
        <v>4</v>
      </c>
      <c r="M885" s="9" t="str">
        <f>HYPERLINK("https://ceds.ed.gov/cedselementdetails.aspx?termid=13093")</f>
        <v>https://ceds.ed.gov/cedselementdetails.aspx?termid=13093</v>
      </c>
      <c r="N885" s="9" t="str">
        <f>HYPERLINK("https://ceds.ed.gov/elementComment.aspx?elementName=End of Term Status &amp;elementID=13093", "Click here to submit comment")</f>
        <v>Click here to submit comment</v>
      </c>
    </row>
    <row r="886" spans="1:14" ht="60" x14ac:dyDescent="0.25">
      <c r="A886" s="9" t="s">
        <v>11142</v>
      </c>
      <c r="B886" s="9" t="s">
        <v>11143</v>
      </c>
      <c r="C886" s="9" t="s">
        <v>12</v>
      </c>
      <c r="D886" s="9" t="s">
        <v>11144</v>
      </c>
      <c r="E886" s="9" t="s">
        <v>91</v>
      </c>
      <c r="F886" s="9" t="s">
        <v>73</v>
      </c>
      <c r="G886" s="9" t="s">
        <v>11145</v>
      </c>
      <c r="H886" s="9"/>
      <c r="I886" s="9" t="s">
        <v>4073</v>
      </c>
      <c r="J886" s="9" t="s">
        <v>4074</v>
      </c>
      <c r="K886" s="9" t="s">
        <v>11149</v>
      </c>
      <c r="L886" s="9"/>
      <c r="M886" s="9" t="str">
        <f>HYPERLINK("https://ceds.ed.gov/cedselementdetails.aspx?termid=14213")</f>
        <v>https://ceds.ed.gov/cedselementdetails.aspx?termid=14213</v>
      </c>
      <c r="N886" s="9" t="str">
        <f>HYPERLINK("https://ceds.ed.gov/elementComment.aspx?elementName=English Learner Entry Date &amp;elementID=14213", "Click here to submit comment")</f>
        <v>Click here to submit comment</v>
      </c>
    </row>
    <row r="887" spans="1:14" ht="60" x14ac:dyDescent="0.25">
      <c r="A887" s="9" t="s">
        <v>11147</v>
      </c>
      <c r="B887" s="9" t="s">
        <v>11148</v>
      </c>
      <c r="C887" s="9" t="s">
        <v>12</v>
      </c>
      <c r="D887" s="9" t="s">
        <v>11144</v>
      </c>
      <c r="E887" s="9" t="s">
        <v>91</v>
      </c>
      <c r="F887" s="9" t="s">
        <v>73</v>
      </c>
      <c r="G887" s="9" t="s">
        <v>11145</v>
      </c>
      <c r="H887" s="9"/>
      <c r="I887" s="9" t="s">
        <v>4075</v>
      </c>
      <c r="J887" s="9" t="s">
        <v>4076</v>
      </c>
      <c r="K887" s="9" t="s">
        <v>11146</v>
      </c>
      <c r="L887" s="9" t="s">
        <v>199</v>
      </c>
      <c r="M887" s="9" t="str">
        <f>HYPERLINK("https://ceds.ed.gov/cedselementdetails.aspx?termid=13562")</f>
        <v>https://ceds.ed.gov/cedselementdetails.aspx?termid=13562</v>
      </c>
      <c r="N887" s="9" t="str">
        <f>HYPERLINK("https://ceds.ed.gov/elementComment.aspx?elementName=English Learner Exit Date &amp;elementID=13562", "Click here to submit comment")</f>
        <v>Click here to submit comment</v>
      </c>
    </row>
    <row r="888" spans="1:14" ht="409.5" x14ac:dyDescent="0.25">
      <c r="A888" s="9" t="s">
        <v>11150</v>
      </c>
      <c r="B888" s="9" t="s">
        <v>11151</v>
      </c>
      <c r="C888" s="9" t="s">
        <v>6106</v>
      </c>
      <c r="D888" s="9" t="s">
        <v>11152</v>
      </c>
      <c r="E888" s="9" t="s">
        <v>91</v>
      </c>
      <c r="F888" s="9"/>
      <c r="G888" s="9" t="s">
        <v>11153</v>
      </c>
      <c r="H888" s="9" t="s">
        <v>11154</v>
      </c>
      <c r="I888" s="9" t="s">
        <v>4077</v>
      </c>
      <c r="J888" s="9" t="s">
        <v>4078</v>
      </c>
      <c r="K888" s="9" t="s">
        <v>11155</v>
      </c>
      <c r="L888" s="9" t="s">
        <v>6155</v>
      </c>
      <c r="M888" s="9" t="str">
        <f>HYPERLINK("https://ceds.ed.gov/cedselementdetails.aspx?termid=13180")</f>
        <v>https://ceds.ed.gov/cedselementdetails.aspx?termid=13180</v>
      </c>
      <c r="N888" s="9" t="str">
        <f>HYPERLINK("https://ceds.ed.gov/elementComment.aspx?elementName=English Learner Status &amp;elementID=13180", "Click here to submit comment")</f>
        <v>Click here to submit comment</v>
      </c>
    </row>
    <row r="889" spans="1:14" ht="60" x14ac:dyDescent="0.25">
      <c r="A889" s="9" t="s">
        <v>2678</v>
      </c>
      <c r="B889" s="9" t="s">
        <v>2679</v>
      </c>
      <c r="C889" s="9" t="s">
        <v>12</v>
      </c>
      <c r="D889" s="9" t="s">
        <v>6200</v>
      </c>
      <c r="E889" s="9"/>
      <c r="F889" s="9" t="s">
        <v>73</v>
      </c>
      <c r="G889" s="9"/>
      <c r="H889" s="9"/>
      <c r="I889" s="9" t="s">
        <v>2680</v>
      </c>
      <c r="J889" s="9"/>
      <c r="K889" s="9" t="s">
        <v>2681</v>
      </c>
      <c r="L889" s="9" t="s">
        <v>6124</v>
      </c>
      <c r="M889" s="9" t="str">
        <f>HYPERLINK("https://ceds.ed.gov/cedselementdetails.aspx?termid=13324")</f>
        <v>https://ceds.ed.gov/cedselementdetails.aspx?termid=13324</v>
      </c>
      <c r="N889" s="9" t="str">
        <f>HYPERLINK("https://ceds.ed.gov/elementComment.aspx?elementName=Enrollment Date &amp;elementID=13324", "Click here to submit comment")</f>
        <v>Click here to submit comment</v>
      </c>
    </row>
    <row r="890" spans="1:14" ht="195" x14ac:dyDescent="0.25">
      <c r="A890" s="9" t="s">
        <v>2682</v>
      </c>
      <c r="B890" s="9" t="s">
        <v>2683</v>
      </c>
      <c r="C890" s="9" t="s">
        <v>12</v>
      </c>
      <c r="D890" s="9" t="s">
        <v>6201</v>
      </c>
      <c r="E890" s="9"/>
      <c r="F890" s="9" t="s">
        <v>73</v>
      </c>
      <c r="G890" s="9"/>
      <c r="H890" s="9"/>
      <c r="I890" s="9" t="s">
        <v>2684</v>
      </c>
      <c r="J890" s="9"/>
      <c r="K890" s="9" t="s">
        <v>2685</v>
      </c>
      <c r="L890" s="9" t="s">
        <v>6202</v>
      </c>
      <c r="M890" s="9" t="str">
        <f>HYPERLINK("https://ceds.ed.gov/cedselementdetails.aspx?termid=13097")</f>
        <v>https://ceds.ed.gov/cedselementdetails.aspx?termid=13097</v>
      </c>
      <c r="N890" s="9" t="str">
        <f>HYPERLINK("https://ceds.ed.gov/elementComment.aspx?elementName=Enrollment Entry Date &amp;elementID=13097", "Click here to submit comment")</f>
        <v>Click here to submit comment</v>
      </c>
    </row>
    <row r="891" spans="1:14" ht="135" x14ac:dyDescent="0.25">
      <c r="A891" s="9" t="s">
        <v>2686</v>
      </c>
      <c r="B891" s="9" t="s">
        <v>2687</v>
      </c>
      <c r="C891" s="9" t="s">
        <v>12</v>
      </c>
      <c r="D891" s="9" t="s">
        <v>6203</v>
      </c>
      <c r="E891" s="9"/>
      <c r="F891" s="9" t="s">
        <v>73</v>
      </c>
      <c r="G891" s="9"/>
      <c r="H891" s="9"/>
      <c r="I891" s="9" t="s">
        <v>2688</v>
      </c>
      <c r="J891" s="9"/>
      <c r="K891" s="9" t="s">
        <v>2689</v>
      </c>
      <c r="L891" s="9" t="s">
        <v>25</v>
      </c>
      <c r="M891" s="9" t="str">
        <f>HYPERLINK("https://ceds.ed.gov/cedselementdetails.aspx?termid=13107")</f>
        <v>https://ceds.ed.gov/cedselementdetails.aspx?termid=13107</v>
      </c>
      <c r="N891" s="9" t="str">
        <f>HYPERLINK("https://ceds.ed.gov/elementComment.aspx?elementName=Enrollment Exit Date &amp;elementID=13107", "Click here to submit comment")</f>
        <v>Click here to submit comment</v>
      </c>
    </row>
    <row r="892" spans="1:14" ht="285" x14ac:dyDescent="0.25">
      <c r="A892" s="9" t="s">
        <v>2690</v>
      </c>
      <c r="B892" s="9" t="s">
        <v>2691</v>
      </c>
      <c r="C892" s="10" t="s">
        <v>6311</v>
      </c>
      <c r="D892" s="9" t="s">
        <v>2692</v>
      </c>
      <c r="E892" s="9"/>
      <c r="F892" s="9"/>
      <c r="G892" s="9"/>
      <c r="H892" s="9"/>
      <c r="I892" s="9" t="s">
        <v>2693</v>
      </c>
      <c r="J892" s="9"/>
      <c r="K892" s="9" t="s">
        <v>2694</v>
      </c>
      <c r="L892" s="9" t="s">
        <v>6115</v>
      </c>
      <c r="M892" s="9" t="str">
        <f>HYPERLINK("https://ceds.ed.gov/cedselementdetails.aspx?termid=13360")</f>
        <v>https://ceds.ed.gov/cedselementdetails.aspx?termid=13360</v>
      </c>
      <c r="N892" s="9" t="str">
        <f>HYPERLINK("https://ceds.ed.gov/elementComment.aspx?elementName=Enrollment in Postsecondary Award Type &amp;elementID=13360", "Click here to submit comment")</f>
        <v>Click here to submit comment</v>
      </c>
    </row>
    <row r="893" spans="1:14" ht="75" x14ac:dyDescent="0.25">
      <c r="A893" s="9" t="s">
        <v>2695</v>
      </c>
      <c r="B893" s="9" t="s">
        <v>2696</v>
      </c>
      <c r="C893" s="10" t="s">
        <v>6493</v>
      </c>
      <c r="D893" s="9" t="s">
        <v>2335</v>
      </c>
      <c r="E893" s="9"/>
      <c r="F893" s="9"/>
      <c r="G893" s="9"/>
      <c r="H893" s="9"/>
      <c r="I893" s="9" t="s">
        <v>2697</v>
      </c>
      <c r="J893" s="9"/>
      <c r="K893" s="9" t="s">
        <v>2698</v>
      </c>
      <c r="L893" s="9" t="s">
        <v>199</v>
      </c>
      <c r="M893" s="9" t="str">
        <f>HYPERLINK("https://ceds.ed.gov/cedselementdetails.aspx?termid=13094")</f>
        <v>https://ceds.ed.gov/cedselementdetails.aspx?termid=13094</v>
      </c>
      <c r="N893" s="9" t="str">
        <f>HYPERLINK("https://ceds.ed.gov/elementComment.aspx?elementName=Enrollment Status &amp;elementID=13094", "Click here to submit comment")</f>
        <v>Click here to submit comment</v>
      </c>
    </row>
    <row r="894" spans="1:14" ht="90" x14ac:dyDescent="0.25">
      <c r="A894" s="9" t="s">
        <v>2699</v>
      </c>
      <c r="B894" s="9" t="s">
        <v>2700</v>
      </c>
      <c r="C894" s="9" t="s">
        <v>12</v>
      </c>
      <c r="D894" s="9" t="s">
        <v>1808</v>
      </c>
      <c r="E894" s="9"/>
      <c r="F894" s="9" t="s">
        <v>73</v>
      </c>
      <c r="G894" s="9"/>
      <c r="H894" s="9"/>
      <c r="I894" s="9" t="s">
        <v>2701</v>
      </c>
      <c r="J894" s="9"/>
      <c r="K894" s="9" t="s">
        <v>2702</v>
      </c>
      <c r="L894" s="9" t="s">
        <v>6204</v>
      </c>
      <c r="M894" s="9" t="str">
        <f>HYPERLINK("https://ceds.ed.gov/cedselementdetails.aspx?termid=13098")</f>
        <v>https://ceds.ed.gov/cedselementdetails.aspx?termid=13098</v>
      </c>
      <c r="N894" s="9" t="str">
        <f>HYPERLINK("https://ceds.ed.gov/elementComment.aspx?elementName=Entry Date into Postsecondary &amp;elementID=13098", "Click here to submit comment")</f>
        <v>Click here to submit comment</v>
      </c>
    </row>
    <row r="895" spans="1:14" ht="330" x14ac:dyDescent="0.25">
      <c r="A895" s="9" t="s">
        <v>2703</v>
      </c>
      <c r="B895" s="9" t="s">
        <v>2704</v>
      </c>
      <c r="C895" s="10" t="s">
        <v>6494</v>
      </c>
      <c r="D895" s="9" t="s">
        <v>6205</v>
      </c>
      <c r="E895" s="9"/>
      <c r="F895" s="9"/>
      <c r="G895" s="9"/>
      <c r="H895" s="9"/>
      <c r="I895" s="9" t="s">
        <v>2705</v>
      </c>
      <c r="J895" s="9"/>
      <c r="K895" s="9" t="s">
        <v>2706</v>
      </c>
      <c r="L895" s="9" t="s">
        <v>6155</v>
      </c>
      <c r="M895" s="9" t="str">
        <f>HYPERLINK("https://ceds.ed.gov/cedselementdetails.aspx?termid=13100")</f>
        <v>https://ceds.ed.gov/cedselementdetails.aspx?termid=13100</v>
      </c>
      <c r="N895" s="9" t="str">
        <f>HYPERLINK("https://ceds.ed.gov/elementComment.aspx?elementName=Entry Grade Level &amp;elementID=13100", "Click here to submit comment")</f>
        <v>Click here to submit comment</v>
      </c>
    </row>
    <row r="896" spans="1:14" ht="409.5" x14ac:dyDescent="0.25">
      <c r="A896" s="9" t="s">
        <v>2707</v>
      </c>
      <c r="B896" s="9" t="s">
        <v>2708</v>
      </c>
      <c r="C896" s="10" t="s">
        <v>6495</v>
      </c>
      <c r="D896" s="9" t="s">
        <v>2335</v>
      </c>
      <c r="E896" s="9"/>
      <c r="F896" s="9"/>
      <c r="G896" s="9"/>
      <c r="H896" s="9"/>
      <c r="I896" s="9" t="s">
        <v>2709</v>
      </c>
      <c r="J896" s="9"/>
      <c r="K896" s="9" t="s">
        <v>2710</v>
      </c>
      <c r="L896" s="9" t="s">
        <v>6109</v>
      </c>
      <c r="M896" s="9" t="str">
        <f>HYPERLINK("https://ceds.ed.gov/cedselementdetails.aspx?termid=13099")</f>
        <v>https://ceds.ed.gov/cedselementdetails.aspx?termid=13099</v>
      </c>
      <c r="N896" s="9" t="str">
        <f>HYPERLINK("https://ceds.ed.gov/elementComment.aspx?elementName=Entry Type &amp;elementID=13099", "Click here to submit comment")</f>
        <v>Click here to submit comment</v>
      </c>
    </row>
    <row r="897" spans="1:14" ht="330" x14ac:dyDescent="0.25">
      <c r="A897" s="9" t="s">
        <v>2711</v>
      </c>
      <c r="B897" s="9" t="s">
        <v>2712</v>
      </c>
      <c r="C897" s="10" t="s">
        <v>6494</v>
      </c>
      <c r="D897" s="9" t="s">
        <v>6205</v>
      </c>
      <c r="E897" s="9"/>
      <c r="F897" s="9"/>
      <c r="G897" s="9"/>
      <c r="H897" s="9"/>
      <c r="I897" s="9" t="s">
        <v>2713</v>
      </c>
      <c r="J897" s="9"/>
      <c r="K897" s="9" t="s">
        <v>2714</v>
      </c>
      <c r="L897" s="9"/>
      <c r="M897" s="9" t="str">
        <f>HYPERLINK("https://ceds.ed.gov/cedselementdetails.aspx?termid=14177")</f>
        <v>https://ceds.ed.gov/cedselementdetails.aspx?termid=14177</v>
      </c>
      <c r="N897" s="9" t="str">
        <f>HYPERLINK("https://ceds.ed.gov/elementComment.aspx?elementName=Exit Grade Level &amp;elementID=14177", "Click here to submit comment")</f>
        <v>Click here to submit comment</v>
      </c>
    </row>
    <row r="898" spans="1:14" ht="60" x14ac:dyDescent="0.25">
      <c r="A898" s="9" t="s">
        <v>2715</v>
      </c>
      <c r="B898" s="9" t="s">
        <v>2716</v>
      </c>
      <c r="C898" s="10" t="s">
        <v>6496</v>
      </c>
      <c r="D898" s="9" t="s">
        <v>6206</v>
      </c>
      <c r="E898" s="9"/>
      <c r="F898" s="9"/>
      <c r="G898" s="9"/>
      <c r="H898" s="9"/>
      <c r="I898" s="9" t="s">
        <v>2717</v>
      </c>
      <c r="J898" s="9"/>
      <c r="K898" s="9" t="s">
        <v>2718</v>
      </c>
      <c r="L898" s="9" t="s">
        <v>2053</v>
      </c>
      <c r="M898" s="9" t="str">
        <f>HYPERLINK("https://ceds.ed.gov/cedselementdetails.aspx?termid=13108")</f>
        <v>https://ceds.ed.gov/cedselementdetails.aspx?termid=13108</v>
      </c>
      <c r="N898" s="9" t="str">
        <f>HYPERLINK("https://ceds.ed.gov/elementComment.aspx?elementName=Exit or Withdrawal Status &amp;elementID=13108", "Click here to submit comment")</f>
        <v>Click here to submit comment</v>
      </c>
    </row>
    <row r="899" spans="1:14" ht="409.5" x14ac:dyDescent="0.25">
      <c r="A899" s="9" t="s">
        <v>2719</v>
      </c>
      <c r="B899" s="9" t="s">
        <v>2720</v>
      </c>
      <c r="C899" s="10" t="s">
        <v>6497</v>
      </c>
      <c r="D899" s="9" t="s">
        <v>2335</v>
      </c>
      <c r="E899" s="9"/>
      <c r="F899" s="9"/>
      <c r="G899" s="9"/>
      <c r="H899" s="9"/>
      <c r="I899" s="9" t="s">
        <v>2721</v>
      </c>
      <c r="J899" s="9"/>
      <c r="K899" s="9" t="s">
        <v>2722</v>
      </c>
      <c r="L899" s="9" t="s">
        <v>6207</v>
      </c>
      <c r="M899" s="9" t="str">
        <f>HYPERLINK("https://ceds.ed.gov/cedselementdetails.aspx?termid=13110")</f>
        <v>https://ceds.ed.gov/cedselementdetails.aspx?termid=13110</v>
      </c>
      <c r="N899" s="9" t="str">
        <f>HYPERLINK("https://ceds.ed.gov/elementComment.aspx?elementName=Exit or Withdrawal Type &amp;elementID=13110", "Click here to submit comment")</f>
        <v>Click here to submit comment</v>
      </c>
    </row>
    <row r="900" spans="1:14" ht="409.5" x14ac:dyDescent="0.25">
      <c r="A900" s="9" t="s">
        <v>2723</v>
      </c>
      <c r="B900" s="9" t="s">
        <v>2724</v>
      </c>
      <c r="C900" s="10" t="s">
        <v>6498</v>
      </c>
      <c r="D900" s="9" t="s">
        <v>11156</v>
      </c>
      <c r="E900" s="9"/>
      <c r="F900" s="9"/>
      <c r="G900" s="9"/>
      <c r="H900" s="9"/>
      <c r="I900" s="9" t="s">
        <v>2725</v>
      </c>
      <c r="J900" s="9"/>
      <c r="K900" s="9" t="s">
        <v>2726</v>
      </c>
      <c r="L900" s="9"/>
      <c r="M900" s="9" t="str">
        <f>HYPERLINK("https://ceds.ed.gov/cedselementdetails.aspx?termid=13222")</f>
        <v>https://ceds.ed.gov/cedselementdetails.aspx?termid=13222</v>
      </c>
      <c r="N900" s="9" t="str">
        <f>HYPERLINK("https://ceds.ed.gov/elementComment.aspx?elementName=Exit Reason &amp;elementID=13222", "Click here to submit comment")</f>
        <v>Click here to submit comment</v>
      </c>
    </row>
    <row r="901" spans="1:14" ht="105" x14ac:dyDescent="0.25">
      <c r="A901" s="18" t="s">
        <v>2727</v>
      </c>
      <c r="B901" s="18" t="s">
        <v>2728</v>
      </c>
      <c r="C901" s="18" t="s">
        <v>12</v>
      </c>
      <c r="D901" s="18" t="s">
        <v>11157</v>
      </c>
      <c r="E901" s="18"/>
      <c r="F901" s="18" t="s">
        <v>119</v>
      </c>
      <c r="G901" s="18"/>
      <c r="H901" s="9" t="s">
        <v>120</v>
      </c>
      <c r="I901" s="18" t="s">
        <v>2729</v>
      </c>
      <c r="J901" s="18"/>
      <c r="K901" s="18" t="s">
        <v>2730</v>
      </c>
      <c r="L901" s="18"/>
      <c r="M901" s="18" t="str">
        <f>HYPERLINK("https://ceds.ed.gov/cedselementdetails.aspx?termid=13495")</f>
        <v>https://ceds.ed.gov/cedselementdetails.aspx?termid=13495</v>
      </c>
      <c r="N901" s="18" t="str">
        <f>HYPERLINK("https://ceds.ed.gov/elementComment.aspx?elementName=Facilities Identifier &amp;elementID=13495", "Click here to submit comment")</f>
        <v>Click here to submit comment</v>
      </c>
    </row>
    <row r="902" spans="1:14" x14ac:dyDescent="0.25">
      <c r="A902" s="18"/>
      <c r="B902" s="18"/>
      <c r="C902" s="18"/>
      <c r="D902" s="18"/>
      <c r="E902" s="18"/>
      <c r="F902" s="18"/>
      <c r="G902" s="18"/>
      <c r="H902" s="9"/>
      <c r="I902" s="18"/>
      <c r="J902" s="18"/>
      <c r="K902" s="18"/>
      <c r="L902" s="18"/>
      <c r="M902" s="18"/>
      <c r="N902" s="18"/>
    </row>
    <row r="903" spans="1:14" ht="90" x14ac:dyDescent="0.25">
      <c r="A903" s="18"/>
      <c r="B903" s="18"/>
      <c r="C903" s="18"/>
      <c r="D903" s="18"/>
      <c r="E903" s="18"/>
      <c r="F903" s="18"/>
      <c r="G903" s="18"/>
      <c r="H903" s="9" t="s">
        <v>121</v>
      </c>
      <c r="I903" s="18"/>
      <c r="J903" s="18"/>
      <c r="K903" s="18"/>
      <c r="L903" s="18"/>
      <c r="M903" s="18"/>
      <c r="N903" s="18"/>
    </row>
    <row r="904" spans="1:14" ht="345" x14ac:dyDescent="0.25">
      <c r="A904" s="9" t="s">
        <v>8041</v>
      </c>
      <c r="B904" s="9" t="s">
        <v>8042</v>
      </c>
      <c r="C904" s="10" t="s">
        <v>11849</v>
      </c>
      <c r="D904" s="9" t="s">
        <v>10567</v>
      </c>
      <c r="E904" s="9" t="s">
        <v>1457</v>
      </c>
      <c r="F904" s="9"/>
      <c r="G904" s="9"/>
      <c r="H904" s="9"/>
      <c r="I904" s="9" t="s">
        <v>11158</v>
      </c>
      <c r="J904" s="9"/>
      <c r="K904" s="9" t="s">
        <v>11159</v>
      </c>
      <c r="L904" s="9"/>
      <c r="M904" s="9" t="str">
        <f>HYPERLINK("https://ceds.ed.gov/cedselementdetails.aspx?termid=14852")</f>
        <v>https://ceds.ed.gov/cedselementdetails.aspx?termid=14852</v>
      </c>
      <c r="N904" s="9" t="str">
        <f>HYPERLINK("https://ceds.ed.gov/elementComment.aspx?elementName=Facilities Management Emergency Type &amp;elementID=14852", "Click here to submit comment")</f>
        <v>Click here to submit comment</v>
      </c>
    </row>
    <row r="905" spans="1:14" ht="60" x14ac:dyDescent="0.25">
      <c r="A905" s="9" t="s">
        <v>11160</v>
      </c>
      <c r="B905" s="9" t="s">
        <v>8466</v>
      </c>
      <c r="C905" s="10" t="s">
        <v>11850</v>
      </c>
      <c r="D905" s="9" t="s">
        <v>10567</v>
      </c>
      <c r="E905" s="9" t="s">
        <v>1457</v>
      </c>
      <c r="F905" s="9"/>
      <c r="G905" s="9"/>
      <c r="H905" s="9"/>
      <c r="I905" s="9" t="s">
        <v>11161</v>
      </c>
      <c r="J905" s="9"/>
      <c r="K905" s="9" t="s">
        <v>11162</v>
      </c>
      <c r="L905" s="9"/>
      <c r="M905" s="9" t="str">
        <f>HYPERLINK("https://ceds.ed.gov/cedselementdetails.aspx?termid=14866")</f>
        <v>https://ceds.ed.gov/cedselementdetails.aspx?termid=14866</v>
      </c>
      <c r="N905" s="9" t="str">
        <f>HYPERLINK("https://ceds.ed.gov/elementComment.aspx?elementName=Facilities Mandate Authority Type &amp;elementID=14866", "Click here to submit comment")</f>
        <v>Click here to submit comment</v>
      </c>
    </row>
    <row r="906" spans="1:14" ht="45" x14ac:dyDescent="0.25">
      <c r="A906" s="9" t="s">
        <v>11163</v>
      </c>
      <c r="B906" s="9" t="s">
        <v>8048</v>
      </c>
      <c r="C906" s="9" t="s">
        <v>12</v>
      </c>
      <c r="D906" s="9" t="s">
        <v>10567</v>
      </c>
      <c r="E906" s="9" t="s">
        <v>1457</v>
      </c>
      <c r="F906" s="9" t="s">
        <v>22</v>
      </c>
      <c r="G906" s="9"/>
      <c r="H906" s="9"/>
      <c r="I906" s="9" t="s">
        <v>11164</v>
      </c>
      <c r="J906" s="9"/>
      <c r="K906" s="9" t="s">
        <v>11165</v>
      </c>
      <c r="L906" s="9"/>
      <c r="M906" s="9" t="str">
        <f>HYPERLINK("https://ceds.ed.gov/cedselementdetails.aspx?termid=14863")</f>
        <v>https://ceds.ed.gov/cedselementdetails.aspx?termid=14863</v>
      </c>
      <c r="N906" s="9" t="str">
        <f>HYPERLINK("https://ceds.ed.gov/elementComment.aspx?elementName=Facilities Plan Description &amp;elementID=14863", "Click here to submit comment")</f>
        <v>Click here to submit comment</v>
      </c>
    </row>
    <row r="907" spans="1:14" ht="150" x14ac:dyDescent="0.25">
      <c r="A907" s="9" t="s">
        <v>8051</v>
      </c>
      <c r="B907" s="9" t="s">
        <v>8052</v>
      </c>
      <c r="C907" s="10" t="s">
        <v>11851</v>
      </c>
      <c r="D907" s="9" t="s">
        <v>10567</v>
      </c>
      <c r="E907" s="9" t="s">
        <v>1457</v>
      </c>
      <c r="F907" s="9"/>
      <c r="G907" s="9"/>
      <c r="H907" s="9"/>
      <c r="I907" s="9" t="s">
        <v>11166</v>
      </c>
      <c r="J907" s="9"/>
      <c r="K907" s="9" t="s">
        <v>11167</v>
      </c>
      <c r="L907" s="9"/>
      <c r="M907" s="9" t="str">
        <f>HYPERLINK("https://ceds.ed.gov/cedselementdetails.aspx?termid=14864")</f>
        <v>https://ceds.ed.gov/cedselementdetails.aspx?termid=14864</v>
      </c>
      <c r="N907" s="9" t="str">
        <f>HYPERLINK("https://ceds.ed.gov/elementComment.aspx?elementName=Facilities Plan Type &amp;elementID=14864", "Click here to submit comment")</f>
        <v>Click here to submit comment</v>
      </c>
    </row>
    <row r="908" spans="1:14" ht="45" x14ac:dyDescent="0.25">
      <c r="A908" s="9" t="s">
        <v>11168</v>
      </c>
      <c r="B908" s="9" t="s">
        <v>7199</v>
      </c>
      <c r="C908" s="9" t="s">
        <v>12</v>
      </c>
      <c r="D908" s="9" t="s">
        <v>10528</v>
      </c>
      <c r="E908" s="9" t="s">
        <v>1457</v>
      </c>
      <c r="F908" s="9" t="s">
        <v>73</v>
      </c>
      <c r="G908" s="9"/>
      <c r="H908" s="9"/>
      <c r="I908" s="9" t="s">
        <v>11169</v>
      </c>
      <c r="J908" s="9"/>
      <c r="K908" s="9" t="s">
        <v>11170</v>
      </c>
      <c r="L908" s="9"/>
      <c r="M908" s="9" t="str">
        <f>HYPERLINK("https://ceds.ed.gov/cedselementdetails.aspx?termid=14749")</f>
        <v>https://ceds.ed.gov/cedselementdetails.aspx?termid=14749</v>
      </c>
      <c r="N908" s="9" t="str">
        <f>HYPERLINK("https://ceds.ed.gov/elementComment.aspx?elementName=Facility Acquisition Date &amp;elementID=14749", "Click here to submit comment")</f>
        <v>Click here to submit comment</v>
      </c>
    </row>
    <row r="909" spans="1:14" ht="15" customHeight="1" x14ac:dyDescent="0.25">
      <c r="A909" s="9" t="s">
        <v>11171</v>
      </c>
      <c r="B909" s="9" t="s">
        <v>7219</v>
      </c>
      <c r="C909" s="9" t="s">
        <v>12</v>
      </c>
      <c r="D909" s="9" t="s">
        <v>10528</v>
      </c>
      <c r="E909" s="9" t="s">
        <v>1457</v>
      </c>
      <c r="F909" s="9" t="s">
        <v>1813</v>
      </c>
      <c r="G909" s="9"/>
      <c r="H909" s="9"/>
      <c r="I909" s="9" t="s">
        <v>11172</v>
      </c>
      <c r="J909" s="9"/>
      <c r="K909" s="9" t="s">
        <v>11173</v>
      </c>
      <c r="L909" s="9"/>
      <c r="M909" s="9" t="str">
        <f>HYPERLINK("https://ceds.ed.gov/cedselementdetails.aspx?termid=14750")</f>
        <v>https://ceds.ed.gov/cedselementdetails.aspx?termid=14750</v>
      </c>
      <c r="N909" s="9" t="str">
        <f>HYPERLINK("https://ceds.ed.gov/elementComment.aspx?elementName=Facility Addition Year &amp;elementID=14750", "Click here to submit comment")</f>
        <v>Click here to submit comment</v>
      </c>
    </row>
    <row r="910" spans="1:14" ht="15" customHeight="1" x14ac:dyDescent="0.25">
      <c r="A910" s="9" t="s">
        <v>11174</v>
      </c>
      <c r="B910" s="9" t="s">
        <v>8087</v>
      </c>
      <c r="C910" s="10" t="s">
        <v>11852</v>
      </c>
      <c r="D910" s="9" t="s">
        <v>10539</v>
      </c>
      <c r="E910" s="9" t="s">
        <v>1457</v>
      </c>
      <c r="F910" s="9"/>
      <c r="G910" s="9"/>
      <c r="H910" s="9"/>
      <c r="I910" s="9" t="s">
        <v>11175</v>
      </c>
      <c r="J910" s="9"/>
      <c r="K910" s="9" t="s">
        <v>11176</v>
      </c>
      <c r="L910" s="9"/>
      <c r="M910" s="9" t="str">
        <f>HYPERLINK("https://ceds.ed.gov/cedselementdetails.aspx?termid=14777")</f>
        <v>https://ceds.ed.gov/cedselementdetails.aspx?termid=14777</v>
      </c>
      <c r="N910" s="9" t="str">
        <f>HYPERLINK("https://ceds.ed.gov/elementComment.aspx?elementName=Facility Applicable Federal Mandate Type &amp;elementID=14777", "Click here to submit comment")</f>
        <v>Click here to submit comment</v>
      </c>
    </row>
    <row r="911" spans="1:14" ht="60" x14ac:dyDescent="0.25">
      <c r="A911" s="9" t="s">
        <v>11177</v>
      </c>
      <c r="B911" s="9" t="s">
        <v>11178</v>
      </c>
      <c r="C911" s="9" t="s">
        <v>12</v>
      </c>
      <c r="D911" s="9" t="s">
        <v>10567</v>
      </c>
      <c r="E911" s="9" t="s">
        <v>1457</v>
      </c>
      <c r="F911" s="9" t="s">
        <v>73</v>
      </c>
      <c r="G911" s="9"/>
      <c r="H911" s="9"/>
      <c r="I911" s="9" t="s">
        <v>11179</v>
      </c>
      <c r="J911" s="9"/>
      <c r="K911" s="9" t="s">
        <v>11180</v>
      </c>
      <c r="L911" s="9"/>
      <c r="M911" s="9" t="str">
        <f>HYPERLINK("https://ceds.ed.gov/cedselementdetails.aspx?termid=14862")</f>
        <v>https://ceds.ed.gov/cedselementdetails.aspx?termid=14862</v>
      </c>
      <c r="N911" s="9" t="str">
        <f>HYPERLINK("https://ceds.ed.gov/elementComment.aspx?elementName=Facility Audit Date &amp;elementID=14862", "Click here to submit comment")</f>
        <v>Click here to submit comment</v>
      </c>
    </row>
    <row r="912" spans="1:14" ht="150" x14ac:dyDescent="0.25">
      <c r="A912" s="9" t="s">
        <v>11181</v>
      </c>
      <c r="B912" s="9" t="s">
        <v>7377</v>
      </c>
      <c r="C912" s="10" t="s">
        <v>11853</v>
      </c>
      <c r="D912" s="9" t="s">
        <v>10567</v>
      </c>
      <c r="E912" s="9" t="s">
        <v>1457</v>
      </c>
      <c r="F912" s="9"/>
      <c r="G912" s="9"/>
      <c r="H912" s="9"/>
      <c r="I912" s="9" t="s">
        <v>11182</v>
      </c>
      <c r="J912" s="9"/>
      <c r="K912" s="9" t="s">
        <v>11183</v>
      </c>
      <c r="L912" s="9"/>
      <c r="M912" s="9" t="str">
        <f>HYPERLINK("https://ceds.ed.gov/cedselementdetails.aspx?termid=14845")</f>
        <v>https://ceds.ed.gov/cedselementdetails.aspx?termid=14845</v>
      </c>
      <c r="N912" s="9" t="str">
        <f>HYPERLINK("https://ceds.ed.gov/elementComment.aspx?elementName=Facility Audit Type &amp;elementID=14845", "Click here to submit comment")</f>
        <v>Click here to submit comment</v>
      </c>
    </row>
    <row r="913" spans="1:14" ht="60" x14ac:dyDescent="0.25">
      <c r="A913" s="9" t="s">
        <v>12193</v>
      </c>
      <c r="B913" s="9" t="s">
        <v>7430</v>
      </c>
      <c r="C913" s="9" t="s">
        <v>12</v>
      </c>
      <c r="D913" s="9" t="s">
        <v>10528</v>
      </c>
      <c r="E913" s="9" t="s">
        <v>1457</v>
      </c>
      <c r="F913" s="9" t="s">
        <v>92</v>
      </c>
      <c r="G913" s="9"/>
      <c r="H913" s="9"/>
      <c r="I913" s="9" t="s">
        <v>11184</v>
      </c>
      <c r="J913" s="9" t="s">
        <v>12194</v>
      </c>
      <c r="K913" s="9" t="s">
        <v>12195</v>
      </c>
      <c r="L913" s="9"/>
      <c r="M913" s="9" t="str">
        <f>HYPERLINK("https://ceds.ed.gov/cedselementdetails.aspx?termid=14755")</f>
        <v>https://ceds.ed.gov/cedselementdetails.aspx?termid=14755</v>
      </c>
      <c r="N913" s="9" t="str">
        <f>HYPERLINK("https://ceds.ed.gov/elementComment.aspx?elementName=Facility Block Number Area &amp;elementID=14755", "Click here to submit comment")</f>
        <v>Click here to submit comment</v>
      </c>
    </row>
    <row r="914" spans="1:14" ht="45" x14ac:dyDescent="0.25">
      <c r="A914" s="9" t="s">
        <v>2731</v>
      </c>
      <c r="B914" s="9" t="s">
        <v>2732</v>
      </c>
      <c r="C914" s="9" t="s">
        <v>12</v>
      </c>
      <c r="D914" s="9" t="s">
        <v>10528</v>
      </c>
      <c r="E914" s="9"/>
      <c r="F914" s="9" t="s">
        <v>92</v>
      </c>
      <c r="G914" s="9"/>
      <c r="H914" s="9"/>
      <c r="I914" s="9" t="s">
        <v>2733</v>
      </c>
      <c r="J914" s="9"/>
      <c r="K914" s="9" t="s">
        <v>2734</v>
      </c>
      <c r="L914" s="9"/>
      <c r="M914" s="9" t="str">
        <f>HYPERLINK("https://ceds.ed.gov/cedselementdetails.aspx?termid=14172")</f>
        <v>https://ceds.ed.gov/cedselementdetails.aspx?termid=14172</v>
      </c>
      <c r="N914" s="9" t="str">
        <f>HYPERLINK("https://ceds.ed.gov/elementComment.aspx?elementName=Facility Building Name &amp;elementID=14172", "Click here to submit comment")</f>
        <v>Click here to submit comment</v>
      </c>
    </row>
    <row r="915" spans="1:14" ht="45" x14ac:dyDescent="0.25">
      <c r="A915" s="9" t="s">
        <v>11185</v>
      </c>
      <c r="B915" s="9" t="s">
        <v>7454</v>
      </c>
      <c r="C915" s="10" t="s">
        <v>11854</v>
      </c>
      <c r="D915" s="9" t="s">
        <v>10528</v>
      </c>
      <c r="E915" s="9" t="s">
        <v>1457</v>
      </c>
      <c r="F915" s="9"/>
      <c r="G915" s="9"/>
      <c r="H915" s="9"/>
      <c r="I915" s="9" t="s">
        <v>11186</v>
      </c>
      <c r="J915" s="9"/>
      <c r="K915" s="9" t="s">
        <v>11187</v>
      </c>
      <c r="L915" s="9"/>
      <c r="M915" s="9" t="str">
        <f>HYPERLINK("https://ceds.ed.gov/cedselementdetails.aspx?termid=14751")</f>
        <v>https://ceds.ed.gov/cedselementdetails.aspx?termid=14751</v>
      </c>
      <c r="N915" s="9" t="str">
        <f>HYPERLINK("https://ceds.ed.gov/elementComment.aspx?elementName=Facility Building Permanency &amp;elementID=14751", "Click here to submit comment")</f>
        <v>Click here to submit comment</v>
      </c>
    </row>
    <row r="916" spans="1:14" ht="90" x14ac:dyDescent="0.25">
      <c r="A916" s="9" t="s">
        <v>8053</v>
      </c>
      <c r="B916" s="9" t="s">
        <v>8054</v>
      </c>
      <c r="C916" s="10" t="s">
        <v>11855</v>
      </c>
      <c r="D916" s="9" t="s">
        <v>10567</v>
      </c>
      <c r="E916" s="9" t="s">
        <v>1457</v>
      </c>
      <c r="F916" s="9"/>
      <c r="G916" s="9"/>
      <c r="H916" s="9"/>
      <c r="I916" s="9" t="s">
        <v>11188</v>
      </c>
      <c r="J916" s="9"/>
      <c r="K916" s="9" t="s">
        <v>11189</v>
      </c>
      <c r="L916" s="9"/>
      <c r="M916" s="9" t="str">
        <f>HYPERLINK("https://ceds.ed.gov/cedselementdetails.aspx?termid=14853")</f>
        <v>https://ceds.ed.gov/cedselementdetails.aspx?termid=14853</v>
      </c>
      <c r="N916" s="9" t="str">
        <f>HYPERLINK("https://ceds.ed.gov/elementComment.aspx?elementName=Facility Capital Program Management Type &amp;elementID=14853", "Click here to submit comment")</f>
        <v>Click here to submit comment</v>
      </c>
    </row>
    <row r="917" spans="1:14" ht="45" x14ac:dyDescent="0.25">
      <c r="A917" s="9" t="s">
        <v>11190</v>
      </c>
      <c r="B917" s="9" t="s">
        <v>7555</v>
      </c>
      <c r="C917" s="9" t="s">
        <v>12</v>
      </c>
      <c r="D917" s="9" t="s">
        <v>10528</v>
      </c>
      <c r="E917" s="9" t="s">
        <v>1457</v>
      </c>
      <c r="F917" s="9" t="s">
        <v>11191</v>
      </c>
      <c r="G917" s="9"/>
      <c r="H917" s="9"/>
      <c r="I917" s="9" t="s">
        <v>11192</v>
      </c>
      <c r="J917" s="9"/>
      <c r="K917" s="9" t="s">
        <v>11193</v>
      </c>
      <c r="L917" s="9"/>
      <c r="M917" s="9" t="str">
        <f>HYPERLINK("https://ceds.ed.gov/cedselementdetails.aspx?termid=14760")</f>
        <v>https://ceds.ed.gov/cedselementdetails.aspx?termid=14760</v>
      </c>
      <c r="N917" s="9" t="str">
        <f>HYPERLINK("https://ceds.ed.gov/elementComment.aspx?elementName=Facility Census Tract &amp;elementID=14760", "Click here to submit comment")</f>
        <v>Click here to submit comment</v>
      </c>
    </row>
    <row r="918" spans="1:14" ht="135" x14ac:dyDescent="0.25">
      <c r="A918" s="9" t="s">
        <v>11194</v>
      </c>
      <c r="B918" s="9" t="s">
        <v>7605</v>
      </c>
      <c r="C918" s="10" t="s">
        <v>11856</v>
      </c>
      <c r="D918" s="9" t="s">
        <v>10567</v>
      </c>
      <c r="E918" s="9" t="s">
        <v>1457</v>
      </c>
      <c r="F918" s="9"/>
      <c r="G918" s="9"/>
      <c r="H918" s="9"/>
      <c r="I918" s="9" t="s">
        <v>11195</v>
      </c>
      <c r="J918" s="9"/>
      <c r="K918" s="9" t="s">
        <v>11196</v>
      </c>
      <c r="L918" s="9"/>
      <c r="M918" s="9" t="str">
        <f>HYPERLINK("https://ceds.ed.gov/cedselementdetails.aspx?termid=14848")</f>
        <v>https://ceds.ed.gov/cedselementdetails.aspx?termid=14848</v>
      </c>
      <c r="N918" s="9" t="str">
        <f>HYPERLINK("https://ceds.ed.gov/elementComment.aspx?elementName=Facility Compliance Agency Type &amp;elementID=14848", "Click here to submit comment")</f>
        <v>Click here to submit comment</v>
      </c>
    </row>
    <row r="919" spans="1:14" ht="60" x14ac:dyDescent="0.25">
      <c r="A919" s="9" t="s">
        <v>11197</v>
      </c>
      <c r="B919" s="9" t="s">
        <v>7606</v>
      </c>
      <c r="C919" s="9" t="s">
        <v>12</v>
      </c>
      <c r="D919" s="9" t="s">
        <v>10535</v>
      </c>
      <c r="E919" s="9" t="s">
        <v>1457</v>
      </c>
      <c r="F919" s="9" t="s">
        <v>73</v>
      </c>
      <c r="G919" s="9"/>
      <c r="H919" s="9"/>
      <c r="I919" s="9" t="s">
        <v>11198</v>
      </c>
      <c r="J919" s="9"/>
      <c r="K919" s="9" t="s">
        <v>11199</v>
      </c>
      <c r="L919" s="9"/>
      <c r="M919" s="9" t="str">
        <f>HYPERLINK("https://ceds.ed.gov/cedselementdetails.aspx?termid=14818")</f>
        <v>https://ceds.ed.gov/cedselementdetails.aspx?termid=14818</v>
      </c>
      <c r="N919" s="9" t="str">
        <f>HYPERLINK("https://ceds.ed.gov/elementComment.aspx?elementName=Facility Compliance Determination Date &amp;elementID=14818", "Click here to submit comment")</f>
        <v>Click here to submit comment</v>
      </c>
    </row>
    <row r="920" spans="1:14" ht="75" x14ac:dyDescent="0.25">
      <c r="A920" s="9" t="s">
        <v>11200</v>
      </c>
      <c r="B920" s="9" t="s">
        <v>7607</v>
      </c>
      <c r="C920" s="9" t="s">
        <v>12</v>
      </c>
      <c r="D920" s="9" t="s">
        <v>10535</v>
      </c>
      <c r="E920" s="9" t="s">
        <v>1457</v>
      </c>
      <c r="F920" s="9" t="s">
        <v>22</v>
      </c>
      <c r="G920" s="9"/>
      <c r="H920" s="9"/>
      <c r="I920" s="9" t="s">
        <v>11201</v>
      </c>
      <c r="J920" s="9"/>
      <c r="K920" s="9" t="s">
        <v>11202</v>
      </c>
      <c r="L920" s="9"/>
      <c r="M920" s="9" t="str">
        <f>HYPERLINK("https://ceds.ed.gov/cedselementdetails.aspx?termid=14819")</f>
        <v>https://ceds.ed.gov/cedselementdetails.aspx?termid=14819</v>
      </c>
      <c r="N920" s="9" t="str">
        <f>HYPERLINK("https://ceds.ed.gov/elementComment.aspx?elementName=Facility Compliance Name &amp;elementID=14819", "Click here to submit comment")</f>
        <v>Click here to submit comment</v>
      </c>
    </row>
    <row r="921" spans="1:14" ht="120" x14ac:dyDescent="0.25">
      <c r="A921" s="9" t="s">
        <v>11203</v>
      </c>
      <c r="B921" s="9" t="s">
        <v>7608</v>
      </c>
      <c r="C921" s="10" t="s">
        <v>11857</v>
      </c>
      <c r="D921" s="9" t="s">
        <v>10539</v>
      </c>
      <c r="E921" s="9" t="s">
        <v>1457</v>
      </c>
      <c r="F921" s="9"/>
      <c r="G921" s="9"/>
      <c r="H921" s="9"/>
      <c r="I921" s="9" t="s">
        <v>11204</v>
      </c>
      <c r="J921" s="9"/>
      <c r="K921" s="9" t="s">
        <v>11205</v>
      </c>
      <c r="L921" s="9"/>
      <c r="M921" s="9" t="str">
        <f>HYPERLINK("https://ceds.ed.gov/cedselementdetails.aspx?termid=14773")</f>
        <v>https://ceds.ed.gov/cedselementdetails.aspx?termid=14773</v>
      </c>
      <c r="N921" s="9" t="str">
        <f>HYPERLINK("https://ceds.ed.gov/elementComment.aspx?elementName=Facility Compliance Status &amp;elementID=14773", "Click here to submit comment")</f>
        <v>Click here to submit comment</v>
      </c>
    </row>
    <row r="922" spans="1:14" ht="60" x14ac:dyDescent="0.25">
      <c r="A922" s="9" t="s">
        <v>11206</v>
      </c>
      <c r="B922" s="9" t="s">
        <v>7609</v>
      </c>
      <c r="C922" s="9" t="s">
        <v>12</v>
      </c>
      <c r="D922" s="9" t="s">
        <v>10535</v>
      </c>
      <c r="E922" s="9" t="s">
        <v>1457</v>
      </c>
      <c r="F922" s="9" t="s">
        <v>22</v>
      </c>
      <c r="G922" s="9"/>
      <c r="H922" s="9"/>
      <c r="I922" s="9" t="s">
        <v>11207</v>
      </c>
      <c r="J922" s="9"/>
      <c r="K922" s="9" t="s">
        <v>11208</v>
      </c>
      <c r="L922" s="9"/>
      <c r="M922" s="9" t="str">
        <f>HYPERLINK("https://ceds.ed.gov/cedselementdetails.aspx?termid=14820")</f>
        <v>https://ceds.ed.gov/cedselementdetails.aspx?termid=14820</v>
      </c>
      <c r="N922" s="9" t="str">
        <f>HYPERLINK("https://ceds.ed.gov/elementComment.aspx?elementName=Facility Component Deficiency Description &amp;elementID=14820", "Click here to submit comment")</f>
        <v>Click here to submit comment</v>
      </c>
    </row>
    <row r="923" spans="1:14" ht="60" x14ac:dyDescent="0.25">
      <c r="A923" s="9" t="s">
        <v>11209</v>
      </c>
      <c r="B923" s="9" t="s">
        <v>7610</v>
      </c>
      <c r="C923" s="9" t="s">
        <v>12</v>
      </c>
      <c r="D923" s="9" t="s">
        <v>10535</v>
      </c>
      <c r="E923" s="9" t="s">
        <v>1457</v>
      </c>
      <c r="F923" s="9" t="s">
        <v>87</v>
      </c>
      <c r="G923" s="9"/>
      <c r="H923" s="9"/>
      <c r="I923" s="9" t="s">
        <v>11210</v>
      </c>
      <c r="J923" s="9"/>
      <c r="K923" s="9" t="s">
        <v>11211</v>
      </c>
      <c r="L923" s="9"/>
      <c r="M923" s="9" t="str">
        <f>HYPERLINK("https://ceds.ed.gov/cedselementdetails.aspx?termid=14821")</f>
        <v>https://ceds.ed.gov/cedselementdetails.aspx?termid=14821</v>
      </c>
      <c r="N923" s="9" t="str">
        <f>HYPERLINK("https://ceds.ed.gov/elementComment.aspx?elementName=Facility Component Identification Code &amp;elementID=14821", "Click here to submit comment")</f>
        <v>Click here to submit comment</v>
      </c>
    </row>
    <row r="924" spans="1:14" ht="45" x14ac:dyDescent="0.25">
      <c r="A924" s="9" t="s">
        <v>11212</v>
      </c>
      <c r="B924" s="9" t="s">
        <v>7628</v>
      </c>
      <c r="C924" s="9" t="s">
        <v>12</v>
      </c>
      <c r="D924" s="9" t="s">
        <v>10528</v>
      </c>
      <c r="E924" s="9" t="s">
        <v>1457</v>
      </c>
      <c r="F924" s="9" t="s">
        <v>73</v>
      </c>
      <c r="G924" s="9"/>
      <c r="H924" s="9"/>
      <c r="I924" s="9" t="s">
        <v>11213</v>
      </c>
      <c r="J924" s="9"/>
      <c r="K924" s="9" t="s">
        <v>11214</v>
      </c>
      <c r="L924" s="9"/>
      <c r="M924" s="9" t="str">
        <f>HYPERLINK("https://ceds.ed.gov/cedselementdetails.aspx?termid=14761")</f>
        <v>https://ceds.ed.gov/cedselementdetails.aspx?termid=14761</v>
      </c>
      <c r="N924" s="9" t="str">
        <f>HYPERLINK("https://ceds.ed.gov/elementComment.aspx?elementName=Facility Construction Date &amp;elementID=14761", "Click here to submit comment")</f>
        <v>Click here to submit comment</v>
      </c>
    </row>
    <row r="925" spans="1:14" ht="45" x14ac:dyDescent="0.25">
      <c r="A925" s="9" t="s">
        <v>11215</v>
      </c>
      <c r="B925" s="9" t="s">
        <v>7629</v>
      </c>
      <c r="C925" s="10" t="s">
        <v>11858</v>
      </c>
      <c r="D925" s="9" t="s">
        <v>10528</v>
      </c>
      <c r="E925" s="9" t="s">
        <v>1457</v>
      </c>
      <c r="F925" s="9"/>
      <c r="G925" s="9"/>
      <c r="H925" s="9"/>
      <c r="I925" s="9" t="s">
        <v>11216</v>
      </c>
      <c r="J925" s="9"/>
      <c r="K925" s="9" t="s">
        <v>11217</v>
      </c>
      <c r="L925" s="9"/>
      <c r="M925" s="9" t="str">
        <f>HYPERLINK("https://ceds.ed.gov/cedselementdetails.aspx?termid=14762")</f>
        <v>https://ceds.ed.gov/cedselementdetails.aspx?termid=14762</v>
      </c>
      <c r="N925" s="9" t="str">
        <f>HYPERLINK("https://ceds.ed.gov/elementComment.aspx?elementName=Facility Construction Date Type &amp;elementID=14762", "Click here to submit comment")</f>
        <v>Click here to submit comment</v>
      </c>
    </row>
    <row r="926" spans="1:14" ht="165" x14ac:dyDescent="0.25">
      <c r="A926" s="9" t="s">
        <v>11218</v>
      </c>
      <c r="B926" s="9" t="s">
        <v>7630</v>
      </c>
      <c r="C926" s="10" t="s">
        <v>11859</v>
      </c>
      <c r="D926" s="9" t="s">
        <v>10528</v>
      </c>
      <c r="E926" s="9" t="s">
        <v>1457</v>
      </c>
      <c r="F926" s="9"/>
      <c r="G926" s="9"/>
      <c r="H926" s="9"/>
      <c r="I926" s="9" t="s">
        <v>11219</v>
      </c>
      <c r="J926" s="9"/>
      <c r="K926" s="9" t="s">
        <v>11220</v>
      </c>
      <c r="L926" s="9"/>
      <c r="M926" s="9" t="str">
        <f>HYPERLINK("https://ceds.ed.gov/cedselementdetails.aspx?termid=14763")</f>
        <v>https://ceds.ed.gov/cedselementdetails.aspx?termid=14763</v>
      </c>
      <c r="N926" s="9" t="str">
        <f>HYPERLINK("https://ceds.ed.gov/elementComment.aspx?elementName=Facility Construction Material Type &amp;elementID=14763", "Click here to submit comment")</f>
        <v>Click here to submit comment</v>
      </c>
    </row>
    <row r="927" spans="1:14" ht="45" x14ac:dyDescent="0.25">
      <c r="A927" s="9" t="s">
        <v>11221</v>
      </c>
      <c r="B927" s="9" t="s">
        <v>7640</v>
      </c>
      <c r="C927" s="9" t="s">
        <v>12</v>
      </c>
      <c r="D927" s="9" t="s">
        <v>10528</v>
      </c>
      <c r="E927" s="9" t="s">
        <v>1457</v>
      </c>
      <c r="F927" s="9" t="s">
        <v>1813</v>
      </c>
      <c r="G927" s="9"/>
      <c r="H927" s="9"/>
      <c r="I927" s="9" t="s">
        <v>11222</v>
      </c>
      <c r="J927" s="9"/>
      <c r="K927" s="9" t="s">
        <v>11223</v>
      </c>
      <c r="L927" s="9"/>
      <c r="M927" s="9" t="str">
        <f>HYPERLINK("https://ceds.ed.gov/cedselementdetails.aspx?termid=14752")</f>
        <v>https://ceds.ed.gov/cedselementdetails.aspx?termid=14752</v>
      </c>
      <c r="N927" s="9" t="str">
        <f>HYPERLINK("https://ceds.ed.gov/elementComment.aspx?elementName=Facility Construction Year &amp;elementID=14752", "Click here to submit comment")</f>
        <v>Click here to submit comment</v>
      </c>
    </row>
    <row r="928" spans="1:14" ht="90" x14ac:dyDescent="0.25">
      <c r="A928" s="9" t="s">
        <v>11224</v>
      </c>
      <c r="B928" s="9" t="s">
        <v>11225</v>
      </c>
      <c r="C928" s="9" t="s">
        <v>12</v>
      </c>
      <c r="D928" s="9" t="s">
        <v>10522</v>
      </c>
      <c r="E928" s="9" t="s">
        <v>1457</v>
      </c>
      <c r="F928" s="9" t="s">
        <v>589</v>
      </c>
      <c r="G928" s="9"/>
      <c r="H928" s="9"/>
      <c r="I928" s="9" t="s">
        <v>11226</v>
      </c>
      <c r="J928" s="9"/>
      <c r="K928" s="9" t="s">
        <v>11227</v>
      </c>
      <c r="L928" s="9"/>
      <c r="M928" s="9" t="str">
        <f>HYPERLINK("https://ceds.ed.gov/cedselementdetails.aspx?termid=14885")</f>
        <v>https://ceds.ed.gov/cedselementdetails.aspx?termid=14885</v>
      </c>
      <c r="N928" s="9" t="str">
        <f>HYPERLINK("https://ceds.ed.gov/elementComment.aspx?elementName=Facility Enrollment Capacity &amp;elementID=14885", "Click here to submit comment")</f>
        <v>Click here to submit comment</v>
      </c>
    </row>
    <row r="929" spans="1:14" ht="45" x14ac:dyDescent="0.25">
      <c r="A929" s="9" t="s">
        <v>11228</v>
      </c>
      <c r="B929" s="9" t="s">
        <v>7995</v>
      </c>
      <c r="C929" s="9" t="s">
        <v>12</v>
      </c>
      <c r="D929" s="9" t="s">
        <v>10535</v>
      </c>
      <c r="E929" s="9" t="s">
        <v>1457</v>
      </c>
      <c r="F929" s="9" t="s">
        <v>1513</v>
      </c>
      <c r="G929" s="9"/>
      <c r="H929" s="9"/>
      <c r="I929" s="9" t="s">
        <v>11229</v>
      </c>
      <c r="J929" s="9"/>
      <c r="K929" s="9" t="s">
        <v>12196</v>
      </c>
      <c r="L929" s="9"/>
      <c r="M929" s="9" t="str">
        <f>HYPERLINK("https://ceds.ed.gov/cedselementdetails.aspx?termid=14822")</f>
        <v>https://ceds.ed.gov/cedselementdetails.aspx?termid=14822</v>
      </c>
      <c r="N929" s="9" t="str">
        <f>HYPERLINK("https://ceds.ed.gov/elementComment.aspx?elementName=Facility Estimated Cost to Eliminate Deferred Maintenance &amp;elementID=14822", "Click here to submit comment")</f>
        <v>Click here to submit comment</v>
      </c>
    </row>
    <row r="930" spans="1:14" ht="45" x14ac:dyDescent="0.25">
      <c r="A930" s="9" t="s">
        <v>11230</v>
      </c>
      <c r="B930" s="9" t="s">
        <v>8016</v>
      </c>
      <c r="C930" s="9" t="s">
        <v>12</v>
      </c>
      <c r="D930" s="9" t="s">
        <v>10528</v>
      </c>
      <c r="E930" s="9" t="s">
        <v>1457</v>
      </c>
      <c r="F930" s="9" t="s">
        <v>589</v>
      </c>
      <c r="G930" s="9"/>
      <c r="H930" s="9"/>
      <c r="I930" s="9" t="s">
        <v>11231</v>
      </c>
      <c r="J930" s="9"/>
      <c r="K930" s="9" t="s">
        <v>11232</v>
      </c>
      <c r="L930" s="9"/>
      <c r="M930" s="9" t="str">
        <f>HYPERLINK("https://ceds.ed.gov/cedselementdetails.aspx?termid=14764")</f>
        <v>https://ceds.ed.gov/cedselementdetails.aspx?termid=14764</v>
      </c>
      <c r="N930" s="9" t="str">
        <f>HYPERLINK("https://ceds.ed.gov/elementComment.aspx?elementName=Facility Expected Life &amp;elementID=14764", "Click here to submit comment")</f>
        <v>Click here to submit comment</v>
      </c>
    </row>
    <row r="931" spans="1:14" ht="255" x14ac:dyDescent="0.25">
      <c r="A931" s="9" t="s">
        <v>11233</v>
      </c>
      <c r="B931" s="9" t="s">
        <v>8088</v>
      </c>
      <c r="C931" s="10" t="s">
        <v>11860</v>
      </c>
      <c r="D931" s="9" t="s">
        <v>10539</v>
      </c>
      <c r="E931" s="9" t="s">
        <v>1457</v>
      </c>
      <c r="F931" s="9"/>
      <c r="G931" s="9"/>
      <c r="H931" s="9"/>
      <c r="I931" s="9" t="s">
        <v>11234</v>
      </c>
      <c r="J931" s="9"/>
      <c r="K931" s="9" t="s">
        <v>11235</v>
      </c>
      <c r="L931" s="9"/>
      <c r="M931" s="9" t="str">
        <f>HYPERLINK("https://ceds.ed.gov/cedselementdetails.aspx?termid=14778")</f>
        <v>https://ceds.ed.gov/cedselementdetails.aspx?termid=14778</v>
      </c>
      <c r="N931" s="9" t="str">
        <f>HYPERLINK("https://ceds.ed.gov/elementComment.aspx?elementName=Facility Federal Mandate Interest Type &amp;elementID=14778", "Click here to submit comment")</f>
        <v>Click here to submit comment</v>
      </c>
    </row>
    <row r="932" spans="1:14" ht="60" x14ac:dyDescent="0.25">
      <c r="A932" s="9" t="s">
        <v>11236</v>
      </c>
      <c r="B932" s="9" t="s">
        <v>8117</v>
      </c>
      <c r="C932" s="10" t="s">
        <v>11861</v>
      </c>
      <c r="D932" s="9" t="s">
        <v>11237</v>
      </c>
      <c r="E932" s="9" t="s">
        <v>1457</v>
      </c>
      <c r="F932" s="9"/>
      <c r="G932" s="9"/>
      <c r="H932" s="9"/>
      <c r="I932" s="9" t="s">
        <v>11238</v>
      </c>
      <c r="J932" s="9"/>
      <c r="K932" s="9" t="s">
        <v>11239</v>
      </c>
      <c r="L932" s="9"/>
      <c r="M932" s="9" t="str">
        <f>HYPERLINK("https://ceds.ed.gov/cedselementdetails.aspx?termid=14867")</f>
        <v>https://ceds.ed.gov/cedselementdetails.aspx?termid=14867</v>
      </c>
      <c r="N932" s="9" t="str">
        <f>HYPERLINK("https://ceds.ed.gov/elementComment.aspx?elementName=Facility Financing Fee Type &amp;elementID=14867", "Click here to submit comment")</f>
        <v>Click here to submit comment</v>
      </c>
    </row>
    <row r="933" spans="1:14" ht="105" x14ac:dyDescent="0.25">
      <c r="A933" s="9" t="s">
        <v>8055</v>
      </c>
      <c r="B933" s="9" t="s">
        <v>8056</v>
      </c>
      <c r="C933" s="10" t="s">
        <v>11862</v>
      </c>
      <c r="D933" s="9" t="s">
        <v>10535</v>
      </c>
      <c r="E933" s="9" t="s">
        <v>1457</v>
      </c>
      <c r="F933" s="9"/>
      <c r="G933" s="9"/>
      <c r="H933" s="9"/>
      <c r="I933" s="9" t="s">
        <v>11240</v>
      </c>
      <c r="J933" s="9"/>
      <c r="K933" s="9" t="s">
        <v>11241</v>
      </c>
      <c r="L933" s="9"/>
      <c r="M933" s="9" t="str">
        <f>HYPERLINK("https://ceds.ed.gov/cedselementdetails.aspx?termid=14801")</f>
        <v>https://ceds.ed.gov/cedselementdetails.aspx?termid=14801</v>
      </c>
      <c r="N933" s="9" t="str">
        <f>HYPERLINK("https://ceds.ed.gov/elementComment.aspx?elementName=Facility Furnishings Type &amp;elementID=14801", "Click here to submit comment")</f>
        <v>Click here to submit comment</v>
      </c>
    </row>
    <row r="934" spans="1:14" ht="45" x14ac:dyDescent="0.25">
      <c r="A934" s="9" t="s">
        <v>11242</v>
      </c>
      <c r="B934" s="9" t="s">
        <v>8017</v>
      </c>
      <c r="C934" s="9" t="s">
        <v>12</v>
      </c>
      <c r="D934" s="9" t="s">
        <v>10535</v>
      </c>
      <c r="E934" s="9" t="s">
        <v>1457</v>
      </c>
      <c r="F934" s="9" t="s">
        <v>73</v>
      </c>
      <c r="G934" s="9"/>
      <c r="H934" s="9"/>
      <c r="I934" s="9" t="s">
        <v>11243</v>
      </c>
      <c r="J934" s="9"/>
      <c r="K934" s="9" t="s">
        <v>11244</v>
      </c>
      <c r="L934" s="9"/>
      <c r="M934" s="9" t="str">
        <f>HYPERLINK("https://ceds.ed.gov/cedselementdetails.aspx?termid=14823")</f>
        <v>https://ceds.ed.gov/cedselementdetails.aspx?termid=14823</v>
      </c>
      <c r="N934" s="9" t="str">
        <f>HYPERLINK("https://ceds.ed.gov/elementComment.aspx?elementName=Facility Hazardous Condition Expected Remediation Date &amp;elementID=14823", "Click here to submit comment")</f>
        <v>Click here to submit comment</v>
      </c>
    </row>
    <row r="935" spans="1:14" ht="409.5" x14ac:dyDescent="0.25">
      <c r="A935" s="9" t="s">
        <v>11245</v>
      </c>
      <c r="B935" s="9" t="s">
        <v>8214</v>
      </c>
      <c r="C935" s="10" t="s">
        <v>11863</v>
      </c>
      <c r="D935" s="9" t="s">
        <v>10567</v>
      </c>
      <c r="E935" s="9" t="s">
        <v>1457</v>
      </c>
      <c r="F935" s="9"/>
      <c r="G935" s="9"/>
      <c r="H935" s="9"/>
      <c r="I935" s="9" t="s">
        <v>11246</v>
      </c>
      <c r="J935" s="9"/>
      <c r="K935" s="9" t="s">
        <v>12197</v>
      </c>
      <c r="L935" s="9"/>
      <c r="M935" s="9" t="str">
        <f>HYPERLINK("https://ceds.ed.gov/cedselementdetails.aspx?termid=14855")</f>
        <v>https://ceds.ed.gov/cedselementdetails.aspx?termid=14855</v>
      </c>
      <c r="N935" s="9" t="str">
        <f>HYPERLINK("https://ceds.ed.gov/elementComment.aspx?elementName=Facility Hazardous Materials or Condition Type &amp;elementID=14855", "Click here to submit comment")</f>
        <v>Click here to submit comment</v>
      </c>
    </row>
    <row r="936" spans="1:14" ht="45" x14ac:dyDescent="0.25">
      <c r="A936" s="9" t="s">
        <v>11247</v>
      </c>
      <c r="B936" s="9" t="s">
        <v>8306</v>
      </c>
      <c r="C936" s="9" t="s">
        <v>12</v>
      </c>
      <c r="D936" s="9" t="s">
        <v>10535</v>
      </c>
      <c r="E936" s="9" t="s">
        <v>1457</v>
      </c>
      <c r="F936" s="9" t="s">
        <v>1310</v>
      </c>
      <c r="G936" s="9"/>
      <c r="H936" s="9"/>
      <c r="I936" s="9" t="s">
        <v>11248</v>
      </c>
      <c r="J936" s="9"/>
      <c r="K936" s="9" t="s">
        <v>11249</v>
      </c>
      <c r="L936" s="9"/>
      <c r="M936" s="9" t="str">
        <f>HYPERLINK("https://ceds.ed.gov/cedselementdetails.aspx?termid=14827")</f>
        <v>https://ceds.ed.gov/cedselementdetails.aspx?termid=14827</v>
      </c>
      <c r="N936" s="9" t="str">
        <f>HYPERLINK("https://ceds.ed.gov/elementComment.aspx?elementName=Facility Inspection Score Result Description &amp;elementID=14827", "Click here to submit comment")</f>
        <v>Click here to submit comment</v>
      </c>
    </row>
    <row r="937" spans="1:14" ht="45" x14ac:dyDescent="0.25">
      <c r="A937" s="9" t="s">
        <v>11250</v>
      </c>
      <c r="B937" s="9" t="s">
        <v>8307</v>
      </c>
      <c r="C937" s="9" t="s">
        <v>12</v>
      </c>
      <c r="D937" s="9" t="s">
        <v>10535</v>
      </c>
      <c r="E937" s="9" t="s">
        <v>1457</v>
      </c>
      <c r="F937" s="9" t="s">
        <v>22</v>
      </c>
      <c r="G937" s="9"/>
      <c r="H937" s="9"/>
      <c r="I937" s="9" t="s">
        <v>11251</v>
      </c>
      <c r="J937" s="9"/>
      <c r="K937" s="9" t="s">
        <v>11252</v>
      </c>
      <c r="L937" s="9"/>
      <c r="M937" s="9" t="str">
        <f>HYPERLINK("https://ceds.ed.gov/cedselementdetails.aspx?termid=14828")</f>
        <v>https://ceds.ed.gov/cedselementdetails.aspx?termid=14828</v>
      </c>
      <c r="N937" s="9" t="str">
        <f>HYPERLINK("https://ceds.ed.gov/elementComment.aspx?elementName=Facility Inspection Violation Description &amp;elementID=14828", "Click here to submit comment")</f>
        <v>Click here to submit comment</v>
      </c>
    </row>
    <row r="938" spans="1:14" ht="90" x14ac:dyDescent="0.25">
      <c r="A938" s="9" t="s">
        <v>11253</v>
      </c>
      <c r="B938" s="9" t="s">
        <v>8361</v>
      </c>
      <c r="C938" s="10" t="s">
        <v>11864</v>
      </c>
      <c r="D938" s="9" t="s">
        <v>10567</v>
      </c>
      <c r="E938" s="9" t="s">
        <v>1457</v>
      </c>
      <c r="F938" s="9"/>
      <c r="G938" s="9"/>
      <c r="H938" s="9"/>
      <c r="I938" s="9" t="s">
        <v>11254</v>
      </c>
      <c r="J938" s="9"/>
      <c r="K938" s="9" t="s">
        <v>11255</v>
      </c>
      <c r="L938" s="9"/>
      <c r="M938" s="9" t="str">
        <f>HYPERLINK("https://ceds.ed.gov/cedselementdetails.aspx?termid=14856")</f>
        <v>https://ceds.ed.gov/cedselementdetails.aspx?termid=14856</v>
      </c>
      <c r="N938" s="9" t="str">
        <f>HYPERLINK("https://ceds.ed.gov/elementComment.aspx?elementName=Facility Joint Development Type &amp;elementID=14856", "Click here to submit comment")</f>
        <v>Click here to submit comment</v>
      </c>
    </row>
    <row r="939" spans="1:14" ht="45" x14ac:dyDescent="0.25">
      <c r="A939" s="9" t="s">
        <v>11256</v>
      </c>
      <c r="B939" s="9" t="s">
        <v>8390</v>
      </c>
      <c r="C939" s="9" t="s">
        <v>12</v>
      </c>
      <c r="D939" s="9" t="s">
        <v>11237</v>
      </c>
      <c r="E939" s="9" t="s">
        <v>1457</v>
      </c>
      <c r="F939" s="9" t="s">
        <v>1513</v>
      </c>
      <c r="G939" s="9"/>
      <c r="H939" s="9"/>
      <c r="I939" s="9" t="s">
        <v>11257</v>
      </c>
      <c r="J939" s="9"/>
      <c r="K939" s="9" t="s">
        <v>11258</v>
      </c>
      <c r="L939" s="9"/>
      <c r="M939" s="9" t="str">
        <f>HYPERLINK("https://ceds.ed.gov/cedselementdetails.aspx?termid=14868")</f>
        <v>https://ceds.ed.gov/cedselementdetails.aspx?termid=14868</v>
      </c>
      <c r="N939" s="9" t="str">
        <f>HYPERLINK("https://ceds.ed.gov/elementComment.aspx?elementName=Facility Lease Amount &amp;elementID=14868", "Click here to submit comment")</f>
        <v>Click here to submit comment</v>
      </c>
    </row>
    <row r="940" spans="1:14" ht="60" x14ac:dyDescent="0.25">
      <c r="A940" s="9" t="s">
        <v>11259</v>
      </c>
      <c r="B940" s="9" t="s">
        <v>11260</v>
      </c>
      <c r="C940" s="10" t="s">
        <v>11865</v>
      </c>
      <c r="D940" s="9" t="s">
        <v>11237</v>
      </c>
      <c r="E940" s="9" t="s">
        <v>1457</v>
      </c>
      <c r="F940" s="9"/>
      <c r="G940" s="9"/>
      <c r="H940" s="9"/>
      <c r="I940" s="9" t="s">
        <v>11261</v>
      </c>
      <c r="J940" s="9"/>
      <c r="K940" s="9" t="s">
        <v>11262</v>
      </c>
      <c r="L940" s="9"/>
      <c r="M940" s="9" t="str">
        <f>HYPERLINK("https://ceds.ed.gov/cedselementdetails.aspx?termid=14869")</f>
        <v>https://ceds.ed.gov/cedselementdetails.aspx?termid=14869</v>
      </c>
      <c r="N940" s="9" t="str">
        <f>HYPERLINK("https://ceds.ed.gov/elementComment.aspx?elementName=Facility Lease Amount Category &amp;elementID=14869", "Click here to submit comment")</f>
        <v>Click here to submit comment</v>
      </c>
    </row>
    <row r="941" spans="1:14" ht="105" x14ac:dyDescent="0.25">
      <c r="A941" s="9" t="s">
        <v>11263</v>
      </c>
      <c r="B941" s="9" t="s">
        <v>8394</v>
      </c>
      <c r="C941" s="10" t="s">
        <v>11866</v>
      </c>
      <c r="D941" s="9" t="s">
        <v>11237</v>
      </c>
      <c r="E941" s="9" t="s">
        <v>1457</v>
      </c>
      <c r="F941" s="9"/>
      <c r="G941" s="9"/>
      <c r="H941" s="9"/>
      <c r="I941" s="9" t="s">
        <v>11264</v>
      </c>
      <c r="J941" s="9"/>
      <c r="K941" s="9" t="s">
        <v>11265</v>
      </c>
      <c r="L941" s="9"/>
      <c r="M941" s="9" t="str">
        <f>HYPERLINK("https://ceds.ed.gov/cedselementdetails.aspx?termid=14870")</f>
        <v>https://ceds.ed.gov/cedselementdetails.aspx?termid=14870</v>
      </c>
      <c r="N941" s="9" t="str">
        <f>HYPERLINK("https://ceds.ed.gov/elementComment.aspx?elementName=Facility Lease Type &amp;elementID=14870", "Click here to submit comment")</f>
        <v>Click here to submit comment</v>
      </c>
    </row>
    <row r="942" spans="1:14" ht="60" x14ac:dyDescent="0.25">
      <c r="A942" s="9" t="s">
        <v>2735</v>
      </c>
      <c r="B942" s="9" t="s">
        <v>2736</v>
      </c>
      <c r="C942" s="10" t="s">
        <v>6499</v>
      </c>
      <c r="D942" s="9" t="s">
        <v>1851</v>
      </c>
      <c r="E942" s="9"/>
      <c r="F942" s="9"/>
      <c r="G942" s="9"/>
      <c r="H942" s="9"/>
      <c r="I942" s="9" t="s">
        <v>2737</v>
      </c>
      <c r="J942" s="9"/>
      <c r="K942" s="9" t="s">
        <v>2738</v>
      </c>
      <c r="L942" s="9" t="s">
        <v>6193</v>
      </c>
      <c r="M942" s="9" t="str">
        <f>HYPERLINK("https://ceds.ed.gov/cedselementdetails.aspx?termid=13985")</f>
        <v>https://ceds.ed.gov/cedselementdetails.aspx?termid=13985</v>
      </c>
      <c r="N942" s="9" t="str">
        <f>HYPERLINK("https://ceds.ed.gov/elementComment.aspx?elementName=Facility Licensing Status &amp;elementID=13985", "Click here to submit comment")</f>
        <v>Click here to submit comment</v>
      </c>
    </row>
    <row r="943" spans="1:14" ht="45" x14ac:dyDescent="0.25">
      <c r="A943" s="9" t="s">
        <v>11266</v>
      </c>
      <c r="B943" s="9" t="s">
        <v>8460</v>
      </c>
      <c r="C943" s="9" t="s">
        <v>12</v>
      </c>
      <c r="D943" s="9" t="s">
        <v>10539</v>
      </c>
      <c r="E943" s="9" t="s">
        <v>1457</v>
      </c>
      <c r="F943" s="9" t="s">
        <v>92</v>
      </c>
      <c r="G943" s="9"/>
      <c r="H943" s="9"/>
      <c r="I943" s="9" t="s">
        <v>11267</v>
      </c>
      <c r="J943" s="9"/>
      <c r="K943" s="9" t="s">
        <v>12198</v>
      </c>
      <c r="L943" s="9"/>
      <c r="M943" s="9" t="str">
        <f>HYPERLINK("https://ceds.ed.gov/cedselementdetails.aspx?termid=14789")</f>
        <v>https://ceds.ed.gov/cedselementdetails.aspx?termid=14789</v>
      </c>
      <c r="N943" s="9" t="str">
        <f>HYPERLINK("https://ceds.ed.gov/elementComment.aspx?elementName=Facility Location of Hazardous Materials &amp;elementID=14789", "Click here to submit comment")</f>
        <v>Click here to submit comment</v>
      </c>
    </row>
    <row r="944" spans="1:14" ht="90" x14ac:dyDescent="0.25">
      <c r="A944" s="9" t="s">
        <v>11268</v>
      </c>
      <c r="B944" s="9" t="s">
        <v>8461</v>
      </c>
      <c r="C944" s="10" t="s">
        <v>11867</v>
      </c>
      <c r="D944" s="9" t="s">
        <v>10567</v>
      </c>
      <c r="E944" s="9" t="s">
        <v>1457</v>
      </c>
      <c r="F944" s="9"/>
      <c r="G944" s="9"/>
      <c r="H944" s="9"/>
      <c r="I944" s="9" t="s">
        <v>11269</v>
      </c>
      <c r="J944" s="9"/>
      <c r="K944" s="9" t="s">
        <v>11270</v>
      </c>
      <c r="L944" s="9"/>
      <c r="M944" s="9" t="str">
        <f>HYPERLINK("https://ceds.ed.gov/cedselementdetails.aspx?termid=14857")</f>
        <v>https://ceds.ed.gov/cedselementdetails.aspx?termid=14857</v>
      </c>
      <c r="N944" s="9" t="str">
        <f>HYPERLINK("https://ceds.ed.gov/elementComment.aspx?elementName=Facility Maintenance Standard Type &amp;elementID=14857", "Click here to submit comment")</f>
        <v>Click here to submit comment</v>
      </c>
    </row>
    <row r="945" spans="1:14" ht="60" x14ac:dyDescent="0.25">
      <c r="A945" s="9" t="s">
        <v>11271</v>
      </c>
      <c r="B945" s="9" t="s">
        <v>8595</v>
      </c>
      <c r="C945" s="9" t="s">
        <v>12</v>
      </c>
      <c r="D945" s="9" t="s">
        <v>11237</v>
      </c>
      <c r="E945" s="9" t="s">
        <v>1457</v>
      </c>
      <c r="F945" s="9" t="s">
        <v>1513</v>
      </c>
      <c r="G945" s="9"/>
      <c r="H945" s="9"/>
      <c r="I945" s="9" t="s">
        <v>11272</v>
      </c>
      <c r="J945" s="9"/>
      <c r="K945" s="9" t="s">
        <v>11273</v>
      </c>
      <c r="L945" s="9"/>
      <c r="M945" s="9" t="str">
        <f>HYPERLINK("https://ceds.ed.gov/cedselementdetails.aspx?termid=14871")</f>
        <v>https://ceds.ed.gov/cedselementdetails.aspx?termid=14871</v>
      </c>
      <c r="N945" s="9" t="str">
        <f>HYPERLINK("https://ceds.ed.gov/elementComment.aspx?elementName=Facility Mortgage Interest Amount &amp;elementID=14871", "Click here to submit comment")</f>
        <v>Click here to submit comment</v>
      </c>
    </row>
    <row r="946" spans="1:14" ht="210" x14ac:dyDescent="0.25">
      <c r="A946" s="9" t="s">
        <v>11274</v>
      </c>
      <c r="B946" s="9" t="s">
        <v>8596</v>
      </c>
      <c r="C946" s="10" t="s">
        <v>11868</v>
      </c>
      <c r="D946" s="9" t="s">
        <v>11237</v>
      </c>
      <c r="E946" s="9" t="s">
        <v>1457</v>
      </c>
      <c r="F946" s="9"/>
      <c r="G946" s="9"/>
      <c r="H946" s="9"/>
      <c r="I946" s="9" t="s">
        <v>11275</v>
      </c>
      <c r="J946" s="9"/>
      <c r="K946" s="9" t="s">
        <v>11276</v>
      </c>
      <c r="L946" s="9"/>
      <c r="M946" s="9" t="str">
        <f>HYPERLINK("https://ceds.ed.gov/cedselementdetails.aspx?termid=14872")</f>
        <v>https://ceds.ed.gov/cedselementdetails.aspx?termid=14872</v>
      </c>
      <c r="N946" s="9" t="str">
        <f>HYPERLINK("https://ceds.ed.gov/elementComment.aspx?elementName=Facility Mortgage Interest Type &amp;elementID=14872", "Click here to submit comment")</f>
        <v>Click here to submit comment</v>
      </c>
    </row>
    <row r="947" spans="1:14" ht="60" x14ac:dyDescent="0.25">
      <c r="A947" s="9" t="s">
        <v>11277</v>
      </c>
      <c r="B947" s="9" t="s">
        <v>8597</v>
      </c>
      <c r="C947" s="10" t="s">
        <v>11869</v>
      </c>
      <c r="D947" s="9" t="s">
        <v>11237</v>
      </c>
      <c r="E947" s="9" t="s">
        <v>1457</v>
      </c>
      <c r="F947" s="9"/>
      <c r="G947" s="9"/>
      <c r="H947" s="9"/>
      <c r="I947" s="9" t="s">
        <v>11278</v>
      </c>
      <c r="J947" s="9"/>
      <c r="K947" s="9" t="s">
        <v>11279</v>
      </c>
      <c r="L947" s="9"/>
      <c r="M947" s="9" t="str">
        <f>HYPERLINK("https://ceds.ed.gov/cedselementdetails.aspx?termid=14873")</f>
        <v>https://ceds.ed.gov/cedselementdetails.aspx?termid=14873</v>
      </c>
      <c r="N947" s="9" t="str">
        <f>HYPERLINK("https://ceds.ed.gov/elementComment.aspx?elementName=Facility Mortgage Type &amp;elementID=14873", "Click here to submit comment")</f>
        <v>Click here to submit comment</v>
      </c>
    </row>
    <row r="948" spans="1:14" ht="120" x14ac:dyDescent="0.25">
      <c r="A948" s="9" t="s">
        <v>11280</v>
      </c>
      <c r="B948" s="9" t="s">
        <v>8610</v>
      </c>
      <c r="C948" s="10" t="s">
        <v>11870</v>
      </c>
      <c r="D948" s="9" t="s">
        <v>10567</v>
      </c>
      <c r="E948" s="9" t="s">
        <v>1457</v>
      </c>
      <c r="F948" s="9"/>
      <c r="G948" s="9"/>
      <c r="H948" s="9"/>
      <c r="I948" s="9" t="s">
        <v>11281</v>
      </c>
      <c r="J948" s="9"/>
      <c r="K948" s="9" t="s">
        <v>11282</v>
      </c>
      <c r="L948" s="9"/>
      <c r="M948" s="9" t="str">
        <f>HYPERLINK("https://ceds.ed.gov/cedselementdetails.aspx?termid=14858")</f>
        <v>https://ceds.ed.gov/cedselementdetails.aspx?termid=14858</v>
      </c>
      <c r="N948" s="9" t="str">
        <f>HYPERLINK("https://ceds.ed.gov/elementComment.aspx?elementName=Facility Naturally Occurring Hazard Type &amp;elementID=14858", "Click here to submit comment")</f>
        <v>Click here to submit comment</v>
      </c>
    </row>
    <row r="949" spans="1:14" ht="90" x14ac:dyDescent="0.25">
      <c r="A949" s="9" t="s">
        <v>11283</v>
      </c>
      <c r="B949" s="9" t="s">
        <v>11284</v>
      </c>
      <c r="C949" s="9" t="s">
        <v>12</v>
      </c>
      <c r="D949" s="9" t="s">
        <v>10539</v>
      </c>
      <c r="E949" s="9" t="s">
        <v>1457</v>
      </c>
      <c r="F949" s="9" t="s">
        <v>303</v>
      </c>
      <c r="G949" s="9"/>
      <c r="H949" s="9"/>
      <c r="I949" s="9" t="s">
        <v>11285</v>
      </c>
      <c r="J949" s="9"/>
      <c r="K949" s="9" t="s">
        <v>11286</v>
      </c>
      <c r="L949" s="9"/>
      <c r="M949" s="9" t="str">
        <f>HYPERLINK("https://ceds.ed.gov/cedselementdetails.aspx?termid=14791")</f>
        <v>https://ceds.ed.gov/cedselementdetails.aspx?termid=14791</v>
      </c>
      <c r="N949" s="9" t="str">
        <f>HYPERLINK("https://ceds.ed.gov/elementComment.aspx?elementName=Facility Nearby Environmental Hazard Description &amp;elementID=14791", "Click here to submit comment")</f>
        <v>Click here to submit comment</v>
      </c>
    </row>
    <row r="950" spans="1:14" ht="120" x14ac:dyDescent="0.25">
      <c r="A950" s="9" t="s">
        <v>8057</v>
      </c>
      <c r="B950" s="9" t="s">
        <v>8058</v>
      </c>
      <c r="C950" s="10" t="s">
        <v>11871</v>
      </c>
      <c r="D950" s="9" t="s">
        <v>10567</v>
      </c>
      <c r="E950" s="9" t="s">
        <v>1457</v>
      </c>
      <c r="F950" s="9"/>
      <c r="G950" s="9"/>
      <c r="H950" s="9"/>
      <c r="I950" s="9" t="s">
        <v>11287</v>
      </c>
      <c r="J950" s="9"/>
      <c r="K950" s="9" t="s">
        <v>11288</v>
      </c>
      <c r="L950" s="9"/>
      <c r="M950" s="9" t="str">
        <f>HYPERLINK("https://ceds.ed.gov/cedselementdetails.aspx?termid=14854")</f>
        <v>https://ceds.ed.gov/cedselementdetails.aspx?termid=14854</v>
      </c>
      <c r="N950" s="9" t="str">
        <f>HYPERLINK("https://ceds.ed.gov/elementComment.aspx?elementName=Facility Operations Management Type &amp;elementID=14854", "Click here to submit comment")</f>
        <v>Click here to submit comment</v>
      </c>
    </row>
    <row r="951" spans="1:14" ht="45" x14ac:dyDescent="0.25">
      <c r="A951" s="9" t="s">
        <v>11289</v>
      </c>
      <c r="B951" s="9" t="s">
        <v>11290</v>
      </c>
      <c r="C951" s="9" t="s">
        <v>6106</v>
      </c>
      <c r="D951" s="9" t="s">
        <v>10528</v>
      </c>
      <c r="E951" s="9" t="s">
        <v>1457</v>
      </c>
      <c r="F951" s="9"/>
      <c r="G951" s="9"/>
      <c r="H951" s="9"/>
      <c r="I951" s="9" t="s">
        <v>11291</v>
      </c>
      <c r="J951" s="9"/>
      <c r="K951" s="9" t="s">
        <v>11292</v>
      </c>
      <c r="L951" s="9"/>
      <c r="M951" s="9" t="str">
        <f>HYPERLINK("https://ceds.ed.gov/cedselementdetails.aspx?termid=14887")</f>
        <v>https://ceds.ed.gov/cedselementdetails.aspx?termid=14887</v>
      </c>
      <c r="N951" s="9" t="str">
        <f>HYPERLINK("https://ceds.ed.gov/elementComment.aspx?elementName=Facility Ownership Indicator &amp;elementID=14887", "Click here to submit comment")</f>
        <v>Click here to submit comment</v>
      </c>
    </row>
    <row r="952" spans="1:14" ht="15" customHeight="1" x14ac:dyDescent="0.25">
      <c r="A952" s="9" t="s">
        <v>2739</v>
      </c>
      <c r="B952" s="9" t="s">
        <v>2740</v>
      </c>
      <c r="C952" s="10" t="s">
        <v>6500</v>
      </c>
      <c r="D952" s="9" t="s">
        <v>2741</v>
      </c>
      <c r="E952" s="9"/>
      <c r="F952" s="9"/>
      <c r="G952" s="9"/>
      <c r="H952" s="9"/>
      <c r="I952" s="9" t="s">
        <v>2742</v>
      </c>
      <c r="J952" s="9"/>
      <c r="K952" s="9" t="s">
        <v>2743</v>
      </c>
      <c r="L952" s="9" t="s">
        <v>64</v>
      </c>
      <c r="M952" s="9" t="str">
        <f>HYPERLINK("https://ceds.ed.gov/cedselementdetails.aspx?termid=13834")</f>
        <v>https://ceds.ed.gov/cedselementdetails.aspx?termid=13834</v>
      </c>
      <c r="N952" s="9" t="str">
        <f>HYPERLINK("https://ceds.ed.gov/elementComment.aspx?elementName=Facility Profit Status &amp;elementID=13834", "Click here to submit comment")</f>
        <v>Click here to submit comment</v>
      </c>
    </row>
    <row r="953" spans="1:14" ht="15" customHeight="1" x14ac:dyDescent="0.25">
      <c r="A953" s="9" t="s">
        <v>8059</v>
      </c>
      <c r="B953" s="9" t="s">
        <v>8060</v>
      </c>
      <c r="C953" s="9" t="s">
        <v>12</v>
      </c>
      <c r="D953" s="9" t="s">
        <v>10528</v>
      </c>
      <c r="E953" s="9" t="s">
        <v>1457</v>
      </c>
      <c r="F953" s="9" t="s">
        <v>1513</v>
      </c>
      <c r="G953" s="9"/>
      <c r="H953" s="9"/>
      <c r="I953" s="9" t="s">
        <v>11293</v>
      </c>
      <c r="J953" s="9"/>
      <c r="K953" s="9" t="s">
        <v>11294</v>
      </c>
      <c r="L953" s="9"/>
      <c r="M953" s="9" t="str">
        <f>HYPERLINK("https://ceds.ed.gov/cedselementdetails.aspx?termid=14765")</f>
        <v>https://ceds.ed.gov/cedselementdetails.aspx?termid=14765</v>
      </c>
      <c r="N953" s="9" t="str">
        <f>HYPERLINK("https://ceds.ed.gov/elementComment.aspx?elementName=Facility Replacement Value &amp;elementID=14765", "Click here to submit comment")</f>
        <v>Click here to submit comment</v>
      </c>
    </row>
    <row r="954" spans="1:14" ht="409.6" customHeight="1" x14ac:dyDescent="0.25">
      <c r="A954" s="9" t="s">
        <v>11295</v>
      </c>
      <c r="B954" s="9" t="s">
        <v>9221</v>
      </c>
      <c r="C954" s="9" t="s">
        <v>12</v>
      </c>
      <c r="D954" s="9" t="s">
        <v>10528</v>
      </c>
      <c r="E954" s="9" t="s">
        <v>1457</v>
      </c>
      <c r="F954" s="9" t="s">
        <v>4991</v>
      </c>
      <c r="G954" s="9"/>
      <c r="H954" s="9"/>
      <c r="I954" s="9" t="s">
        <v>11296</v>
      </c>
      <c r="J954" s="9"/>
      <c r="K954" s="9" t="s">
        <v>11297</v>
      </c>
      <c r="L954" s="9"/>
      <c r="M954" s="9" t="str">
        <f>HYPERLINK("https://ceds.ed.gov/cedselementdetails.aspx?termid=14754")</f>
        <v>https://ceds.ed.gov/cedselementdetails.aspx?termid=14754</v>
      </c>
      <c r="N954" s="9" t="str">
        <f>HYPERLINK("https://ceds.ed.gov/elementComment.aspx?elementName=Facility Site Area &amp;elementID=14754", "Click here to submit comment")</f>
        <v>Click here to submit comment</v>
      </c>
    </row>
    <row r="955" spans="1:14" ht="45" x14ac:dyDescent="0.25">
      <c r="A955" s="9" t="s">
        <v>11298</v>
      </c>
      <c r="B955" s="9" t="s">
        <v>9226</v>
      </c>
      <c r="C955" s="9" t="s">
        <v>12</v>
      </c>
      <c r="D955" s="9" t="s">
        <v>10528</v>
      </c>
      <c r="E955" s="9" t="s">
        <v>1457</v>
      </c>
      <c r="F955" s="9" t="s">
        <v>1165</v>
      </c>
      <c r="G955" s="9"/>
      <c r="H955" s="9"/>
      <c r="I955" s="9" t="s">
        <v>11299</v>
      </c>
      <c r="J955" s="9"/>
      <c r="K955" s="9" t="s">
        <v>11300</v>
      </c>
      <c r="L955" s="9"/>
      <c r="M955" s="9" t="str">
        <f>HYPERLINK("https://ceds.ed.gov/cedselementdetails.aspx?termid=14767")</f>
        <v>https://ceds.ed.gov/cedselementdetails.aspx?termid=14767</v>
      </c>
      <c r="N955" s="9" t="str">
        <f>HYPERLINK("https://ceds.ed.gov/elementComment.aspx?elementName=Facility Site Identifier &amp;elementID=14767", "Click here to submit comment")</f>
        <v>Click here to submit comment</v>
      </c>
    </row>
    <row r="956" spans="1:14" ht="240" x14ac:dyDescent="0.25">
      <c r="A956" s="9" t="s">
        <v>11301</v>
      </c>
      <c r="B956" s="9" t="s">
        <v>11302</v>
      </c>
      <c r="C956" s="10" t="s">
        <v>11872</v>
      </c>
      <c r="D956" s="9" t="s">
        <v>10528</v>
      </c>
      <c r="E956" s="9" t="s">
        <v>1457</v>
      </c>
      <c r="F956" s="9"/>
      <c r="G956" s="9"/>
      <c r="H956" s="9"/>
      <c r="I956" s="9" t="s">
        <v>11303</v>
      </c>
      <c r="J956" s="9"/>
      <c r="K956" s="9" t="s">
        <v>11304</v>
      </c>
      <c r="L956" s="9"/>
      <c r="M956" s="9" t="str">
        <f>HYPERLINK("https://ceds.ed.gov/cedselementdetails.aspx?termid=14768")</f>
        <v>https://ceds.ed.gov/cedselementdetails.aspx?termid=14768</v>
      </c>
      <c r="N956" s="9" t="str">
        <f>HYPERLINK("https://ceds.ed.gov/elementComment.aspx?elementName=Facility Site Improvement Location Type &amp;elementID=14768", "Click here to submit comment")</f>
        <v>Click here to submit comment</v>
      </c>
    </row>
    <row r="957" spans="1:14" ht="270" x14ac:dyDescent="0.25">
      <c r="A957" s="9" t="s">
        <v>11305</v>
      </c>
      <c r="B957" s="9" t="s">
        <v>9222</v>
      </c>
      <c r="C957" s="10" t="s">
        <v>11873</v>
      </c>
      <c r="D957" s="9" t="s">
        <v>10535</v>
      </c>
      <c r="E957" s="9" t="s">
        <v>1457</v>
      </c>
      <c r="F957" s="9"/>
      <c r="G957" s="9"/>
      <c r="H957" s="9"/>
      <c r="I957" s="9" t="s">
        <v>11306</v>
      </c>
      <c r="J957" s="9"/>
      <c r="K957" s="9" t="s">
        <v>11307</v>
      </c>
      <c r="L957" s="9"/>
      <c r="M957" s="9" t="str">
        <f>HYPERLINK("https://ceds.ed.gov/cedselementdetails.aspx?termid=14811")</f>
        <v>https://ceds.ed.gov/cedselementdetails.aspx?termid=14811</v>
      </c>
      <c r="N957" s="9" t="str">
        <f>HYPERLINK("https://ceds.ed.gov/elementComment.aspx?elementName=Facility Site Outdoor Area Type &amp;elementID=14811", "Click here to submit comment")</f>
        <v>Click here to submit comment</v>
      </c>
    </row>
    <row r="958" spans="1:14" ht="45" x14ac:dyDescent="0.25">
      <c r="A958" s="9" t="s">
        <v>2744</v>
      </c>
      <c r="B958" s="9" t="s">
        <v>2745</v>
      </c>
      <c r="C958" s="9" t="s">
        <v>12</v>
      </c>
      <c r="D958" s="9" t="s">
        <v>10535</v>
      </c>
      <c r="E958" s="9"/>
      <c r="F958" s="9" t="s">
        <v>68</v>
      </c>
      <c r="G958" s="9"/>
      <c r="H958" s="9"/>
      <c r="I958" s="9" t="s">
        <v>2746</v>
      </c>
      <c r="J958" s="9"/>
      <c r="K958" s="9" t="s">
        <v>2747</v>
      </c>
      <c r="L958" s="9"/>
      <c r="M958" s="9" t="str">
        <f>HYPERLINK("https://ceds.ed.gov/cedselementdetails.aspx?termid=14174")</f>
        <v>https://ceds.ed.gov/cedselementdetails.aspx?termid=14174</v>
      </c>
      <c r="N958" s="9" t="str">
        <f>HYPERLINK("https://ceds.ed.gov/elementComment.aspx?elementName=Facility Space Description &amp;elementID=14174", "Click here to submit comment")</f>
        <v>Click here to submit comment</v>
      </c>
    </row>
    <row r="959" spans="1:14" ht="15" customHeight="1" x14ac:dyDescent="0.25">
      <c r="A959" s="9" t="s">
        <v>2748</v>
      </c>
      <c r="B959" s="9" t="s">
        <v>2749</v>
      </c>
      <c r="C959" s="10" t="s">
        <v>6501</v>
      </c>
      <c r="D959" s="9" t="s">
        <v>10522</v>
      </c>
      <c r="E959" s="9"/>
      <c r="F959" s="9"/>
      <c r="G959" s="9"/>
      <c r="H959" s="9"/>
      <c r="I959" s="9" t="s">
        <v>2750</v>
      </c>
      <c r="J959" s="9"/>
      <c r="K959" s="9" t="s">
        <v>2751</v>
      </c>
      <c r="L959" s="9"/>
      <c r="M959" s="9" t="str">
        <f>HYPERLINK("https://ceds.ed.gov/cedselementdetails.aspx?termid=14175")</f>
        <v>https://ceds.ed.gov/cedselementdetails.aspx?termid=14175</v>
      </c>
      <c r="N959" s="9" t="str">
        <f>HYPERLINK("https://ceds.ed.gov/elementComment.aspx?elementName=Facility Space Use Type &amp;elementID=14175", "Click here to submit comment")</f>
        <v>Click here to submit comment</v>
      </c>
    </row>
    <row r="960" spans="1:14" ht="15" customHeight="1" x14ac:dyDescent="0.25">
      <c r="A960" s="9" t="s">
        <v>11308</v>
      </c>
      <c r="B960" s="9" t="s">
        <v>8061</v>
      </c>
      <c r="C960" s="10" t="s">
        <v>11874</v>
      </c>
      <c r="D960" s="9" t="s">
        <v>10567</v>
      </c>
      <c r="E960" s="9" t="s">
        <v>1457</v>
      </c>
      <c r="F960" s="9"/>
      <c r="G960" s="9"/>
      <c r="H960" s="9"/>
      <c r="I960" s="9" t="s">
        <v>11309</v>
      </c>
      <c r="J960" s="9"/>
      <c r="K960" s="9" t="s">
        <v>11310</v>
      </c>
      <c r="L960" s="9"/>
      <c r="M960" s="9" t="str">
        <f>HYPERLINK("https://ceds.ed.gov/cedselementdetails.aspx?termid=14865")</f>
        <v>https://ceds.ed.gov/cedselementdetails.aspx?termid=14865</v>
      </c>
      <c r="N960" s="9" t="str">
        <f>HYPERLINK("https://ceds.ed.gov/elementComment.aspx?elementName=Facility Standard Type &amp;elementID=14865", "Click here to submit comment")</f>
        <v>Click here to submit comment</v>
      </c>
    </row>
    <row r="961" spans="1:14" ht="15" customHeight="1" x14ac:dyDescent="0.25">
      <c r="A961" s="9" t="s">
        <v>11311</v>
      </c>
      <c r="B961" s="9" t="s">
        <v>9296</v>
      </c>
      <c r="C961" s="10" t="s">
        <v>11875</v>
      </c>
      <c r="D961" s="9" t="s">
        <v>10539</v>
      </c>
      <c r="E961" s="9" t="s">
        <v>1457</v>
      </c>
      <c r="F961" s="9"/>
      <c r="G961" s="9"/>
      <c r="H961" s="9"/>
      <c r="I961" s="9" t="s">
        <v>11312</v>
      </c>
      <c r="J961" s="9"/>
      <c r="K961" s="9" t="s">
        <v>12199</v>
      </c>
      <c r="L961" s="9"/>
      <c r="M961" s="9" t="str">
        <f>HYPERLINK("https://ceds.ed.gov/cedselementdetails.aspx?termid=14786")</f>
        <v>https://ceds.ed.gov/cedselementdetails.aspx?termid=14786</v>
      </c>
      <c r="N961" s="9" t="str">
        <f>HYPERLINK("https://ceds.ed.gov/elementComment.aspx?elementName=Facility State or Local Mandate Interest Type &amp;elementID=14786", "Click here to submit comment")</f>
        <v>Click here to submit comment</v>
      </c>
    </row>
    <row r="962" spans="1:14" ht="15" customHeight="1" x14ac:dyDescent="0.25">
      <c r="A962" s="9" t="s">
        <v>11313</v>
      </c>
      <c r="B962" s="9" t="s">
        <v>9297</v>
      </c>
      <c r="C962" s="9" t="s">
        <v>12</v>
      </c>
      <c r="D962" s="9" t="s">
        <v>10539</v>
      </c>
      <c r="E962" s="9" t="s">
        <v>1457</v>
      </c>
      <c r="F962" s="9" t="s">
        <v>92</v>
      </c>
      <c r="G962" s="9"/>
      <c r="H962" s="9"/>
      <c r="I962" s="9" t="s">
        <v>11314</v>
      </c>
      <c r="J962" s="9"/>
      <c r="K962" s="9" t="s">
        <v>12200</v>
      </c>
      <c r="L962" s="9"/>
      <c r="M962" s="9" t="str">
        <f>HYPERLINK("https://ceds.ed.gov/cedselementdetails.aspx?termid=14787")</f>
        <v>https://ceds.ed.gov/cedselementdetails.aspx?termid=14787</v>
      </c>
      <c r="N962" s="9" t="str">
        <f>HYPERLINK("https://ceds.ed.gov/elementComment.aspx?elementName=Facility State or Local Mandate Name &amp;elementID=14787", "Click here to submit comment")</f>
        <v>Click here to submit comment</v>
      </c>
    </row>
    <row r="963" spans="1:14" ht="15" customHeight="1" x14ac:dyDescent="0.25">
      <c r="A963" s="9" t="s">
        <v>11315</v>
      </c>
      <c r="B963" s="9" t="s">
        <v>7623</v>
      </c>
      <c r="C963" s="10" t="s">
        <v>11876</v>
      </c>
      <c r="D963" s="9" t="s">
        <v>10539</v>
      </c>
      <c r="E963" s="9" t="s">
        <v>1457</v>
      </c>
      <c r="F963" s="9"/>
      <c r="G963" s="9"/>
      <c r="H963" s="9"/>
      <c r="I963" s="9" t="s">
        <v>11316</v>
      </c>
      <c r="J963" s="9"/>
      <c r="K963" s="9" t="s">
        <v>12201</v>
      </c>
      <c r="L963" s="9"/>
      <c r="M963" s="9" t="str">
        <f>HYPERLINK("https://ceds.ed.gov/cedselementdetails.aspx?termid=14774")</f>
        <v>https://ceds.ed.gov/cedselementdetails.aspx?termid=14774</v>
      </c>
      <c r="N963" s="9" t="str">
        <f>HYPERLINK("https://ceds.ed.gov/elementComment.aspx?elementName=Facility System or Component Condition &amp;elementID=14774", "Click here to submit comment")</f>
        <v>Click here to submit comment</v>
      </c>
    </row>
    <row r="964" spans="1:14" ht="45" x14ac:dyDescent="0.25">
      <c r="A964" s="9" t="s">
        <v>11317</v>
      </c>
      <c r="B964" s="9" t="s">
        <v>9407</v>
      </c>
      <c r="C964" s="9" t="s">
        <v>12</v>
      </c>
      <c r="D964" s="9" t="s">
        <v>11237</v>
      </c>
      <c r="E964" s="9" t="s">
        <v>1457</v>
      </c>
      <c r="F964" s="9" t="s">
        <v>1513</v>
      </c>
      <c r="G964" s="9"/>
      <c r="H964" s="9"/>
      <c r="I964" s="9" t="s">
        <v>11318</v>
      </c>
      <c r="J964" s="9"/>
      <c r="K964" s="9" t="s">
        <v>11319</v>
      </c>
      <c r="L964" s="9"/>
      <c r="M964" s="9" t="str">
        <f>HYPERLINK("https://ceds.ed.gov/cedselementdetails.aspx?termid=14877")</f>
        <v>https://ceds.ed.gov/cedselementdetails.aspx?termid=14877</v>
      </c>
      <c r="N964" s="9" t="str">
        <f>HYPERLINK("https://ceds.ed.gov/elementComment.aspx?elementName=Facility Total Assessed Value &amp;elementID=14877", "Click here to submit comment")</f>
        <v>Click here to submit comment</v>
      </c>
    </row>
    <row r="965" spans="1:14" ht="45" x14ac:dyDescent="0.25">
      <c r="A965" s="9" t="s">
        <v>11320</v>
      </c>
      <c r="B965" s="9" t="s">
        <v>9492</v>
      </c>
      <c r="C965" s="10" t="s">
        <v>11877</v>
      </c>
      <c r="D965" s="9" t="s">
        <v>10567</v>
      </c>
      <c r="E965" s="9" t="s">
        <v>1457</v>
      </c>
      <c r="F965" s="9"/>
      <c r="G965" s="9"/>
      <c r="H965" s="9"/>
      <c r="I965" s="9" t="s">
        <v>11321</v>
      </c>
      <c r="J965" s="9"/>
      <c r="K965" s="9" t="s">
        <v>11322</v>
      </c>
      <c r="L965" s="9"/>
      <c r="M965" s="9" t="str">
        <f>HYPERLINK("https://ceds.ed.gov/cedselementdetails.aspx?termid=14859")</f>
        <v>https://ceds.ed.gov/cedselementdetails.aspx?termid=14859</v>
      </c>
      <c r="N965" s="9" t="str">
        <f>HYPERLINK("https://ceds.ed.gov/elementComment.aspx?elementName=Facility Utility Provider Type &amp;elementID=14859", "Click here to submit comment")</f>
        <v>Click here to submit comment</v>
      </c>
    </row>
    <row r="966" spans="1:14" ht="165" x14ac:dyDescent="0.25">
      <c r="A966" s="9" t="s">
        <v>11323</v>
      </c>
      <c r="B966" s="9" t="s">
        <v>9493</v>
      </c>
      <c r="C966" s="10" t="s">
        <v>11878</v>
      </c>
      <c r="D966" s="9" t="s">
        <v>10567</v>
      </c>
      <c r="E966" s="9" t="s">
        <v>1457</v>
      </c>
      <c r="F966" s="9"/>
      <c r="G966" s="9"/>
      <c r="H966" s="9"/>
      <c r="I966" s="9" t="s">
        <v>11324</v>
      </c>
      <c r="J966" s="9"/>
      <c r="K966" s="9" t="s">
        <v>11325</v>
      </c>
      <c r="L966" s="9"/>
      <c r="M966" s="9" t="str">
        <f>HYPERLINK("https://ceds.ed.gov/cedselementdetails.aspx?termid=14860")</f>
        <v>https://ceds.ed.gov/cedselementdetails.aspx?termid=14860</v>
      </c>
      <c r="N966" s="9" t="str">
        <f>HYPERLINK("https://ceds.ed.gov/elementComment.aspx?elementName=Facility Utility Type &amp;elementID=14860", "Click here to submit comment")</f>
        <v>Click here to submit comment</v>
      </c>
    </row>
    <row r="967" spans="1:14" ht="120" x14ac:dyDescent="0.25">
      <c r="A967" s="9" t="s">
        <v>2752</v>
      </c>
      <c r="B967" s="9" t="s">
        <v>2753</v>
      </c>
      <c r="C967" s="10" t="s">
        <v>6502</v>
      </c>
      <c r="D967" s="9" t="s">
        <v>2754</v>
      </c>
      <c r="E967" s="9"/>
      <c r="F967" s="9"/>
      <c r="G967" s="9"/>
      <c r="H967" s="9"/>
      <c r="I967" s="9" t="s">
        <v>2755</v>
      </c>
      <c r="J967" s="9"/>
      <c r="K967" s="9" t="s">
        <v>2756</v>
      </c>
      <c r="L967" s="9" t="s">
        <v>6139</v>
      </c>
      <c r="M967" s="9" t="str">
        <f>HYPERLINK("https://ceds.ed.gov/cedselementdetails.aspx?termid=13582")</f>
        <v>https://ceds.ed.gov/cedselementdetails.aspx?termid=13582</v>
      </c>
      <c r="N967" s="9" t="str">
        <f>HYPERLINK("https://ceds.ed.gov/elementComment.aspx?elementName=Faculty and Administration Performance Level &amp;elementID=13582", "Click here to submit comment")</f>
        <v>Click here to submit comment</v>
      </c>
    </row>
    <row r="968" spans="1:14" ht="405" x14ac:dyDescent="0.25">
      <c r="A968" s="9" t="s">
        <v>2757</v>
      </c>
      <c r="B968" s="9" t="s">
        <v>2758</v>
      </c>
      <c r="C968" s="9" t="s">
        <v>6106</v>
      </c>
      <c r="D968" s="9" t="s">
        <v>33</v>
      </c>
      <c r="E968" s="9"/>
      <c r="F968" s="9"/>
      <c r="G968" s="9"/>
      <c r="H968" s="9" t="s">
        <v>2759</v>
      </c>
      <c r="I968" s="9" t="s">
        <v>2760</v>
      </c>
      <c r="J968" s="9"/>
      <c r="K968" s="9" t="s">
        <v>2761</v>
      </c>
      <c r="L968" s="9" t="s">
        <v>37</v>
      </c>
      <c r="M968" s="9" t="str">
        <f>HYPERLINK("https://ceds.ed.gov/cedselementdetails.aspx?termid=13711")</f>
        <v>https://ceds.ed.gov/cedselementdetails.aspx?termid=13711</v>
      </c>
      <c r="N968" s="9" t="str">
        <f>HYPERLINK("https://ceds.ed.gov/elementComment.aspx?elementName=Faculty Status &amp;elementID=13711", "Click here to submit comment")</f>
        <v>Click here to submit comment</v>
      </c>
    </row>
    <row r="969" spans="1:14" ht="105" x14ac:dyDescent="0.25">
      <c r="A969" s="9" t="s">
        <v>2762</v>
      </c>
      <c r="B969" s="9" t="s">
        <v>2763</v>
      </c>
      <c r="C969" s="9" t="s">
        <v>6106</v>
      </c>
      <c r="D969" s="9" t="s">
        <v>10527</v>
      </c>
      <c r="E969" s="9"/>
      <c r="F969" s="9"/>
      <c r="G969" s="9"/>
      <c r="H969" s="9"/>
      <c r="I969" s="9" t="s">
        <v>2764</v>
      </c>
      <c r="J969" s="9"/>
      <c r="K969" s="9" t="s">
        <v>2765</v>
      </c>
      <c r="L969" s="9"/>
      <c r="M969" s="9" t="str">
        <f>HYPERLINK("https://ceds.ed.gov/cedselementdetails.aspx?termid=14311")</f>
        <v>https://ceds.ed.gov/cedselementdetails.aspx?termid=14311</v>
      </c>
      <c r="N969" s="9" t="str">
        <f>HYPERLINK("https://ceds.ed.gov/elementComment.aspx?elementName=Family and Consumer Sciences Course Indicator &amp;elementID=14311", "Click here to submit comment")</f>
        <v>Click here to submit comment</v>
      </c>
    </row>
    <row r="970" spans="1:14" ht="105" x14ac:dyDescent="0.25">
      <c r="A970" s="18" t="s">
        <v>2766</v>
      </c>
      <c r="B970" s="18" t="s">
        <v>2767</v>
      </c>
      <c r="C970" s="18" t="s">
        <v>12</v>
      </c>
      <c r="D970" s="18" t="s">
        <v>11326</v>
      </c>
      <c r="E970" s="18"/>
      <c r="F970" s="18" t="s">
        <v>119</v>
      </c>
      <c r="G970" s="18"/>
      <c r="H970" s="9" t="s">
        <v>120</v>
      </c>
      <c r="I970" s="18" t="s">
        <v>2768</v>
      </c>
      <c r="J970" s="18"/>
      <c r="K970" s="18" t="s">
        <v>2769</v>
      </c>
      <c r="L970" s="18" t="s">
        <v>6165</v>
      </c>
      <c r="M970" s="18" t="str">
        <f>HYPERLINK("https://ceds.ed.gov/cedselementdetails.aspx?termid=13784")</f>
        <v>https://ceds.ed.gov/cedselementdetails.aspx?termid=13784</v>
      </c>
      <c r="N970" s="18" t="str">
        <f>HYPERLINK("https://ceds.ed.gov/elementComment.aspx?elementName=Family Identifier &amp;elementID=13784", "Click here to submit comment")</f>
        <v>Click here to submit comment</v>
      </c>
    </row>
    <row r="971" spans="1:14" x14ac:dyDescent="0.25">
      <c r="A971" s="18"/>
      <c r="B971" s="18"/>
      <c r="C971" s="18"/>
      <c r="D971" s="18"/>
      <c r="E971" s="18"/>
      <c r="F971" s="18"/>
      <c r="G971" s="18"/>
      <c r="H971" s="9"/>
      <c r="I971" s="18"/>
      <c r="J971" s="18"/>
      <c r="K971" s="18"/>
      <c r="L971" s="18"/>
      <c r="M971" s="18"/>
      <c r="N971" s="18"/>
    </row>
    <row r="972" spans="1:14" ht="90" x14ac:dyDescent="0.25">
      <c r="A972" s="18"/>
      <c r="B972" s="18"/>
      <c r="C972" s="18"/>
      <c r="D972" s="18"/>
      <c r="E972" s="18"/>
      <c r="F972" s="18"/>
      <c r="G972" s="18"/>
      <c r="H972" s="9" t="s">
        <v>121</v>
      </c>
      <c r="I972" s="18"/>
      <c r="J972" s="18"/>
      <c r="K972" s="18"/>
      <c r="L972" s="18"/>
      <c r="M972" s="18"/>
      <c r="N972" s="18"/>
    </row>
    <row r="973" spans="1:14" ht="409.5" x14ac:dyDescent="0.25">
      <c r="A973" s="9" t="s">
        <v>2770</v>
      </c>
      <c r="B973" s="9" t="s">
        <v>2771</v>
      </c>
      <c r="C973" s="9" t="s">
        <v>12</v>
      </c>
      <c r="D973" s="9" t="s">
        <v>2772</v>
      </c>
      <c r="E973" s="9"/>
      <c r="F973" s="9" t="s">
        <v>1513</v>
      </c>
      <c r="G973" s="9"/>
      <c r="H973" s="9" t="s">
        <v>2773</v>
      </c>
      <c r="I973" s="9" t="s">
        <v>2774</v>
      </c>
      <c r="J973" s="9"/>
      <c r="K973" s="9" t="s">
        <v>2775</v>
      </c>
      <c r="L973" s="9" t="s">
        <v>6124</v>
      </c>
      <c r="M973" s="9" t="str">
        <f>HYPERLINK("https://ceds.ed.gov/cedselementdetails.aspx?termid=13331")</f>
        <v>https://ceds.ed.gov/cedselementdetails.aspx?termid=13331</v>
      </c>
      <c r="N973" s="9" t="str">
        <f>HYPERLINK("https://ceds.ed.gov/elementComment.aspx?elementName=Family Income &amp;elementID=13331", "Click here to submit comment")</f>
        <v>Click here to submit comment</v>
      </c>
    </row>
    <row r="974" spans="1:14" ht="150" x14ac:dyDescent="0.25">
      <c r="A974" s="9" t="s">
        <v>2776</v>
      </c>
      <c r="B974" s="9" t="s">
        <v>2777</v>
      </c>
      <c r="C974" s="9" t="s">
        <v>12</v>
      </c>
      <c r="D974" s="9" t="s">
        <v>11327</v>
      </c>
      <c r="E974" s="9"/>
      <c r="F974" s="9" t="s">
        <v>11328</v>
      </c>
      <c r="G974" s="9"/>
      <c r="H974" s="9"/>
      <c r="I974" s="9" t="s">
        <v>2778</v>
      </c>
      <c r="J974" s="9"/>
      <c r="K974" s="9" t="s">
        <v>2779</v>
      </c>
      <c r="L974" s="9" t="s">
        <v>199</v>
      </c>
      <c r="M974" s="9" t="str">
        <f>HYPERLINK("https://ceds.ed.gov/cedselementdetails.aspx?termid=13538")</f>
        <v>https://ceds.ed.gov/cedselementdetails.aspx?termid=13538</v>
      </c>
      <c r="N974" s="9" t="str">
        <f>HYPERLINK("https://ceds.ed.gov/elementComment.aspx?elementName=Federal Program Code &amp;elementID=13538", "Click here to submit comment")</f>
        <v>Click here to submit comment</v>
      </c>
    </row>
    <row r="975" spans="1:14" ht="135" x14ac:dyDescent="0.25">
      <c r="A975" s="9" t="s">
        <v>2780</v>
      </c>
      <c r="B975" s="9" t="s">
        <v>2781</v>
      </c>
      <c r="C975" s="9" t="s">
        <v>12</v>
      </c>
      <c r="D975" s="9" t="s">
        <v>11329</v>
      </c>
      <c r="E975" s="9"/>
      <c r="F975" s="9" t="s">
        <v>1513</v>
      </c>
      <c r="G975" s="9"/>
      <c r="H975" s="9"/>
      <c r="I975" s="9" t="s">
        <v>2782</v>
      </c>
      <c r="J975" s="9"/>
      <c r="K975" s="9" t="s">
        <v>2783</v>
      </c>
      <c r="L975" s="9" t="s">
        <v>199</v>
      </c>
      <c r="M975" s="9" t="str">
        <f>HYPERLINK("https://ceds.ed.gov/cedselementdetails.aspx?termid=13540")</f>
        <v>https://ceds.ed.gov/cedselementdetails.aspx?termid=13540</v>
      </c>
      <c r="N975" s="9" t="str">
        <f>HYPERLINK("https://ceds.ed.gov/elementComment.aspx?elementName=Federal Programs Funding Allocation &amp;elementID=13540", "Click here to submit comment")</f>
        <v>Click here to submit comment</v>
      </c>
    </row>
    <row r="976" spans="1:14" ht="135" x14ac:dyDescent="0.25">
      <c r="A976" s="9" t="s">
        <v>2784</v>
      </c>
      <c r="B976" s="9" t="s">
        <v>2785</v>
      </c>
      <c r="C976" s="10" t="s">
        <v>6503</v>
      </c>
      <c r="D976" s="9" t="s">
        <v>2180</v>
      </c>
      <c r="E976" s="9"/>
      <c r="F976" s="9"/>
      <c r="G976" s="9"/>
      <c r="H976" s="9"/>
      <c r="I976" s="9" t="s">
        <v>2786</v>
      </c>
      <c r="J976" s="9"/>
      <c r="K976" s="9" t="s">
        <v>2787</v>
      </c>
      <c r="L976" s="9"/>
      <c r="M976" s="9" t="str">
        <f>HYPERLINK("https://ceds.ed.gov/cedselementdetails.aspx?termid=13539")</f>
        <v>https://ceds.ed.gov/cedselementdetails.aspx?termid=13539</v>
      </c>
      <c r="N976" s="9" t="str">
        <f>HYPERLINK("https://ceds.ed.gov/elementComment.aspx?elementName=Federal Programs Funding Allocation Type &amp;elementID=13539", "Click here to submit comment")</f>
        <v>Click here to submit comment</v>
      </c>
    </row>
    <row r="977" spans="1:14" ht="135" x14ac:dyDescent="0.25">
      <c r="A977" s="9" t="s">
        <v>2788</v>
      </c>
      <c r="B977" s="9" t="s">
        <v>2789</v>
      </c>
      <c r="C977" s="9" t="s">
        <v>2790</v>
      </c>
      <c r="D977" s="9" t="s">
        <v>1664</v>
      </c>
      <c r="E977" s="9"/>
      <c r="F977" s="9" t="s">
        <v>11330</v>
      </c>
      <c r="G977" s="9"/>
      <c r="H977" s="9"/>
      <c r="I977" s="9" t="s">
        <v>2791</v>
      </c>
      <c r="J977" s="9"/>
      <c r="K977" s="9" t="s">
        <v>2792</v>
      </c>
      <c r="L977" s="9" t="s">
        <v>216</v>
      </c>
      <c r="M977" s="9" t="str">
        <f>HYPERLINK("https://ceds.ed.gov/cedselementdetails.aspx?termid=13111")</f>
        <v>https://ceds.ed.gov/cedselementdetails.aspx?termid=13111</v>
      </c>
      <c r="N977" s="9" t="str">
        <f>HYPERLINK("https://ceds.ed.gov/elementComment.aspx?elementName=Federal School Code &amp;elementID=13111", "Click here to submit comment")</f>
        <v>Click here to submit comment</v>
      </c>
    </row>
    <row r="978" spans="1:14" ht="150" x14ac:dyDescent="0.25">
      <c r="A978" s="9" t="s">
        <v>2796</v>
      </c>
      <c r="B978" s="9" t="s">
        <v>2797</v>
      </c>
      <c r="C978" s="10" t="s">
        <v>6505</v>
      </c>
      <c r="D978" s="9" t="s">
        <v>11331</v>
      </c>
      <c r="E978" s="9"/>
      <c r="F978" s="9"/>
      <c r="G978" s="9"/>
      <c r="H978" s="9"/>
      <c r="I978" s="9" t="s">
        <v>2798</v>
      </c>
      <c r="J978" s="9"/>
      <c r="K978" s="9" t="s">
        <v>2799</v>
      </c>
      <c r="L978" s="9"/>
      <c r="M978" s="9" t="str">
        <f>HYPERLINK("https://ceds.ed.gov/cedselementdetails.aspx?termid=14312")</f>
        <v>https://ceds.ed.gov/cedselementdetails.aspx?termid=14312</v>
      </c>
      <c r="N978" s="9" t="str">
        <f>HYPERLINK("https://ceds.ed.gov/elementComment.aspx?elementName=Financial Account Category &amp;elementID=14312", "Click here to submit comment")</f>
        <v>Click here to submit comment</v>
      </c>
    </row>
    <row r="979" spans="1:14" ht="150" x14ac:dyDescent="0.25">
      <c r="A979" s="9" t="s">
        <v>2800</v>
      </c>
      <c r="B979" s="9" t="s">
        <v>2801</v>
      </c>
      <c r="C979" s="9" t="s">
        <v>12</v>
      </c>
      <c r="D979" s="9" t="s">
        <v>11331</v>
      </c>
      <c r="E979" s="9"/>
      <c r="F979" s="9" t="s">
        <v>68</v>
      </c>
      <c r="G979" s="9"/>
      <c r="H979" s="9"/>
      <c r="I979" s="9" t="s">
        <v>2802</v>
      </c>
      <c r="J979" s="9"/>
      <c r="K979" s="9" t="s">
        <v>2803</v>
      </c>
      <c r="L979" s="9"/>
      <c r="M979" s="9" t="str">
        <f>HYPERLINK("https://ceds.ed.gov/cedselementdetails.aspx?termid=14313")</f>
        <v>https://ceds.ed.gov/cedselementdetails.aspx?termid=14313</v>
      </c>
      <c r="N979" s="9" t="str">
        <f>HYPERLINK("https://ceds.ed.gov/elementComment.aspx?elementName=Financial Account Description &amp;elementID=14313", "Click here to submit comment")</f>
        <v>Click here to submit comment</v>
      </c>
    </row>
    <row r="980" spans="1:14" ht="409.5" x14ac:dyDescent="0.25">
      <c r="A980" s="9" t="s">
        <v>11332</v>
      </c>
      <c r="B980" s="9" t="s">
        <v>2793</v>
      </c>
      <c r="C980" s="10" t="s">
        <v>6504</v>
      </c>
      <c r="D980" s="9" t="s">
        <v>6208</v>
      </c>
      <c r="E980" s="9"/>
      <c r="F980" s="9"/>
      <c r="G980" s="9"/>
      <c r="H980" s="11" t="s">
        <v>2794</v>
      </c>
      <c r="I980" s="9" t="s">
        <v>2795</v>
      </c>
      <c r="J980" s="9"/>
      <c r="K980" s="9" t="s">
        <v>11333</v>
      </c>
      <c r="L980" s="9"/>
      <c r="M980" s="9" t="str">
        <f>HYPERLINK("https://ceds.ed.gov/cedselementdetails.aspx?termid=14320")</f>
        <v>https://ceds.ed.gov/cedselementdetails.aspx?termid=14320</v>
      </c>
      <c r="N980" s="9" t="str">
        <f>HYPERLINK("https://ceds.ed.gov/elementComment.aspx?elementName=Financial Account K12 Balance Sheet Code &amp;elementID=14320", "Click here to submit comment")</f>
        <v>Click here to submit comment</v>
      </c>
    </row>
    <row r="981" spans="1:14" ht="150" x14ac:dyDescent="0.25">
      <c r="A981" s="9" t="s">
        <v>11334</v>
      </c>
      <c r="B981" s="9" t="s">
        <v>2804</v>
      </c>
      <c r="C981" s="10" t="s">
        <v>6506</v>
      </c>
      <c r="D981" s="9" t="s">
        <v>6208</v>
      </c>
      <c r="E981" s="9"/>
      <c r="F981" s="9"/>
      <c r="G981" s="9"/>
      <c r="H981" s="11" t="s">
        <v>2794</v>
      </c>
      <c r="I981" s="9" t="s">
        <v>2805</v>
      </c>
      <c r="J981" s="9"/>
      <c r="K981" s="9" t="s">
        <v>11335</v>
      </c>
      <c r="L981" s="9"/>
      <c r="M981" s="9" t="str">
        <f>HYPERLINK("https://ceds.ed.gov/cedselementdetails.aspx?termid=14314")</f>
        <v>https://ceds.ed.gov/cedselementdetails.aspx?termid=14314</v>
      </c>
      <c r="N981" s="9" t="str">
        <f>HYPERLINK("https://ceds.ed.gov/elementComment.aspx?elementName=Financial Account K12 Fund Classification &amp;elementID=14314", "Click here to submit comment")</f>
        <v>Click here to submit comment</v>
      </c>
    </row>
    <row r="982" spans="1:14" ht="240" x14ac:dyDescent="0.25">
      <c r="A982" s="9" t="s">
        <v>11336</v>
      </c>
      <c r="B982" s="9" t="s">
        <v>2814</v>
      </c>
      <c r="C982" s="10" t="s">
        <v>6507</v>
      </c>
      <c r="D982" s="9" t="s">
        <v>6208</v>
      </c>
      <c r="E982" s="9"/>
      <c r="F982" s="9"/>
      <c r="G982" s="9"/>
      <c r="H982" s="11" t="s">
        <v>2794</v>
      </c>
      <c r="I982" s="9" t="s">
        <v>2815</v>
      </c>
      <c r="J982" s="9"/>
      <c r="K982" s="9" t="s">
        <v>11337</v>
      </c>
      <c r="L982" s="9"/>
      <c r="M982" s="9" t="str">
        <f>HYPERLINK("https://ceds.ed.gov/cedselementdetails.aspx?termid=14316")</f>
        <v>https://ceds.ed.gov/cedselementdetails.aspx?termid=14316</v>
      </c>
      <c r="N982" s="9" t="str">
        <f>HYPERLINK("https://ceds.ed.gov/elementComment.aspx?elementName=Financial Account K12 Program Code &amp;elementID=14316", "Click here to submit comment")</f>
        <v>Click here to submit comment</v>
      </c>
    </row>
    <row r="983" spans="1:14" ht="60" x14ac:dyDescent="0.25">
      <c r="A983" s="18" t="s">
        <v>11338</v>
      </c>
      <c r="B983" s="18" t="s">
        <v>2824</v>
      </c>
      <c r="C983" s="19" t="s">
        <v>6508</v>
      </c>
      <c r="D983" s="18" t="s">
        <v>6209</v>
      </c>
      <c r="E983" s="18"/>
      <c r="F983" s="18"/>
      <c r="G983" s="18"/>
      <c r="H983" s="11" t="s">
        <v>2794</v>
      </c>
      <c r="I983" s="18" t="s">
        <v>2826</v>
      </c>
      <c r="J983" s="18"/>
      <c r="K983" s="18" t="s">
        <v>11339</v>
      </c>
      <c r="L983" s="18"/>
      <c r="M983" s="18" t="str">
        <f>HYPERLINK("https://ceds.ed.gov/cedselementdetails.aspx?termid=14440")</f>
        <v>https://ceds.ed.gov/cedselementdetails.aspx?termid=14440</v>
      </c>
      <c r="N983" s="18" t="str">
        <f>HYPERLINK("https://ceds.ed.gov/elementComment.aspx?elementName=Financial Account K12 Revenue Code &amp;elementID=14440", "Click here to submit comment")</f>
        <v>Click here to submit comment</v>
      </c>
    </row>
    <row r="984" spans="1:14" x14ac:dyDescent="0.25">
      <c r="A984" s="18"/>
      <c r="B984" s="18"/>
      <c r="C984" s="19"/>
      <c r="D984" s="18"/>
      <c r="E984" s="18"/>
      <c r="F984" s="18"/>
      <c r="G984" s="18"/>
      <c r="H984" s="9"/>
      <c r="I984" s="18"/>
      <c r="J984" s="18"/>
      <c r="K984" s="18"/>
      <c r="L984" s="18"/>
      <c r="M984" s="18"/>
      <c r="N984" s="18"/>
    </row>
    <row r="985" spans="1:14" ht="30" x14ac:dyDescent="0.25">
      <c r="A985" s="18"/>
      <c r="B985" s="18"/>
      <c r="C985" s="19"/>
      <c r="D985" s="18"/>
      <c r="E985" s="18"/>
      <c r="F985" s="18"/>
      <c r="G985" s="18"/>
      <c r="H985" s="9" t="s">
        <v>2825</v>
      </c>
      <c r="I985" s="18"/>
      <c r="J985" s="18"/>
      <c r="K985" s="18"/>
      <c r="L985" s="18"/>
      <c r="M985" s="18"/>
      <c r="N985" s="18"/>
    </row>
    <row r="986" spans="1:14" ht="150" x14ac:dyDescent="0.25">
      <c r="A986" s="9" t="s">
        <v>2806</v>
      </c>
      <c r="B986" s="9" t="s">
        <v>2807</v>
      </c>
      <c r="C986" s="9" t="s">
        <v>12</v>
      </c>
      <c r="D986" s="9" t="s">
        <v>11331</v>
      </c>
      <c r="E986" s="9"/>
      <c r="F986" s="9" t="s">
        <v>762</v>
      </c>
      <c r="G986" s="9"/>
      <c r="H986" s="9"/>
      <c r="I986" s="9" t="s">
        <v>2808</v>
      </c>
      <c r="J986" s="9"/>
      <c r="K986" s="9" t="s">
        <v>2809</v>
      </c>
      <c r="L986" s="9"/>
      <c r="M986" s="9" t="str">
        <f>HYPERLINK("https://ceds.ed.gov/cedselementdetails.aspx?termid=14315")</f>
        <v>https://ceds.ed.gov/cedselementdetails.aspx?termid=14315</v>
      </c>
      <c r="N986" s="9" t="str">
        <f>HYPERLINK("https://ceds.ed.gov/elementComment.aspx?elementName=Financial Account Name &amp;elementID=14315", "Click here to submit comment")</f>
        <v>Click here to submit comment</v>
      </c>
    </row>
    <row r="987" spans="1:14" ht="150" x14ac:dyDescent="0.25">
      <c r="A987" s="9" t="s">
        <v>2810</v>
      </c>
      <c r="B987" s="9" t="s">
        <v>2811</v>
      </c>
      <c r="C987" s="9" t="s">
        <v>12</v>
      </c>
      <c r="D987" s="9" t="s">
        <v>11331</v>
      </c>
      <c r="E987" s="9"/>
      <c r="F987" s="9" t="s">
        <v>87</v>
      </c>
      <c r="G987" s="9"/>
      <c r="H987" s="9"/>
      <c r="I987" s="9" t="s">
        <v>2812</v>
      </c>
      <c r="J987" s="9"/>
      <c r="K987" s="9" t="s">
        <v>2813</v>
      </c>
      <c r="L987" s="9"/>
      <c r="M987" s="9" t="str">
        <f>HYPERLINK("https://ceds.ed.gov/cedselementdetails.aspx?termid=14530")</f>
        <v>https://ceds.ed.gov/cedselementdetails.aspx?termid=14530</v>
      </c>
      <c r="N987" s="9" t="str">
        <f>HYPERLINK("https://ceds.ed.gov/elementComment.aspx?elementName=Financial Account Number &amp;elementID=14530", "Click here to submit comment")</f>
        <v>Click here to submit comment</v>
      </c>
    </row>
    <row r="988" spans="1:14" ht="150" x14ac:dyDescent="0.25">
      <c r="A988" s="9" t="s">
        <v>2816</v>
      </c>
      <c r="B988" s="9" t="s">
        <v>2817</v>
      </c>
      <c r="C988" s="9" t="s">
        <v>12</v>
      </c>
      <c r="D988" s="9" t="s">
        <v>11331</v>
      </c>
      <c r="E988" s="9"/>
      <c r="F988" s="9" t="s">
        <v>762</v>
      </c>
      <c r="G988" s="9"/>
      <c r="H988" s="9"/>
      <c r="I988" s="9" t="s">
        <v>2818</v>
      </c>
      <c r="J988" s="9"/>
      <c r="K988" s="9" t="s">
        <v>2819</v>
      </c>
      <c r="L988" s="9"/>
      <c r="M988" s="9" t="str">
        <f>HYPERLINK("https://ceds.ed.gov/cedselementdetails.aspx?termid=14626")</f>
        <v>https://ceds.ed.gov/cedselementdetails.aspx?termid=14626</v>
      </c>
      <c r="N988" s="9" t="str">
        <f>HYPERLINK("https://ceds.ed.gov/elementComment.aspx?elementName=Financial Account Program Name &amp;elementID=14626", "Click here to submit comment")</f>
        <v>Click here to submit comment</v>
      </c>
    </row>
    <row r="989" spans="1:14" ht="150" x14ac:dyDescent="0.25">
      <c r="A989" s="9" t="s">
        <v>2820</v>
      </c>
      <c r="B989" s="9" t="s">
        <v>2821</v>
      </c>
      <c r="C989" s="9" t="s">
        <v>12</v>
      </c>
      <c r="D989" s="9" t="s">
        <v>11331</v>
      </c>
      <c r="E989" s="9"/>
      <c r="F989" s="9" t="s">
        <v>87</v>
      </c>
      <c r="G989" s="9"/>
      <c r="H989" s="9"/>
      <c r="I989" s="9" t="s">
        <v>2822</v>
      </c>
      <c r="J989" s="9"/>
      <c r="K989" s="9" t="s">
        <v>2823</v>
      </c>
      <c r="L989" s="9"/>
      <c r="M989" s="9" t="str">
        <f>HYPERLINK("https://ceds.ed.gov/cedselementdetails.aspx?termid=14627")</f>
        <v>https://ceds.ed.gov/cedselementdetails.aspx?termid=14627</v>
      </c>
      <c r="N989" s="9" t="str">
        <f>HYPERLINK("https://ceds.ed.gov/elementComment.aspx?elementName=Financial Account Program Number &amp;elementID=14627", "Click here to submit comment")</f>
        <v>Click here to submit comment</v>
      </c>
    </row>
    <row r="990" spans="1:14" ht="150" x14ac:dyDescent="0.25">
      <c r="A990" s="9" t="s">
        <v>2827</v>
      </c>
      <c r="B990" s="9" t="s">
        <v>2828</v>
      </c>
      <c r="C990" s="9" t="s">
        <v>12</v>
      </c>
      <c r="D990" s="9" t="s">
        <v>11331</v>
      </c>
      <c r="E990" s="9"/>
      <c r="F990" s="9" t="s">
        <v>73</v>
      </c>
      <c r="G990" s="9"/>
      <c r="H990" s="9"/>
      <c r="I990" s="9" t="s">
        <v>2829</v>
      </c>
      <c r="J990" s="9"/>
      <c r="K990" s="9" t="s">
        <v>2830</v>
      </c>
      <c r="L990" s="9"/>
      <c r="M990" s="9" t="str">
        <f>HYPERLINK("https://ceds.ed.gov/cedselementdetails.aspx?termid=14629")</f>
        <v>https://ceds.ed.gov/cedselementdetails.aspx?termid=14629</v>
      </c>
      <c r="N990" s="9" t="str">
        <f>HYPERLINK("https://ceds.ed.gov/elementComment.aspx?elementName=Financial Accounting Date &amp;elementID=14629", "Click here to submit comment")</f>
        <v>Click here to submit comment</v>
      </c>
    </row>
    <row r="991" spans="1:14" ht="150" x14ac:dyDescent="0.25">
      <c r="A991" s="9" t="s">
        <v>2831</v>
      </c>
      <c r="B991" s="9" t="s">
        <v>2832</v>
      </c>
      <c r="C991" s="9" t="s">
        <v>12</v>
      </c>
      <c r="D991" s="9" t="s">
        <v>11331</v>
      </c>
      <c r="E991" s="9"/>
      <c r="F991" s="9" t="s">
        <v>1513</v>
      </c>
      <c r="G991" s="9"/>
      <c r="H991" s="9"/>
      <c r="I991" s="9" t="s">
        <v>2833</v>
      </c>
      <c r="J991" s="9"/>
      <c r="K991" s="9" t="s">
        <v>2834</v>
      </c>
      <c r="L991" s="9"/>
      <c r="M991" s="9" t="str">
        <f>HYPERLINK("https://ceds.ed.gov/cedselementdetails.aspx?termid=14317")</f>
        <v>https://ceds.ed.gov/cedselementdetails.aspx?termid=14317</v>
      </c>
      <c r="N991" s="9" t="str">
        <f>HYPERLINK("https://ceds.ed.gov/elementComment.aspx?elementName=Financial Accounting Period Actual Value &amp;elementID=14317", "Click here to submit comment")</f>
        <v>Click here to submit comment</v>
      </c>
    </row>
    <row r="992" spans="1:14" ht="150" x14ac:dyDescent="0.25">
      <c r="A992" s="9" t="s">
        <v>2835</v>
      </c>
      <c r="B992" s="9" t="s">
        <v>2836</v>
      </c>
      <c r="C992" s="9" t="s">
        <v>12</v>
      </c>
      <c r="D992" s="9" t="s">
        <v>11331</v>
      </c>
      <c r="E992" s="9"/>
      <c r="F992" s="9" t="s">
        <v>1513</v>
      </c>
      <c r="G992" s="9"/>
      <c r="H992" s="9"/>
      <c r="I992" s="9" t="s">
        <v>2837</v>
      </c>
      <c r="J992" s="9"/>
      <c r="K992" s="9" t="s">
        <v>2838</v>
      </c>
      <c r="L992" s="9"/>
      <c r="M992" s="9" t="str">
        <f>HYPERLINK("https://ceds.ed.gov/cedselementdetails.aspx?termid=14318")</f>
        <v>https://ceds.ed.gov/cedselementdetails.aspx?termid=14318</v>
      </c>
      <c r="N992" s="9" t="str">
        <f>HYPERLINK("https://ceds.ed.gov/elementComment.aspx?elementName=Financial Accounting Period Budgeted Value &amp;elementID=14318", "Click here to submit comment")</f>
        <v>Click here to submit comment</v>
      </c>
    </row>
    <row r="993" spans="1:14" ht="150" x14ac:dyDescent="0.25">
      <c r="A993" s="9" t="s">
        <v>2839</v>
      </c>
      <c r="B993" s="9" t="s">
        <v>2840</v>
      </c>
      <c r="C993" s="9" t="s">
        <v>12</v>
      </c>
      <c r="D993" s="9" t="s">
        <v>11331</v>
      </c>
      <c r="E993" s="9"/>
      <c r="F993" s="9" t="s">
        <v>1513</v>
      </c>
      <c r="G993" s="9"/>
      <c r="H993" s="9" t="s">
        <v>2841</v>
      </c>
      <c r="I993" s="9" t="s">
        <v>2842</v>
      </c>
      <c r="J993" s="9"/>
      <c r="K993" s="9" t="s">
        <v>2843</v>
      </c>
      <c r="L993" s="9"/>
      <c r="M993" s="9" t="str">
        <f>HYPERLINK("https://ceds.ed.gov/cedselementdetails.aspx?termid=14625")</f>
        <v>https://ceds.ed.gov/cedselementdetails.aspx?termid=14625</v>
      </c>
      <c r="N993" s="9" t="str">
        <f>HYPERLINK("https://ceds.ed.gov/elementComment.aspx?elementName=Financial Accounting Period Encumbered Value &amp;elementID=14625", "Click here to submit comment")</f>
        <v>Click here to submit comment</v>
      </c>
    </row>
    <row r="994" spans="1:14" ht="150" x14ac:dyDescent="0.25">
      <c r="A994" s="9" t="s">
        <v>2844</v>
      </c>
      <c r="B994" s="9" t="s">
        <v>2845</v>
      </c>
      <c r="C994" s="9" t="s">
        <v>12</v>
      </c>
      <c r="D994" s="9" t="s">
        <v>11331</v>
      </c>
      <c r="E994" s="9"/>
      <c r="F994" s="9" t="s">
        <v>1513</v>
      </c>
      <c r="G994" s="9"/>
      <c r="H994" s="9" t="s">
        <v>2846</v>
      </c>
      <c r="I994" s="9" t="s">
        <v>2847</v>
      </c>
      <c r="J994" s="9"/>
      <c r="K994" s="9" t="s">
        <v>2848</v>
      </c>
      <c r="L994" s="9"/>
      <c r="M994" s="9" t="str">
        <f>HYPERLINK("https://ceds.ed.gov/cedselementdetails.aspx?termid=14628")</f>
        <v>https://ceds.ed.gov/cedselementdetails.aspx?termid=14628</v>
      </c>
      <c r="N994" s="9" t="str">
        <f>HYPERLINK("https://ceds.ed.gov/elementComment.aspx?elementName=Financial Accounting Value &amp;elementID=14628", "Click here to submit comment")</f>
        <v>Click here to submit comment</v>
      </c>
    </row>
    <row r="995" spans="1:14" x14ac:dyDescent="0.25">
      <c r="A995" s="18" t="s">
        <v>2849</v>
      </c>
      <c r="B995" s="18" t="s">
        <v>2850</v>
      </c>
      <c r="C995" s="18" t="s">
        <v>6106</v>
      </c>
      <c r="D995" s="18" t="s">
        <v>2851</v>
      </c>
      <c r="E995" s="18"/>
      <c r="F995" s="18"/>
      <c r="G995" s="18"/>
      <c r="H995" s="9" t="s">
        <v>2852</v>
      </c>
      <c r="I995" s="18" t="s">
        <v>2854</v>
      </c>
      <c r="J995" s="18"/>
      <c r="K995" s="18" t="s">
        <v>2855</v>
      </c>
      <c r="L995" s="18" t="s">
        <v>227</v>
      </c>
      <c r="M995" s="18" t="str">
        <f>HYPERLINK("https://ceds.ed.gov/cedselementdetails.aspx?termid=13745")</f>
        <v>https://ceds.ed.gov/cedselementdetails.aspx?termid=13745</v>
      </c>
      <c r="N995" s="18" t="str">
        <f>HYPERLINK("https://ceds.ed.gov/elementComment.aspx?elementName=Financial Aid Applicant &amp;elementID=13745", "Click here to submit comment")</f>
        <v>Click here to submit comment</v>
      </c>
    </row>
    <row r="996" spans="1:14" ht="45" x14ac:dyDescent="0.25">
      <c r="A996" s="18"/>
      <c r="B996" s="18"/>
      <c r="C996" s="18"/>
      <c r="D996" s="18"/>
      <c r="E996" s="18"/>
      <c r="F996" s="18"/>
      <c r="G996" s="18"/>
      <c r="H996" s="9" t="s">
        <v>2853</v>
      </c>
      <c r="I996" s="18"/>
      <c r="J996" s="18"/>
      <c r="K996" s="18"/>
      <c r="L996" s="18"/>
      <c r="M996" s="18"/>
      <c r="N996" s="18"/>
    </row>
    <row r="997" spans="1:14" ht="120" x14ac:dyDescent="0.25">
      <c r="A997" s="9" t="s">
        <v>2856</v>
      </c>
      <c r="B997" s="9" t="s">
        <v>2857</v>
      </c>
      <c r="C997" s="10" t="s">
        <v>6509</v>
      </c>
      <c r="D997" s="9" t="s">
        <v>2851</v>
      </c>
      <c r="E997" s="9"/>
      <c r="F997" s="9"/>
      <c r="G997" s="9"/>
      <c r="H997" s="9" t="s">
        <v>2858</v>
      </c>
      <c r="I997" s="9" t="s">
        <v>2859</v>
      </c>
      <c r="J997" s="9"/>
      <c r="K997" s="9" t="s">
        <v>2860</v>
      </c>
      <c r="L997" s="9" t="s">
        <v>227</v>
      </c>
      <c r="M997" s="9" t="str">
        <f>HYPERLINK("https://ceds.ed.gov/cedselementdetails.aspx?termid=14186")</f>
        <v>https://ceds.ed.gov/cedselementdetails.aspx?termid=14186</v>
      </c>
      <c r="N997" s="9" t="str">
        <f>HYPERLINK("https://ceds.ed.gov/elementComment.aspx?elementName=Financial Aid Application Type &amp;elementID=14186", "Click here to submit comment")</f>
        <v>Click here to submit comment</v>
      </c>
    </row>
    <row r="998" spans="1:14" x14ac:dyDescent="0.25">
      <c r="A998" s="18" t="s">
        <v>2861</v>
      </c>
      <c r="B998" s="18" t="s">
        <v>2862</v>
      </c>
      <c r="C998" s="18" t="s">
        <v>12</v>
      </c>
      <c r="D998" s="18" t="s">
        <v>2851</v>
      </c>
      <c r="E998" s="18"/>
      <c r="F998" s="18" t="s">
        <v>1513</v>
      </c>
      <c r="G998" s="18"/>
      <c r="H998" s="9" t="s">
        <v>2863</v>
      </c>
      <c r="I998" s="18" t="s">
        <v>2865</v>
      </c>
      <c r="J998" s="18"/>
      <c r="K998" s="18" t="s">
        <v>2866</v>
      </c>
      <c r="L998" s="18" t="s">
        <v>6210</v>
      </c>
      <c r="M998" s="18" t="str">
        <f>HYPERLINK("https://ceds.ed.gov/cedselementdetails.aspx?termid=13112")</f>
        <v>https://ceds.ed.gov/cedselementdetails.aspx?termid=13112</v>
      </c>
      <c r="N998" s="18" t="str">
        <f>HYPERLINK("https://ceds.ed.gov/elementComment.aspx?elementName=Financial Aid Award Amount &amp;elementID=13112", "Click here to submit comment")</f>
        <v>Click here to submit comment</v>
      </c>
    </row>
    <row r="999" spans="1:14" ht="45" x14ac:dyDescent="0.25">
      <c r="A999" s="18"/>
      <c r="B999" s="18"/>
      <c r="C999" s="18"/>
      <c r="D999" s="18"/>
      <c r="E999" s="18"/>
      <c r="F999" s="18"/>
      <c r="G999" s="18"/>
      <c r="H999" s="9" t="s">
        <v>2864</v>
      </c>
      <c r="I999" s="18"/>
      <c r="J999" s="18"/>
      <c r="K999" s="18"/>
      <c r="L999" s="18"/>
      <c r="M999" s="18"/>
      <c r="N999" s="18"/>
    </row>
    <row r="1000" spans="1:14" ht="30" x14ac:dyDescent="0.25">
      <c r="A1000" s="18" t="s">
        <v>2867</v>
      </c>
      <c r="B1000" s="18" t="s">
        <v>2868</v>
      </c>
      <c r="C1000" s="19" t="s">
        <v>6510</v>
      </c>
      <c r="D1000" s="18" t="s">
        <v>2851</v>
      </c>
      <c r="E1000" s="18"/>
      <c r="F1000" s="18"/>
      <c r="G1000" s="18"/>
      <c r="H1000" s="9" t="s">
        <v>2869</v>
      </c>
      <c r="I1000" s="18" t="s">
        <v>2871</v>
      </c>
      <c r="J1000" s="18"/>
      <c r="K1000" s="18" t="s">
        <v>2872</v>
      </c>
      <c r="L1000" s="18" t="s">
        <v>6210</v>
      </c>
      <c r="M1000" s="18" t="str">
        <f>HYPERLINK("https://ceds.ed.gov/cedselementdetails.aspx?termid=13362")</f>
        <v>https://ceds.ed.gov/cedselementdetails.aspx?termid=13362</v>
      </c>
      <c r="N1000" s="18" t="str">
        <f>HYPERLINK("https://ceds.ed.gov/elementComment.aspx?elementName=Financial Aid Award Status &amp;elementID=13362", "Click here to submit comment")</f>
        <v>Click here to submit comment</v>
      </c>
    </row>
    <row r="1001" spans="1:14" ht="30" x14ac:dyDescent="0.25">
      <c r="A1001" s="18"/>
      <c r="B1001" s="18"/>
      <c r="C1001" s="19"/>
      <c r="D1001" s="18"/>
      <c r="E1001" s="18"/>
      <c r="F1001" s="18"/>
      <c r="G1001" s="18"/>
      <c r="H1001" s="9" t="s">
        <v>2870</v>
      </c>
      <c r="I1001" s="18"/>
      <c r="J1001" s="18"/>
      <c r="K1001" s="18"/>
      <c r="L1001" s="18"/>
      <c r="M1001" s="18"/>
      <c r="N1001" s="18"/>
    </row>
    <row r="1002" spans="1:14" x14ac:dyDescent="0.25">
      <c r="A1002" s="18" t="s">
        <v>2873</v>
      </c>
      <c r="B1002" s="18" t="s">
        <v>2874</v>
      </c>
      <c r="C1002" s="19" t="s">
        <v>6511</v>
      </c>
      <c r="D1002" s="18" t="s">
        <v>2851</v>
      </c>
      <c r="E1002" s="18"/>
      <c r="F1002" s="18"/>
      <c r="G1002" s="18"/>
      <c r="H1002" s="9" t="s">
        <v>2875</v>
      </c>
      <c r="I1002" s="18" t="s">
        <v>2876</v>
      </c>
      <c r="J1002" s="18"/>
      <c r="K1002" s="18" t="s">
        <v>2877</v>
      </c>
      <c r="L1002" s="18" t="s">
        <v>6210</v>
      </c>
      <c r="M1002" s="18" t="str">
        <f>HYPERLINK("https://ceds.ed.gov/cedselementdetails.aspx?termid=13113")</f>
        <v>https://ceds.ed.gov/cedselementdetails.aspx?termid=13113</v>
      </c>
      <c r="N1002" s="18" t="str">
        <f>HYPERLINK("https://ceds.ed.gov/elementComment.aspx?elementName=Financial Aid Award Type &amp;elementID=13113", "Click here to submit comment")</f>
        <v>Click here to submit comment</v>
      </c>
    </row>
    <row r="1003" spans="1:14" ht="45" x14ac:dyDescent="0.25">
      <c r="A1003" s="18"/>
      <c r="B1003" s="18"/>
      <c r="C1003" s="19"/>
      <c r="D1003" s="18"/>
      <c r="E1003" s="18"/>
      <c r="F1003" s="18"/>
      <c r="G1003" s="18"/>
      <c r="H1003" s="9" t="s">
        <v>2864</v>
      </c>
      <c r="I1003" s="18"/>
      <c r="J1003" s="18"/>
      <c r="K1003" s="18"/>
      <c r="L1003" s="18"/>
      <c r="M1003" s="18"/>
      <c r="N1003" s="18"/>
    </row>
    <row r="1004" spans="1:14" ht="150" x14ac:dyDescent="0.25">
      <c r="A1004" s="9" t="s">
        <v>2878</v>
      </c>
      <c r="B1004" s="9" t="s">
        <v>2879</v>
      </c>
      <c r="C1004" s="9" t="s">
        <v>12</v>
      </c>
      <c r="D1004" s="9" t="s">
        <v>2851</v>
      </c>
      <c r="E1004" s="9"/>
      <c r="F1004" s="9" t="s">
        <v>1513</v>
      </c>
      <c r="G1004" s="9"/>
      <c r="H1004" s="9"/>
      <c r="I1004" s="9" t="s">
        <v>2880</v>
      </c>
      <c r="J1004" s="9"/>
      <c r="K1004" s="9" t="s">
        <v>2881</v>
      </c>
      <c r="L1004" s="9"/>
      <c r="M1004" s="9" t="str">
        <f>HYPERLINK("https://ceds.ed.gov/cedselementdetails.aspx?termid=14319")</f>
        <v>https://ceds.ed.gov/cedselementdetails.aspx?termid=14319</v>
      </c>
      <c r="N1004" s="9" t="str">
        <f>HYPERLINK("https://ceds.ed.gov/elementComment.aspx?elementName=Financial Aid Income Level &amp;elementID=14319", "Click here to submit comment")</f>
        <v>Click here to submit comment</v>
      </c>
    </row>
    <row r="1005" spans="1:14" ht="105" x14ac:dyDescent="0.25">
      <c r="A1005" s="9" t="s">
        <v>2882</v>
      </c>
      <c r="B1005" s="9" t="s">
        <v>2883</v>
      </c>
      <c r="C1005" s="10" t="s">
        <v>6512</v>
      </c>
      <c r="D1005" s="9" t="s">
        <v>2851</v>
      </c>
      <c r="E1005" s="9"/>
      <c r="F1005" s="9"/>
      <c r="G1005" s="9"/>
      <c r="H1005" s="9"/>
      <c r="I1005" s="9" t="s">
        <v>2884</v>
      </c>
      <c r="J1005" s="9"/>
      <c r="K1005" s="9" t="s">
        <v>2885</v>
      </c>
      <c r="L1005" s="9" t="s">
        <v>1963</v>
      </c>
      <c r="M1005" s="9" t="str">
        <f>HYPERLINK("https://ceds.ed.gov/cedselementdetails.aspx?termid=14588")</f>
        <v>https://ceds.ed.gov/cedselementdetails.aspx?termid=14588</v>
      </c>
      <c r="N1005" s="9" t="str">
        <f>HYPERLINK("https://ceds.ed.gov/elementComment.aspx?elementName=Financial Aid Veteran’s Benefit Status &amp;elementID=14588", "Click here to submit comment")</f>
        <v>Click here to submit comment</v>
      </c>
    </row>
    <row r="1006" spans="1:14" ht="60" x14ac:dyDescent="0.25">
      <c r="A1006" s="9" t="s">
        <v>2886</v>
      </c>
      <c r="B1006" s="9" t="s">
        <v>2887</v>
      </c>
      <c r="C1006" s="10" t="s">
        <v>6513</v>
      </c>
      <c r="D1006" s="9" t="s">
        <v>2851</v>
      </c>
      <c r="E1006" s="9"/>
      <c r="F1006" s="9"/>
      <c r="G1006" s="9"/>
      <c r="H1006" s="9"/>
      <c r="I1006" s="9" t="s">
        <v>2888</v>
      </c>
      <c r="J1006" s="9"/>
      <c r="K1006" s="9" t="s">
        <v>2889</v>
      </c>
      <c r="L1006" s="9" t="s">
        <v>216</v>
      </c>
      <c r="M1006" s="9" t="str">
        <f>HYPERLINK("https://ceds.ed.gov/cedselementdetails.aspx?termid=14589")</f>
        <v>https://ceds.ed.gov/cedselementdetails.aspx?termid=14589</v>
      </c>
      <c r="N1006" s="9" t="str">
        <f>HYPERLINK("https://ceds.ed.gov/elementComment.aspx?elementName=Financial Aid Veteran’s Benefit Type &amp;elementID=14589", "Click here to submit comment")</f>
        <v>Click here to submit comment</v>
      </c>
    </row>
    <row r="1007" spans="1:14" ht="60" x14ac:dyDescent="0.25">
      <c r="A1007" s="9" t="s">
        <v>2890</v>
      </c>
      <c r="B1007" s="9" t="s">
        <v>2891</v>
      </c>
      <c r="C1007" s="9" t="s">
        <v>12</v>
      </c>
      <c r="D1007" s="9" t="s">
        <v>2851</v>
      </c>
      <c r="E1007" s="9"/>
      <c r="F1007" s="9" t="s">
        <v>45</v>
      </c>
      <c r="G1007" s="9"/>
      <c r="H1007" s="9"/>
      <c r="I1007" s="9" t="s">
        <v>2892</v>
      </c>
      <c r="J1007" s="9"/>
      <c r="K1007" s="9" t="s">
        <v>2893</v>
      </c>
      <c r="L1007" s="9" t="s">
        <v>2250</v>
      </c>
      <c r="M1007" s="9" t="str">
        <f>HYPERLINK("https://ceds.ed.gov/cedselementdetails.aspx?termid=14590")</f>
        <v>https://ceds.ed.gov/cedselementdetails.aspx?termid=14590</v>
      </c>
      <c r="N1007" s="9" t="str">
        <f>HYPERLINK("https://ceds.ed.gov/elementComment.aspx?elementName=Financial Aid Year Designator &amp;elementID=14590", "Click here to submit comment")</f>
        <v>Click here to submit comment</v>
      </c>
    </row>
    <row r="1008" spans="1:14" ht="409.5" x14ac:dyDescent="0.25">
      <c r="A1008" s="9" t="s">
        <v>11340</v>
      </c>
      <c r="B1008" s="9" t="s">
        <v>2894</v>
      </c>
      <c r="C1008" s="10" t="s">
        <v>6514</v>
      </c>
      <c r="D1008" s="9" t="s">
        <v>6208</v>
      </c>
      <c r="E1008" s="9"/>
      <c r="F1008" s="9"/>
      <c r="G1008" s="9"/>
      <c r="H1008" s="11" t="s">
        <v>2794</v>
      </c>
      <c r="I1008" s="9" t="s">
        <v>2895</v>
      </c>
      <c r="J1008" s="9"/>
      <c r="K1008" s="9" t="s">
        <v>11341</v>
      </c>
      <c r="L1008" s="9"/>
      <c r="M1008" s="9" t="str">
        <f>HYPERLINK("https://ceds.ed.gov/cedselementdetails.aspx?termid=14321")</f>
        <v>https://ceds.ed.gov/cedselementdetails.aspx?termid=14321</v>
      </c>
      <c r="N1008" s="9" t="str">
        <f>HYPERLINK("https://ceds.ed.gov/elementComment.aspx?elementName=Financial Expenditure K12 Function Code &amp;elementID=14321", "Click here to submit comment")</f>
        <v>Click here to submit comment</v>
      </c>
    </row>
    <row r="1009" spans="1:14" ht="195" x14ac:dyDescent="0.25">
      <c r="A1009" s="9" t="s">
        <v>11342</v>
      </c>
      <c r="B1009" s="9" t="s">
        <v>2896</v>
      </c>
      <c r="C1009" s="10" t="s">
        <v>6515</v>
      </c>
      <c r="D1009" s="9" t="s">
        <v>6208</v>
      </c>
      <c r="E1009" s="9"/>
      <c r="F1009" s="9"/>
      <c r="G1009" s="9"/>
      <c r="H1009" s="11" t="s">
        <v>2794</v>
      </c>
      <c r="I1009" s="9" t="s">
        <v>2897</v>
      </c>
      <c r="J1009" s="9"/>
      <c r="K1009" s="9" t="s">
        <v>11343</v>
      </c>
      <c r="L1009" s="9"/>
      <c r="M1009" s="9" t="str">
        <f>HYPERLINK("https://ceds.ed.gov/cedselementdetails.aspx?termid=14531")</f>
        <v>https://ceds.ed.gov/cedselementdetails.aspx?termid=14531</v>
      </c>
      <c r="N1009" s="9" t="str">
        <f>HYPERLINK("https://ceds.ed.gov/elementComment.aspx?elementName=Financial Expenditure K12 Level of Instruction Code &amp;elementID=14531", "Click here to submit comment")</f>
        <v>Click here to submit comment</v>
      </c>
    </row>
    <row r="1010" spans="1:14" ht="60" customHeight="1" x14ac:dyDescent="0.25">
      <c r="A1010" s="9" t="s">
        <v>11344</v>
      </c>
      <c r="B1010" s="9" t="s">
        <v>2898</v>
      </c>
      <c r="C1010" s="10" t="s">
        <v>6516</v>
      </c>
      <c r="D1010" s="9" t="s">
        <v>6208</v>
      </c>
      <c r="E1010" s="9"/>
      <c r="F1010" s="9"/>
      <c r="G1010" s="9"/>
      <c r="H1010" s="11" t="s">
        <v>2794</v>
      </c>
      <c r="I1010" s="9" t="s">
        <v>2899</v>
      </c>
      <c r="J1010" s="9"/>
      <c r="K1010" s="9" t="s">
        <v>11345</v>
      </c>
      <c r="L1010" s="9"/>
      <c r="M1010" s="9" t="str">
        <f>HYPERLINK("https://ceds.ed.gov/cedselementdetails.aspx?termid=14322")</f>
        <v>https://ceds.ed.gov/cedselementdetails.aspx?termid=14322</v>
      </c>
      <c r="N1010" s="9" t="str">
        <f>HYPERLINK("https://ceds.ed.gov/elementComment.aspx?elementName=Financial Expenditure K12 Object Code &amp;elementID=14322", "Click here to submit comment")</f>
        <v>Click here to submit comment</v>
      </c>
    </row>
    <row r="1011" spans="1:14" ht="75" customHeight="1" x14ac:dyDescent="0.25">
      <c r="A1011" s="18" t="s">
        <v>11346</v>
      </c>
      <c r="B1011" s="18" t="s">
        <v>2900</v>
      </c>
      <c r="C1011" s="18"/>
      <c r="D1011" s="18" t="s">
        <v>6208</v>
      </c>
      <c r="E1011" s="18"/>
      <c r="F1011" s="18" t="s">
        <v>134</v>
      </c>
      <c r="G1011" s="18"/>
      <c r="H1011" s="11" t="s">
        <v>2901</v>
      </c>
      <c r="I1011" s="18" t="s">
        <v>2906</v>
      </c>
      <c r="J1011" s="18"/>
      <c r="K1011" s="18" t="s">
        <v>11347</v>
      </c>
      <c r="L1011" s="18"/>
      <c r="M1011" s="18" t="str">
        <f>HYPERLINK("https://ceds.ed.gov/cedselementdetails.aspx?termid=14532")</f>
        <v>https://ceds.ed.gov/cedselementdetails.aspx?termid=14532</v>
      </c>
      <c r="N1011" s="18" t="str">
        <f>HYPERLINK("https://ceds.ed.gov/elementComment.aspx?elementName=Financial Expenditure K12 Project Reporting Code &amp;elementID=14532", "Click here to submit comment")</f>
        <v>Click here to submit comment</v>
      </c>
    </row>
    <row r="1012" spans="1:14" x14ac:dyDescent="0.25">
      <c r="A1012" s="18"/>
      <c r="B1012" s="18"/>
      <c r="C1012" s="18"/>
      <c r="D1012" s="18"/>
      <c r="E1012" s="18"/>
      <c r="F1012" s="18"/>
      <c r="G1012" s="18"/>
      <c r="H1012" s="9"/>
      <c r="I1012" s="18"/>
      <c r="J1012" s="18"/>
      <c r="K1012" s="18"/>
      <c r="L1012" s="18"/>
      <c r="M1012" s="18"/>
      <c r="N1012" s="18"/>
    </row>
    <row r="1013" spans="1:14" ht="45" x14ac:dyDescent="0.25">
      <c r="A1013" s="18"/>
      <c r="B1013" s="18"/>
      <c r="C1013" s="18"/>
      <c r="D1013" s="18"/>
      <c r="E1013" s="18"/>
      <c r="F1013" s="18"/>
      <c r="G1013" s="18"/>
      <c r="H1013" s="9" t="s">
        <v>2902</v>
      </c>
      <c r="I1013" s="18"/>
      <c r="J1013" s="18"/>
      <c r="K1013" s="18"/>
      <c r="L1013" s="18"/>
      <c r="M1013" s="18"/>
      <c r="N1013" s="18"/>
    </row>
    <row r="1014" spans="1:14" x14ac:dyDescent="0.25">
      <c r="A1014" s="18"/>
      <c r="B1014" s="18"/>
      <c r="C1014" s="18"/>
      <c r="D1014" s="18"/>
      <c r="E1014" s="18"/>
      <c r="F1014" s="18"/>
      <c r="G1014" s="18"/>
      <c r="H1014" s="9"/>
      <c r="I1014" s="18"/>
      <c r="J1014" s="18"/>
      <c r="K1014" s="18"/>
      <c r="L1014" s="18"/>
      <c r="M1014" s="18"/>
      <c r="N1014" s="18"/>
    </row>
    <row r="1015" spans="1:14" ht="45" x14ac:dyDescent="0.25">
      <c r="A1015" s="18"/>
      <c r="B1015" s="18"/>
      <c r="C1015" s="18"/>
      <c r="D1015" s="18"/>
      <c r="E1015" s="18"/>
      <c r="F1015" s="18"/>
      <c r="G1015" s="18"/>
      <c r="H1015" s="9" t="s">
        <v>2903</v>
      </c>
      <c r="I1015" s="18"/>
      <c r="J1015" s="18"/>
      <c r="K1015" s="18"/>
      <c r="L1015" s="18"/>
      <c r="M1015" s="18"/>
      <c r="N1015" s="18"/>
    </row>
    <row r="1016" spans="1:14" x14ac:dyDescent="0.25">
      <c r="A1016" s="18"/>
      <c r="B1016" s="18"/>
      <c r="C1016" s="18"/>
      <c r="D1016" s="18"/>
      <c r="E1016" s="18"/>
      <c r="F1016" s="18"/>
      <c r="G1016" s="18"/>
      <c r="H1016" s="9"/>
      <c r="I1016" s="18"/>
      <c r="J1016" s="18"/>
      <c r="K1016" s="18"/>
      <c r="L1016" s="18"/>
      <c r="M1016" s="18"/>
      <c r="N1016" s="18"/>
    </row>
    <row r="1017" spans="1:14" ht="60" x14ac:dyDescent="0.25">
      <c r="A1017" s="18"/>
      <c r="B1017" s="18"/>
      <c r="C1017" s="18"/>
      <c r="D1017" s="18"/>
      <c r="E1017" s="18"/>
      <c r="F1017" s="18"/>
      <c r="G1017" s="18"/>
      <c r="H1017" s="9" t="s">
        <v>2904</v>
      </c>
      <c r="I1017" s="18"/>
      <c r="J1017" s="18"/>
      <c r="K1017" s="18"/>
      <c r="L1017" s="18"/>
      <c r="M1017" s="18"/>
      <c r="N1017" s="18"/>
    </row>
    <row r="1018" spans="1:14" x14ac:dyDescent="0.25">
      <c r="A1018" s="18"/>
      <c r="B1018" s="18"/>
      <c r="C1018" s="18"/>
      <c r="D1018" s="18"/>
      <c r="E1018" s="18"/>
      <c r="F1018" s="18"/>
      <c r="G1018" s="18"/>
      <c r="H1018" s="9"/>
      <c r="I1018" s="18"/>
      <c r="J1018" s="18"/>
      <c r="K1018" s="18"/>
      <c r="L1018" s="18"/>
      <c r="M1018" s="18"/>
      <c r="N1018" s="18"/>
    </row>
    <row r="1019" spans="1:14" ht="30" x14ac:dyDescent="0.25">
      <c r="A1019" s="18"/>
      <c r="B1019" s="18"/>
      <c r="C1019" s="18"/>
      <c r="D1019" s="18"/>
      <c r="E1019" s="18"/>
      <c r="F1019" s="18"/>
      <c r="G1019" s="18"/>
      <c r="H1019" s="9" t="s">
        <v>2905</v>
      </c>
      <c r="I1019" s="18"/>
      <c r="J1019" s="18"/>
      <c r="K1019" s="18"/>
      <c r="L1019" s="18"/>
      <c r="M1019" s="18"/>
      <c r="N1019" s="18"/>
    </row>
    <row r="1020" spans="1:14" ht="60" x14ac:dyDescent="0.25">
      <c r="A1020" s="9" t="s">
        <v>2907</v>
      </c>
      <c r="B1020" s="9" t="s">
        <v>2908</v>
      </c>
      <c r="C1020" s="9" t="s">
        <v>12</v>
      </c>
      <c r="D1020" s="9" t="s">
        <v>2851</v>
      </c>
      <c r="E1020" s="9"/>
      <c r="F1020" s="9" t="s">
        <v>1513</v>
      </c>
      <c r="G1020" s="9"/>
      <c r="H1020" s="9" t="s">
        <v>2909</v>
      </c>
      <c r="I1020" s="9" t="s">
        <v>2910</v>
      </c>
      <c r="J1020" s="9"/>
      <c r="K1020" s="9" t="s">
        <v>2911</v>
      </c>
      <c r="L1020" s="9" t="s">
        <v>227</v>
      </c>
      <c r="M1020" s="9" t="str">
        <f>HYPERLINK("https://ceds.ed.gov/cedselementdetails.aspx?termid=13747")</f>
        <v>https://ceds.ed.gov/cedselementdetails.aspx?termid=13747</v>
      </c>
      <c r="N1020" s="9" t="str">
        <f>HYPERLINK("https://ceds.ed.gov/elementComment.aspx?elementName=Financial Need &amp;elementID=13747", "Click here to submit comment")</f>
        <v>Click here to submit comment</v>
      </c>
    </row>
    <row r="1021" spans="1:14" ht="45" x14ac:dyDescent="0.25">
      <c r="A1021" s="9" t="s">
        <v>2912</v>
      </c>
      <c r="B1021" s="9" t="s">
        <v>2913</v>
      </c>
      <c r="C1021" s="10" t="s">
        <v>6517</v>
      </c>
      <c r="D1021" s="9" t="s">
        <v>2851</v>
      </c>
      <c r="E1021" s="9"/>
      <c r="F1021" s="9"/>
      <c r="G1021" s="9"/>
      <c r="H1021" s="9" t="s">
        <v>2914</v>
      </c>
      <c r="I1021" s="9" t="s">
        <v>2915</v>
      </c>
      <c r="J1021" s="9"/>
      <c r="K1021" s="9" t="s">
        <v>2916</v>
      </c>
      <c r="L1021" s="9" t="s">
        <v>227</v>
      </c>
      <c r="M1021" s="9" t="str">
        <f>HYPERLINK("https://ceds.ed.gov/cedselementdetails.aspx?termid=14188")</f>
        <v>https://ceds.ed.gov/cedselementdetails.aspx?termid=14188</v>
      </c>
      <c r="N1021" s="9" t="str">
        <f>HYPERLINK("https://ceds.ed.gov/elementComment.aspx?elementName=Financial Need Determination Methodology &amp;elementID=14188", "Click here to submit comment")</f>
        <v>Click here to submit comment</v>
      </c>
    </row>
    <row r="1022" spans="1:14" ht="90" x14ac:dyDescent="0.25">
      <c r="A1022" s="9" t="s">
        <v>2917</v>
      </c>
      <c r="B1022" s="9" t="s">
        <v>2918</v>
      </c>
      <c r="C1022" s="10" t="s">
        <v>6518</v>
      </c>
      <c r="D1022" s="9" t="s">
        <v>2919</v>
      </c>
      <c r="E1022" s="9"/>
      <c r="F1022" s="9"/>
      <c r="G1022" s="9"/>
      <c r="H1022" s="9"/>
      <c r="I1022" s="9" t="s">
        <v>2920</v>
      </c>
      <c r="J1022" s="9"/>
      <c r="K1022" s="9" t="s">
        <v>2921</v>
      </c>
      <c r="L1022" s="9" t="s">
        <v>199</v>
      </c>
      <c r="M1022" s="9" t="str">
        <f>HYPERLINK("https://ceds.ed.gov/cedselementdetails.aspx?termid=13548")</f>
        <v>https://ceds.ed.gov/cedselementdetails.aspx?termid=13548</v>
      </c>
      <c r="N1022" s="9" t="str">
        <f>HYPERLINK("https://ceds.ed.gov/elementComment.aspx?elementName=Firearm Type &amp;elementID=13548", "Click here to submit comment")</f>
        <v>Click here to submit comment</v>
      </c>
    </row>
    <row r="1023" spans="1:14" ht="45" x14ac:dyDescent="0.25">
      <c r="A1023" s="9" t="s">
        <v>2922</v>
      </c>
      <c r="B1023" s="9" t="s">
        <v>2923</v>
      </c>
      <c r="C1023" s="9" t="s">
        <v>12</v>
      </c>
      <c r="D1023" s="9" t="s">
        <v>1592</v>
      </c>
      <c r="E1023" s="9"/>
      <c r="F1023" s="9" t="s">
        <v>73</v>
      </c>
      <c r="G1023" s="9"/>
      <c r="H1023" s="9"/>
      <c r="I1023" s="9" t="s">
        <v>2924</v>
      </c>
      <c r="J1023" s="9"/>
      <c r="K1023" s="9" t="s">
        <v>2925</v>
      </c>
      <c r="L1023" s="9" t="s">
        <v>182</v>
      </c>
      <c r="M1023" s="9" t="str">
        <f>HYPERLINK("https://ceds.ed.gov/cedselementdetails.aspx?termid=14066")</f>
        <v>https://ceds.ed.gov/cedselementdetails.aspx?termid=14066</v>
      </c>
      <c r="N1023" s="9" t="str">
        <f>HYPERLINK("https://ceds.ed.gov/elementComment.aspx?elementName=First Aid Certification Expiration Date &amp;elementID=14066", "Click here to submit comment")</f>
        <v>Click here to submit comment</v>
      </c>
    </row>
    <row r="1024" spans="1:14" ht="45" x14ac:dyDescent="0.25">
      <c r="A1024" s="9" t="s">
        <v>2926</v>
      </c>
      <c r="B1024" s="9" t="s">
        <v>2927</v>
      </c>
      <c r="C1024" s="9" t="s">
        <v>12</v>
      </c>
      <c r="D1024" s="9" t="s">
        <v>2928</v>
      </c>
      <c r="E1024" s="9"/>
      <c r="F1024" s="9" t="s">
        <v>73</v>
      </c>
      <c r="G1024" s="9"/>
      <c r="H1024" s="9"/>
      <c r="I1024" s="9" t="s">
        <v>2929</v>
      </c>
      <c r="J1024" s="9"/>
      <c r="K1024" s="9" t="s">
        <v>2930</v>
      </c>
      <c r="L1024" s="9"/>
      <c r="M1024" s="9" t="str">
        <f>HYPERLINK("https://ceds.ed.gov/cedselementdetails.aspx?termid=13520")</f>
        <v>https://ceds.ed.gov/cedselementdetails.aspx?termid=13520</v>
      </c>
      <c r="N1024" s="9" t="str">
        <f>HYPERLINK("https://ceds.ed.gov/elementComment.aspx?elementName=First Entry Date into a US School &amp;elementID=13520", "Click here to submit comment")</f>
        <v>Click here to submit comment</v>
      </c>
    </row>
    <row r="1025" spans="1:14" ht="45" x14ac:dyDescent="0.25">
      <c r="A1025" s="9" t="s">
        <v>2931</v>
      </c>
      <c r="B1025" s="9" t="s">
        <v>2932</v>
      </c>
      <c r="C1025" s="9" t="s">
        <v>12</v>
      </c>
      <c r="D1025" s="9" t="s">
        <v>2192</v>
      </c>
      <c r="E1025" s="9"/>
      <c r="F1025" s="9" t="s">
        <v>73</v>
      </c>
      <c r="G1025" s="9"/>
      <c r="H1025" s="9"/>
      <c r="I1025" s="9" t="s">
        <v>2933</v>
      </c>
      <c r="J1025" s="9"/>
      <c r="K1025" s="9" t="s">
        <v>2934</v>
      </c>
      <c r="L1025" s="9"/>
      <c r="M1025" s="9" t="str">
        <f>HYPERLINK("https://ceds.ed.gov/cedselementdetails.aspx?termid=13488")</f>
        <v>https://ceds.ed.gov/cedselementdetails.aspx?termid=13488</v>
      </c>
      <c r="N1025" s="9" t="str">
        <f>HYPERLINK("https://ceds.ed.gov/elementComment.aspx?elementName=First Instruction Date &amp;elementID=13488", "Click here to submit comment")</f>
        <v>Click here to submit comment</v>
      </c>
    </row>
    <row r="1026" spans="1:14" ht="409.5" x14ac:dyDescent="0.25">
      <c r="A1026" s="9" t="s">
        <v>2935</v>
      </c>
      <c r="B1026" s="9" t="s">
        <v>2936</v>
      </c>
      <c r="C1026" s="9" t="s">
        <v>12</v>
      </c>
      <c r="D1026" s="9" t="s">
        <v>11348</v>
      </c>
      <c r="E1026" s="9"/>
      <c r="F1026" s="9" t="s">
        <v>1310</v>
      </c>
      <c r="G1026" s="9"/>
      <c r="H1026" s="9" t="s">
        <v>2937</v>
      </c>
      <c r="I1026" s="9" t="s">
        <v>2938</v>
      </c>
      <c r="J1026" s="9"/>
      <c r="K1026" s="9" t="s">
        <v>2939</v>
      </c>
      <c r="L1026" s="9" t="s">
        <v>6211</v>
      </c>
      <c r="M1026" s="9" t="str">
        <f>HYPERLINK("https://ceds.ed.gov/cedselementdetails.aspx?termid=13115")</f>
        <v>https://ceds.ed.gov/cedselementdetails.aspx?termid=13115</v>
      </c>
      <c r="N1026" s="9" t="str">
        <f>HYPERLINK("https://ceds.ed.gov/elementComment.aspx?elementName=First Name &amp;elementID=13115", "Click here to submit comment")</f>
        <v>Click here to submit comment</v>
      </c>
    </row>
    <row r="1027" spans="1:14" ht="195" x14ac:dyDescent="0.25">
      <c r="A1027" s="9" t="s">
        <v>2940</v>
      </c>
      <c r="B1027" s="9" t="s">
        <v>2941</v>
      </c>
      <c r="C1027" s="9" t="s">
        <v>6106</v>
      </c>
      <c r="D1027" s="9" t="s">
        <v>1808</v>
      </c>
      <c r="E1027" s="9"/>
      <c r="F1027" s="9"/>
      <c r="G1027" s="9"/>
      <c r="H1027" s="9"/>
      <c r="I1027" s="9" t="s">
        <v>2942</v>
      </c>
      <c r="J1027" s="9"/>
      <c r="K1027" s="9" t="s">
        <v>2943</v>
      </c>
      <c r="L1027" s="9" t="s">
        <v>6115</v>
      </c>
      <c r="M1027" s="9" t="str">
        <f>HYPERLINK("https://ceds.ed.gov/cedselementdetails.aspx?termid=13117")</f>
        <v>https://ceds.ed.gov/cedselementdetails.aspx?termid=13117</v>
      </c>
      <c r="N1027" s="9" t="str">
        <f>HYPERLINK("https://ceds.ed.gov/elementComment.aspx?elementName=First Time Postsecondary Student &amp;elementID=13117", "Click here to submit comment")</f>
        <v>Click here to submit comment</v>
      </c>
    </row>
    <row r="1028" spans="1:14" ht="15" customHeight="1" x14ac:dyDescent="0.25">
      <c r="A1028" s="9" t="s">
        <v>2944</v>
      </c>
      <c r="B1028" s="9" t="s">
        <v>2945</v>
      </c>
      <c r="C1028" s="9" t="s">
        <v>12</v>
      </c>
      <c r="D1028" s="9" t="s">
        <v>11331</v>
      </c>
      <c r="E1028" s="9"/>
      <c r="F1028" s="9" t="s">
        <v>73</v>
      </c>
      <c r="G1028" s="9"/>
      <c r="H1028" s="9"/>
      <c r="I1028" s="9" t="s">
        <v>2946</v>
      </c>
      <c r="J1028" s="9"/>
      <c r="K1028" s="9" t="s">
        <v>2947</v>
      </c>
      <c r="L1028" s="9"/>
      <c r="M1028" s="9" t="str">
        <f>HYPERLINK("https://ceds.ed.gov/cedselementdetails.aspx?termid=14623")</f>
        <v>https://ceds.ed.gov/cedselementdetails.aspx?termid=14623</v>
      </c>
      <c r="N1028" s="9" t="str">
        <f>HYPERLINK("https://ceds.ed.gov/elementComment.aspx?elementName=Fiscal Period Begin Date &amp;elementID=14623", "Click here to submit comment")</f>
        <v>Click here to submit comment</v>
      </c>
    </row>
    <row r="1029" spans="1:14" ht="15" customHeight="1" x14ac:dyDescent="0.25">
      <c r="A1029" s="9" t="s">
        <v>2948</v>
      </c>
      <c r="B1029" s="9" t="s">
        <v>2949</v>
      </c>
      <c r="C1029" s="9" t="s">
        <v>12</v>
      </c>
      <c r="D1029" s="9" t="s">
        <v>11331</v>
      </c>
      <c r="E1029" s="9"/>
      <c r="F1029" s="9" t="s">
        <v>73</v>
      </c>
      <c r="G1029" s="9"/>
      <c r="H1029" s="9"/>
      <c r="I1029" s="9" t="s">
        <v>2950</v>
      </c>
      <c r="J1029" s="9"/>
      <c r="K1029" s="9" t="s">
        <v>2951</v>
      </c>
      <c r="L1029" s="9"/>
      <c r="M1029" s="9" t="str">
        <f>HYPERLINK("https://ceds.ed.gov/cedselementdetails.aspx?termid=14624")</f>
        <v>https://ceds.ed.gov/cedselementdetails.aspx?termid=14624</v>
      </c>
      <c r="N1029" s="9" t="str">
        <f>HYPERLINK("https://ceds.ed.gov/elementComment.aspx?elementName=Fiscal Period End Date &amp;elementID=14624", "Click here to submit comment")</f>
        <v>Click here to submit comment</v>
      </c>
    </row>
    <row r="1030" spans="1:14" ht="15" customHeight="1" x14ac:dyDescent="0.25">
      <c r="A1030" s="9" t="s">
        <v>2952</v>
      </c>
      <c r="B1030" s="9" t="s">
        <v>2953</v>
      </c>
      <c r="C1030" s="9" t="s">
        <v>12</v>
      </c>
      <c r="D1030" s="9" t="s">
        <v>11331</v>
      </c>
      <c r="E1030" s="9"/>
      <c r="F1030" s="9" t="s">
        <v>1813</v>
      </c>
      <c r="G1030" s="9"/>
      <c r="H1030" s="9"/>
      <c r="I1030" s="9" t="s">
        <v>2954</v>
      </c>
      <c r="J1030" s="9"/>
      <c r="K1030" s="9" t="s">
        <v>2955</v>
      </c>
      <c r="L1030" s="9"/>
      <c r="M1030" s="9" t="str">
        <f>HYPERLINK("https://ceds.ed.gov/cedselementdetails.aspx?termid=14620")</f>
        <v>https://ceds.ed.gov/cedselementdetails.aspx?termid=14620</v>
      </c>
      <c r="N1030" s="9" t="str">
        <f>HYPERLINK("https://ceds.ed.gov/elementComment.aspx?elementName=Fiscal Year &amp;elementID=14620", "Click here to submit comment")</f>
        <v>Click here to submit comment</v>
      </c>
    </row>
    <row r="1031" spans="1:14" ht="75" x14ac:dyDescent="0.25">
      <c r="A1031" s="9" t="s">
        <v>2956</v>
      </c>
      <c r="B1031" s="9" t="s">
        <v>2957</v>
      </c>
      <c r="C1031" s="9" t="s">
        <v>12</v>
      </c>
      <c r="D1031" s="9"/>
      <c r="E1031" s="9" t="s">
        <v>5167</v>
      </c>
      <c r="F1031" s="9" t="s">
        <v>73</v>
      </c>
      <c r="G1031" s="9" t="s">
        <v>11349</v>
      </c>
      <c r="H1031" s="9"/>
      <c r="I1031" s="9" t="s">
        <v>2959</v>
      </c>
      <c r="J1031" s="9"/>
      <c r="K1031" s="9" t="s">
        <v>2960</v>
      </c>
      <c r="L1031" s="9"/>
      <c r="M1031" s="9" t="str">
        <f>HYPERLINK("https://ceds.ed.gov/cedselementdetails.aspx?termid=14495")</f>
        <v>https://ceds.ed.gov/cedselementdetails.aspx?termid=14495</v>
      </c>
      <c r="N1031" s="9" t="str">
        <f>HYPERLINK("https://ceds.ed.gov/elementComment.aspx?elementName=Foster Care End Date &amp;elementID=14495", "Click here to submit comment")</f>
        <v>Click here to submit comment</v>
      </c>
    </row>
    <row r="1032" spans="1:14" ht="15" customHeight="1" x14ac:dyDescent="0.25">
      <c r="A1032" s="9" t="s">
        <v>2961</v>
      </c>
      <c r="B1032" s="9" t="s">
        <v>2962</v>
      </c>
      <c r="C1032" s="9" t="s">
        <v>12</v>
      </c>
      <c r="D1032" s="9"/>
      <c r="E1032" s="9" t="s">
        <v>5167</v>
      </c>
      <c r="F1032" s="9" t="s">
        <v>73</v>
      </c>
      <c r="G1032" s="9" t="s">
        <v>11350</v>
      </c>
      <c r="H1032" s="9"/>
      <c r="I1032" s="9" t="s">
        <v>2963</v>
      </c>
      <c r="J1032" s="9"/>
      <c r="K1032" s="9" t="s">
        <v>2964</v>
      </c>
      <c r="L1032" s="9"/>
      <c r="M1032" s="9" t="str">
        <f>HYPERLINK("https://ceds.ed.gov/cedselementdetails.aspx?termid=14496")</f>
        <v>https://ceds.ed.gov/cedselementdetails.aspx?termid=14496</v>
      </c>
      <c r="N1032" s="9" t="str">
        <f>HYPERLINK("https://ceds.ed.gov/elementComment.aspx?elementName=Foster Care Start Date &amp;elementID=14496", "Click here to submit comment")</f>
        <v>Click here to submit comment</v>
      </c>
    </row>
    <row r="1033" spans="1:14" ht="15" customHeight="1" x14ac:dyDescent="0.25">
      <c r="A1033" s="9" t="s">
        <v>2965</v>
      </c>
      <c r="B1033" s="9" t="s">
        <v>2966</v>
      </c>
      <c r="C1033" s="9" t="s">
        <v>6106</v>
      </c>
      <c r="D1033" s="9" t="s">
        <v>2340</v>
      </c>
      <c r="E1033" s="9"/>
      <c r="F1033" s="9"/>
      <c r="G1033" s="9"/>
      <c r="H1033" s="9"/>
      <c r="I1033" s="9" t="s">
        <v>2967</v>
      </c>
      <c r="J1033" s="9"/>
      <c r="K1033" s="9" t="s">
        <v>2968</v>
      </c>
      <c r="L1033" s="9" t="s">
        <v>227</v>
      </c>
      <c r="M1033" s="9" t="str">
        <f>HYPERLINK("https://ceds.ed.gov/cedselementdetails.aspx?termid=13743")</f>
        <v>https://ceds.ed.gov/cedselementdetails.aspx?termid=13743</v>
      </c>
      <c r="N1033" s="9" t="str">
        <f>HYPERLINK("https://ceds.ed.gov/elementComment.aspx?elementName=Fraternity Participation Status &amp;elementID=13743", "Click here to submit comment")</f>
        <v>Click here to submit comment</v>
      </c>
    </row>
    <row r="1034" spans="1:14" ht="15" customHeight="1" x14ac:dyDescent="0.25">
      <c r="A1034" s="9" t="s">
        <v>11351</v>
      </c>
      <c r="B1034" s="9" t="s">
        <v>11352</v>
      </c>
      <c r="C1034" s="9" t="s">
        <v>12</v>
      </c>
      <c r="D1034" s="9" t="s">
        <v>11105</v>
      </c>
      <c r="E1034" s="9"/>
      <c r="F1034" s="9" t="s">
        <v>589</v>
      </c>
      <c r="G1034" s="9"/>
      <c r="H1034" s="9"/>
      <c r="I1034" s="9" t="s">
        <v>11353</v>
      </c>
      <c r="J1034" s="9"/>
      <c r="K1034" s="9" t="s">
        <v>11354</v>
      </c>
      <c r="L1034" s="9"/>
      <c r="M1034" s="9" t="str">
        <f>HYPERLINK("https://ceds.ed.gov/cedselementdetails.aspx?termid=14695")</f>
        <v>https://ceds.ed.gov/cedselementdetails.aspx?termid=14695</v>
      </c>
      <c r="N1034" s="9" t="str">
        <f>HYPERLINK("https://ceds.ed.gov/elementComment.aspx?elementName=Frequency Instances Per Cycle &amp;elementID=14695", "Click here to submit comment")</f>
        <v>Click here to submit comment</v>
      </c>
    </row>
    <row r="1035" spans="1:14" ht="90" x14ac:dyDescent="0.25">
      <c r="A1035" s="9" t="s">
        <v>11355</v>
      </c>
      <c r="B1035" s="9" t="s">
        <v>11356</v>
      </c>
      <c r="C1035" s="9" t="s">
        <v>12</v>
      </c>
      <c r="D1035" s="9" t="s">
        <v>11105</v>
      </c>
      <c r="E1035" s="9"/>
      <c r="F1035" s="9" t="s">
        <v>589</v>
      </c>
      <c r="G1035" s="9"/>
      <c r="H1035" s="9"/>
      <c r="I1035" s="9" t="s">
        <v>11357</v>
      </c>
      <c r="J1035" s="9"/>
      <c r="K1035" s="9" t="s">
        <v>11358</v>
      </c>
      <c r="L1035" s="9"/>
      <c r="M1035" s="9" t="str">
        <f>HYPERLINK("https://ceds.ed.gov/cedselementdetails.aspx?termid=14696")</f>
        <v>https://ceds.ed.gov/cedselementdetails.aspx?termid=14696</v>
      </c>
      <c r="N1035" s="9" t="str">
        <f>HYPERLINK("https://ceds.ed.gov/elementComment.aspx?elementName=Frequency Length &amp;elementID=14696", "Click here to submit comment")</f>
        <v>Click here to submit comment</v>
      </c>
    </row>
    <row r="1036" spans="1:14" ht="90" x14ac:dyDescent="0.25">
      <c r="A1036" s="9" t="s">
        <v>2969</v>
      </c>
      <c r="B1036" s="9" t="s">
        <v>2970</v>
      </c>
      <c r="C1036" s="10" t="s">
        <v>6519</v>
      </c>
      <c r="D1036" s="9" t="s">
        <v>2390</v>
      </c>
      <c r="E1036" s="9"/>
      <c r="F1036" s="9"/>
      <c r="G1036" s="9"/>
      <c r="H1036" s="9"/>
      <c r="I1036" s="9" t="s">
        <v>2971</v>
      </c>
      <c r="J1036" s="9"/>
      <c r="K1036" s="9" t="s">
        <v>2972</v>
      </c>
      <c r="L1036" s="9"/>
      <c r="M1036" s="9" t="str">
        <f>HYPERLINK("https://ceds.ed.gov/cedselementdetails.aspx?termid=14323")</f>
        <v>https://ceds.ed.gov/cedselementdetails.aspx?termid=14323</v>
      </c>
      <c r="N1036" s="9" t="str">
        <f>HYPERLINK("https://ceds.ed.gov/elementComment.aspx?elementName=Frequency of Service &amp;elementID=14323", "Click here to submit comment")</f>
        <v>Click here to submit comment</v>
      </c>
    </row>
    <row r="1037" spans="1:14" ht="105" x14ac:dyDescent="0.25">
      <c r="A1037" s="9" t="s">
        <v>11359</v>
      </c>
      <c r="B1037" s="9" t="s">
        <v>11360</v>
      </c>
      <c r="C1037" s="10" t="s">
        <v>11879</v>
      </c>
      <c r="D1037" s="9" t="s">
        <v>11105</v>
      </c>
      <c r="E1037" s="9"/>
      <c r="F1037" s="9"/>
      <c r="G1037" s="9"/>
      <c r="H1037" s="9"/>
      <c r="I1037" s="9" t="s">
        <v>11361</v>
      </c>
      <c r="J1037" s="9"/>
      <c r="K1037" s="9" t="s">
        <v>11362</v>
      </c>
      <c r="L1037" s="9"/>
      <c r="M1037" s="9" t="str">
        <f>HYPERLINK("https://ceds.ed.gov/cedselementdetails.aspx?termid=14694")</f>
        <v>https://ceds.ed.gov/cedselementdetails.aspx?termid=14694</v>
      </c>
      <c r="N1037" s="9" t="str">
        <f>HYPERLINK("https://ceds.ed.gov/elementComment.aspx?elementName=Frequency Unit &amp;elementID=14694", "Click here to submit comment")</f>
        <v>Click here to submit comment</v>
      </c>
    </row>
    <row r="1038" spans="1:14" ht="45" x14ac:dyDescent="0.25">
      <c r="A1038" s="9" t="s">
        <v>2973</v>
      </c>
      <c r="B1038" s="9" t="s">
        <v>2974</v>
      </c>
      <c r="C1038" s="9" t="s">
        <v>6106</v>
      </c>
      <c r="D1038" s="9" t="s">
        <v>6189</v>
      </c>
      <c r="E1038" s="9"/>
      <c r="F1038" s="9"/>
      <c r="G1038" s="9"/>
      <c r="H1038" s="9"/>
      <c r="I1038" s="9" t="s">
        <v>2975</v>
      </c>
      <c r="J1038" s="9"/>
      <c r="K1038" s="9" t="s">
        <v>2976</v>
      </c>
      <c r="L1038" s="9"/>
      <c r="M1038" s="9" t="str">
        <f>HYPERLINK("https://ceds.ed.gov/cedselementdetails.aspx?termid=13504")</f>
        <v>https://ceds.ed.gov/cedselementdetails.aspx?termid=13504</v>
      </c>
      <c r="N1038" s="9" t="str">
        <f>HYPERLINK("https://ceds.ed.gov/elementComment.aspx?elementName=Full Year Expulsion &amp;elementID=13504", "Click here to submit comment")</f>
        <v>Click here to submit comment</v>
      </c>
    </row>
    <row r="1039" spans="1:14" ht="409.5" x14ac:dyDescent="0.25">
      <c r="A1039" s="9" t="s">
        <v>2977</v>
      </c>
      <c r="B1039" s="9" t="s">
        <v>2978</v>
      </c>
      <c r="C1039" s="10" t="s">
        <v>6520</v>
      </c>
      <c r="D1039" s="9" t="s">
        <v>2265</v>
      </c>
      <c r="E1039" s="9"/>
      <c r="F1039" s="9"/>
      <c r="G1039" s="9"/>
      <c r="H1039" s="9"/>
      <c r="I1039" s="9" t="s">
        <v>2979</v>
      </c>
      <c r="J1039" s="9"/>
      <c r="K1039" s="9" t="s">
        <v>2980</v>
      </c>
      <c r="L1039" s="9" t="s">
        <v>6193</v>
      </c>
      <c r="M1039" s="9" t="str">
        <f>HYPERLINK("https://ceds.ed.gov/cedselementdetails.aspx?termid=13866")</f>
        <v>https://ceds.ed.gov/cedselementdetails.aspx?termid=13866</v>
      </c>
      <c r="N1039" s="9" t="str">
        <f>HYPERLINK("https://ceds.ed.gov/elementComment.aspx?elementName=Full-Time Employee Benefits &amp;elementID=13866", "Click here to submit comment")</f>
        <v>Click here to submit comment</v>
      </c>
    </row>
    <row r="1040" spans="1:14" ht="180" x14ac:dyDescent="0.25">
      <c r="A1040" s="9" t="s">
        <v>2981</v>
      </c>
      <c r="B1040" s="9" t="s">
        <v>2982</v>
      </c>
      <c r="C1040" s="10" t="s">
        <v>6521</v>
      </c>
      <c r="D1040" s="9" t="s">
        <v>33</v>
      </c>
      <c r="E1040" s="9"/>
      <c r="F1040" s="9"/>
      <c r="G1040" s="9"/>
      <c r="H1040" s="9" t="s">
        <v>2983</v>
      </c>
      <c r="I1040" s="9" t="s">
        <v>2984</v>
      </c>
      <c r="J1040" s="9"/>
      <c r="K1040" s="9" t="s">
        <v>2985</v>
      </c>
      <c r="L1040" s="9" t="s">
        <v>37</v>
      </c>
      <c r="M1040" s="9" t="str">
        <f>HYPERLINK("https://ceds.ed.gov/cedselementdetails.aspx?termid=13713")</f>
        <v>https://ceds.ed.gov/cedselementdetails.aspx?termid=13713</v>
      </c>
      <c r="N1040" s="9" t="str">
        <f>HYPERLINK("https://ceds.ed.gov/elementComment.aspx?elementName=Full-time Status &amp;elementID=13713", "Click here to submit comment")</f>
        <v>Click here to submit comment</v>
      </c>
    </row>
    <row r="1041" spans="1:14" ht="45" x14ac:dyDescent="0.25">
      <c r="A1041" s="9" t="s">
        <v>2986</v>
      </c>
      <c r="B1041" s="9" t="s">
        <v>2987</v>
      </c>
      <c r="C1041" s="9" t="s">
        <v>12</v>
      </c>
      <c r="D1041" s="9" t="s">
        <v>11363</v>
      </c>
      <c r="E1041" s="9"/>
      <c r="F1041" s="9" t="s">
        <v>1513</v>
      </c>
      <c r="G1041" s="9"/>
      <c r="H1041" s="9"/>
      <c r="I1041" s="9" t="s">
        <v>2988</v>
      </c>
      <c r="J1041" s="9"/>
      <c r="K1041" s="9" t="s">
        <v>2989</v>
      </c>
      <c r="L1041" s="9" t="s">
        <v>188</v>
      </c>
      <c r="M1041" s="9" t="str">
        <f>HYPERLINK("https://ceds.ed.gov/cedselementdetails.aspx?termid=13442")</f>
        <v>https://ceds.ed.gov/cedselementdetails.aspx?termid=13442</v>
      </c>
      <c r="N1041" s="9" t="str">
        <f>HYPERLINK("https://ceds.ed.gov/elementComment.aspx?elementName=Funds Transfer Amount &amp;elementID=13442", "Click here to submit comment")</f>
        <v>Click here to submit comment</v>
      </c>
    </row>
    <row r="1042" spans="1:14" ht="60" x14ac:dyDescent="0.25">
      <c r="A1042" s="9" t="s">
        <v>2990</v>
      </c>
      <c r="B1042" s="9" t="s">
        <v>2991</v>
      </c>
      <c r="C1042" s="9" t="s">
        <v>6106</v>
      </c>
      <c r="D1042" s="9" t="s">
        <v>2335</v>
      </c>
      <c r="E1042" s="9"/>
      <c r="F1042" s="9"/>
      <c r="G1042" s="9"/>
      <c r="H1042" s="9"/>
      <c r="I1042" s="9" t="s">
        <v>2992</v>
      </c>
      <c r="J1042" s="9"/>
      <c r="K1042" s="9" t="s">
        <v>2993</v>
      </c>
      <c r="L1042" s="9" t="s">
        <v>4</v>
      </c>
      <c r="M1042" s="9" t="str">
        <f>HYPERLINK("https://ceds.ed.gov/cedselementdetails.aspx?termid=13120")</f>
        <v>https://ceds.ed.gov/cedselementdetails.aspx?termid=13120</v>
      </c>
      <c r="N1042" s="9" t="str">
        <f>HYPERLINK("https://ceds.ed.gov/elementComment.aspx?elementName=GED Preparation Program Participation Status &amp;elementID=13120", "Click here to submit comment")</f>
        <v>Click here to submit comment</v>
      </c>
    </row>
    <row r="1043" spans="1:14" x14ac:dyDescent="0.25">
      <c r="A1043" s="18" t="s">
        <v>2994</v>
      </c>
      <c r="B1043" s="18" t="s">
        <v>2995</v>
      </c>
      <c r="C1043" s="18" t="s">
        <v>12</v>
      </c>
      <c r="D1043" s="18" t="s">
        <v>11364</v>
      </c>
      <c r="E1043" s="18"/>
      <c r="F1043" s="18" t="s">
        <v>2088</v>
      </c>
      <c r="G1043" s="18"/>
      <c r="H1043" s="9" t="s">
        <v>2996</v>
      </c>
      <c r="I1043" s="18" t="s">
        <v>2998</v>
      </c>
      <c r="J1043" s="18"/>
      <c r="K1043" s="18" t="s">
        <v>2999</v>
      </c>
      <c r="L1043" s="18" t="s">
        <v>6212</v>
      </c>
      <c r="M1043" s="18" t="str">
        <f>HYPERLINK("https://ceds.ed.gov/cedselementdetails.aspx?termid=13121")</f>
        <v>https://ceds.ed.gov/cedselementdetails.aspx?termid=13121</v>
      </c>
      <c r="N1043" s="18" t="str">
        <f>HYPERLINK("https://ceds.ed.gov/elementComment.aspx?elementName=Generation Code or Suffix &amp;elementID=13121", "Click here to submit comment")</f>
        <v>Click here to submit comment</v>
      </c>
    </row>
    <row r="1044" spans="1:14" ht="90" x14ac:dyDescent="0.25">
      <c r="A1044" s="18"/>
      <c r="B1044" s="18"/>
      <c r="C1044" s="18"/>
      <c r="D1044" s="18"/>
      <c r="E1044" s="18"/>
      <c r="F1044" s="18"/>
      <c r="G1044" s="18"/>
      <c r="H1044" s="9" t="s">
        <v>2997</v>
      </c>
      <c r="I1044" s="18"/>
      <c r="J1044" s="18"/>
      <c r="K1044" s="18"/>
      <c r="L1044" s="18"/>
      <c r="M1044" s="18"/>
      <c r="N1044" s="18"/>
    </row>
    <row r="1045" spans="1:14" ht="90" x14ac:dyDescent="0.25">
      <c r="A1045" s="9" t="s">
        <v>3000</v>
      </c>
      <c r="B1045" s="9" t="s">
        <v>3001</v>
      </c>
      <c r="C1045" s="9" t="s">
        <v>6213</v>
      </c>
      <c r="D1045" s="9" t="s">
        <v>2335</v>
      </c>
      <c r="E1045" s="9"/>
      <c r="F1045" s="9"/>
      <c r="G1045" s="9"/>
      <c r="H1045" s="9"/>
      <c r="I1045" s="9" t="s">
        <v>3002</v>
      </c>
      <c r="J1045" s="9"/>
      <c r="K1045" s="9" t="s">
        <v>3003</v>
      </c>
      <c r="L1045" s="9" t="s">
        <v>6109</v>
      </c>
      <c r="M1045" s="9" t="str">
        <f>HYPERLINK("https://ceds.ed.gov/cedselementdetails.aspx?termid=13122")</f>
        <v>https://ceds.ed.gov/cedselementdetails.aspx?termid=13122</v>
      </c>
      <c r="N1045" s="9" t="str">
        <f>HYPERLINK("https://ceds.ed.gov/elementComment.aspx?elementName=Gifted and Talented Indicator &amp;elementID=13122", "Click here to submit comment")</f>
        <v>Click here to submit comment</v>
      </c>
    </row>
    <row r="1046" spans="1:14" ht="75" x14ac:dyDescent="0.25">
      <c r="A1046" s="9" t="s">
        <v>11365</v>
      </c>
      <c r="B1046" s="9" t="s">
        <v>11366</v>
      </c>
      <c r="C1046" s="9" t="s">
        <v>12</v>
      </c>
      <c r="D1046" s="9" t="s">
        <v>11367</v>
      </c>
      <c r="E1046" s="9"/>
      <c r="F1046" s="9" t="s">
        <v>303</v>
      </c>
      <c r="G1046" s="9"/>
      <c r="H1046" s="9"/>
      <c r="I1046" s="9" t="s">
        <v>11368</v>
      </c>
      <c r="J1046" s="9"/>
      <c r="K1046" s="9" t="s">
        <v>11369</v>
      </c>
      <c r="L1046" s="9"/>
      <c r="M1046" s="9" t="str">
        <f>HYPERLINK("https://ceds.ed.gov/cedselementdetails.aspx?termid=14671")</f>
        <v>https://ceds.ed.gov/cedselementdetails.aspx?termid=14671</v>
      </c>
      <c r="N1046" s="9" t="str">
        <f>HYPERLINK("https://ceds.ed.gov/elementComment.aspx?elementName=Goal Current Performance Description &amp;elementID=14671", "Click here to submit comment")</f>
        <v>Click here to submit comment</v>
      </c>
    </row>
    <row r="1047" spans="1:14" ht="150" x14ac:dyDescent="0.25">
      <c r="A1047" s="9" t="s">
        <v>11370</v>
      </c>
      <c r="B1047" s="9" t="s">
        <v>11371</v>
      </c>
      <c r="C1047" s="9" t="s">
        <v>12</v>
      </c>
      <c r="D1047" s="9" t="s">
        <v>11372</v>
      </c>
      <c r="E1047" s="9"/>
      <c r="F1047" s="9" t="s">
        <v>68</v>
      </c>
      <c r="G1047" s="9"/>
      <c r="H1047" s="9"/>
      <c r="I1047" s="9" t="s">
        <v>3704</v>
      </c>
      <c r="J1047" s="9"/>
      <c r="K1047" s="9" t="s">
        <v>11373</v>
      </c>
      <c r="L1047" s="9"/>
      <c r="M1047" s="9" t="str">
        <f>HYPERLINK("https://ceds.ed.gov/cedselementdetails.aspx?termid=13903")</f>
        <v>https://ceds.ed.gov/cedselementdetails.aspx?termid=13903</v>
      </c>
      <c r="N1047" s="9" t="str">
        <f>HYPERLINK("https://ceds.ed.gov/elementComment.aspx?elementName=Goal Description &amp;elementID=13903", "Click here to submit comment")</f>
        <v>Click here to submit comment</v>
      </c>
    </row>
    <row r="1048" spans="1:14" ht="150" x14ac:dyDescent="0.25">
      <c r="A1048" s="9" t="s">
        <v>11374</v>
      </c>
      <c r="B1048" s="9" t="s">
        <v>11375</v>
      </c>
      <c r="C1048" s="9" t="s">
        <v>12</v>
      </c>
      <c r="D1048" s="9" t="s">
        <v>11372</v>
      </c>
      <c r="E1048" s="9"/>
      <c r="F1048" s="9" t="s">
        <v>73</v>
      </c>
      <c r="G1048" s="9"/>
      <c r="H1048" s="9" t="s">
        <v>3705</v>
      </c>
      <c r="I1048" s="9" t="s">
        <v>3706</v>
      </c>
      <c r="J1048" s="9"/>
      <c r="K1048" s="9" t="s">
        <v>11376</v>
      </c>
      <c r="L1048" s="9"/>
      <c r="M1048" s="9" t="str">
        <f>HYPERLINK("https://ceds.ed.gov/cedselementdetails.aspx?termid=14170")</f>
        <v>https://ceds.ed.gov/cedselementdetails.aspx?termid=14170</v>
      </c>
      <c r="N1048" s="9" t="str">
        <f>HYPERLINK("https://ceds.ed.gov/elementComment.aspx?elementName=Goal End Date &amp;elementID=14170", "Click here to submit comment")</f>
        <v>Click here to submit comment</v>
      </c>
    </row>
    <row r="1049" spans="1:14" ht="45" x14ac:dyDescent="0.25">
      <c r="A1049" s="9" t="s">
        <v>11377</v>
      </c>
      <c r="B1049" s="9" t="s">
        <v>11378</v>
      </c>
      <c r="C1049" s="9" t="s">
        <v>12</v>
      </c>
      <c r="D1049" s="9" t="s">
        <v>11379</v>
      </c>
      <c r="E1049" s="9"/>
      <c r="F1049" s="9" t="s">
        <v>11380</v>
      </c>
      <c r="G1049" s="9"/>
      <c r="H1049" s="9"/>
      <c r="I1049" s="9" t="s">
        <v>11381</v>
      </c>
      <c r="J1049" s="9"/>
      <c r="K1049" s="9" t="s">
        <v>11382</v>
      </c>
      <c r="L1049" s="9"/>
      <c r="M1049" s="9" t="str">
        <f>HYPERLINK("https://ceds.ed.gov/cedselementdetails.aspx?termid=14672")</f>
        <v>https://ceds.ed.gov/cedselementdetails.aspx?termid=14672</v>
      </c>
      <c r="N1049" s="9" t="str">
        <f>HYPERLINK("https://ceds.ed.gov/elementComment.aspx?elementName=Goal Measurement Criterion Accuracy Percent &amp;elementID=14672", "Click here to submit comment")</f>
        <v>Click here to submit comment</v>
      </c>
    </row>
    <row r="1050" spans="1:14" ht="45" x14ac:dyDescent="0.25">
      <c r="A1050" s="9" t="s">
        <v>11383</v>
      </c>
      <c r="B1050" s="9" t="s">
        <v>11384</v>
      </c>
      <c r="C1050" s="9" t="s">
        <v>12</v>
      </c>
      <c r="D1050" s="9" t="s">
        <v>11379</v>
      </c>
      <c r="E1050" s="9"/>
      <c r="F1050" s="9" t="s">
        <v>589</v>
      </c>
      <c r="G1050" s="9"/>
      <c r="H1050" s="9"/>
      <c r="I1050" s="9" t="s">
        <v>11385</v>
      </c>
      <c r="J1050" s="9"/>
      <c r="K1050" s="9" t="s">
        <v>11386</v>
      </c>
      <c r="L1050" s="9"/>
      <c r="M1050" s="9" t="str">
        <f>HYPERLINK("https://ceds.ed.gov/cedselementdetails.aspx?termid=14673")</f>
        <v>https://ceds.ed.gov/cedselementdetails.aspx?termid=14673</v>
      </c>
      <c r="N1050" s="9" t="str">
        <f>HYPERLINK("https://ceds.ed.gov/elementComment.aspx?elementName=Goal Measurement Criterion Attempts Count &amp;elementID=14673", "Click here to submit comment")</f>
        <v>Click here to submit comment</v>
      </c>
    </row>
    <row r="1051" spans="1:14" ht="45" x14ac:dyDescent="0.25">
      <c r="A1051" s="9" t="s">
        <v>11387</v>
      </c>
      <c r="B1051" s="9" t="s">
        <v>11388</v>
      </c>
      <c r="C1051" s="9" t="s">
        <v>12</v>
      </c>
      <c r="D1051" s="9" t="s">
        <v>11379</v>
      </c>
      <c r="E1051" s="9"/>
      <c r="F1051" s="9" t="s">
        <v>92</v>
      </c>
      <c r="G1051" s="9"/>
      <c r="H1051" s="9"/>
      <c r="I1051" s="9" t="s">
        <v>11389</v>
      </c>
      <c r="J1051" s="9"/>
      <c r="K1051" s="9" t="s">
        <v>11390</v>
      </c>
      <c r="L1051" s="9"/>
      <c r="M1051" s="9" t="str">
        <f>HYPERLINK("https://ceds.ed.gov/cedselementdetails.aspx?termid=14674")</f>
        <v>https://ceds.ed.gov/cedselementdetails.aspx?termid=14674</v>
      </c>
      <c r="N1051" s="9" t="str">
        <f>HYPERLINK("https://ceds.ed.gov/elementComment.aspx?elementName=Goal Measurement Criterion Metric &amp;elementID=14674", "Click here to submit comment")</f>
        <v>Click here to submit comment</v>
      </c>
    </row>
    <row r="1052" spans="1:14" ht="45" x14ac:dyDescent="0.25">
      <c r="A1052" s="9" t="s">
        <v>11391</v>
      </c>
      <c r="B1052" s="9" t="s">
        <v>11392</v>
      </c>
      <c r="C1052" s="9" t="s">
        <v>12</v>
      </c>
      <c r="D1052" s="9" t="s">
        <v>11379</v>
      </c>
      <c r="E1052" s="9"/>
      <c r="F1052" s="9" t="s">
        <v>589</v>
      </c>
      <c r="G1052" s="9"/>
      <c r="H1052" s="9"/>
      <c r="I1052" s="9" t="s">
        <v>11393</v>
      </c>
      <c r="J1052" s="9"/>
      <c r="K1052" s="9" t="s">
        <v>11394</v>
      </c>
      <c r="L1052" s="9"/>
      <c r="M1052" s="9" t="str">
        <f>HYPERLINK("https://ceds.ed.gov/cedselementdetails.aspx?termid=14675")</f>
        <v>https://ceds.ed.gov/cedselementdetails.aspx?termid=14675</v>
      </c>
      <c r="N1052" s="9" t="str">
        <f>HYPERLINK("https://ceds.ed.gov/elementComment.aspx?elementName=Goal Measurement Criterion Success Count &amp;elementID=14675", "Click here to submit comment")</f>
        <v>Click here to submit comment</v>
      </c>
    </row>
    <row r="1053" spans="1:14" ht="60" x14ac:dyDescent="0.25">
      <c r="A1053" s="9" t="s">
        <v>11395</v>
      </c>
      <c r="B1053" s="9" t="s">
        <v>11396</v>
      </c>
      <c r="C1053" s="9" t="s">
        <v>12</v>
      </c>
      <c r="D1053" s="9" t="s">
        <v>11379</v>
      </c>
      <c r="E1053" s="9"/>
      <c r="F1053" s="9" t="s">
        <v>303</v>
      </c>
      <c r="G1053" s="9"/>
      <c r="H1053" s="9"/>
      <c r="I1053" s="9" t="s">
        <v>11397</v>
      </c>
      <c r="J1053" s="9"/>
      <c r="K1053" s="9" t="s">
        <v>11398</v>
      </c>
      <c r="L1053" s="9"/>
      <c r="M1053" s="9" t="str">
        <f>HYPERLINK("https://ceds.ed.gov/cedselementdetails.aspx?termid=14676")</f>
        <v>https://ceds.ed.gov/cedselementdetails.aspx?termid=14676</v>
      </c>
      <c r="N1053" s="9" t="str">
        <f>HYPERLINK("https://ceds.ed.gov/elementComment.aspx?elementName=Goal Measurement Description &amp;elementID=14676", "Click here to submit comment")</f>
        <v>Click here to submit comment</v>
      </c>
    </row>
    <row r="1054" spans="1:14" ht="45" x14ac:dyDescent="0.25">
      <c r="A1054" s="9" t="s">
        <v>11399</v>
      </c>
      <c r="B1054" s="9" t="s">
        <v>11400</v>
      </c>
      <c r="C1054" s="9" t="s">
        <v>12</v>
      </c>
      <c r="D1054" s="9" t="s">
        <v>11379</v>
      </c>
      <c r="E1054" s="9"/>
      <c r="F1054" s="9" t="s">
        <v>303</v>
      </c>
      <c r="G1054" s="9"/>
      <c r="H1054" s="9"/>
      <c r="I1054" s="9" t="s">
        <v>11401</v>
      </c>
      <c r="J1054" s="9"/>
      <c r="K1054" s="9" t="s">
        <v>11402</v>
      </c>
      <c r="L1054" s="9"/>
      <c r="M1054" s="9" t="str">
        <f>HYPERLINK("https://ceds.ed.gov/cedselementdetails.aspx?termid=14677")</f>
        <v>https://ceds.ed.gov/cedselementdetails.aspx?termid=14677</v>
      </c>
      <c r="N1054" s="9" t="str">
        <f>HYPERLINK("https://ceds.ed.gov/elementComment.aspx?elementName=Goal Measurement Schedule &amp;elementID=14677", "Click here to submit comment")</f>
        <v>Click here to submit comment</v>
      </c>
    </row>
    <row r="1055" spans="1:14" ht="75" x14ac:dyDescent="0.25">
      <c r="A1055" s="9" t="s">
        <v>11403</v>
      </c>
      <c r="B1055" s="9" t="s">
        <v>11404</v>
      </c>
      <c r="C1055" s="10" t="s">
        <v>11880</v>
      </c>
      <c r="D1055" s="9" t="s">
        <v>11379</v>
      </c>
      <c r="E1055" s="9"/>
      <c r="F1055" s="9"/>
      <c r="G1055" s="9"/>
      <c r="H1055" s="9"/>
      <c r="I1055" s="9" t="s">
        <v>11405</v>
      </c>
      <c r="J1055" s="9"/>
      <c r="K1055" s="9" t="s">
        <v>11406</v>
      </c>
      <c r="L1055" s="9"/>
      <c r="M1055" s="9" t="str">
        <f>HYPERLINK("https://ceds.ed.gov/cedselementdetails.aspx?termid=14678")</f>
        <v>https://ceds.ed.gov/cedselementdetails.aspx?termid=14678</v>
      </c>
      <c r="N1055" s="9" t="str">
        <f>HYPERLINK("https://ceds.ed.gov/elementComment.aspx?elementName=Goal Measurement Type &amp;elementID=14678", "Click here to submit comment")</f>
        <v>Click here to submit comment</v>
      </c>
    </row>
    <row r="1056" spans="1:14" ht="150" x14ac:dyDescent="0.25">
      <c r="A1056" s="9" t="s">
        <v>11407</v>
      </c>
      <c r="B1056" s="9" t="s">
        <v>11408</v>
      </c>
      <c r="C1056" s="9" t="s">
        <v>12</v>
      </c>
      <c r="D1056" s="9" t="s">
        <v>11372</v>
      </c>
      <c r="E1056" s="9"/>
      <c r="F1056" s="9" t="s">
        <v>73</v>
      </c>
      <c r="G1056" s="9"/>
      <c r="H1056" s="9"/>
      <c r="I1056" s="9" t="s">
        <v>3707</v>
      </c>
      <c r="J1056" s="9"/>
      <c r="K1056" s="9" t="s">
        <v>11409</v>
      </c>
      <c r="L1056" s="9"/>
      <c r="M1056" s="9" t="str">
        <f>HYPERLINK("https://ceds.ed.gov/cedselementdetails.aspx?termid=14169")</f>
        <v>https://ceds.ed.gov/cedselementdetails.aspx?termid=14169</v>
      </c>
      <c r="N1056" s="9" t="str">
        <f>HYPERLINK("https://ceds.ed.gov/elementComment.aspx?elementName=Goal Start Date &amp;elementID=14169", "Click here to submit comment")</f>
        <v>Click here to submit comment</v>
      </c>
    </row>
    <row r="1057" spans="1:14" ht="45" x14ac:dyDescent="0.25">
      <c r="A1057" s="9" t="s">
        <v>11410</v>
      </c>
      <c r="B1057" s="9" t="s">
        <v>11411</v>
      </c>
      <c r="C1057" s="9" t="s">
        <v>12</v>
      </c>
      <c r="D1057" s="9" t="s">
        <v>11412</v>
      </c>
      <c r="E1057" s="9"/>
      <c r="F1057" s="9" t="s">
        <v>303</v>
      </c>
      <c r="G1057" s="9"/>
      <c r="H1057" s="9"/>
      <c r="I1057" s="9" t="s">
        <v>11413</v>
      </c>
      <c r="J1057" s="9"/>
      <c r="K1057" s="9" t="s">
        <v>11414</v>
      </c>
      <c r="L1057" s="9"/>
      <c r="M1057" s="9" t="str">
        <f>HYPERLINK("https://ceds.ed.gov/cedselementdetails.aspx?termid=14684")</f>
        <v>https://ceds.ed.gov/cedselementdetails.aspx?termid=14684</v>
      </c>
      <c r="N1057" s="9" t="str">
        <f>HYPERLINK("https://ceds.ed.gov/elementComment.aspx?elementName=Goal Status &amp;elementID=14684", "Click here to submit comment")</f>
        <v>Click here to submit comment</v>
      </c>
    </row>
    <row r="1058" spans="1:14" ht="105" x14ac:dyDescent="0.25">
      <c r="A1058" s="9" t="s">
        <v>11415</v>
      </c>
      <c r="B1058" s="9" t="s">
        <v>11416</v>
      </c>
      <c r="C1058" s="10" t="s">
        <v>11881</v>
      </c>
      <c r="D1058" s="9" t="s">
        <v>11412</v>
      </c>
      <c r="E1058" s="9"/>
      <c r="F1058" s="9"/>
      <c r="G1058" s="9"/>
      <c r="H1058" s="9"/>
      <c r="I1058" s="9" t="s">
        <v>11417</v>
      </c>
      <c r="J1058" s="9"/>
      <c r="K1058" s="9" t="s">
        <v>11418</v>
      </c>
      <c r="L1058" s="9"/>
      <c r="M1058" s="9" t="str">
        <f>HYPERLINK("https://ceds.ed.gov/cedselementdetails.aspx?termid=14683")</f>
        <v>https://ceds.ed.gov/cedselementdetails.aspx?termid=14683</v>
      </c>
      <c r="N1058" s="9" t="str">
        <f>HYPERLINK("https://ceds.ed.gov/elementComment.aspx?elementName=Goal Status Type &amp;elementID=14683", "Click here to submit comment")</f>
        <v>Click here to submit comment</v>
      </c>
    </row>
    <row r="1059" spans="1:14" ht="150" x14ac:dyDescent="0.25">
      <c r="A1059" s="9" t="s">
        <v>11419</v>
      </c>
      <c r="B1059" s="9" t="s">
        <v>11420</v>
      </c>
      <c r="C1059" s="9" t="s">
        <v>12</v>
      </c>
      <c r="D1059" s="9" t="s">
        <v>11372</v>
      </c>
      <c r="E1059" s="9"/>
      <c r="F1059" s="9" t="s">
        <v>68</v>
      </c>
      <c r="G1059" s="9"/>
      <c r="H1059" s="9"/>
      <c r="I1059" s="9" t="s">
        <v>3708</v>
      </c>
      <c r="J1059" s="9"/>
      <c r="K1059" s="9" t="s">
        <v>11421</v>
      </c>
      <c r="L1059" s="9"/>
      <c r="M1059" s="9" t="str">
        <f>HYPERLINK("https://ceds.ed.gov/cedselementdetails.aspx?termid=13902")</f>
        <v>https://ceds.ed.gov/cedselementdetails.aspx?termid=13902</v>
      </c>
      <c r="N1059" s="9" t="str">
        <f>HYPERLINK("https://ceds.ed.gov/elementComment.aspx?elementName=Goal Success Criteria &amp;elementID=13902", "Click here to submit comment")</f>
        <v>Click here to submit comment</v>
      </c>
    </row>
    <row r="1060" spans="1:14" ht="195" x14ac:dyDescent="0.25">
      <c r="A1060" s="9" t="s">
        <v>3004</v>
      </c>
      <c r="B1060" s="9" t="s">
        <v>3005</v>
      </c>
      <c r="C1060" s="10" t="s">
        <v>6522</v>
      </c>
      <c r="D1060" s="9" t="s">
        <v>235</v>
      </c>
      <c r="E1060" s="9"/>
      <c r="F1060" s="9"/>
      <c r="G1060" s="9"/>
      <c r="H1060" s="9"/>
      <c r="I1060" s="9" t="s">
        <v>3006</v>
      </c>
      <c r="J1060" s="9"/>
      <c r="K1060" s="9" t="s">
        <v>3007</v>
      </c>
      <c r="L1060" s="9"/>
      <c r="M1060" s="9" t="str">
        <f>HYPERLINK("https://ceds.ed.gov/cedselementdetails.aspx?termid=13767")</f>
        <v>https://ceds.ed.gov/cedselementdetails.aspx?termid=13767</v>
      </c>
      <c r="N1060" s="9" t="str">
        <f>HYPERLINK("https://ceds.ed.gov/elementComment.aspx?elementName=Goals for Attending Adult Education &amp;elementID=13767", "Click here to submit comment")</f>
        <v>Click here to submit comment</v>
      </c>
    </row>
    <row r="1061" spans="1:14" ht="345" x14ac:dyDescent="0.25">
      <c r="A1061" s="9" t="s">
        <v>3008</v>
      </c>
      <c r="B1061" s="9" t="s">
        <v>3009</v>
      </c>
      <c r="C1061" s="10" t="s">
        <v>6523</v>
      </c>
      <c r="D1061" s="9" t="s">
        <v>1200</v>
      </c>
      <c r="E1061" s="9"/>
      <c r="F1061" s="9"/>
      <c r="G1061" s="9"/>
      <c r="H1061" s="9"/>
      <c r="I1061" s="9" t="s">
        <v>3010</v>
      </c>
      <c r="J1061" s="9"/>
      <c r="K1061" s="9" t="s">
        <v>3011</v>
      </c>
      <c r="L1061" s="9" t="s">
        <v>6214</v>
      </c>
      <c r="M1061" s="9" t="str">
        <f>HYPERLINK("https://ceds.ed.gov/cedselementdetails.aspx?termid=13126")</f>
        <v>https://ceds.ed.gov/cedselementdetails.aspx?termid=13126</v>
      </c>
      <c r="N1061" s="9" t="str">
        <f>HYPERLINK("https://ceds.ed.gov/elementComment.aspx?elementName=Grade Level When Assessed &amp;elementID=13126", "Click here to submit comment")</f>
        <v>Click here to submit comment</v>
      </c>
    </row>
    <row r="1062" spans="1:14" ht="237" customHeight="1" x14ac:dyDescent="0.25">
      <c r="A1062" s="9" t="s">
        <v>3012</v>
      </c>
      <c r="B1062" s="9" t="s">
        <v>3013</v>
      </c>
      <c r="C1062" s="10" t="s">
        <v>6494</v>
      </c>
      <c r="D1062" s="9" t="s">
        <v>6215</v>
      </c>
      <c r="E1062" s="9"/>
      <c r="F1062" s="9"/>
      <c r="G1062" s="9"/>
      <c r="H1062" s="9"/>
      <c r="I1062" s="9" t="s">
        <v>3014</v>
      </c>
      <c r="J1062" s="9"/>
      <c r="K1062" s="9" t="s">
        <v>3015</v>
      </c>
      <c r="L1062" s="9" t="s">
        <v>6109</v>
      </c>
      <c r="M1062" s="9" t="str">
        <f>HYPERLINK("https://ceds.ed.gov/cedselementdetails.aspx?termid=13125")</f>
        <v>https://ceds.ed.gov/cedselementdetails.aspx?termid=13125</v>
      </c>
      <c r="N1062" s="9" t="str">
        <f>HYPERLINK("https://ceds.ed.gov/elementComment.aspx?elementName=Grade Level When Course Taken &amp;elementID=13125", "Click here to submit comment")</f>
        <v>Click here to submit comment</v>
      </c>
    </row>
    <row r="1063" spans="1:14" ht="45" x14ac:dyDescent="0.25">
      <c r="A1063" s="9" t="s">
        <v>3016</v>
      </c>
      <c r="B1063" s="9" t="s">
        <v>3017</v>
      </c>
      <c r="C1063" s="9" t="s">
        <v>12</v>
      </c>
      <c r="D1063" s="9" t="s">
        <v>293</v>
      </c>
      <c r="E1063" s="9"/>
      <c r="F1063" s="9" t="s">
        <v>3018</v>
      </c>
      <c r="G1063" s="9"/>
      <c r="H1063" s="9"/>
      <c r="I1063" s="9" t="s">
        <v>3019</v>
      </c>
      <c r="J1063" s="9"/>
      <c r="K1063" s="9" t="s">
        <v>3020</v>
      </c>
      <c r="L1063" s="9" t="s">
        <v>25</v>
      </c>
      <c r="M1063" s="9" t="str">
        <f>HYPERLINK("https://ceds.ed.gov/cedselementdetails.aspx?termid=13127")</f>
        <v>https://ceds.ed.gov/cedselementdetails.aspx?termid=13127</v>
      </c>
      <c r="N1063" s="9" t="str">
        <f>HYPERLINK("https://ceds.ed.gov/elementComment.aspx?elementName=Grade Point Average &amp;elementID=13127", "Click here to submit comment")</f>
        <v>Click here to submit comment</v>
      </c>
    </row>
    <row r="1064" spans="1:14" ht="180" x14ac:dyDescent="0.25">
      <c r="A1064" s="9" t="s">
        <v>3021</v>
      </c>
      <c r="B1064" s="9" t="s">
        <v>3022</v>
      </c>
      <c r="C1064" s="9" t="s">
        <v>12</v>
      </c>
      <c r="D1064" s="9" t="s">
        <v>6216</v>
      </c>
      <c r="E1064" s="9"/>
      <c r="F1064" s="9" t="s">
        <v>3018</v>
      </c>
      <c r="G1064" s="9"/>
      <c r="H1064" s="9" t="s">
        <v>3023</v>
      </c>
      <c r="I1064" s="9" t="s">
        <v>3024</v>
      </c>
      <c r="J1064" s="9" t="s">
        <v>3025</v>
      </c>
      <c r="K1064" s="9" t="s">
        <v>3026</v>
      </c>
      <c r="L1064" s="9" t="s">
        <v>6217</v>
      </c>
      <c r="M1064" s="9" t="str">
        <f>HYPERLINK("https://ceds.ed.gov/cedselementdetails.aspx?termid=13128")</f>
        <v>https://ceds.ed.gov/cedselementdetails.aspx?termid=13128</v>
      </c>
      <c r="N1064" s="9" t="str">
        <f>HYPERLINK("https://ceds.ed.gov/elementComment.aspx?elementName=Grade Point Average Cumulative &amp;elementID=13128", "Click here to submit comment")</f>
        <v>Click here to submit comment</v>
      </c>
    </row>
    <row r="1065" spans="1:14" ht="105" x14ac:dyDescent="0.25">
      <c r="A1065" s="9" t="s">
        <v>3027</v>
      </c>
      <c r="B1065" s="9" t="s">
        <v>3028</v>
      </c>
      <c r="C1065" s="10" t="s">
        <v>6524</v>
      </c>
      <c r="D1065" s="9" t="s">
        <v>223</v>
      </c>
      <c r="E1065" s="9"/>
      <c r="F1065" s="9"/>
      <c r="G1065" s="9"/>
      <c r="H1065" s="9" t="s">
        <v>3029</v>
      </c>
      <c r="I1065" s="9" t="s">
        <v>3030</v>
      </c>
      <c r="J1065" s="9" t="s">
        <v>3031</v>
      </c>
      <c r="K1065" s="9" t="s">
        <v>3032</v>
      </c>
      <c r="L1065" s="9" t="s">
        <v>227</v>
      </c>
      <c r="M1065" s="9" t="str">
        <f>HYPERLINK("https://ceds.ed.gov/cedselementdetails.aspx?termid=13739")</f>
        <v>https://ceds.ed.gov/cedselementdetails.aspx?termid=13739</v>
      </c>
      <c r="N1065" s="9" t="str">
        <f>HYPERLINK("https://ceds.ed.gov/elementComment.aspx?elementName=Grade Point Average Domain &amp;elementID=13739", "Click here to submit comment")</f>
        <v>Click here to submit comment</v>
      </c>
    </row>
    <row r="1066" spans="1:14" ht="90" x14ac:dyDescent="0.25">
      <c r="A1066" s="9" t="s">
        <v>3033</v>
      </c>
      <c r="B1066" s="9" t="s">
        <v>3034</v>
      </c>
      <c r="C1066" s="9" t="s">
        <v>12</v>
      </c>
      <c r="D1066" s="9" t="s">
        <v>28</v>
      </c>
      <c r="E1066" s="9"/>
      <c r="F1066" s="9" t="s">
        <v>3018</v>
      </c>
      <c r="G1066" s="9"/>
      <c r="H1066" s="9"/>
      <c r="I1066" s="9" t="s">
        <v>3035</v>
      </c>
      <c r="J1066" s="9" t="s">
        <v>3036</v>
      </c>
      <c r="K1066" s="9" t="s">
        <v>3037</v>
      </c>
      <c r="L1066" s="9" t="s">
        <v>6109</v>
      </c>
      <c r="M1066" s="9" t="str">
        <f>HYPERLINK("https://ceds.ed.gov/cedselementdetails.aspx?termid=13129")</f>
        <v>https://ceds.ed.gov/cedselementdetails.aspx?termid=13129</v>
      </c>
      <c r="N1066" s="9" t="str">
        <f>HYPERLINK("https://ceds.ed.gov/elementComment.aspx?elementName=Grade Point Average Given Session &amp;elementID=13129", "Click here to submit comment")</f>
        <v>Click here to submit comment</v>
      </c>
    </row>
    <row r="1067" spans="1:14" ht="60" x14ac:dyDescent="0.25">
      <c r="A1067" s="9" t="s">
        <v>3038</v>
      </c>
      <c r="B1067" s="9" t="s">
        <v>3039</v>
      </c>
      <c r="C1067" s="10" t="s">
        <v>6525</v>
      </c>
      <c r="D1067" s="9" t="s">
        <v>6218</v>
      </c>
      <c r="E1067" s="9"/>
      <c r="F1067" s="9"/>
      <c r="G1067" s="9"/>
      <c r="H1067" s="9"/>
      <c r="I1067" s="9" t="s">
        <v>3040</v>
      </c>
      <c r="J1067" s="9" t="s">
        <v>3041</v>
      </c>
      <c r="K1067" s="9" t="s">
        <v>3042</v>
      </c>
      <c r="L1067" s="9" t="s">
        <v>6219</v>
      </c>
      <c r="M1067" s="9" t="str">
        <f>HYPERLINK("https://ceds.ed.gov/cedselementdetails.aspx?termid=13123")</f>
        <v>https://ceds.ed.gov/cedselementdetails.aspx?termid=13123</v>
      </c>
      <c r="N1067" s="9" t="str">
        <f>HYPERLINK("https://ceds.ed.gov/elementComment.aspx?elementName=Grade Point Average Weighted Indicator &amp;elementID=13123", "Click here to submit comment")</f>
        <v>Click here to submit comment</v>
      </c>
    </row>
    <row r="1068" spans="1:14" ht="105" x14ac:dyDescent="0.25">
      <c r="A1068" s="9" t="s">
        <v>3043</v>
      </c>
      <c r="B1068" s="9" t="s">
        <v>3044</v>
      </c>
      <c r="C1068" s="9" t="s">
        <v>12</v>
      </c>
      <c r="D1068" s="9" t="s">
        <v>28</v>
      </c>
      <c r="E1068" s="9"/>
      <c r="F1068" s="9" t="s">
        <v>1513</v>
      </c>
      <c r="G1068" s="9"/>
      <c r="H1068" s="9"/>
      <c r="I1068" s="9" t="s">
        <v>3045</v>
      </c>
      <c r="J1068" s="9"/>
      <c r="K1068" s="9" t="s">
        <v>3046</v>
      </c>
      <c r="L1068" s="9" t="s">
        <v>6109</v>
      </c>
      <c r="M1068" s="9" t="str">
        <f>HYPERLINK("https://ceds.ed.gov/cedselementdetails.aspx?termid=13130")</f>
        <v>https://ceds.ed.gov/cedselementdetails.aspx?termid=13130</v>
      </c>
      <c r="N1068" s="9" t="str">
        <f>HYPERLINK("https://ceds.ed.gov/elementComment.aspx?elementName=Grade Points Earned Cumulative &amp;elementID=13130", "Click here to submit comment")</f>
        <v>Click here to submit comment</v>
      </c>
    </row>
    <row r="1069" spans="1:14" ht="240" x14ac:dyDescent="0.25">
      <c r="A1069" s="9" t="s">
        <v>3047</v>
      </c>
      <c r="B1069" s="9" t="s">
        <v>3048</v>
      </c>
      <c r="C1069" s="9" t="s">
        <v>12</v>
      </c>
      <c r="D1069" s="9" t="s">
        <v>11422</v>
      </c>
      <c r="E1069" s="9"/>
      <c r="F1069" s="9" t="s">
        <v>762</v>
      </c>
      <c r="G1069" s="9"/>
      <c r="H1069" s="9" t="s">
        <v>3049</v>
      </c>
      <c r="I1069" s="9" t="s">
        <v>3050</v>
      </c>
      <c r="J1069" s="9"/>
      <c r="K1069" s="9" t="s">
        <v>3051</v>
      </c>
      <c r="L1069" s="9"/>
      <c r="M1069" s="9" t="str">
        <f>HYPERLINK("https://ceds.ed.gov/cedselementdetails.aspx?termid=13609")</f>
        <v>https://ceds.ed.gov/cedselementdetails.aspx?termid=13609</v>
      </c>
      <c r="N1069" s="9" t="str">
        <f>HYPERLINK("https://ceds.ed.gov/elementComment.aspx?elementName=Grade Value Qualifier &amp;elementID=13609", "Click here to submit comment")</f>
        <v>Click here to submit comment</v>
      </c>
    </row>
    <row r="1070" spans="1:14" ht="390" x14ac:dyDescent="0.25">
      <c r="A1070" s="9" t="s">
        <v>3052</v>
      </c>
      <c r="B1070" s="9" t="s">
        <v>3053</v>
      </c>
      <c r="C1070" s="10" t="s">
        <v>6526</v>
      </c>
      <c r="D1070" s="9" t="s">
        <v>202</v>
      </c>
      <c r="E1070" s="9"/>
      <c r="F1070" s="9"/>
      <c r="G1070" s="9"/>
      <c r="H1070" s="9"/>
      <c r="I1070" s="9" t="s">
        <v>3054</v>
      </c>
      <c r="J1070" s="9"/>
      <c r="K1070" s="9" t="s">
        <v>3055</v>
      </c>
      <c r="L1070" s="9" t="s">
        <v>6109</v>
      </c>
      <c r="M1070" s="9" t="str">
        <f>HYPERLINK("https://ceds.ed.gov/cedselementdetails.aspx?termid=13131")</f>
        <v>https://ceds.ed.gov/cedselementdetails.aspx?termid=13131</v>
      </c>
      <c r="N1070" s="9" t="str">
        <f>HYPERLINK("https://ceds.ed.gov/elementComment.aspx?elementName=Grades Offered &amp;elementID=13131", "Click here to submit comment")</f>
        <v>Click here to submit comment</v>
      </c>
    </row>
    <row r="1071" spans="1:14" ht="195" x14ac:dyDescent="0.25">
      <c r="A1071" s="9" t="s">
        <v>3056</v>
      </c>
      <c r="B1071" s="9" t="s">
        <v>3057</v>
      </c>
      <c r="C1071" s="10" t="s">
        <v>6527</v>
      </c>
      <c r="D1071" s="9" t="s">
        <v>33</v>
      </c>
      <c r="E1071" s="9"/>
      <c r="F1071" s="9"/>
      <c r="G1071" s="9"/>
      <c r="H1071" s="9" t="s">
        <v>1861</v>
      </c>
      <c r="I1071" s="9" t="s">
        <v>3058</v>
      </c>
      <c r="J1071" s="9"/>
      <c r="K1071" s="9" t="s">
        <v>3059</v>
      </c>
      <c r="L1071" s="9" t="s">
        <v>37</v>
      </c>
      <c r="M1071" s="9" t="str">
        <f>HYPERLINK("https://ceds.ed.gov/cedselementdetails.aspx?termid=13721")</f>
        <v>https://ceds.ed.gov/cedselementdetails.aspx?termid=13721</v>
      </c>
      <c r="N1071" s="9" t="str">
        <f>HYPERLINK("https://ceds.ed.gov/elementComment.aspx?elementName=Graduate Assistant IPEDS Occupation Category &amp;elementID=13721", "Click here to submit comment")</f>
        <v>Click here to submit comment</v>
      </c>
    </row>
    <row r="1072" spans="1:14" ht="150" x14ac:dyDescent="0.25">
      <c r="A1072" s="9" t="s">
        <v>3060</v>
      </c>
      <c r="B1072" s="9" t="s">
        <v>3061</v>
      </c>
      <c r="C1072" s="9" t="s">
        <v>6106</v>
      </c>
      <c r="D1072" s="9" t="s">
        <v>33</v>
      </c>
      <c r="E1072" s="9"/>
      <c r="F1072" s="9"/>
      <c r="G1072" s="9"/>
      <c r="H1072" s="9" t="s">
        <v>344</v>
      </c>
      <c r="I1072" s="9" t="s">
        <v>3062</v>
      </c>
      <c r="J1072" s="9"/>
      <c r="K1072" s="9" t="s">
        <v>3063</v>
      </c>
      <c r="L1072" s="9" t="s">
        <v>37</v>
      </c>
      <c r="M1072" s="9" t="str">
        <f>HYPERLINK("https://ceds.ed.gov/cedselementdetails.aspx?termid=13720")</f>
        <v>https://ceds.ed.gov/cedselementdetails.aspx?termid=13720</v>
      </c>
      <c r="N1072" s="9" t="str">
        <f>HYPERLINK("https://ceds.ed.gov/elementComment.aspx?elementName=Graduate Assistant Status &amp;elementID=13720", "Click here to submit comment")</f>
        <v>Click here to submit comment</v>
      </c>
    </row>
    <row r="1073" spans="1:14" ht="105" x14ac:dyDescent="0.25">
      <c r="A1073" s="9" t="s">
        <v>3064</v>
      </c>
      <c r="B1073" s="9" t="s">
        <v>3065</v>
      </c>
      <c r="C1073" s="10" t="s">
        <v>6528</v>
      </c>
      <c r="D1073" s="9" t="s">
        <v>2351</v>
      </c>
      <c r="E1073" s="9"/>
      <c r="F1073" s="9"/>
      <c r="G1073" s="9"/>
      <c r="H1073" s="9"/>
      <c r="I1073" s="9" t="s">
        <v>3066</v>
      </c>
      <c r="J1073" s="9"/>
      <c r="K1073" s="9" t="s">
        <v>3067</v>
      </c>
      <c r="L1073" s="9"/>
      <c r="M1073" s="9" t="str">
        <f>HYPERLINK("https://ceds.ed.gov/cedselementdetails.aspx?termid=14324")</f>
        <v>https://ceds.ed.gov/cedselementdetails.aspx?termid=14324</v>
      </c>
      <c r="N1073" s="9" t="str">
        <f>HYPERLINK("https://ceds.ed.gov/elementComment.aspx?elementName=Graduate or Doctoral Exam Results Status &amp;elementID=14324", "Click here to submit comment")</f>
        <v>Click here to submit comment</v>
      </c>
    </row>
    <row r="1074" spans="1:14" ht="45" x14ac:dyDescent="0.25">
      <c r="A1074" s="9" t="s">
        <v>3068</v>
      </c>
      <c r="B1074" s="9" t="s">
        <v>3069</v>
      </c>
      <c r="C1074" s="9" t="s">
        <v>12</v>
      </c>
      <c r="D1074" s="9" t="s">
        <v>28</v>
      </c>
      <c r="E1074" s="9"/>
      <c r="F1074" s="9" t="s">
        <v>1813</v>
      </c>
      <c r="G1074" s="9"/>
      <c r="H1074" s="9"/>
      <c r="I1074" s="9" t="s">
        <v>3070</v>
      </c>
      <c r="J1074" s="9"/>
      <c r="K1074" s="9" t="s">
        <v>3071</v>
      </c>
      <c r="L1074" s="9"/>
      <c r="M1074" s="9" t="str">
        <f>HYPERLINK("https://ceds.ed.gov/cedselementdetails.aspx?termid=13132")</f>
        <v>https://ceds.ed.gov/cedselementdetails.aspx?termid=13132</v>
      </c>
      <c r="N1074" s="9" t="str">
        <f>HYPERLINK("https://ceds.ed.gov/elementComment.aspx?elementName=Graduation Rate Survey Cohort Year &amp;elementID=13132", "Click here to submit comment")</f>
        <v>Click here to submit comment</v>
      </c>
    </row>
    <row r="1075" spans="1:14" ht="75" x14ac:dyDescent="0.25">
      <c r="A1075" s="9" t="s">
        <v>3072</v>
      </c>
      <c r="B1075" s="9" t="s">
        <v>3073</v>
      </c>
      <c r="C1075" s="9" t="s">
        <v>6106</v>
      </c>
      <c r="D1075" s="9" t="s">
        <v>28</v>
      </c>
      <c r="E1075" s="9"/>
      <c r="F1075" s="9"/>
      <c r="G1075" s="9"/>
      <c r="H1075" s="9"/>
      <c r="I1075" s="9" t="s">
        <v>3074</v>
      </c>
      <c r="J1075" s="9"/>
      <c r="K1075" s="9" t="s">
        <v>3075</v>
      </c>
      <c r="L1075" s="9" t="s">
        <v>3076</v>
      </c>
      <c r="M1075" s="9" t="str">
        <f>HYPERLINK("https://ceds.ed.gov/cedselementdetails.aspx?termid=13133")</f>
        <v>https://ceds.ed.gov/cedselementdetails.aspx?termid=13133</v>
      </c>
      <c r="N1075" s="9" t="str">
        <f>HYPERLINK("https://ceds.ed.gov/elementComment.aspx?elementName=Graduation Rate Survey Indicator &amp;elementID=13133", "Click here to submit comment")</f>
        <v>Click here to submit comment</v>
      </c>
    </row>
    <row r="1076" spans="1:14" ht="120" x14ac:dyDescent="0.25">
      <c r="A1076" s="9" t="s">
        <v>3077</v>
      </c>
      <c r="B1076" s="9" t="s">
        <v>3078</v>
      </c>
      <c r="C1076" s="10" t="s">
        <v>6529</v>
      </c>
      <c r="D1076" s="9" t="s">
        <v>6116</v>
      </c>
      <c r="E1076" s="9"/>
      <c r="F1076" s="9"/>
      <c r="G1076" s="9"/>
      <c r="H1076" s="9"/>
      <c r="I1076" s="9" t="s">
        <v>3079</v>
      </c>
      <c r="J1076" s="9"/>
      <c r="K1076" s="9" t="s">
        <v>3080</v>
      </c>
      <c r="L1076" s="9" t="s">
        <v>199</v>
      </c>
      <c r="M1076" s="9" t="str">
        <f>HYPERLINK("https://ceds.ed.gov/cedselementdetails.aspx?termid=13134")</f>
        <v>https://ceds.ed.gov/cedselementdetails.aspx?termid=13134</v>
      </c>
      <c r="N1076" s="9" t="str">
        <f>HYPERLINK("https://ceds.ed.gov/elementComment.aspx?elementName=Gun Free Schools Act Reporting Status &amp;elementID=13134", "Click here to submit comment")</f>
        <v>Click here to submit comment</v>
      </c>
    </row>
    <row r="1077" spans="1:14" ht="60" x14ac:dyDescent="0.25">
      <c r="A1077" s="9" t="s">
        <v>3081</v>
      </c>
      <c r="B1077" s="9" t="s">
        <v>3082</v>
      </c>
      <c r="C1077" s="9" t="s">
        <v>6106</v>
      </c>
      <c r="D1077" s="9" t="s">
        <v>1522</v>
      </c>
      <c r="E1077" s="9"/>
      <c r="F1077" s="9"/>
      <c r="G1077" s="9"/>
      <c r="H1077" s="9"/>
      <c r="I1077" s="9" t="s">
        <v>3083</v>
      </c>
      <c r="J1077" s="9"/>
      <c r="K1077" s="9" t="s">
        <v>3084</v>
      </c>
      <c r="L1077" s="9" t="s">
        <v>4</v>
      </c>
      <c r="M1077" s="9" t="str">
        <f>HYPERLINK("https://ceds.ed.gov/cedselementdetails.aspx?termid=13135")</f>
        <v>https://ceds.ed.gov/cedselementdetails.aspx?termid=13135</v>
      </c>
      <c r="N1077" s="9" t="str">
        <f>HYPERLINK("https://ceds.ed.gov/elementComment.aspx?elementName=Harassment or Bullying Policy Status &amp;elementID=13135", "Click here to submit comment")</f>
        <v>Click here to submit comment</v>
      </c>
    </row>
    <row r="1078" spans="1:14" ht="45" x14ac:dyDescent="0.25">
      <c r="A1078" s="9" t="s">
        <v>12202</v>
      </c>
      <c r="B1078" s="9" t="s">
        <v>8212</v>
      </c>
      <c r="C1078" s="9" t="s">
        <v>12</v>
      </c>
      <c r="D1078" s="9" t="s">
        <v>10535</v>
      </c>
      <c r="E1078" s="9" t="s">
        <v>1457</v>
      </c>
      <c r="F1078" s="9" t="s">
        <v>22</v>
      </c>
      <c r="G1078" s="9"/>
      <c r="H1078" s="9"/>
      <c r="I1078" s="9" t="s">
        <v>11423</v>
      </c>
      <c r="J1078" s="9"/>
      <c r="K1078" s="9" t="s">
        <v>11424</v>
      </c>
      <c r="L1078" s="9"/>
      <c r="M1078" s="9" t="str">
        <f>HYPERLINK("https://ceds.ed.gov/cedselementdetails.aspx?termid=14825")</f>
        <v>https://ceds.ed.gov/cedselementdetails.aspx?termid=14825</v>
      </c>
      <c r="N1078" s="9" t="str">
        <f>HYPERLINK("https://ceds.ed.gov/elementComment.aspx?elementName=Hazardous Material Or Condition Description &amp;elementID=14825", "Click here to submit comment")</f>
        <v>Click here to submit comment</v>
      </c>
    </row>
    <row r="1079" spans="1:14" ht="45" x14ac:dyDescent="0.25">
      <c r="A1079" s="9" t="s">
        <v>12203</v>
      </c>
      <c r="B1079" s="9" t="s">
        <v>8213</v>
      </c>
      <c r="C1079" s="9" t="s">
        <v>12</v>
      </c>
      <c r="D1079" s="9" t="s">
        <v>10535</v>
      </c>
      <c r="E1079" s="9" t="s">
        <v>1457</v>
      </c>
      <c r="F1079" s="9" t="s">
        <v>73</v>
      </c>
      <c r="G1079" s="9"/>
      <c r="H1079" s="9"/>
      <c r="I1079" s="9" t="s">
        <v>11425</v>
      </c>
      <c r="J1079" s="9"/>
      <c r="K1079" s="9" t="s">
        <v>11426</v>
      </c>
      <c r="L1079" s="9"/>
      <c r="M1079" s="9" t="str">
        <f>HYPERLINK("https://ceds.ed.gov/cedselementdetails.aspx?termid=14826")</f>
        <v>https://ceds.ed.gov/cedselementdetails.aspx?termid=14826</v>
      </c>
      <c r="N1079" s="9" t="str">
        <f>HYPERLINK("https://ceds.ed.gov/elementComment.aspx?elementName=Hazardous Material Or Condition Testing Date &amp;elementID=14826", "Click here to submit comment")</f>
        <v>Click here to submit comment</v>
      </c>
    </row>
    <row r="1080" spans="1:14" ht="45" x14ac:dyDescent="0.25">
      <c r="A1080" s="9" t="s">
        <v>3085</v>
      </c>
      <c r="B1080" s="9" t="s">
        <v>3086</v>
      </c>
      <c r="C1080" s="9" t="s">
        <v>12</v>
      </c>
      <c r="D1080" s="9" t="s">
        <v>6119</v>
      </c>
      <c r="E1080" s="9"/>
      <c r="F1080" s="9" t="s">
        <v>68</v>
      </c>
      <c r="G1080" s="9"/>
      <c r="H1080" s="9"/>
      <c r="I1080" s="9" t="s">
        <v>3087</v>
      </c>
      <c r="J1080" s="9"/>
      <c r="K1080" s="9" t="s">
        <v>3088</v>
      </c>
      <c r="L1080" s="9"/>
      <c r="M1080" s="9" t="str">
        <f>HYPERLINK("https://ceds.ed.gov/cedselementdetails.aspx?termid=14325")</f>
        <v>https://ceds.ed.gov/cedselementdetails.aspx?termid=14325</v>
      </c>
      <c r="N1080" s="9" t="str">
        <f>HYPERLINK("https://ceds.ed.gov/elementComment.aspx?elementName=Health Screening Equipment Used &amp;elementID=14325", "Click here to submit comment")</f>
        <v>Click here to submit comment</v>
      </c>
    </row>
    <row r="1081" spans="1:14" ht="45" x14ac:dyDescent="0.25">
      <c r="A1081" s="9" t="s">
        <v>3089</v>
      </c>
      <c r="B1081" s="9" t="s">
        <v>3090</v>
      </c>
      <c r="C1081" s="9" t="s">
        <v>12</v>
      </c>
      <c r="D1081" s="9" t="s">
        <v>6119</v>
      </c>
      <c r="E1081" s="9"/>
      <c r="F1081" s="9" t="s">
        <v>303</v>
      </c>
      <c r="G1081" s="9"/>
      <c r="H1081" s="9"/>
      <c r="I1081" s="9" t="s">
        <v>3091</v>
      </c>
      <c r="J1081" s="9"/>
      <c r="K1081" s="9" t="s">
        <v>3092</v>
      </c>
      <c r="L1081" s="9"/>
      <c r="M1081" s="9" t="str">
        <f>HYPERLINK("https://ceds.ed.gov/cedselementdetails.aspx?termid=14326")</f>
        <v>https://ceds.ed.gov/cedselementdetails.aspx?termid=14326</v>
      </c>
      <c r="N1081" s="9" t="str">
        <f>HYPERLINK("https://ceds.ed.gov/elementComment.aspx?elementName=Health Screening Follow-up Recommendation &amp;elementID=14326", "Click here to submit comment")</f>
        <v>Click here to submit comment</v>
      </c>
    </row>
    <row r="1082" spans="1:14" ht="60" x14ac:dyDescent="0.25">
      <c r="A1082" s="9" t="s">
        <v>3093</v>
      </c>
      <c r="B1082" s="9" t="s">
        <v>3094</v>
      </c>
      <c r="C1082" s="9" t="s">
        <v>12</v>
      </c>
      <c r="D1082" s="9" t="s">
        <v>11427</v>
      </c>
      <c r="E1082" s="9"/>
      <c r="F1082" s="9" t="s">
        <v>73</v>
      </c>
      <c r="G1082" s="9"/>
      <c r="H1082" s="9"/>
      <c r="I1082" s="9" t="s">
        <v>3095</v>
      </c>
      <c r="J1082" s="9"/>
      <c r="K1082" s="9" t="s">
        <v>3096</v>
      </c>
      <c r="L1082" s="9"/>
      <c r="M1082" s="9" t="str">
        <f>HYPERLINK("https://ceds.ed.gov/cedselementdetails.aspx?termid=13681")</f>
        <v>https://ceds.ed.gov/cedselementdetails.aspx?termid=13681</v>
      </c>
      <c r="N1082" s="9" t="str">
        <f>HYPERLINK("https://ceds.ed.gov/elementComment.aspx?elementName=Hearing Screening Date &amp;elementID=13681", "Click here to submit comment")</f>
        <v>Click here to submit comment</v>
      </c>
    </row>
    <row r="1083" spans="1:14" ht="60" x14ac:dyDescent="0.25">
      <c r="A1083" s="9" t="s">
        <v>3097</v>
      </c>
      <c r="B1083" s="9" t="s">
        <v>3098</v>
      </c>
      <c r="C1083" s="10" t="s">
        <v>6530</v>
      </c>
      <c r="D1083" s="9" t="s">
        <v>11427</v>
      </c>
      <c r="E1083" s="9"/>
      <c r="F1083" s="9"/>
      <c r="G1083" s="9"/>
      <c r="H1083" s="9"/>
      <c r="I1083" s="9" t="s">
        <v>3099</v>
      </c>
      <c r="J1083" s="9"/>
      <c r="K1083" s="9" t="s">
        <v>3100</v>
      </c>
      <c r="L1083" s="9" t="s">
        <v>1714</v>
      </c>
      <c r="M1083" s="9" t="str">
        <f>HYPERLINK("https://ceds.ed.gov/cedselementdetails.aspx?termid=13309")</f>
        <v>https://ceds.ed.gov/cedselementdetails.aspx?termid=13309</v>
      </c>
      <c r="N1083" s="9" t="str">
        <f>HYPERLINK("https://ceds.ed.gov/elementComment.aspx?elementName=Hearing Screening Status &amp;elementID=13309", "Click here to submit comment")</f>
        <v>Click here to submit comment</v>
      </c>
    </row>
    <row r="1084" spans="1:14" ht="210" x14ac:dyDescent="0.25">
      <c r="A1084" s="9" t="s">
        <v>3101</v>
      </c>
      <c r="B1084" s="9" t="s">
        <v>3102</v>
      </c>
      <c r="C1084" s="9" t="s">
        <v>6106</v>
      </c>
      <c r="D1084" s="9" t="s">
        <v>11428</v>
      </c>
      <c r="E1084" s="9"/>
      <c r="F1084" s="9"/>
      <c r="G1084" s="9"/>
      <c r="H1084" s="9"/>
      <c r="I1084" s="9" t="s">
        <v>3103</v>
      </c>
      <c r="J1084" s="9"/>
      <c r="K1084" s="9" t="s">
        <v>3104</v>
      </c>
      <c r="L1084" s="9" t="s">
        <v>6150</v>
      </c>
      <c r="M1084" s="9" t="str">
        <f>HYPERLINK("https://ceds.ed.gov/cedselementdetails.aspx?termid=13137")</f>
        <v>https://ceds.ed.gov/cedselementdetails.aspx?termid=13137</v>
      </c>
      <c r="N1084" s="9" t="str">
        <f>HYPERLINK("https://ceds.ed.gov/elementComment.aspx?elementName=High School Course Requirement &amp;elementID=13137", "Click here to submit comment")</f>
        <v>Click here to submit comment</v>
      </c>
    </row>
    <row r="1085" spans="1:14" ht="180" x14ac:dyDescent="0.25">
      <c r="A1085" s="9" t="s">
        <v>3105</v>
      </c>
      <c r="B1085" s="9" t="s">
        <v>3106</v>
      </c>
      <c r="C1085" s="10" t="s">
        <v>6531</v>
      </c>
      <c r="D1085" s="9" t="s">
        <v>11429</v>
      </c>
      <c r="E1085" s="9"/>
      <c r="F1085" s="9"/>
      <c r="G1085" s="9"/>
      <c r="H1085" s="9"/>
      <c r="I1085" s="9" t="s">
        <v>3107</v>
      </c>
      <c r="J1085" s="9"/>
      <c r="K1085" s="9" t="s">
        <v>3108</v>
      </c>
      <c r="L1085" s="9"/>
      <c r="M1085" s="9" t="str">
        <f>HYPERLINK("https://ceds.ed.gov/cedselementdetails.aspx?termid=13689")</f>
        <v>https://ceds.ed.gov/cedselementdetails.aspx?termid=13689</v>
      </c>
      <c r="N1085" s="9" t="str">
        <f>HYPERLINK("https://ceds.ed.gov/elementComment.aspx?elementName=High School Diploma Distinction Type &amp;elementID=13689", "Click here to submit comment")</f>
        <v>Click here to submit comment</v>
      </c>
    </row>
    <row r="1086" spans="1:14" ht="285" x14ac:dyDescent="0.25">
      <c r="A1086" s="9" t="s">
        <v>3109</v>
      </c>
      <c r="B1086" s="9" t="s">
        <v>3110</v>
      </c>
      <c r="C1086" s="10" t="s">
        <v>6532</v>
      </c>
      <c r="D1086" s="9" t="s">
        <v>11430</v>
      </c>
      <c r="E1086" s="9"/>
      <c r="F1086" s="9"/>
      <c r="G1086" s="9"/>
      <c r="H1086" s="9"/>
      <c r="I1086" s="9" t="s">
        <v>3111</v>
      </c>
      <c r="J1086" s="9"/>
      <c r="K1086" s="9" t="s">
        <v>3112</v>
      </c>
      <c r="L1086" s="9" t="s">
        <v>6220</v>
      </c>
      <c r="M1086" s="9" t="str">
        <f>HYPERLINK("https://ceds.ed.gov/cedselementdetails.aspx?termid=13138")</f>
        <v>https://ceds.ed.gov/cedselementdetails.aspx?termid=13138</v>
      </c>
      <c r="N1086" s="9" t="str">
        <f>HYPERLINK("https://ceds.ed.gov/elementComment.aspx?elementName=High School Diploma Type &amp;elementID=13138", "Click here to submit comment")</f>
        <v>Click here to submit comment</v>
      </c>
    </row>
    <row r="1087" spans="1:14" ht="120" x14ac:dyDescent="0.25">
      <c r="A1087" s="9" t="s">
        <v>3113</v>
      </c>
      <c r="B1087" s="9" t="s">
        <v>3114</v>
      </c>
      <c r="C1087" s="10" t="s">
        <v>6533</v>
      </c>
      <c r="D1087" s="9" t="s">
        <v>6116</v>
      </c>
      <c r="E1087" s="9"/>
      <c r="F1087" s="9"/>
      <c r="G1087" s="9"/>
      <c r="H1087" s="9"/>
      <c r="I1087" s="9" t="s">
        <v>3115</v>
      </c>
      <c r="J1087" s="9"/>
      <c r="K1087" s="9" t="s">
        <v>3116</v>
      </c>
      <c r="L1087" s="9" t="s">
        <v>199</v>
      </c>
      <c r="M1087" s="9" t="str">
        <f>HYPERLINK("https://ceds.ed.gov/cedselementdetails.aspx?termid=13140")</f>
        <v>https://ceds.ed.gov/cedselementdetails.aspx?termid=13140</v>
      </c>
      <c r="N1087" s="9" t="str">
        <f>HYPERLINK("https://ceds.ed.gov/elementComment.aspx?elementName=High School Graduation Rate Indicator Status &amp;elementID=13140", "Click here to submit comment")</f>
        <v>Click here to submit comment</v>
      </c>
    </row>
    <row r="1088" spans="1:14" ht="90" x14ac:dyDescent="0.25">
      <c r="A1088" s="18" t="s">
        <v>3117</v>
      </c>
      <c r="B1088" s="18" t="s">
        <v>3118</v>
      </c>
      <c r="C1088" s="18" t="s">
        <v>12</v>
      </c>
      <c r="D1088" s="18" t="s">
        <v>223</v>
      </c>
      <c r="E1088" s="18"/>
      <c r="F1088" s="18" t="s">
        <v>10496</v>
      </c>
      <c r="G1088" s="18"/>
      <c r="H1088" s="9" t="s">
        <v>3119</v>
      </c>
      <c r="I1088" s="18" t="s">
        <v>3121</v>
      </c>
      <c r="J1088" s="18"/>
      <c r="K1088" s="18" t="s">
        <v>3122</v>
      </c>
      <c r="L1088" s="18" t="s">
        <v>227</v>
      </c>
      <c r="M1088" s="18" t="str">
        <f>HYPERLINK("https://ceds.ed.gov/cedselementdetails.aspx?termid=13740")</f>
        <v>https://ceds.ed.gov/cedselementdetails.aspx?termid=13740</v>
      </c>
      <c r="N1088" s="18" t="str">
        <f>HYPERLINK("https://ceds.ed.gov/elementComment.aspx?elementName=High School Percentile &amp;elementID=13740", "Click here to submit comment")</f>
        <v>Click here to submit comment</v>
      </c>
    </row>
    <row r="1089" spans="1:14" ht="45" x14ac:dyDescent="0.25">
      <c r="A1089" s="18"/>
      <c r="B1089" s="18"/>
      <c r="C1089" s="18"/>
      <c r="D1089" s="18"/>
      <c r="E1089" s="18"/>
      <c r="F1089" s="18"/>
      <c r="G1089" s="18"/>
      <c r="H1089" s="9" t="s">
        <v>3120</v>
      </c>
      <c r="I1089" s="18"/>
      <c r="J1089" s="18"/>
      <c r="K1089" s="18"/>
      <c r="L1089" s="18"/>
      <c r="M1089" s="18"/>
      <c r="N1089" s="18"/>
    </row>
    <row r="1090" spans="1:14" ht="120" x14ac:dyDescent="0.25">
      <c r="A1090" s="9" t="s">
        <v>3123</v>
      </c>
      <c r="B1090" s="9" t="s">
        <v>3124</v>
      </c>
      <c r="C1090" s="9" t="s">
        <v>12</v>
      </c>
      <c r="D1090" s="9" t="s">
        <v>6221</v>
      </c>
      <c r="E1090" s="9"/>
      <c r="F1090" s="9" t="s">
        <v>10489</v>
      </c>
      <c r="G1090" s="9"/>
      <c r="H1090" s="9"/>
      <c r="I1090" s="9" t="s">
        <v>3125</v>
      </c>
      <c r="J1090" s="9"/>
      <c r="K1090" s="9" t="s">
        <v>3126</v>
      </c>
      <c r="L1090" s="9" t="s">
        <v>6222</v>
      </c>
      <c r="M1090" s="9" t="str">
        <f>HYPERLINK("https://ceds.ed.gov/cedselementdetails.aspx?termid=13041")</f>
        <v>https://ceds.ed.gov/cedselementdetails.aspx?termid=13041</v>
      </c>
      <c r="N1090" s="9" t="str">
        <f>HYPERLINK("https://ceds.ed.gov/elementComment.aspx?elementName=High School Student Class Rank &amp;elementID=13041", "Click here to submit comment")</f>
        <v>Click here to submit comment</v>
      </c>
    </row>
    <row r="1091" spans="1:14" ht="120" x14ac:dyDescent="0.25">
      <c r="A1091" s="9" t="s">
        <v>3127</v>
      </c>
      <c r="B1091" s="9" t="s">
        <v>3128</v>
      </c>
      <c r="C1091" s="10" t="s">
        <v>6534</v>
      </c>
      <c r="D1091" s="9" t="s">
        <v>11125</v>
      </c>
      <c r="E1091" s="9"/>
      <c r="F1091" s="9"/>
      <c r="G1091" s="9"/>
      <c r="H1091" s="9"/>
      <c r="I1091" s="9" t="s">
        <v>3129</v>
      </c>
      <c r="J1091" s="9"/>
      <c r="K1091" s="9" t="s">
        <v>3130</v>
      </c>
      <c r="L1091" s="9" t="s">
        <v>182</v>
      </c>
      <c r="M1091" s="9" t="str">
        <f>HYPERLINK("https://ceds.ed.gov/cedselementdetails.aspx?termid=13817")</f>
        <v>https://ceds.ed.gov/cedselementdetails.aspx?termid=13817</v>
      </c>
      <c r="N1091" s="9" t="str">
        <f>HYPERLINK("https://ceds.ed.gov/elementComment.aspx?elementName=Higher Education Institution Accreditation Status &amp;elementID=13817", "Click here to submit comment")</f>
        <v>Click here to submit comment</v>
      </c>
    </row>
    <row r="1092" spans="1:14" ht="409.5" x14ac:dyDescent="0.25">
      <c r="A1092" s="9" t="s">
        <v>3131</v>
      </c>
      <c r="B1092" s="9" t="s">
        <v>3132</v>
      </c>
      <c r="C1092" s="10" t="s">
        <v>6377</v>
      </c>
      <c r="D1092" s="9" t="s">
        <v>11431</v>
      </c>
      <c r="E1092" s="9"/>
      <c r="F1092" s="9"/>
      <c r="G1092" s="9"/>
      <c r="H1092" s="9"/>
      <c r="I1092" s="9" t="s">
        <v>3133</v>
      </c>
      <c r="J1092" s="9"/>
      <c r="K1092" s="9" t="s">
        <v>3134</v>
      </c>
      <c r="L1092" s="9" t="s">
        <v>6223</v>
      </c>
      <c r="M1092" s="9" t="str">
        <f>HYPERLINK("https://ceds.ed.gov/cedselementdetails.aspx?termid=13141")</f>
        <v>https://ceds.ed.gov/cedselementdetails.aspx?termid=13141</v>
      </c>
      <c r="N1092" s="9" t="str">
        <f>HYPERLINK("https://ceds.ed.gov/elementComment.aspx?elementName=Highest Level of Education Completed &amp;elementID=13141", "Click here to submit comment")</f>
        <v>Click here to submit comment</v>
      </c>
    </row>
    <row r="1093" spans="1:14" ht="60" x14ac:dyDescent="0.25">
      <c r="A1093" s="9" t="s">
        <v>3135</v>
      </c>
      <c r="B1093" s="9" t="s">
        <v>3136</v>
      </c>
      <c r="C1093" s="10" t="s">
        <v>6535</v>
      </c>
      <c r="D1093" s="9" t="s">
        <v>3137</v>
      </c>
      <c r="E1093" s="9"/>
      <c r="F1093" s="9"/>
      <c r="G1093" s="9"/>
      <c r="H1093" s="9"/>
      <c r="I1093" s="9" t="s">
        <v>3138</v>
      </c>
      <c r="J1093" s="9"/>
      <c r="K1093" s="9" t="s">
        <v>3139</v>
      </c>
      <c r="L1093" s="9" t="s">
        <v>199</v>
      </c>
      <c r="M1093" s="9" t="str">
        <f>HYPERLINK("https://ceds.ed.gov/cedselementdetails.aspx?termid=13142")</f>
        <v>https://ceds.ed.gov/cedselementdetails.aspx?termid=13142</v>
      </c>
      <c r="N1093" s="9" t="str">
        <f>HYPERLINK("https://ceds.ed.gov/elementComment.aspx?elementName=Highly Qualified Teacher Indicator &amp;elementID=13142", "Click here to submit comment")</f>
        <v>Click here to submit comment</v>
      </c>
    </row>
    <row r="1094" spans="1:14" ht="210" x14ac:dyDescent="0.25">
      <c r="A1094" s="9" t="s">
        <v>3140</v>
      </c>
      <c r="B1094" s="9" t="s">
        <v>3141</v>
      </c>
      <c r="C1094" s="9" t="s">
        <v>12</v>
      </c>
      <c r="D1094" s="9" t="s">
        <v>6224</v>
      </c>
      <c r="E1094" s="9"/>
      <c r="F1094" s="9" t="s">
        <v>73</v>
      </c>
      <c r="G1094" s="9"/>
      <c r="H1094" s="9" t="s">
        <v>3142</v>
      </c>
      <c r="I1094" s="9" t="s">
        <v>3143</v>
      </c>
      <c r="J1094" s="9"/>
      <c r="K1094" s="9" t="s">
        <v>3144</v>
      </c>
      <c r="L1094" s="9" t="s">
        <v>6225</v>
      </c>
      <c r="M1094" s="9" t="str">
        <f>HYPERLINK("https://ceds.ed.gov/cedselementdetails.aspx?termid=13143")</f>
        <v>https://ceds.ed.gov/cedselementdetails.aspx?termid=13143</v>
      </c>
      <c r="N1094" s="9" t="str">
        <f>HYPERLINK("https://ceds.ed.gov/elementComment.aspx?elementName=Hire Date &amp;elementID=13143", "Click here to submit comment")</f>
        <v>Click here to submit comment</v>
      </c>
    </row>
    <row r="1095" spans="1:14" ht="30" x14ac:dyDescent="0.25">
      <c r="A1095" s="18" t="s">
        <v>3145</v>
      </c>
      <c r="B1095" s="18" t="s">
        <v>3146</v>
      </c>
      <c r="C1095" s="19" t="s">
        <v>6342</v>
      </c>
      <c r="D1095" s="18" t="s">
        <v>6120</v>
      </c>
      <c r="E1095" s="18"/>
      <c r="F1095" s="18"/>
      <c r="G1095" s="18"/>
      <c r="H1095" s="9" t="s">
        <v>336</v>
      </c>
      <c r="I1095" s="18" t="s">
        <v>3147</v>
      </c>
      <c r="J1095" s="18"/>
      <c r="K1095" s="18" t="s">
        <v>3148</v>
      </c>
      <c r="L1095" s="18" t="s">
        <v>6121</v>
      </c>
      <c r="M1095" s="18" t="str">
        <f>HYPERLINK("https://ceds.ed.gov/cedselementdetails.aspx?termid=13144")</f>
        <v>https://ceds.ed.gov/cedselementdetails.aspx?termid=13144</v>
      </c>
      <c r="N1095" s="18" t="str">
        <f>HYPERLINK("https://ceds.ed.gov/elementComment.aspx?elementName=Hispanic or Latino Ethnicity &amp;elementID=13144", "Click here to submit comment")</f>
        <v>Click here to submit comment</v>
      </c>
    </row>
    <row r="1096" spans="1:14" x14ac:dyDescent="0.25">
      <c r="A1096" s="18"/>
      <c r="B1096" s="18"/>
      <c r="C1096" s="19"/>
      <c r="D1096" s="18"/>
      <c r="E1096" s="18"/>
      <c r="F1096" s="18"/>
      <c r="G1096" s="18"/>
      <c r="H1096" s="9"/>
      <c r="I1096" s="18"/>
      <c r="J1096" s="18"/>
      <c r="K1096" s="18"/>
      <c r="L1096" s="18"/>
      <c r="M1096" s="18"/>
      <c r="N1096" s="18"/>
    </row>
    <row r="1097" spans="1:14" x14ac:dyDescent="0.25">
      <c r="A1097" s="18"/>
      <c r="B1097" s="18"/>
      <c r="C1097" s="19"/>
      <c r="D1097" s="18"/>
      <c r="E1097" s="18"/>
      <c r="F1097" s="18"/>
      <c r="G1097" s="18"/>
      <c r="H1097" s="9" t="s">
        <v>337</v>
      </c>
      <c r="I1097" s="18"/>
      <c r="J1097" s="18"/>
      <c r="K1097" s="18"/>
      <c r="L1097" s="18"/>
      <c r="M1097" s="18"/>
      <c r="N1097" s="18"/>
    </row>
    <row r="1098" spans="1:14" ht="30" x14ac:dyDescent="0.25">
      <c r="A1098" s="18"/>
      <c r="B1098" s="18"/>
      <c r="C1098" s="19"/>
      <c r="D1098" s="18"/>
      <c r="E1098" s="18"/>
      <c r="F1098" s="18"/>
      <c r="G1098" s="18"/>
      <c r="H1098" s="9" t="s">
        <v>338</v>
      </c>
      <c r="I1098" s="18"/>
      <c r="J1098" s="18"/>
      <c r="K1098" s="18"/>
      <c r="L1098" s="18"/>
      <c r="M1098" s="18"/>
      <c r="N1098" s="18"/>
    </row>
    <row r="1099" spans="1:14" x14ac:dyDescent="0.25">
      <c r="A1099" s="18"/>
      <c r="B1099" s="18"/>
      <c r="C1099" s="19"/>
      <c r="D1099" s="18"/>
      <c r="E1099" s="18"/>
      <c r="F1099" s="18"/>
      <c r="G1099" s="18"/>
      <c r="H1099" s="9" t="s">
        <v>339</v>
      </c>
      <c r="I1099" s="18"/>
      <c r="J1099" s="18"/>
      <c r="K1099" s="18"/>
      <c r="L1099" s="18"/>
      <c r="M1099" s="18"/>
      <c r="N1099" s="18"/>
    </row>
    <row r="1100" spans="1:14" ht="75" x14ac:dyDescent="0.25">
      <c r="A1100" s="9" t="s">
        <v>3149</v>
      </c>
      <c r="B1100" s="9" t="s">
        <v>3150</v>
      </c>
      <c r="C1100" s="10" t="s">
        <v>6536</v>
      </c>
      <c r="D1100" s="9" t="s">
        <v>3151</v>
      </c>
      <c r="E1100" s="9"/>
      <c r="F1100" s="9"/>
      <c r="G1100" s="9"/>
      <c r="H1100" s="9"/>
      <c r="I1100" s="9" t="s">
        <v>3152</v>
      </c>
      <c r="J1100" s="9"/>
      <c r="K1100" s="9" t="s">
        <v>3153</v>
      </c>
      <c r="L1100" s="9" t="s">
        <v>199</v>
      </c>
      <c r="M1100" s="9" t="str">
        <f>HYPERLINK("https://ceds.ed.gov/cedselementdetails.aspx?termid=13146")</f>
        <v>https://ceds.ed.gov/cedselementdetails.aspx?termid=13146</v>
      </c>
      <c r="N1100" s="9" t="str">
        <f>HYPERLINK("https://ceds.ed.gov/elementComment.aspx?elementName=Homeless Primary Nighttime Residence &amp;elementID=13146", "Click here to submit comment")</f>
        <v>Click here to submit comment</v>
      </c>
    </row>
    <row r="1101" spans="1:14" ht="45" x14ac:dyDescent="0.25">
      <c r="A1101" s="9" t="s">
        <v>3154</v>
      </c>
      <c r="B1101" s="9" t="s">
        <v>3155</v>
      </c>
      <c r="C1101" s="9" t="s">
        <v>6106</v>
      </c>
      <c r="D1101" s="9" t="s">
        <v>3151</v>
      </c>
      <c r="E1101" s="9"/>
      <c r="F1101" s="9"/>
      <c r="G1101" s="9"/>
      <c r="H1101" s="9"/>
      <c r="I1101" s="9" t="s">
        <v>3156</v>
      </c>
      <c r="J1101" s="9"/>
      <c r="K1101" s="9" t="s">
        <v>3157</v>
      </c>
      <c r="L1101" s="9"/>
      <c r="M1101" s="9" t="str">
        <f>HYPERLINK("https://ceds.ed.gov/cedselementdetails.aspx?termid=13147")</f>
        <v>https://ceds.ed.gov/cedselementdetails.aspx?termid=13147</v>
      </c>
      <c r="N1101" s="9" t="str">
        <f>HYPERLINK("https://ceds.ed.gov/elementComment.aspx?elementName=Homeless Serviced Indicator &amp;elementID=13147", "Click here to submit comment")</f>
        <v>Click here to submit comment</v>
      </c>
    </row>
    <row r="1102" spans="1:14" ht="45" x14ac:dyDescent="0.25">
      <c r="A1102" s="9" t="s">
        <v>3158</v>
      </c>
      <c r="B1102" s="9" t="s">
        <v>3159</v>
      </c>
      <c r="C1102" s="9" t="s">
        <v>6106</v>
      </c>
      <c r="D1102" s="9" t="s">
        <v>3151</v>
      </c>
      <c r="E1102" s="9"/>
      <c r="F1102" s="9"/>
      <c r="G1102" s="9"/>
      <c r="H1102" s="9"/>
      <c r="I1102" s="9" t="s">
        <v>3160</v>
      </c>
      <c r="J1102" s="9"/>
      <c r="K1102" s="9" t="s">
        <v>3161</v>
      </c>
      <c r="L1102" s="9" t="s">
        <v>199</v>
      </c>
      <c r="M1102" s="9" t="str">
        <f>HYPERLINK("https://ceds.ed.gov/cedselementdetails.aspx?termid=13148")</f>
        <v>https://ceds.ed.gov/cedselementdetails.aspx?termid=13148</v>
      </c>
      <c r="N1102" s="9" t="str">
        <f>HYPERLINK("https://ceds.ed.gov/elementComment.aspx?elementName=Homeless Unaccompanied Youth Status &amp;elementID=13148", "Click here to submit comment")</f>
        <v>Click here to submit comment</v>
      </c>
    </row>
    <row r="1103" spans="1:14" ht="409.5" x14ac:dyDescent="0.25">
      <c r="A1103" s="9" t="s">
        <v>3162</v>
      </c>
      <c r="B1103" s="9" t="s">
        <v>3163</v>
      </c>
      <c r="C1103" s="9" t="s">
        <v>6106</v>
      </c>
      <c r="D1103" s="9" t="s">
        <v>6226</v>
      </c>
      <c r="E1103" s="9"/>
      <c r="F1103" s="9"/>
      <c r="G1103" s="9"/>
      <c r="H1103" s="9"/>
      <c r="I1103" s="9" t="s">
        <v>3164</v>
      </c>
      <c r="J1103" s="9"/>
      <c r="K1103" s="9" t="s">
        <v>3165</v>
      </c>
      <c r="L1103" s="9" t="s">
        <v>6227</v>
      </c>
      <c r="M1103" s="9" t="str">
        <f>HYPERLINK("https://ceds.ed.gov/cedselementdetails.aspx?termid=13149")</f>
        <v>https://ceds.ed.gov/cedselementdetails.aspx?termid=13149</v>
      </c>
      <c r="N1103" s="9" t="str">
        <f>HYPERLINK("https://ceds.ed.gov/elementComment.aspx?elementName=Homelessness Status &amp;elementID=13149", "Click here to submit comment")</f>
        <v>Click here to submit comment</v>
      </c>
    </row>
    <row r="1104" spans="1:14" ht="90" x14ac:dyDescent="0.25">
      <c r="A1104" s="9" t="s">
        <v>3166</v>
      </c>
      <c r="B1104" s="9" t="s">
        <v>3167</v>
      </c>
      <c r="C1104" s="9" t="s">
        <v>12</v>
      </c>
      <c r="D1104" s="9" t="s">
        <v>28</v>
      </c>
      <c r="E1104" s="9"/>
      <c r="F1104" s="9" t="s">
        <v>22</v>
      </c>
      <c r="G1104" s="9"/>
      <c r="H1104" s="9"/>
      <c r="I1104" s="9" t="s">
        <v>3168</v>
      </c>
      <c r="J1104" s="9"/>
      <c r="K1104" s="9" t="s">
        <v>3169</v>
      </c>
      <c r="L1104" s="9" t="s">
        <v>6109</v>
      </c>
      <c r="M1104" s="9" t="str">
        <f>HYPERLINK("https://ceds.ed.gov/cedselementdetails.aspx?termid=13150")</f>
        <v>https://ceds.ed.gov/cedselementdetails.aspx?termid=13150</v>
      </c>
      <c r="N1104" s="9" t="str">
        <f>HYPERLINK("https://ceds.ed.gov/elementComment.aspx?elementName=Honors Description &amp;elementID=13150", "Click here to submit comment")</f>
        <v>Click here to submit comment</v>
      </c>
    </row>
    <row r="1105" spans="1:14" ht="45" x14ac:dyDescent="0.25">
      <c r="A1105" s="9" t="s">
        <v>3170</v>
      </c>
      <c r="B1105" s="9" t="s">
        <v>3171</v>
      </c>
      <c r="C1105" s="9" t="s">
        <v>12</v>
      </c>
      <c r="D1105" s="9" t="s">
        <v>2436</v>
      </c>
      <c r="E1105" s="9"/>
      <c r="F1105" s="9" t="s">
        <v>1513</v>
      </c>
      <c r="G1105" s="9"/>
      <c r="H1105" s="9"/>
      <c r="I1105" s="9" t="s">
        <v>3172</v>
      </c>
      <c r="J1105" s="9"/>
      <c r="K1105" s="9" t="s">
        <v>3173</v>
      </c>
      <c r="L1105" s="9" t="s">
        <v>182</v>
      </c>
      <c r="M1105" s="9" t="str">
        <f>HYPERLINK("https://ceds.ed.gov/cedselementdetails.aspx?termid=13796")</f>
        <v>https://ceds.ed.gov/cedselementdetails.aspx?termid=13796</v>
      </c>
      <c r="N1105" s="9" t="str">
        <f>HYPERLINK("https://ceds.ed.gov/elementComment.aspx?elementName=Hourly Wage &amp;elementID=13796", "Click here to submit comment")</f>
        <v>Click here to submit comment</v>
      </c>
    </row>
    <row r="1106" spans="1:14" ht="60" x14ac:dyDescent="0.25">
      <c r="A1106" s="9" t="s">
        <v>3174</v>
      </c>
      <c r="B1106" s="9" t="s">
        <v>3175</v>
      </c>
      <c r="C1106" s="9" t="s">
        <v>12</v>
      </c>
      <c r="D1106" s="9" t="s">
        <v>11102</v>
      </c>
      <c r="E1106" s="9"/>
      <c r="F1106" s="9" t="s">
        <v>1513</v>
      </c>
      <c r="G1106" s="9"/>
      <c r="H1106" s="9"/>
      <c r="I1106" s="9" t="s">
        <v>3176</v>
      </c>
      <c r="J1106" s="9"/>
      <c r="K1106" s="9" t="s">
        <v>3177</v>
      </c>
      <c r="L1106" s="9" t="s">
        <v>6182</v>
      </c>
      <c r="M1106" s="9" t="str">
        <f>HYPERLINK("https://ceds.ed.gov/cedselementdetails.aspx?termid=13353")</f>
        <v>https://ceds.ed.gov/cedselementdetails.aspx?termid=13353</v>
      </c>
      <c r="N1106" s="9" t="str">
        <f>HYPERLINK("https://ceds.ed.gov/elementComment.aspx?elementName=Hours Available Per Day &amp;elementID=13353", "Click here to submit comment")</f>
        <v>Click here to submit comment</v>
      </c>
    </row>
    <row r="1107" spans="1:14" ht="45" x14ac:dyDescent="0.25">
      <c r="A1107" s="9" t="s">
        <v>3178</v>
      </c>
      <c r="B1107" s="9" t="s">
        <v>3179</v>
      </c>
      <c r="C1107" s="9" t="s">
        <v>12</v>
      </c>
      <c r="D1107" s="9" t="s">
        <v>2436</v>
      </c>
      <c r="E1107" s="9"/>
      <c r="F1107" s="9" t="s">
        <v>1513</v>
      </c>
      <c r="G1107" s="9"/>
      <c r="H1107" s="9"/>
      <c r="I1107" s="9" t="s">
        <v>3180</v>
      </c>
      <c r="J1107" s="9"/>
      <c r="K1107" s="9" t="s">
        <v>3181</v>
      </c>
      <c r="L1107" s="9" t="s">
        <v>182</v>
      </c>
      <c r="M1107" s="9" t="str">
        <f>HYPERLINK("https://ceds.ed.gov/cedselementdetails.aspx?termid=13795")</f>
        <v>https://ceds.ed.gov/cedselementdetails.aspx?termid=13795</v>
      </c>
      <c r="N1107" s="9" t="str">
        <f>HYPERLINK("https://ceds.ed.gov/elementComment.aspx?elementName=Hours Worked Per Week &amp;elementID=13795", "Click here to submit comment")</f>
        <v>Click here to submit comment</v>
      </c>
    </row>
    <row r="1108" spans="1:14" ht="375" x14ac:dyDescent="0.25">
      <c r="A1108" s="9" t="s">
        <v>11432</v>
      </c>
      <c r="B1108" s="9" t="s">
        <v>11433</v>
      </c>
      <c r="C1108" s="10" t="s">
        <v>11882</v>
      </c>
      <c r="D1108" s="9" t="s">
        <v>11434</v>
      </c>
      <c r="E1108" s="9"/>
      <c r="F1108" s="9"/>
      <c r="G1108" s="9"/>
      <c r="H1108" s="9" t="s">
        <v>11435</v>
      </c>
      <c r="I1108" s="9" t="s">
        <v>11436</v>
      </c>
      <c r="J1108" s="9"/>
      <c r="K1108" s="9" t="s">
        <v>11437</v>
      </c>
      <c r="L1108" s="9"/>
      <c r="M1108" s="9" t="str">
        <f>HYPERLINK("https://ceds.ed.gov/cedselementdetails.aspx?termid=14714")</f>
        <v>https://ceds.ed.gov/cedselementdetails.aspx?termid=14714</v>
      </c>
      <c r="N1108" s="9" t="str">
        <f>HYPERLINK("https://ceds.ed.gov/elementComment.aspx?elementName=IDEA Disability Type &amp;elementID=14714", "Click here to submit comment")</f>
        <v>Click here to submit comment</v>
      </c>
    </row>
    <row r="1109" spans="1:14" ht="180" x14ac:dyDescent="0.25">
      <c r="A1109" s="9" t="s">
        <v>3182</v>
      </c>
      <c r="B1109" s="9" t="s">
        <v>3183</v>
      </c>
      <c r="C1109" s="10" t="s">
        <v>6537</v>
      </c>
      <c r="D1109" s="9" t="s">
        <v>2301</v>
      </c>
      <c r="E1109" s="9"/>
      <c r="F1109" s="9"/>
      <c r="G1109" s="9"/>
      <c r="H1109" s="9"/>
      <c r="I1109" s="9" t="s">
        <v>3184</v>
      </c>
      <c r="J1109" s="9"/>
      <c r="K1109" s="9" t="s">
        <v>3185</v>
      </c>
      <c r="L1109" s="9" t="s">
        <v>199</v>
      </c>
      <c r="M1109" s="9" t="str">
        <f>HYPERLINK("https://ceds.ed.gov/cedselementdetails.aspx?termid=13547")</f>
        <v>https://ceds.ed.gov/cedselementdetails.aspx?termid=13547</v>
      </c>
      <c r="N1109" s="9" t="str">
        <f>HYPERLINK("https://ceds.ed.gov/elementComment.aspx?elementName=IDEA Discipline Method for Firearms Incidents &amp;elementID=13547", "Click here to submit comment")</f>
        <v>Click here to submit comment</v>
      </c>
    </row>
    <row r="1110" spans="1:14" ht="255" x14ac:dyDescent="0.25">
      <c r="A1110" s="9" t="s">
        <v>3186</v>
      </c>
      <c r="B1110" s="9" t="s">
        <v>3187</v>
      </c>
      <c r="C1110" s="10" t="s">
        <v>6538</v>
      </c>
      <c r="D1110" s="9" t="s">
        <v>11438</v>
      </c>
      <c r="E1110" s="9"/>
      <c r="F1110" s="9"/>
      <c r="G1110" s="9"/>
      <c r="H1110" s="9"/>
      <c r="I1110" s="9" t="s">
        <v>3188</v>
      </c>
      <c r="J1110" s="9"/>
      <c r="K1110" s="9" t="s">
        <v>3189</v>
      </c>
      <c r="L1110" s="9" t="s">
        <v>199</v>
      </c>
      <c r="M1110" s="9" t="str">
        <f>HYPERLINK("https://ceds.ed.gov/cedselementdetails.aspx?termid=13550")</f>
        <v>https://ceds.ed.gov/cedselementdetails.aspx?termid=13550</v>
      </c>
      <c r="N1110" s="9" t="str">
        <f>HYPERLINK("https://ceds.ed.gov/elementComment.aspx?elementName=IDEA Educational Environment for Early Childhood &amp;elementID=13550", "Click here to submit comment")</f>
        <v>Click here to submit comment</v>
      </c>
    </row>
    <row r="1111" spans="1:14" ht="195" x14ac:dyDescent="0.25">
      <c r="A1111" s="9" t="s">
        <v>3190</v>
      </c>
      <c r="B1111" s="9" t="s">
        <v>3191</v>
      </c>
      <c r="C1111" s="10" t="s">
        <v>6539</v>
      </c>
      <c r="D1111" s="9" t="s">
        <v>11439</v>
      </c>
      <c r="E1111" s="9"/>
      <c r="F1111" s="9"/>
      <c r="G1111" s="9"/>
      <c r="H1111" s="9"/>
      <c r="I1111" s="9" t="s">
        <v>3192</v>
      </c>
      <c r="J1111" s="9"/>
      <c r="K1111" s="9" t="s">
        <v>3193</v>
      </c>
      <c r="L1111" s="9" t="s">
        <v>199</v>
      </c>
      <c r="M1111" s="9" t="str">
        <f>HYPERLINK("https://ceds.ed.gov/cedselementdetails.aspx?termid=13526")</f>
        <v>https://ceds.ed.gov/cedselementdetails.aspx?termid=13526</v>
      </c>
      <c r="N1111" s="9" t="str">
        <f>HYPERLINK("https://ceds.ed.gov/elementComment.aspx?elementName=IDEA Educational Environment for School Age &amp;elementID=13526", "Click here to submit comment")</f>
        <v>Click here to submit comment</v>
      </c>
    </row>
    <row r="1112" spans="1:14" ht="300" x14ac:dyDescent="0.25">
      <c r="A1112" s="9" t="s">
        <v>11440</v>
      </c>
      <c r="B1112" s="9" t="s">
        <v>11441</v>
      </c>
      <c r="C1112" s="10" t="s">
        <v>11883</v>
      </c>
      <c r="D1112" s="9" t="s">
        <v>11130</v>
      </c>
      <c r="E1112" s="9"/>
      <c r="F1112" s="9"/>
      <c r="G1112" s="9"/>
      <c r="H1112" s="9"/>
      <c r="I1112" s="9" t="s">
        <v>11442</v>
      </c>
      <c r="J1112" s="9"/>
      <c r="K1112" s="9" t="s">
        <v>11443</v>
      </c>
      <c r="L1112" s="9"/>
      <c r="M1112" s="9" t="str">
        <f>HYPERLINK("https://ceds.ed.gov/cedselementdetails.aspx?termid=14710")</f>
        <v>https://ceds.ed.gov/cedselementdetails.aspx?termid=14710</v>
      </c>
      <c r="N1112" s="9" t="str">
        <f>HYPERLINK("https://ceds.ed.gov/elementComment.aspx?elementName=IDEA Eligibility Evaluation Category &amp;elementID=14710", "Click here to submit comment")</f>
        <v>Click here to submit comment</v>
      </c>
    </row>
    <row r="1113" spans="1:14" ht="60" x14ac:dyDescent="0.25">
      <c r="A1113" s="9" t="s">
        <v>3194</v>
      </c>
      <c r="B1113" s="9" t="s">
        <v>3195</v>
      </c>
      <c r="C1113" s="10" t="s">
        <v>6540</v>
      </c>
      <c r="D1113" s="9" t="s">
        <v>3196</v>
      </c>
      <c r="E1113" s="9"/>
      <c r="F1113" s="9"/>
      <c r="G1113" s="9"/>
      <c r="H1113" s="9"/>
      <c r="I1113" s="9" t="s">
        <v>3197</v>
      </c>
      <c r="J1113" s="9"/>
      <c r="K1113" s="9" t="s">
        <v>3198</v>
      </c>
      <c r="L1113" s="9"/>
      <c r="M1113" s="9" t="str">
        <f>HYPERLINK("https://ceds.ed.gov/cedselementdetails.aspx?termid=14473")</f>
        <v>https://ceds.ed.gov/cedselementdetails.aspx?termid=14473</v>
      </c>
      <c r="N1113" s="9" t="str">
        <f>HYPERLINK("https://ceds.ed.gov/elementComment.aspx?elementName=IDEA IEP Status &amp;elementID=14473", "Click here to submit comment")</f>
        <v>Click here to submit comment</v>
      </c>
    </row>
    <row r="1114" spans="1:14" ht="285" x14ac:dyDescent="0.25">
      <c r="A1114" s="9" t="s">
        <v>3199</v>
      </c>
      <c r="B1114" s="9" t="s">
        <v>3200</v>
      </c>
      <c r="C1114" s="9" t="s">
        <v>6106</v>
      </c>
      <c r="D1114" s="9" t="s">
        <v>11115</v>
      </c>
      <c r="E1114" s="9"/>
      <c r="F1114" s="9"/>
      <c r="G1114" s="9"/>
      <c r="H1114" s="9"/>
      <c r="I1114" s="9" t="s">
        <v>3201</v>
      </c>
      <c r="J1114" s="9"/>
      <c r="K1114" s="9" t="s">
        <v>3202</v>
      </c>
      <c r="L1114" s="9" t="s">
        <v>6228</v>
      </c>
      <c r="M1114" s="9" t="str">
        <f>HYPERLINK("https://ceds.ed.gov/cedselementdetails.aspx?termid=13151")</f>
        <v>https://ceds.ed.gov/cedselementdetails.aspx?termid=13151</v>
      </c>
      <c r="N1114" s="9" t="str">
        <f>HYPERLINK("https://ceds.ed.gov/elementComment.aspx?elementName=IDEA Indicator &amp;elementID=13151", "Click here to submit comment")</f>
        <v>Click here to submit comment</v>
      </c>
    </row>
    <row r="1115" spans="1:14" ht="75" x14ac:dyDescent="0.25">
      <c r="A1115" s="9" t="s">
        <v>3203</v>
      </c>
      <c r="B1115" s="9" t="s">
        <v>3204</v>
      </c>
      <c r="C1115" s="10" t="s">
        <v>6541</v>
      </c>
      <c r="D1115" s="9" t="s">
        <v>6189</v>
      </c>
      <c r="E1115" s="9"/>
      <c r="F1115" s="9"/>
      <c r="G1115" s="9"/>
      <c r="H1115" s="9"/>
      <c r="I1115" s="9" t="s">
        <v>3205</v>
      </c>
      <c r="J1115" s="9"/>
      <c r="K1115" s="9" t="s">
        <v>3206</v>
      </c>
      <c r="L1115" s="9" t="s">
        <v>199</v>
      </c>
      <c r="M1115" s="9" t="str">
        <f>HYPERLINK("https://ceds.ed.gov/cedselementdetails.aspx?termid=13532")</f>
        <v>https://ceds.ed.gov/cedselementdetails.aspx?termid=13532</v>
      </c>
      <c r="N1115" s="9" t="str">
        <f>HYPERLINK("https://ceds.ed.gov/elementComment.aspx?elementName=IDEA Interim Removal &amp;elementID=13532", "Click here to submit comment")</f>
        <v>Click here to submit comment</v>
      </c>
    </row>
    <row r="1116" spans="1:14" ht="75" x14ac:dyDescent="0.25">
      <c r="A1116" s="9" t="s">
        <v>3207</v>
      </c>
      <c r="B1116" s="9" t="s">
        <v>3208</v>
      </c>
      <c r="C1116" s="10" t="s">
        <v>6542</v>
      </c>
      <c r="D1116" s="9" t="s">
        <v>6189</v>
      </c>
      <c r="E1116" s="9"/>
      <c r="F1116" s="9"/>
      <c r="G1116" s="9"/>
      <c r="H1116" s="9"/>
      <c r="I1116" s="9" t="s">
        <v>3209</v>
      </c>
      <c r="J1116" s="9"/>
      <c r="K1116" s="9" t="s">
        <v>3210</v>
      </c>
      <c r="L1116" s="9" t="s">
        <v>199</v>
      </c>
      <c r="M1116" s="9" t="str">
        <f>HYPERLINK("https://ceds.ed.gov/cedselementdetails.aspx?termid=13530")</f>
        <v>https://ceds.ed.gov/cedselementdetails.aspx?termid=13530</v>
      </c>
      <c r="N1116" s="9" t="str">
        <f>HYPERLINK("https://ceds.ed.gov/elementComment.aspx?elementName=IDEA Interim Removal Reason &amp;elementID=13530", "Click here to submit comment")</f>
        <v>Click here to submit comment</v>
      </c>
    </row>
    <row r="1117" spans="1:14" ht="45" x14ac:dyDescent="0.25">
      <c r="A1117" s="9" t="s">
        <v>3211</v>
      </c>
      <c r="B1117" s="9" t="s">
        <v>3212</v>
      </c>
      <c r="C1117" s="9" t="s">
        <v>6106</v>
      </c>
      <c r="D1117" s="9" t="s">
        <v>2175</v>
      </c>
      <c r="E1117" s="9"/>
      <c r="F1117" s="9"/>
      <c r="G1117" s="9"/>
      <c r="H1117" s="9"/>
      <c r="I1117" s="9" t="s">
        <v>3213</v>
      </c>
      <c r="J1117" s="9"/>
      <c r="K1117" s="9" t="s">
        <v>3214</v>
      </c>
      <c r="L1117" s="9"/>
      <c r="M1117" s="9" t="str">
        <f>HYPERLINK("https://ceds.ed.gov/cedselementdetails.aspx?termid=14327")</f>
        <v>https://ceds.ed.gov/cedselementdetails.aspx?termid=14327</v>
      </c>
      <c r="N1117" s="9" t="str">
        <f>HYPERLINK("https://ceds.ed.gov/elementComment.aspx?elementName=IDEA Part B 619 Potential Eligibility Indicator &amp;elementID=14327", "Click here to submit comment")</f>
        <v>Click here to submit comment</v>
      </c>
    </row>
    <row r="1118" spans="1:14" ht="90" x14ac:dyDescent="0.25">
      <c r="A1118" s="9" t="s">
        <v>3215</v>
      </c>
      <c r="B1118" s="9" t="s">
        <v>3216</v>
      </c>
      <c r="C1118" s="10" t="s">
        <v>6543</v>
      </c>
      <c r="D1118" s="9" t="s">
        <v>3196</v>
      </c>
      <c r="E1118" s="9"/>
      <c r="F1118" s="9"/>
      <c r="G1118" s="9"/>
      <c r="H1118" s="11" t="s">
        <v>3217</v>
      </c>
      <c r="I1118" s="9" t="s">
        <v>3218</v>
      </c>
      <c r="J1118" s="9"/>
      <c r="K1118" s="9" t="s">
        <v>3219</v>
      </c>
      <c r="L1118" s="9"/>
      <c r="M1118" s="9" t="str">
        <f>HYPERLINK("https://ceds.ed.gov/cedselementdetails.aspx?termid=14637")</f>
        <v>https://ceds.ed.gov/cedselementdetails.aspx?termid=14637</v>
      </c>
      <c r="N1118" s="9" t="str">
        <f>HYPERLINK("https://ceds.ed.gov/elementComment.aspx?elementName=IDEA Part C Eligibility Category &amp;elementID=14637", "Click here to submit comment")</f>
        <v>Click here to submit comment</v>
      </c>
    </row>
    <row r="1119" spans="1:14" ht="90" x14ac:dyDescent="0.25">
      <c r="A1119" s="9" t="s">
        <v>3220</v>
      </c>
      <c r="B1119" s="9" t="s">
        <v>3221</v>
      </c>
      <c r="C1119" s="9" t="s">
        <v>12</v>
      </c>
      <c r="D1119" s="9" t="s">
        <v>2175</v>
      </c>
      <c r="E1119" s="9"/>
      <c r="F1119" s="9" t="s">
        <v>73</v>
      </c>
      <c r="G1119" s="9"/>
      <c r="H1119" s="9"/>
      <c r="I1119" s="9" t="s">
        <v>3222</v>
      </c>
      <c r="J1119" s="9"/>
      <c r="K1119" s="9" t="s">
        <v>3223</v>
      </c>
      <c r="L1119" s="9"/>
      <c r="M1119" s="9" t="str">
        <f>HYPERLINK("https://ceds.ed.gov/cedselementdetails.aspx?termid=14472")</f>
        <v>https://ceds.ed.gov/cedselementdetails.aspx?termid=14472</v>
      </c>
      <c r="N1119" s="9" t="str">
        <f>HYPERLINK("https://ceds.ed.gov/elementComment.aspx?elementName=IDEA Part C to Part B Notification Date &amp;elementID=14472", "Click here to submit comment")</f>
        <v>Click here to submit comment</v>
      </c>
    </row>
    <row r="1120" spans="1:14" ht="15" customHeight="1" x14ac:dyDescent="0.25">
      <c r="A1120" s="9" t="s">
        <v>3224</v>
      </c>
      <c r="B1120" s="9" t="s">
        <v>3225</v>
      </c>
      <c r="C1120" s="9" t="s">
        <v>12</v>
      </c>
      <c r="D1120" s="9" t="s">
        <v>2175</v>
      </c>
      <c r="E1120" s="9"/>
      <c r="F1120" s="9" t="s">
        <v>73</v>
      </c>
      <c r="G1120" s="9"/>
      <c r="H1120" s="9"/>
      <c r="I1120" s="9" t="s">
        <v>3226</v>
      </c>
      <c r="J1120" s="9"/>
      <c r="K1120" s="9" t="s">
        <v>3227</v>
      </c>
      <c r="L1120" s="9"/>
      <c r="M1120" s="9" t="str">
        <f>HYPERLINK("https://ceds.ed.gov/cedselementdetails.aspx?termid=14331")</f>
        <v>https://ceds.ed.gov/cedselementdetails.aspx?termid=14331</v>
      </c>
      <c r="N1120" s="9" t="str">
        <f>HYPERLINK("https://ceds.ed.gov/elementComment.aspx?elementName=IDEA Part C to Part B Notification Opt Out Date &amp;elementID=14331", "Click here to submit comment")</f>
        <v>Click here to submit comment</v>
      </c>
    </row>
    <row r="1121" spans="1:14" ht="15" customHeight="1" x14ac:dyDescent="0.25">
      <c r="A1121" s="9" t="s">
        <v>3228</v>
      </c>
      <c r="B1121" s="9" t="s">
        <v>11444</v>
      </c>
      <c r="C1121" s="9" t="s">
        <v>6106</v>
      </c>
      <c r="D1121" s="9" t="s">
        <v>2175</v>
      </c>
      <c r="E1121" s="9"/>
      <c r="F1121" s="9"/>
      <c r="G1121" s="9"/>
      <c r="H1121" s="9"/>
      <c r="I1121" s="9" t="s">
        <v>3229</v>
      </c>
      <c r="J1121" s="9"/>
      <c r="K1121" s="9" t="s">
        <v>3230</v>
      </c>
      <c r="L1121" s="9"/>
      <c r="M1121" s="9" t="str">
        <f>HYPERLINK("https://ceds.ed.gov/cedselementdetails.aspx?termid=14330")</f>
        <v>https://ceds.ed.gov/cedselementdetails.aspx?termid=14330</v>
      </c>
      <c r="N1121" s="9" t="str">
        <f>HYPERLINK("https://ceds.ed.gov/elementComment.aspx?elementName=IDEA Part C to Part B Notification Opt Out Indicator &amp;elementID=14330", "Click here to submit comment")</f>
        <v>Click here to submit comment</v>
      </c>
    </row>
    <row r="1122" spans="1:14" ht="120" x14ac:dyDescent="0.25">
      <c r="A1122" s="9" t="s">
        <v>11445</v>
      </c>
      <c r="B1122" s="9" t="s">
        <v>11446</v>
      </c>
      <c r="C1122" s="9" t="s">
        <v>12</v>
      </c>
      <c r="D1122" s="9" t="s">
        <v>11447</v>
      </c>
      <c r="E1122" s="9"/>
      <c r="F1122" s="9" t="s">
        <v>303</v>
      </c>
      <c r="G1122" s="9"/>
      <c r="H1122" s="9"/>
      <c r="I1122" s="9" t="s">
        <v>11448</v>
      </c>
      <c r="J1122" s="9"/>
      <c r="K1122" s="9" t="s">
        <v>11449</v>
      </c>
      <c r="L1122" s="9"/>
      <c r="M1122" s="9" t="str">
        <f>HYPERLINK("https://ceds.ed.gov/cedselementdetails.aspx?termid=14685")</f>
        <v>https://ceds.ed.gov/cedselementdetails.aspx?termid=14685</v>
      </c>
      <c r="N1122" s="9" t="str">
        <f>HYPERLINK("https://ceds.ed.gov/elementComment.aspx?elementName=IDEA Placement Rationale &amp;elementID=14685", "Click here to submit comment")</f>
        <v>Click here to submit comment</v>
      </c>
    </row>
    <row r="1123" spans="1:14" ht="75" x14ac:dyDescent="0.25">
      <c r="A1123" s="9" t="s">
        <v>3231</v>
      </c>
      <c r="B1123" s="9" t="s">
        <v>3232</v>
      </c>
      <c r="C1123" s="10" t="s">
        <v>6386</v>
      </c>
      <c r="D1123" s="9" t="s">
        <v>538</v>
      </c>
      <c r="E1123" s="9"/>
      <c r="F1123" s="9"/>
      <c r="G1123" s="9"/>
      <c r="H1123" s="9"/>
      <c r="I1123" s="9" t="s">
        <v>3233</v>
      </c>
      <c r="J1123" s="9"/>
      <c r="K1123" s="9" t="s">
        <v>3234</v>
      </c>
      <c r="L1123" s="9"/>
      <c r="M1123" s="9" t="str">
        <f>HYPERLINK("https://ceds.ed.gov/cedselementdetails.aspx?termid=14141")</f>
        <v>https://ceds.ed.gov/cedselementdetails.aspx?termid=14141</v>
      </c>
      <c r="N1123" s="9" t="str">
        <f>HYPERLINK("https://ceds.ed.gov/elementComment.aspx?elementName=Identification System for Assessment Form Section &amp;elementID=14141", "Click here to submit comment")</f>
        <v>Click here to submit comment</v>
      </c>
    </row>
    <row r="1124" spans="1:14" ht="75" x14ac:dyDescent="0.25">
      <c r="A1124" s="9" t="s">
        <v>11450</v>
      </c>
      <c r="B1124" s="9" t="s">
        <v>11451</v>
      </c>
      <c r="C1124" s="9" t="s">
        <v>12</v>
      </c>
      <c r="D1124" s="9" t="s">
        <v>11452</v>
      </c>
      <c r="E1124" s="9"/>
      <c r="F1124" s="9" t="s">
        <v>303</v>
      </c>
      <c r="G1124" s="9"/>
      <c r="H1124" s="9"/>
      <c r="I1124" s="9" t="s">
        <v>11453</v>
      </c>
      <c r="J1124" s="9"/>
      <c r="K1124" s="9" t="s">
        <v>11454</v>
      </c>
      <c r="L1124" s="9"/>
      <c r="M1124" s="9" t="str">
        <f>HYPERLINK("https://ceds.ed.gov/cedselementdetails.aspx?termid=14668")</f>
        <v>https://ceds.ed.gov/cedselementdetails.aspx?termid=14668</v>
      </c>
      <c r="N1124" s="9" t="str">
        <f>HYPERLINK("https://ceds.ed.gov/elementComment.aspx?elementName=IEP Alternative Assessment Rationale &amp;elementID=14668", "Click here to submit comment")</f>
        <v>Click here to submit comment</v>
      </c>
    </row>
    <row r="1125" spans="1:14" ht="15" customHeight="1" x14ac:dyDescent="0.25">
      <c r="A1125" s="9" t="s">
        <v>11455</v>
      </c>
      <c r="B1125" s="9" t="s">
        <v>11456</v>
      </c>
      <c r="C1125" s="10" t="s">
        <v>11884</v>
      </c>
      <c r="D1125" s="9" t="s">
        <v>10505</v>
      </c>
      <c r="E1125" s="9"/>
      <c r="F1125" s="9"/>
      <c r="G1125" s="9"/>
      <c r="H1125" s="9"/>
      <c r="I1125" s="9" t="s">
        <v>11457</v>
      </c>
      <c r="J1125" s="9"/>
      <c r="K1125" s="9" t="s">
        <v>11458</v>
      </c>
      <c r="L1125" s="9"/>
      <c r="M1125" s="9" t="str">
        <f>HYPERLINK("https://ceds.ed.gov/cedselementdetails.aspx?termid=14700")</f>
        <v>https://ceds.ed.gov/cedselementdetails.aspx?termid=14700</v>
      </c>
      <c r="N1125" s="9" t="str">
        <f>HYPERLINK("https://ceds.ed.gov/elementComment.aspx?elementName=IEP Authorization Document Type &amp;elementID=14700", "Click here to submit comment")</f>
        <v>Click here to submit comment</v>
      </c>
    </row>
    <row r="1126" spans="1:14" ht="15" customHeight="1" x14ac:dyDescent="0.25">
      <c r="A1126" s="9" t="s">
        <v>11459</v>
      </c>
      <c r="B1126" s="9" t="s">
        <v>11460</v>
      </c>
      <c r="C1126" s="9" t="s">
        <v>12</v>
      </c>
      <c r="D1126" s="9" t="s">
        <v>10505</v>
      </c>
      <c r="E1126" s="9"/>
      <c r="F1126" s="9" t="s">
        <v>303</v>
      </c>
      <c r="G1126" s="9"/>
      <c r="H1126" s="9"/>
      <c r="I1126" s="9" t="s">
        <v>11461</v>
      </c>
      <c r="J1126" s="9"/>
      <c r="K1126" s="9" t="s">
        <v>11462</v>
      </c>
      <c r="L1126" s="9"/>
      <c r="M1126" s="9" t="str">
        <f>HYPERLINK("https://ceds.ed.gov/cedselementdetails.aspx?termid=14704")</f>
        <v>https://ceds.ed.gov/cedselementdetails.aspx?termid=14704</v>
      </c>
      <c r="N1126" s="9" t="str">
        <f>HYPERLINK("https://ceds.ed.gov/elementComment.aspx?elementName=IEP Authorization Rejected Portion Description &amp;elementID=14704", "Click here to submit comment")</f>
        <v>Click here to submit comment</v>
      </c>
    </row>
    <row r="1127" spans="1:14" ht="15" customHeight="1" x14ac:dyDescent="0.25">
      <c r="A1127" s="9" t="s">
        <v>11463</v>
      </c>
      <c r="B1127" s="9" t="s">
        <v>11464</v>
      </c>
      <c r="C1127" s="9" t="s">
        <v>12</v>
      </c>
      <c r="D1127" s="9" t="s">
        <v>10505</v>
      </c>
      <c r="E1127" s="9"/>
      <c r="F1127" s="9" t="s">
        <v>303</v>
      </c>
      <c r="G1127" s="9"/>
      <c r="H1127" s="9"/>
      <c r="I1127" s="9" t="s">
        <v>11465</v>
      </c>
      <c r="J1127" s="9"/>
      <c r="K1127" s="9" t="s">
        <v>11466</v>
      </c>
      <c r="L1127" s="9"/>
      <c r="M1127" s="9" t="str">
        <f>HYPERLINK("https://ceds.ed.gov/cedselementdetails.aspx?termid=14705")</f>
        <v>https://ceds.ed.gov/cedselementdetails.aspx?termid=14705</v>
      </c>
      <c r="N1127" s="9" t="str">
        <f>HYPERLINK("https://ceds.ed.gov/elementComment.aspx?elementName=IEP Authorization Rejected Portion Explanation &amp;elementID=14705", "Click here to submit comment")</f>
        <v>Click here to submit comment</v>
      </c>
    </row>
    <row r="1128" spans="1:14" ht="45" x14ac:dyDescent="0.25">
      <c r="A1128" s="9" t="s">
        <v>11467</v>
      </c>
      <c r="B1128" s="9" t="s">
        <v>11468</v>
      </c>
      <c r="C1128" s="10" t="s">
        <v>11885</v>
      </c>
      <c r="D1128" s="9" t="s">
        <v>11130</v>
      </c>
      <c r="E1128" s="9"/>
      <c r="F1128" s="9"/>
      <c r="G1128" s="9"/>
      <c r="H1128" s="9"/>
      <c r="I1128" s="9" t="s">
        <v>11469</v>
      </c>
      <c r="J1128" s="9"/>
      <c r="K1128" s="9" t="s">
        <v>11470</v>
      </c>
      <c r="L1128" s="9"/>
      <c r="M1128" s="9" t="str">
        <f>HYPERLINK("https://ceds.ed.gov/cedselementdetails.aspx?termid=14709")</f>
        <v>https://ceds.ed.gov/cedselementdetails.aspx?termid=14709</v>
      </c>
      <c r="N1128" s="9" t="str">
        <f>HYPERLINK("https://ceds.ed.gov/elementComment.aspx?elementName=IEP Eligibility Evaluation Type &amp;elementID=14709", "Click here to submit comment")</f>
        <v>Click here to submit comment</v>
      </c>
    </row>
    <row r="1129" spans="1:14" ht="75" x14ac:dyDescent="0.25">
      <c r="A1129" s="9" t="s">
        <v>11471</v>
      </c>
      <c r="B1129" s="9" t="s">
        <v>11472</v>
      </c>
      <c r="C1129" s="10" t="s">
        <v>11886</v>
      </c>
      <c r="D1129" s="9" t="s">
        <v>11367</v>
      </c>
      <c r="E1129" s="9"/>
      <c r="F1129" s="9"/>
      <c r="G1129" s="9"/>
      <c r="H1129" s="9"/>
      <c r="I1129" s="9" t="s">
        <v>11473</v>
      </c>
      <c r="J1129" s="9"/>
      <c r="K1129" s="9" t="s">
        <v>11474</v>
      </c>
      <c r="L1129" s="9"/>
      <c r="M1129" s="9" t="str">
        <f>HYPERLINK("https://ceds.ed.gov/cedselementdetails.aspx?termid=14679")</f>
        <v>https://ceds.ed.gov/cedselementdetails.aspx?termid=14679</v>
      </c>
      <c r="N1129" s="9" t="str">
        <f>HYPERLINK("https://ceds.ed.gov/elementComment.aspx?elementName=IEP Goal Type &amp;elementID=14679", "Click here to submit comment")</f>
        <v>Click here to submit comment</v>
      </c>
    </row>
    <row r="1130" spans="1:14" ht="15" customHeight="1" x14ac:dyDescent="0.25">
      <c r="A1130" s="9" t="s">
        <v>11475</v>
      </c>
      <c r="B1130" s="9" t="s">
        <v>11476</v>
      </c>
      <c r="C1130" s="9" t="s">
        <v>12</v>
      </c>
      <c r="D1130" s="9" t="s">
        <v>11477</v>
      </c>
      <c r="E1130" s="9"/>
      <c r="F1130" s="9" t="s">
        <v>303</v>
      </c>
      <c r="G1130" s="9"/>
      <c r="H1130" s="9"/>
      <c r="I1130" s="9" t="s">
        <v>11478</v>
      </c>
      <c r="J1130" s="9"/>
      <c r="K1130" s="9" t="s">
        <v>11479</v>
      </c>
      <c r="L1130" s="9"/>
      <c r="M1130" s="9" t="str">
        <f>HYPERLINK("https://ceds.ed.gov/cedselementdetails.aspx?termid=14686")</f>
        <v>https://ceds.ed.gov/cedselementdetails.aspx?termid=14686</v>
      </c>
      <c r="N1130" s="9" t="str">
        <f>HYPERLINK("https://ceds.ed.gov/elementComment.aspx?elementName=IEP Present Level Academic Description &amp;elementID=14686", "Click here to submit comment")</f>
        <v>Click here to submit comment</v>
      </c>
    </row>
    <row r="1131" spans="1:14" ht="15" customHeight="1" x14ac:dyDescent="0.25">
      <c r="A1131" s="9" t="s">
        <v>11480</v>
      </c>
      <c r="B1131" s="9" t="s">
        <v>11481</v>
      </c>
      <c r="C1131" s="9" t="s">
        <v>12</v>
      </c>
      <c r="D1131" s="9" t="s">
        <v>11477</v>
      </c>
      <c r="E1131" s="9"/>
      <c r="F1131" s="9" t="s">
        <v>303</v>
      </c>
      <c r="G1131" s="9"/>
      <c r="H1131" s="9"/>
      <c r="I1131" s="9" t="s">
        <v>11482</v>
      </c>
      <c r="J1131" s="9"/>
      <c r="K1131" s="9" t="s">
        <v>11483</v>
      </c>
      <c r="L1131" s="9"/>
      <c r="M1131" s="9" t="str">
        <f>HYPERLINK("https://ceds.ed.gov/cedselementdetails.aspx?termid=14687")</f>
        <v>https://ceds.ed.gov/cedselementdetails.aspx?termid=14687</v>
      </c>
      <c r="N1131" s="9" t="str">
        <f>HYPERLINK("https://ceds.ed.gov/elementComment.aspx?elementName=IEP Present Level Functional Description &amp;elementID=14687", "Click here to submit comment")</f>
        <v>Click here to submit comment</v>
      </c>
    </row>
    <row r="1132" spans="1:14" ht="15" customHeight="1" x14ac:dyDescent="0.25">
      <c r="A1132" s="9" t="s">
        <v>11484</v>
      </c>
      <c r="B1132" s="9" t="s">
        <v>11485</v>
      </c>
      <c r="C1132" s="9" t="s">
        <v>12</v>
      </c>
      <c r="D1132" s="9" t="s">
        <v>11477</v>
      </c>
      <c r="E1132" s="9"/>
      <c r="F1132" s="9" t="s">
        <v>303</v>
      </c>
      <c r="G1132" s="9"/>
      <c r="H1132" s="9"/>
      <c r="I1132" s="9" t="s">
        <v>11486</v>
      </c>
      <c r="J1132" s="9"/>
      <c r="K1132" s="9" t="s">
        <v>11487</v>
      </c>
      <c r="L1132" s="9"/>
      <c r="M1132" s="9" t="str">
        <f>HYPERLINK("https://ceds.ed.gov/cedselementdetails.aspx?termid=14688")</f>
        <v>https://ceds.ed.gov/cedselementdetails.aspx?termid=14688</v>
      </c>
      <c r="N1132" s="9" t="str">
        <f>HYPERLINK("https://ceds.ed.gov/elementComment.aspx?elementName=IEP Present Level General Education Description &amp;elementID=14688", "Click here to submit comment")</f>
        <v>Click here to submit comment</v>
      </c>
    </row>
    <row r="1133" spans="1:14" ht="45" x14ac:dyDescent="0.25">
      <c r="A1133" s="9" t="s">
        <v>11488</v>
      </c>
      <c r="B1133" s="9" t="s">
        <v>11489</v>
      </c>
      <c r="C1133" s="9" t="s">
        <v>12</v>
      </c>
      <c r="D1133" s="9" t="s">
        <v>11477</v>
      </c>
      <c r="E1133" s="9"/>
      <c r="F1133" s="9" t="s">
        <v>303</v>
      </c>
      <c r="G1133" s="9"/>
      <c r="H1133" s="9"/>
      <c r="I1133" s="9" t="s">
        <v>11490</v>
      </c>
      <c r="J1133" s="9"/>
      <c r="K1133" s="9" t="s">
        <v>11491</v>
      </c>
      <c r="L1133" s="9"/>
      <c r="M1133" s="9" t="str">
        <f>HYPERLINK("https://ceds.ed.gov/cedselementdetails.aspx?termid=14691")</f>
        <v>https://ceds.ed.gov/cedselementdetails.aspx?termid=14691</v>
      </c>
      <c r="N1133" s="9" t="str">
        <f>HYPERLINK("https://ceds.ed.gov/elementComment.aspx?elementName=IEP Present Level Parent Concern Description &amp;elementID=14691", "Click here to submit comment")</f>
        <v>Click here to submit comment</v>
      </c>
    </row>
    <row r="1134" spans="1:14" ht="45" x14ac:dyDescent="0.25">
      <c r="A1134" s="9" t="s">
        <v>11492</v>
      </c>
      <c r="B1134" s="9" t="s">
        <v>11493</v>
      </c>
      <c r="C1134" s="9" t="s">
        <v>12</v>
      </c>
      <c r="D1134" s="9" t="s">
        <v>11477</v>
      </c>
      <c r="E1134" s="9"/>
      <c r="F1134" s="9" t="s">
        <v>303</v>
      </c>
      <c r="G1134" s="9"/>
      <c r="H1134" s="9"/>
      <c r="I1134" s="9" t="s">
        <v>11494</v>
      </c>
      <c r="J1134" s="9"/>
      <c r="K1134" s="9" t="s">
        <v>11495</v>
      </c>
      <c r="L1134" s="9"/>
      <c r="M1134" s="9" t="str">
        <f>HYPERLINK("https://ceds.ed.gov/cedselementdetails.aspx?termid=14689")</f>
        <v>https://ceds.ed.gov/cedselementdetails.aspx?termid=14689</v>
      </c>
      <c r="N1134" s="9" t="str">
        <f>HYPERLINK("https://ceds.ed.gov/elementComment.aspx?elementName=IEP Present Level Preschool Description &amp;elementID=14689", "Click here to submit comment")</f>
        <v>Click here to submit comment</v>
      </c>
    </row>
    <row r="1135" spans="1:14" ht="45" x14ac:dyDescent="0.25">
      <c r="A1135" s="9" t="s">
        <v>11496</v>
      </c>
      <c r="B1135" s="9" t="s">
        <v>11497</v>
      </c>
      <c r="C1135" s="9" t="s">
        <v>12</v>
      </c>
      <c r="D1135" s="9" t="s">
        <v>11477</v>
      </c>
      <c r="E1135" s="9"/>
      <c r="F1135" s="9" t="s">
        <v>303</v>
      </c>
      <c r="G1135" s="9"/>
      <c r="H1135" s="9"/>
      <c r="I1135" s="9" t="s">
        <v>11498</v>
      </c>
      <c r="J1135" s="9"/>
      <c r="K1135" s="9" t="s">
        <v>11499</v>
      </c>
      <c r="L1135" s="9"/>
      <c r="M1135" s="9" t="str">
        <f>HYPERLINK("https://ceds.ed.gov/cedselementdetails.aspx?termid=14692")</f>
        <v>https://ceds.ed.gov/cedselementdetails.aspx?termid=14692</v>
      </c>
      <c r="N1135" s="9" t="str">
        <f>HYPERLINK("https://ceds.ed.gov/elementComment.aspx?elementName=IEP Present Level Student Concern Description &amp;elementID=14692", "Click here to submit comment")</f>
        <v>Click here to submit comment</v>
      </c>
    </row>
    <row r="1136" spans="1:14" ht="165" customHeight="1" x14ac:dyDescent="0.25">
      <c r="A1136" s="9" t="s">
        <v>11500</v>
      </c>
      <c r="B1136" s="9" t="s">
        <v>11501</v>
      </c>
      <c r="C1136" s="9" t="s">
        <v>12</v>
      </c>
      <c r="D1136" s="9" t="s">
        <v>11477</v>
      </c>
      <c r="E1136" s="9"/>
      <c r="F1136" s="9" t="s">
        <v>303</v>
      </c>
      <c r="G1136" s="9"/>
      <c r="H1136" s="9"/>
      <c r="I1136" s="9" t="s">
        <v>11502</v>
      </c>
      <c r="J1136" s="9"/>
      <c r="K1136" s="9" t="s">
        <v>11503</v>
      </c>
      <c r="L1136" s="9"/>
      <c r="M1136" s="9" t="str">
        <f>HYPERLINK("https://ceds.ed.gov/cedselementdetails.aspx?termid=14690")</f>
        <v>https://ceds.ed.gov/cedselementdetails.aspx?termid=14690</v>
      </c>
      <c r="N1136" s="9" t="str">
        <f>HYPERLINK("https://ceds.ed.gov/elementComment.aspx?elementName=IEP Present Level Student Strengths Description &amp;elementID=14690", "Click here to submit comment")</f>
        <v>Click here to submit comment</v>
      </c>
    </row>
    <row r="1137" spans="1:14" ht="135" x14ac:dyDescent="0.25">
      <c r="A1137" s="9" t="s">
        <v>11504</v>
      </c>
      <c r="B1137" s="9" t="s">
        <v>11505</v>
      </c>
      <c r="C1137" s="9" t="s">
        <v>12</v>
      </c>
      <c r="D1137" s="9" t="s">
        <v>11506</v>
      </c>
      <c r="E1137" s="9"/>
      <c r="F1137" s="9" t="s">
        <v>303</v>
      </c>
      <c r="G1137" s="9"/>
      <c r="H1137" s="9"/>
      <c r="I1137" s="9" t="s">
        <v>11507</v>
      </c>
      <c r="J1137" s="9"/>
      <c r="K1137" s="9" t="s">
        <v>11508</v>
      </c>
      <c r="L1137" s="9"/>
      <c r="M1137" s="9" t="str">
        <f>HYPERLINK("https://ceds.ed.gov/cedselementdetails.aspx?termid=14663")</f>
        <v>https://ceds.ed.gov/cedselementdetails.aspx?termid=14663</v>
      </c>
      <c r="N1137" s="9" t="str">
        <f>HYPERLINK("https://ceds.ed.gov/elementComment.aspx?elementName=IEP Transfer of Rights Statement &amp;elementID=14663", "Click here to submit comment")</f>
        <v>Click here to submit comment</v>
      </c>
    </row>
    <row r="1138" spans="1:14" ht="75" x14ac:dyDescent="0.25">
      <c r="A1138" s="9" t="s">
        <v>3235</v>
      </c>
      <c r="B1138" s="9" t="s">
        <v>3236</v>
      </c>
      <c r="C1138" s="9" t="s">
        <v>12</v>
      </c>
      <c r="D1138" s="9" t="s">
        <v>11509</v>
      </c>
      <c r="E1138" s="9"/>
      <c r="F1138" s="9" t="s">
        <v>73</v>
      </c>
      <c r="G1138" s="9"/>
      <c r="H1138" s="9"/>
      <c r="I1138" s="9" t="s">
        <v>3237</v>
      </c>
      <c r="J1138" s="9"/>
      <c r="K1138" s="9" t="s">
        <v>3238</v>
      </c>
      <c r="L1138" s="9" t="s">
        <v>6229</v>
      </c>
      <c r="M1138" s="9" t="str">
        <f>HYPERLINK("https://ceds.ed.gov/cedselementdetails.aspx?termid=13306")</f>
        <v>https://ceds.ed.gov/cedselementdetails.aspx?termid=13306</v>
      </c>
      <c r="N1138" s="9" t="str">
        <f>HYPERLINK("https://ceds.ed.gov/elementComment.aspx?elementName=Immunization Date &amp;elementID=13306", "Click here to submit comment")</f>
        <v>Click here to submit comment</v>
      </c>
    </row>
    <row r="1139" spans="1:14" ht="60" x14ac:dyDescent="0.25">
      <c r="A1139" s="9" t="s">
        <v>3239</v>
      </c>
      <c r="B1139" s="9" t="s">
        <v>3240</v>
      </c>
      <c r="C1139" s="9" t="s">
        <v>6106</v>
      </c>
      <c r="D1139" s="9" t="s">
        <v>2505</v>
      </c>
      <c r="E1139" s="9"/>
      <c r="F1139" s="9"/>
      <c r="G1139" s="9"/>
      <c r="H1139" s="9"/>
      <c r="I1139" s="9" t="s">
        <v>3241</v>
      </c>
      <c r="J1139" s="9"/>
      <c r="K1139" s="9" t="s">
        <v>3242</v>
      </c>
      <c r="L1139" s="9" t="s">
        <v>64</v>
      </c>
      <c r="M1139" s="9" t="str">
        <f>HYPERLINK("https://ceds.ed.gov/cedselementdetails.aspx?termid=13849")</f>
        <v>https://ceds.ed.gov/cedselementdetails.aspx?termid=13849</v>
      </c>
      <c r="N1139" s="9" t="str">
        <f>HYPERLINK("https://ceds.ed.gov/elementComment.aspx?elementName=Immunization Policy &amp;elementID=13849", "Click here to submit comment")</f>
        <v>Click here to submit comment</v>
      </c>
    </row>
    <row r="1140" spans="1:14" ht="45" x14ac:dyDescent="0.25">
      <c r="A1140" s="9" t="s">
        <v>3243</v>
      </c>
      <c r="B1140" s="9" t="s">
        <v>3244</v>
      </c>
      <c r="C1140" s="9" t="s">
        <v>6106</v>
      </c>
      <c r="D1140" s="9" t="s">
        <v>1846</v>
      </c>
      <c r="E1140" s="9"/>
      <c r="F1140" s="9"/>
      <c r="G1140" s="9"/>
      <c r="H1140" s="9"/>
      <c r="I1140" s="9" t="s">
        <v>3245</v>
      </c>
      <c r="J1140" s="9"/>
      <c r="K1140" s="9" t="s">
        <v>3246</v>
      </c>
      <c r="L1140" s="9" t="s">
        <v>1537</v>
      </c>
      <c r="M1140" s="9" t="str">
        <f>HYPERLINK("https://ceds.ed.gov/cedselementdetails.aspx?termid=13428")</f>
        <v>https://ceds.ed.gov/cedselementdetails.aspx?termid=13428</v>
      </c>
      <c r="N1140" s="9" t="str">
        <f>HYPERLINK("https://ceds.ed.gov/elementComment.aspx?elementName=Immunization Record Flag &amp;elementID=13428", "Click here to submit comment")</f>
        <v>Click here to submit comment</v>
      </c>
    </row>
    <row r="1141" spans="1:14" ht="345" x14ac:dyDescent="0.25">
      <c r="A1141" s="9" t="s">
        <v>3247</v>
      </c>
      <c r="B1141" s="9" t="s">
        <v>3248</v>
      </c>
      <c r="C1141" s="10" t="s">
        <v>6544</v>
      </c>
      <c r="D1141" s="9" t="s">
        <v>11509</v>
      </c>
      <c r="E1141" s="9"/>
      <c r="F1141" s="9"/>
      <c r="G1141" s="9"/>
      <c r="H1141" s="9"/>
      <c r="I1141" s="9" t="s">
        <v>3249</v>
      </c>
      <c r="J1141" s="9"/>
      <c r="K1141" s="9" t="s">
        <v>3250</v>
      </c>
      <c r="L1141" s="9"/>
      <c r="M1141" s="9" t="str">
        <f>HYPERLINK("https://ceds.ed.gov/cedselementdetails.aspx?termid=14214")</f>
        <v>https://ceds.ed.gov/cedselementdetails.aspx?termid=14214</v>
      </c>
      <c r="N1141" s="9" t="str">
        <f>HYPERLINK("https://ceds.ed.gov/elementComment.aspx?elementName=Immunization Type &amp;elementID=14214", "Click here to submit comment")</f>
        <v>Click here to submit comment</v>
      </c>
    </row>
    <row r="1142" spans="1:14" ht="409.5" x14ac:dyDescent="0.25">
      <c r="A1142" s="9" t="s">
        <v>3251</v>
      </c>
      <c r="B1142" s="9" t="s">
        <v>3252</v>
      </c>
      <c r="C1142" s="10" t="s">
        <v>6545</v>
      </c>
      <c r="D1142" s="9" t="s">
        <v>2919</v>
      </c>
      <c r="E1142" s="9"/>
      <c r="F1142" s="9"/>
      <c r="G1142" s="9"/>
      <c r="H1142" s="9"/>
      <c r="I1142" s="9" t="s">
        <v>3253</v>
      </c>
      <c r="J1142" s="9"/>
      <c r="K1142" s="9" t="s">
        <v>3254</v>
      </c>
      <c r="L1142" s="9"/>
      <c r="M1142" s="9" t="str">
        <f>HYPERLINK("https://ceds.ed.gov/cedselementdetails.aspx?termid=13500")</f>
        <v>https://ceds.ed.gov/cedselementdetails.aspx?termid=13500</v>
      </c>
      <c r="N1142" s="9" t="str">
        <f>HYPERLINK("https://ceds.ed.gov/elementComment.aspx?elementName=Incident Behavior &amp;elementID=13500", "Click here to submit comment")</f>
        <v>Click here to submit comment</v>
      </c>
    </row>
    <row r="1143" spans="1:14" ht="195" x14ac:dyDescent="0.25">
      <c r="A1143" s="9" t="s">
        <v>3255</v>
      </c>
      <c r="B1143" s="9" t="s">
        <v>3256</v>
      </c>
      <c r="C1143" s="9" t="s">
        <v>12</v>
      </c>
      <c r="D1143" s="9" t="s">
        <v>2919</v>
      </c>
      <c r="E1143" s="9"/>
      <c r="F1143" s="9" t="s">
        <v>87</v>
      </c>
      <c r="G1143" s="9"/>
      <c r="H1143" s="9"/>
      <c r="I1143" s="9" t="s">
        <v>3257</v>
      </c>
      <c r="J1143" s="9"/>
      <c r="K1143" s="9" t="s">
        <v>3258</v>
      </c>
      <c r="L1143" s="9"/>
      <c r="M1143" s="9" t="str">
        <f>HYPERLINK("https://ceds.ed.gov/cedselementdetails.aspx?termid=13496")</f>
        <v>https://ceds.ed.gov/cedselementdetails.aspx?termid=13496</v>
      </c>
      <c r="N1143" s="9" t="str">
        <f>HYPERLINK("https://ceds.ed.gov/elementComment.aspx?elementName=Incident Cost &amp;elementID=13496", "Click here to submit comment")</f>
        <v>Click here to submit comment</v>
      </c>
    </row>
    <row r="1144" spans="1:14" ht="45" x14ac:dyDescent="0.25">
      <c r="A1144" s="9" t="s">
        <v>3259</v>
      </c>
      <c r="B1144" s="9" t="s">
        <v>3260</v>
      </c>
      <c r="C1144" s="9" t="s">
        <v>12</v>
      </c>
      <c r="D1144" s="9" t="s">
        <v>2919</v>
      </c>
      <c r="E1144" s="9"/>
      <c r="F1144" s="9" t="s">
        <v>73</v>
      </c>
      <c r="G1144" s="9"/>
      <c r="H1144" s="9"/>
      <c r="I1144" s="9" t="s">
        <v>3261</v>
      </c>
      <c r="J1144" s="9"/>
      <c r="K1144" s="9" t="s">
        <v>3262</v>
      </c>
      <c r="L1144" s="9"/>
      <c r="M1144" s="9" t="str">
        <f>HYPERLINK("https://ceds.ed.gov/cedselementdetails.aspx?termid=13493")</f>
        <v>https://ceds.ed.gov/cedselementdetails.aspx?termid=13493</v>
      </c>
      <c r="N1144" s="9" t="str">
        <f>HYPERLINK("https://ceds.ed.gov/elementComment.aspx?elementName=Incident Date &amp;elementID=13493", "Click here to submit comment")</f>
        <v>Click here to submit comment</v>
      </c>
    </row>
    <row r="1145" spans="1:14" ht="45" x14ac:dyDescent="0.25">
      <c r="A1145" s="9" t="s">
        <v>3263</v>
      </c>
      <c r="B1145" s="9" t="s">
        <v>3264</v>
      </c>
      <c r="C1145" s="9" t="s">
        <v>12</v>
      </c>
      <c r="D1145" s="9" t="s">
        <v>2919</v>
      </c>
      <c r="E1145" s="9"/>
      <c r="F1145" s="9" t="s">
        <v>303</v>
      </c>
      <c r="G1145" s="9"/>
      <c r="H1145" s="9"/>
      <c r="I1145" s="9" t="s">
        <v>3265</v>
      </c>
      <c r="J1145" s="9"/>
      <c r="K1145" s="9" t="s">
        <v>3266</v>
      </c>
      <c r="L1145" s="9"/>
      <c r="M1145" s="9" t="str">
        <f>HYPERLINK("https://ceds.ed.gov/cedselementdetails.aspx?termid=13499")</f>
        <v>https://ceds.ed.gov/cedselementdetails.aspx?termid=13499</v>
      </c>
      <c r="N1145" s="9" t="str">
        <f>HYPERLINK("https://ceds.ed.gov/elementComment.aspx?elementName=Incident Description &amp;elementID=13499", "Click here to submit comment")</f>
        <v>Click here to submit comment</v>
      </c>
    </row>
    <row r="1146" spans="1:14" ht="105" x14ac:dyDescent="0.25">
      <c r="A1146" s="18" t="s">
        <v>3267</v>
      </c>
      <c r="B1146" s="18" t="s">
        <v>3268</v>
      </c>
      <c r="C1146" s="18" t="s">
        <v>12</v>
      </c>
      <c r="D1146" s="18" t="s">
        <v>2919</v>
      </c>
      <c r="E1146" s="18"/>
      <c r="F1146" s="18" t="s">
        <v>119</v>
      </c>
      <c r="G1146" s="18"/>
      <c r="H1146" s="9" t="s">
        <v>120</v>
      </c>
      <c r="I1146" s="18" t="s">
        <v>3269</v>
      </c>
      <c r="J1146" s="18"/>
      <c r="K1146" s="18" t="s">
        <v>3270</v>
      </c>
      <c r="L1146" s="18"/>
      <c r="M1146" s="18" t="str">
        <f>HYPERLINK("https://ceds.ed.gov/cedselementdetails.aspx?termid=13492")</f>
        <v>https://ceds.ed.gov/cedselementdetails.aspx?termid=13492</v>
      </c>
      <c r="N1146" s="18" t="str">
        <f>HYPERLINK("https://ceds.ed.gov/elementComment.aspx?elementName=Incident Identifier &amp;elementID=13492", "Click here to submit comment")</f>
        <v>Click here to submit comment</v>
      </c>
    </row>
    <row r="1147" spans="1:14" x14ac:dyDescent="0.25">
      <c r="A1147" s="18"/>
      <c r="B1147" s="18"/>
      <c r="C1147" s="18"/>
      <c r="D1147" s="18"/>
      <c r="E1147" s="18"/>
      <c r="F1147" s="18"/>
      <c r="G1147" s="18"/>
      <c r="H1147" s="9"/>
      <c r="I1147" s="18"/>
      <c r="J1147" s="18"/>
      <c r="K1147" s="18"/>
      <c r="L1147" s="18"/>
      <c r="M1147" s="18"/>
      <c r="N1147" s="18"/>
    </row>
    <row r="1148" spans="1:14" ht="90" x14ac:dyDescent="0.25">
      <c r="A1148" s="18"/>
      <c r="B1148" s="18"/>
      <c r="C1148" s="18"/>
      <c r="D1148" s="18"/>
      <c r="E1148" s="18"/>
      <c r="F1148" s="18"/>
      <c r="G1148" s="18"/>
      <c r="H1148" s="9" t="s">
        <v>121</v>
      </c>
      <c r="I1148" s="18"/>
      <c r="J1148" s="18"/>
      <c r="K1148" s="18"/>
      <c r="L1148" s="18"/>
      <c r="M1148" s="18"/>
      <c r="N1148" s="18"/>
    </row>
    <row r="1149" spans="1:14" ht="409.6" customHeight="1" x14ac:dyDescent="0.25">
      <c r="A1149" s="9" t="s">
        <v>3271</v>
      </c>
      <c r="B1149" s="9" t="s">
        <v>3272</v>
      </c>
      <c r="C1149" s="10" t="s">
        <v>6546</v>
      </c>
      <c r="D1149" s="9" t="s">
        <v>2919</v>
      </c>
      <c r="E1149" s="9"/>
      <c r="F1149" s="9"/>
      <c r="G1149" s="9"/>
      <c r="H1149" s="9" t="s">
        <v>3273</v>
      </c>
      <c r="I1149" s="9" t="s">
        <v>3274</v>
      </c>
      <c r="J1149" s="9"/>
      <c r="K1149" s="9" t="s">
        <v>3275</v>
      </c>
      <c r="L1149" s="9"/>
      <c r="M1149" s="9" t="str">
        <f>HYPERLINK("https://ceds.ed.gov/cedselementdetails.aspx?termid=13501")</f>
        <v>https://ceds.ed.gov/cedselementdetails.aspx?termid=13501</v>
      </c>
      <c r="N1149" s="9" t="str">
        <f>HYPERLINK("https://ceds.ed.gov/elementComment.aspx?elementName=Incident Injury Type &amp;elementID=13501", "Click here to submit comment")</f>
        <v>Click here to submit comment</v>
      </c>
    </row>
    <row r="1150" spans="1:14" ht="409.5" x14ac:dyDescent="0.25">
      <c r="A1150" s="9" t="s">
        <v>3276</v>
      </c>
      <c r="B1150" s="9" t="s">
        <v>3277</v>
      </c>
      <c r="C1150" s="10" t="s">
        <v>6547</v>
      </c>
      <c r="D1150" s="9" t="s">
        <v>2919</v>
      </c>
      <c r="E1150" s="9"/>
      <c r="F1150" s="9"/>
      <c r="G1150" s="9"/>
      <c r="H1150" s="9"/>
      <c r="I1150" s="9" t="s">
        <v>3278</v>
      </c>
      <c r="J1150" s="9"/>
      <c r="K1150" s="9" t="s">
        <v>3279</v>
      </c>
      <c r="L1150" s="9"/>
      <c r="M1150" s="9" t="str">
        <f>HYPERLINK("https://ceds.ed.gov/cedselementdetails.aspx?termid=13610")</f>
        <v>https://ceds.ed.gov/cedselementdetails.aspx?termid=13610</v>
      </c>
      <c r="N1150" s="9" t="str">
        <f>HYPERLINK("https://ceds.ed.gov/elementComment.aspx?elementName=Incident Location &amp;elementID=13610", "Click here to submit comment")</f>
        <v>Click here to submit comment</v>
      </c>
    </row>
    <row r="1151" spans="1:14" ht="60" x14ac:dyDescent="0.25">
      <c r="A1151" s="9" t="s">
        <v>3280</v>
      </c>
      <c r="B1151" s="9" t="s">
        <v>3281</v>
      </c>
      <c r="C1151" s="10" t="s">
        <v>6548</v>
      </c>
      <c r="D1151" s="9" t="s">
        <v>2919</v>
      </c>
      <c r="E1151" s="9"/>
      <c r="F1151" s="9"/>
      <c r="G1151" s="9"/>
      <c r="H1151" s="9"/>
      <c r="I1151" s="9" t="s">
        <v>3282</v>
      </c>
      <c r="J1151" s="9"/>
      <c r="K1151" s="9" t="s">
        <v>3283</v>
      </c>
      <c r="L1151" s="9"/>
      <c r="M1151" s="9" t="str">
        <f>HYPERLINK("https://ceds.ed.gov/cedselementdetails.aspx?termid=14337")</f>
        <v>https://ceds.ed.gov/cedselementdetails.aspx?termid=14337</v>
      </c>
      <c r="N1151" s="9" t="str">
        <f>HYPERLINK("https://ceds.ed.gov/elementComment.aspx?elementName=Incident Multiple Offense Type &amp;elementID=14337", "Click here to submit comment")</f>
        <v>Click here to submit comment</v>
      </c>
    </row>
    <row r="1152" spans="1:14" ht="105" x14ac:dyDescent="0.25">
      <c r="A1152" s="18" t="s">
        <v>3284</v>
      </c>
      <c r="B1152" s="18" t="s">
        <v>3285</v>
      </c>
      <c r="C1152" s="18" t="s">
        <v>12</v>
      </c>
      <c r="D1152" s="18" t="s">
        <v>2919</v>
      </c>
      <c r="E1152" s="18"/>
      <c r="F1152" s="18" t="s">
        <v>119</v>
      </c>
      <c r="G1152" s="18"/>
      <c r="H1152" s="9" t="s">
        <v>120</v>
      </c>
      <c r="I1152" s="18" t="s">
        <v>3286</v>
      </c>
      <c r="J1152" s="18"/>
      <c r="K1152" s="18" t="s">
        <v>3287</v>
      </c>
      <c r="L1152" s="18"/>
      <c r="M1152" s="18" t="str">
        <f>HYPERLINK("https://ceds.ed.gov/cedselementdetails.aspx?termid=14338")</f>
        <v>https://ceds.ed.gov/cedselementdetails.aspx?termid=14338</v>
      </c>
      <c r="N1152" s="18" t="str">
        <f>HYPERLINK("https://ceds.ed.gov/elementComment.aspx?elementName=Incident Perpetrator Identifier &amp;elementID=14338", "Click here to submit comment")</f>
        <v>Click here to submit comment</v>
      </c>
    </row>
    <row r="1153" spans="1:14" x14ac:dyDescent="0.25">
      <c r="A1153" s="18"/>
      <c r="B1153" s="18"/>
      <c r="C1153" s="18"/>
      <c r="D1153" s="18"/>
      <c r="E1153" s="18"/>
      <c r="F1153" s="18"/>
      <c r="G1153" s="18"/>
      <c r="H1153" s="9"/>
      <c r="I1153" s="18"/>
      <c r="J1153" s="18"/>
      <c r="K1153" s="18"/>
      <c r="L1153" s="18"/>
      <c r="M1153" s="18"/>
      <c r="N1153" s="18"/>
    </row>
    <row r="1154" spans="1:14" ht="90" x14ac:dyDescent="0.25">
      <c r="A1154" s="18"/>
      <c r="B1154" s="18"/>
      <c r="C1154" s="18"/>
      <c r="D1154" s="18"/>
      <c r="E1154" s="18"/>
      <c r="F1154" s="18"/>
      <c r="G1154" s="18"/>
      <c r="H1154" s="9" t="s">
        <v>121</v>
      </c>
      <c r="I1154" s="18"/>
      <c r="J1154" s="18"/>
      <c r="K1154" s="18"/>
      <c r="L1154" s="18"/>
      <c r="M1154" s="18"/>
      <c r="N1154" s="18"/>
    </row>
    <row r="1155" spans="1:14" ht="105" x14ac:dyDescent="0.25">
      <c r="A1155" s="9" t="s">
        <v>3288</v>
      </c>
      <c r="B1155" s="9" t="s">
        <v>3289</v>
      </c>
      <c r="C1155" s="10" t="s">
        <v>6546</v>
      </c>
      <c r="D1155" s="9" t="s">
        <v>2919</v>
      </c>
      <c r="E1155" s="9"/>
      <c r="F1155" s="9"/>
      <c r="G1155" s="9"/>
      <c r="H1155" s="9"/>
      <c r="I1155" s="9" t="s">
        <v>3290</v>
      </c>
      <c r="J1155" s="9"/>
      <c r="K1155" s="9" t="s">
        <v>3291</v>
      </c>
      <c r="L1155" s="9"/>
      <c r="M1155" s="9" t="str">
        <f>HYPERLINK("https://ceds.ed.gov/cedselementdetails.aspx?termid=14339")</f>
        <v>https://ceds.ed.gov/cedselementdetails.aspx?termid=14339</v>
      </c>
      <c r="N1155" s="9" t="str">
        <f>HYPERLINK("https://ceds.ed.gov/elementComment.aspx?elementName=Incident Perpetrator Injury Type &amp;elementID=14339", "Click here to submit comment")</f>
        <v>Click here to submit comment</v>
      </c>
    </row>
    <row r="1156" spans="1:14" ht="409.5" x14ac:dyDescent="0.25">
      <c r="A1156" s="9" t="s">
        <v>3292</v>
      </c>
      <c r="B1156" s="9" t="s">
        <v>3293</v>
      </c>
      <c r="C1156" s="10" t="s">
        <v>6549</v>
      </c>
      <c r="D1156" s="9" t="s">
        <v>2919</v>
      </c>
      <c r="E1156" s="9"/>
      <c r="F1156" s="9"/>
      <c r="G1156" s="9"/>
      <c r="H1156" s="9"/>
      <c r="I1156" s="9" t="s">
        <v>3294</v>
      </c>
      <c r="J1156" s="9"/>
      <c r="K1156" s="9" t="s">
        <v>3295</v>
      </c>
      <c r="L1156" s="9"/>
      <c r="M1156" s="9" t="str">
        <f>HYPERLINK("https://ceds.ed.gov/cedselementdetails.aspx?termid=14340")</f>
        <v>https://ceds.ed.gov/cedselementdetails.aspx?termid=14340</v>
      </c>
      <c r="N1156" s="9" t="str">
        <f>HYPERLINK("https://ceds.ed.gov/elementComment.aspx?elementName=Incident Perpetrator Type &amp;elementID=14340", "Click here to submit comment")</f>
        <v>Click here to submit comment</v>
      </c>
    </row>
    <row r="1157" spans="1:14" ht="75" x14ac:dyDescent="0.25">
      <c r="A1157" s="9" t="s">
        <v>3296</v>
      </c>
      <c r="B1157" s="9" t="s">
        <v>3297</v>
      </c>
      <c r="C1157" s="10" t="s">
        <v>6550</v>
      </c>
      <c r="D1157" s="9" t="s">
        <v>2919</v>
      </c>
      <c r="E1157" s="9"/>
      <c r="F1157" s="9"/>
      <c r="G1157" s="9"/>
      <c r="H1157" s="9"/>
      <c r="I1157" s="9" t="s">
        <v>3298</v>
      </c>
      <c r="J1157" s="9"/>
      <c r="K1157" s="9" t="s">
        <v>3299</v>
      </c>
      <c r="L1157" s="9"/>
      <c r="M1157" s="9" t="str">
        <f>HYPERLINK("https://ceds.ed.gov/cedselementdetails.aspx?termid=14341")</f>
        <v>https://ceds.ed.gov/cedselementdetails.aspx?termid=14341</v>
      </c>
      <c r="N1157" s="9" t="str">
        <f>HYPERLINK("https://ceds.ed.gov/elementComment.aspx?elementName=Incident Person Role Type &amp;elementID=14341", "Click here to submit comment")</f>
        <v>Click here to submit comment</v>
      </c>
    </row>
    <row r="1158" spans="1:14" ht="90" x14ac:dyDescent="0.25">
      <c r="A1158" s="9" t="s">
        <v>3300</v>
      </c>
      <c r="B1158" s="9" t="s">
        <v>3301</v>
      </c>
      <c r="C1158" s="9" t="s">
        <v>12</v>
      </c>
      <c r="D1158" s="9" t="s">
        <v>2919</v>
      </c>
      <c r="E1158" s="9"/>
      <c r="F1158" s="9" t="s">
        <v>762</v>
      </c>
      <c r="G1158" s="9"/>
      <c r="H1158" s="9"/>
      <c r="I1158" s="9" t="s">
        <v>3302</v>
      </c>
      <c r="J1158" s="9"/>
      <c r="K1158" s="9" t="s">
        <v>3303</v>
      </c>
      <c r="L1158" s="9"/>
      <c r="M1158" s="9" t="str">
        <f>HYPERLINK("https://ceds.ed.gov/cedselementdetails.aspx?termid=14342")</f>
        <v>https://ceds.ed.gov/cedselementdetails.aspx?termid=14342</v>
      </c>
      <c r="N1158" s="9" t="str">
        <f>HYPERLINK("https://ceds.ed.gov/elementComment.aspx?elementName=Incident Regulation Violated Description &amp;elementID=14342", "Click here to submit comment")</f>
        <v>Click here to submit comment</v>
      </c>
    </row>
    <row r="1159" spans="1:14" ht="90" x14ac:dyDescent="0.25">
      <c r="A1159" s="9" t="s">
        <v>3304</v>
      </c>
      <c r="B1159" s="9" t="s">
        <v>3305</v>
      </c>
      <c r="C1159" s="9" t="s">
        <v>6106</v>
      </c>
      <c r="D1159" s="9" t="s">
        <v>2919</v>
      </c>
      <c r="E1159" s="9"/>
      <c r="F1159" s="9"/>
      <c r="G1159" s="9"/>
      <c r="H1159" s="9" t="s">
        <v>3306</v>
      </c>
      <c r="I1159" s="9" t="s">
        <v>3307</v>
      </c>
      <c r="J1159" s="9"/>
      <c r="K1159" s="9" t="s">
        <v>3308</v>
      </c>
      <c r="L1159" s="9"/>
      <c r="M1159" s="9" t="str">
        <f>HYPERLINK("https://ceds.ed.gov/cedselementdetails.aspx?termid=14343")</f>
        <v>https://ceds.ed.gov/cedselementdetails.aspx?termid=14343</v>
      </c>
      <c r="N1159" s="9" t="str">
        <f>HYPERLINK("https://ceds.ed.gov/elementComment.aspx?elementName=Incident Related to Disability Manifestation &amp;elementID=14343", "Click here to submit comment")</f>
        <v>Click here to submit comment</v>
      </c>
    </row>
    <row r="1160" spans="1:14" ht="75" x14ac:dyDescent="0.25">
      <c r="A1160" s="9" t="s">
        <v>3309</v>
      </c>
      <c r="B1160" s="9" t="s">
        <v>3310</v>
      </c>
      <c r="C1160" s="9" t="s">
        <v>6106</v>
      </c>
      <c r="D1160" s="9" t="s">
        <v>2919</v>
      </c>
      <c r="E1160" s="9"/>
      <c r="F1160" s="9"/>
      <c r="G1160" s="9"/>
      <c r="H1160" s="9"/>
      <c r="I1160" s="9" t="s">
        <v>3311</v>
      </c>
      <c r="J1160" s="9"/>
      <c r="K1160" s="9" t="s">
        <v>3312</v>
      </c>
      <c r="L1160" s="9"/>
      <c r="M1160" s="9" t="str">
        <f>HYPERLINK("https://ceds.ed.gov/cedselementdetails.aspx?termid=14345")</f>
        <v>https://ceds.ed.gov/cedselementdetails.aspx?termid=14345</v>
      </c>
      <c r="N1160" s="9" t="str">
        <f>HYPERLINK("https://ceds.ed.gov/elementComment.aspx?elementName=Incident Reported to Law Enforcement Indicator &amp;elementID=14345", "Click here to submit comment")</f>
        <v>Click here to submit comment</v>
      </c>
    </row>
    <row r="1161" spans="1:14" ht="409.5" x14ac:dyDescent="0.25">
      <c r="A1161" s="9" t="s">
        <v>3313</v>
      </c>
      <c r="B1161" s="9" t="s">
        <v>3314</v>
      </c>
      <c r="C1161" s="10" t="s">
        <v>6551</v>
      </c>
      <c r="D1161" s="9" t="s">
        <v>2919</v>
      </c>
      <c r="E1161" s="9"/>
      <c r="F1161" s="9"/>
      <c r="G1161" s="9"/>
      <c r="H1161" s="9"/>
      <c r="I1161" s="9" t="s">
        <v>3315</v>
      </c>
      <c r="J1161" s="9"/>
      <c r="K1161" s="9" t="s">
        <v>3316</v>
      </c>
      <c r="L1161" s="9"/>
      <c r="M1161" s="9" t="str">
        <f>HYPERLINK("https://ceds.ed.gov/cedselementdetails.aspx?termid=13497")</f>
        <v>https://ceds.ed.gov/cedselementdetails.aspx?termid=13497</v>
      </c>
      <c r="N1161" s="9" t="str">
        <f>HYPERLINK("https://ceds.ed.gov/elementComment.aspx?elementName=Incident Reporter Type &amp;elementID=13497", "Click here to submit comment")</f>
        <v>Click here to submit comment</v>
      </c>
    </row>
    <row r="1162" spans="1:14" ht="45" x14ac:dyDescent="0.25">
      <c r="A1162" s="9" t="s">
        <v>3317</v>
      </c>
      <c r="B1162" s="9" t="s">
        <v>3318</v>
      </c>
      <c r="C1162" s="9" t="s">
        <v>12</v>
      </c>
      <c r="D1162" s="9" t="s">
        <v>2919</v>
      </c>
      <c r="E1162" s="9"/>
      <c r="F1162" s="9" t="s">
        <v>406</v>
      </c>
      <c r="G1162" s="9"/>
      <c r="H1162" s="9"/>
      <c r="I1162" s="9" t="s">
        <v>3319</v>
      </c>
      <c r="J1162" s="9"/>
      <c r="K1162" s="9" t="s">
        <v>3320</v>
      </c>
      <c r="L1162" s="9"/>
      <c r="M1162" s="9" t="str">
        <f>HYPERLINK("https://ceds.ed.gov/cedselementdetails.aspx?termid=13494")</f>
        <v>https://ceds.ed.gov/cedselementdetails.aspx?termid=13494</v>
      </c>
      <c r="N1162" s="9" t="str">
        <f>HYPERLINK("https://ceds.ed.gov/elementComment.aspx?elementName=Incident Time &amp;elementID=13494", "Click here to submit comment")</f>
        <v>Click here to submit comment</v>
      </c>
    </row>
    <row r="1163" spans="1:14" ht="210" x14ac:dyDescent="0.25">
      <c r="A1163" s="9" t="s">
        <v>3321</v>
      </c>
      <c r="B1163" s="9" t="s">
        <v>3322</v>
      </c>
      <c r="C1163" s="10" t="s">
        <v>6552</v>
      </c>
      <c r="D1163" s="9" t="s">
        <v>2919</v>
      </c>
      <c r="E1163" s="9"/>
      <c r="F1163" s="9"/>
      <c r="G1163" s="9"/>
      <c r="H1163" s="9"/>
      <c r="I1163" s="9" t="s">
        <v>3323</v>
      </c>
      <c r="J1163" s="9"/>
      <c r="K1163" s="9" t="s">
        <v>3324</v>
      </c>
      <c r="L1163" s="9"/>
      <c r="M1163" s="9" t="str">
        <f>HYPERLINK("https://ceds.ed.gov/cedselementdetails.aspx?termid=13506")</f>
        <v>https://ceds.ed.gov/cedselementdetails.aspx?termid=13506</v>
      </c>
      <c r="N1163" s="9" t="str">
        <f>HYPERLINK("https://ceds.ed.gov/elementComment.aspx?elementName=Incident Time Description Code &amp;elementID=13506", "Click here to submit comment")</f>
        <v>Click here to submit comment</v>
      </c>
    </row>
    <row r="1164" spans="1:14" ht="105" x14ac:dyDescent="0.25">
      <c r="A1164" s="18" t="s">
        <v>3325</v>
      </c>
      <c r="B1164" s="18" t="s">
        <v>3326</v>
      </c>
      <c r="C1164" s="18" t="s">
        <v>12</v>
      </c>
      <c r="D1164" s="18" t="s">
        <v>2919</v>
      </c>
      <c r="E1164" s="18"/>
      <c r="F1164" s="18" t="s">
        <v>119</v>
      </c>
      <c r="G1164" s="18"/>
      <c r="H1164" s="9" t="s">
        <v>120</v>
      </c>
      <c r="I1164" s="18" t="s">
        <v>3327</v>
      </c>
      <c r="J1164" s="18"/>
      <c r="K1164" s="18" t="s">
        <v>3328</v>
      </c>
      <c r="L1164" s="18"/>
      <c r="M1164" s="18" t="str">
        <f>HYPERLINK("https://ceds.ed.gov/cedselementdetails.aspx?termid=14346")</f>
        <v>https://ceds.ed.gov/cedselementdetails.aspx?termid=14346</v>
      </c>
      <c r="N1164" s="18" t="str">
        <f>HYPERLINK("https://ceds.ed.gov/elementComment.aspx?elementName=Incident Victim Identifier &amp;elementID=14346", "Click here to submit comment")</f>
        <v>Click here to submit comment</v>
      </c>
    </row>
    <row r="1165" spans="1:14" x14ac:dyDescent="0.25">
      <c r="A1165" s="18"/>
      <c r="B1165" s="18"/>
      <c r="C1165" s="18"/>
      <c r="D1165" s="18"/>
      <c r="E1165" s="18"/>
      <c r="F1165" s="18"/>
      <c r="G1165" s="18"/>
      <c r="H1165" s="9"/>
      <c r="I1165" s="18"/>
      <c r="J1165" s="18"/>
      <c r="K1165" s="18"/>
      <c r="L1165" s="18"/>
      <c r="M1165" s="18"/>
      <c r="N1165" s="18"/>
    </row>
    <row r="1166" spans="1:14" ht="90" x14ac:dyDescent="0.25">
      <c r="A1166" s="18"/>
      <c r="B1166" s="18"/>
      <c r="C1166" s="18"/>
      <c r="D1166" s="18"/>
      <c r="E1166" s="18"/>
      <c r="F1166" s="18"/>
      <c r="G1166" s="18"/>
      <c r="H1166" s="9" t="s">
        <v>121</v>
      </c>
      <c r="I1166" s="18"/>
      <c r="J1166" s="18"/>
      <c r="K1166" s="18"/>
      <c r="L1166" s="18"/>
      <c r="M1166" s="18"/>
      <c r="N1166" s="18"/>
    </row>
    <row r="1167" spans="1:14" ht="409.5" x14ac:dyDescent="0.25">
      <c r="A1167" s="9" t="s">
        <v>3329</v>
      </c>
      <c r="B1167" s="9" t="s">
        <v>3330</v>
      </c>
      <c r="C1167" s="10" t="s">
        <v>6549</v>
      </c>
      <c r="D1167" s="9" t="s">
        <v>2919</v>
      </c>
      <c r="E1167" s="9"/>
      <c r="F1167" s="9"/>
      <c r="G1167" s="9"/>
      <c r="H1167" s="9"/>
      <c r="I1167" s="9" t="s">
        <v>3331</v>
      </c>
      <c r="J1167" s="9"/>
      <c r="K1167" s="9" t="s">
        <v>3332</v>
      </c>
      <c r="L1167" s="9"/>
      <c r="M1167" s="9" t="str">
        <f>HYPERLINK("https://ceds.ed.gov/cedselementdetails.aspx?termid=14347")</f>
        <v>https://ceds.ed.gov/cedselementdetails.aspx?termid=14347</v>
      </c>
      <c r="N1167" s="9" t="str">
        <f>HYPERLINK("https://ceds.ed.gov/elementComment.aspx?elementName=Incident Victim Type &amp;elementID=14347", "Click here to submit comment")</f>
        <v>Click here to submit comment</v>
      </c>
    </row>
    <row r="1168" spans="1:14" ht="105" x14ac:dyDescent="0.25">
      <c r="A1168" s="18" t="s">
        <v>3333</v>
      </c>
      <c r="B1168" s="18" t="s">
        <v>3334</v>
      </c>
      <c r="C1168" s="18" t="s">
        <v>12</v>
      </c>
      <c r="D1168" s="18" t="s">
        <v>2919</v>
      </c>
      <c r="E1168" s="18"/>
      <c r="F1168" s="18" t="s">
        <v>119</v>
      </c>
      <c r="G1168" s="18"/>
      <c r="H1168" s="9" t="s">
        <v>120</v>
      </c>
      <c r="I1168" s="18" t="s">
        <v>3335</v>
      </c>
      <c r="J1168" s="18"/>
      <c r="K1168" s="18" t="s">
        <v>3336</v>
      </c>
      <c r="L1168" s="18"/>
      <c r="M1168" s="18" t="str">
        <f>HYPERLINK("https://ceds.ed.gov/cedselementdetails.aspx?termid=14348")</f>
        <v>https://ceds.ed.gov/cedselementdetails.aspx?termid=14348</v>
      </c>
      <c r="N1168" s="18" t="str">
        <f>HYPERLINK("https://ceds.ed.gov/elementComment.aspx?elementName=Incident Witness Identifier &amp;elementID=14348", "Click here to submit comment")</f>
        <v>Click here to submit comment</v>
      </c>
    </row>
    <row r="1169" spans="1:14" x14ac:dyDescent="0.25">
      <c r="A1169" s="18"/>
      <c r="B1169" s="18"/>
      <c r="C1169" s="18"/>
      <c r="D1169" s="18"/>
      <c r="E1169" s="18"/>
      <c r="F1169" s="18"/>
      <c r="G1169" s="18"/>
      <c r="H1169" s="9"/>
      <c r="I1169" s="18"/>
      <c r="J1169" s="18"/>
      <c r="K1169" s="18"/>
      <c r="L1169" s="18"/>
      <c r="M1169" s="18"/>
      <c r="N1169" s="18"/>
    </row>
    <row r="1170" spans="1:14" ht="90" x14ac:dyDescent="0.25">
      <c r="A1170" s="18"/>
      <c r="B1170" s="18"/>
      <c r="C1170" s="18"/>
      <c r="D1170" s="18"/>
      <c r="E1170" s="18"/>
      <c r="F1170" s="18"/>
      <c r="G1170" s="18"/>
      <c r="H1170" s="9" t="s">
        <v>121</v>
      </c>
      <c r="I1170" s="18"/>
      <c r="J1170" s="18"/>
      <c r="K1170" s="18"/>
      <c r="L1170" s="18"/>
      <c r="M1170" s="18"/>
      <c r="N1170" s="18"/>
    </row>
    <row r="1171" spans="1:14" ht="409.5" x14ac:dyDescent="0.25">
      <c r="A1171" s="9" t="s">
        <v>3337</v>
      </c>
      <c r="B1171" s="9" t="s">
        <v>3338</v>
      </c>
      <c r="C1171" s="10" t="s">
        <v>6549</v>
      </c>
      <c r="D1171" s="9" t="s">
        <v>2919</v>
      </c>
      <c r="E1171" s="9"/>
      <c r="F1171" s="9"/>
      <c r="G1171" s="9"/>
      <c r="H1171" s="9"/>
      <c r="I1171" s="9" t="s">
        <v>3339</v>
      </c>
      <c r="J1171" s="9"/>
      <c r="K1171" s="9" t="s">
        <v>3340</v>
      </c>
      <c r="L1171" s="9"/>
      <c r="M1171" s="9" t="str">
        <f>HYPERLINK("https://ceds.ed.gov/cedselementdetails.aspx?termid=14349")</f>
        <v>https://ceds.ed.gov/cedselementdetails.aspx?termid=14349</v>
      </c>
      <c r="N1171" s="9" t="str">
        <f>HYPERLINK("https://ceds.ed.gov/elementComment.aspx?elementName=Incident Witness Type &amp;elementID=14349", "Click here to submit comment")</f>
        <v>Click here to submit comment</v>
      </c>
    </row>
    <row r="1172" spans="1:14" ht="105" x14ac:dyDescent="0.25">
      <c r="A1172" s="9" t="s">
        <v>3341</v>
      </c>
      <c r="B1172" s="9" t="s">
        <v>3342</v>
      </c>
      <c r="C1172" s="9" t="s">
        <v>6106</v>
      </c>
      <c r="D1172" s="9" t="s">
        <v>6230</v>
      </c>
      <c r="E1172" s="9"/>
      <c r="F1172" s="9"/>
      <c r="G1172" s="9"/>
      <c r="H1172" s="9"/>
      <c r="I1172" s="9" t="s">
        <v>3343</v>
      </c>
      <c r="J1172" s="9"/>
      <c r="K1172" s="9" t="s">
        <v>3344</v>
      </c>
      <c r="L1172" s="9"/>
      <c r="M1172" s="9" t="str">
        <f>HYPERLINK("https://ceds.ed.gov/cedselementdetails.aspx?termid=14591")</f>
        <v>https://ceds.ed.gov/cedselementdetails.aspx?termid=14591</v>
      </c>
      <c r="N1172" s="9" t="str">
        <f>HYPERLINK("https://ceds.ed.gov/elementComment.aspx?elementName=Included in Counted Family Size &amp;elementID=14591", "Click here to submit comment")</f>
        <v>Click here to submit comment</v>
      </c>
    </row>
    <row r="1173" spans="1:14" ht="150" x14ac:dyDescent="0.25">
      <c r="A1173" s="9" t="s">
        <v>3345</v>
      </c>
      <c r="B1173" s="9" t="s">
        <v>11510</v>
      </c>
      <c r="C1173" s="9" t="s">
        <v>6106</v>
      </c>
      <c r="D1173" s="9" t="s">
        <v>11511</v>
      </c>
      <c r="E1173" s="9"/>
      <c r="F1173" s="9"/>
      <c r="G1173" s="9"/>
      <c r="H1173" s="9"/>
      <c r="I1173" s="9" t="s">
        <v>3346</v>
      </c>
      <c r="J1173" s="9"/>
      <c r="K1173" s="9" t="s">
        <v>3347</v>
      </c>
      <c r="L1173" s="9"/>
      <c r="M1173" s="9" t="str">
        <f>HYPERLINK("https://ceds.ed.gov/cedselementdetails.aspx?termid=14615")</f>
        <v>https://ceds.ed.gov/cedselementdetails.aspx?termid=14615</v>
      </c>
      <c r="N1173" s="9" t="str">
        <f>HYPERLINK("https://ceds.ed.gov/elementComment.aspx?elementName=Inclusive Setting Indicator &amp;elementID=14615", "Click here to submit comment")</f>
        <v>Click here to submit comment</v>
      </c>
    </row>
    <row r="1174" spans="1:14" ht="60" x14ac:dyDescent="0.25">
      <c r="A1174" s="9" t="s">
        <v>3348</v>
      </c>
      <c r="B1174" s="9" t="s">
        <v>3349</v>
      </c>
      <c r="C1174" s="10" t="s">
        <v>6553</v>
      </c>
      <c r="D1174" s="9" t="s">
        <v>2772</v>
      </c>
      <c r="E1174" s="9"/>
      <c r="F1174" s="9"/>
      <c r="G1174" s="9"/>
      <c r="H1174" s="9"/>
      <c r="I1174" s="9" t="s">
        <v>3350</v>
      </c>
      <c r="J1174" s="9"/>
      <c r="K1174" s="9" t="s">
        <v>3351</v>
      </c>
      <c r="L1174" s="9"/>
      <c r="M1174" s="9" t="str">
        <f>HYPERLINK("https://ceds.ed.gov/cedselementdetails.aspx?termid=13333")</f>
        <v>https://ceds.ed.gov/cedselementdetails.aspx?termid=13333</v>
      </c>
      <c r="N1174" s="9" t="str">
        <f>HYPERLINK("https://ceds.ed.gov/elementComment.aspx?elementName=Income Calculation Method &amp;elementID=13333", "Click here to submit comment")</f>
        <v>Click here to submit comment</v>
      </c>
    </row>
    <row r="1175" spans="1:14" ht="120" x14ac:dyDescent="0.25">
      <c r="A1175" s="9" t="s">
        <v>3352</v>
      </c>
      <c r="B1175" s="9" t="s">
        <v>3353</v>
      </c>
      <c r="C1175" s="10" t="s">
        <v>6554</v>
      </c>
      <c r="D1175" s="9" t="s">
        <v>67</v>
      </c>
      <c r="E1175" s="9"/>
      <c r="F1175" s="9"/>
      <c r="G1175" s="9"/>
      <c r="H1175" s="9"/>
      <c r="I1175" s="9" t="s">
        <v>3354</v>
      </c>
      <c r="J1175" s="9"/>
      <c r="K1175" s="9" t="s">
        <v>3355</v>
      </c>
      <c r="L1175" s="9" t="s">
        <v>199</v>
      </c>
      <c r="M1175" s="9" t="str">
        <f>HYPERLINK("https://ceds.ed.gov/cedselementdetails.aspx?termid=13164")</f>
        <v>https://ceds.ed.gov/cedselementdetails.aspx?termid=13164</v>
      </c>
      <c r="N1175" s="9" t="str">
        <f>HYPERLINK("https://ceds.ed.gov/elementComment.aspx?elementName=Increased Learning Time Type &amp;elementID=13164", "Click here to submit comment")</f>
        <v>Click here to submit comment</v>
      </c>
    </row>
    <row r="1176" spans="1:14" ht="45" x14ac:dyDescent="0.25">
      <c r="A1176" s="9" t="s">
        <v>11512</v>
      </c>
      <c r="B1176" s="9" t="s">
        <v>8286</v>
      </c>
      <c r="C1176" s="9" t="s">
        <v>12</v>
      </c>
      <c r="D1176" s="9" t="s">
        <v>11513</v>
      </c>
      <c r="E1176" s="9" t="s">
        <v>1457</v>
      </c>
      <c r="F1176" s="9" t="s">
        <v>1513</v>
      </c>
      <c r="G1176" s="9"/>
      <c r="H1176" s="9"/>
      <c r="I1176" s="9" t="s">
        <v>11514</v>
      </c>
      <c r="J1176" s="9"/>
      <c r="K1176" s="9" t="s">
        <v>11515</v>
      </c>
      <c r="L1176" s="9"/>
      <c r="M1176" s="9" t="str">
        <f>HYPERLINK("https://ceds.ed.gov/cedselementdetails.aspx?termid=14874")</f>
        <v>https://ceds.ed.gov/cedselementdetails.aspx?termid=14874</v>
      </c>
      <c r="N1176" s="9" t="str">
        <f>HYPERLINK("https://ceds.ed.gov/elementComment.aspx?elementName=Indebtedness Amount Allowed &amp;elementID=14874", "Click here to submit comment")</f>
        <v>Click here to submit comment</v>
      </c>
    </row>
    <row r="1177" spans="1:14" ht="45" x14ac:dyDescent="0.25">
      <c r="A1177" s="9" t="s">
        <v>11516</v>
      </c>
      <c r="B1177" s="9" t="s">
        <v>11517</v>
      </c>
      <c r="C1177" s="9" t="s">
        <v>12</v>
      </c>
      <c r="D1177" s="9" t="s">
        <v>11518</v>
      </c>
      <c r="E1177" s="9"/>
      <c r="F1177" s="9" t="s">
        <v>303</v>
      </c>
      <c r="G1177" s="9"/>
      <c r="H1177" s="9"/>
      <c r="I1177" s="9" t="s">
        <v>11519</v>
      </c>
      <c r="J1177" s="9"/>
      <c r="K1177" s="9" t="s">
        <v>11520</v>
      </c>
      <c r="L1177" s="9"/>
      <c r="M1177" s="9" t="str">
        <f>HYPERLINK("https://ceds.ed.gov/cedselementdetails.aspx?termid=14667")</f>
        <v>https://ceds.ed.gov/cedselementdetails.aspx?termid=14667</v>
      </c>
      <c r="N1177" s="9" t="str">
        <f>HYPERLINK("https://ceds.ed.gov/elementComment.aspx?elementName=Individualized Program Accommodation Applicability &amp;elementID=14667", "Click here to submit comment")</f>
        <v>Click here to submit comment</v>
      </c>
    </row>
    <row r="1178" spans="1:14" ht="45" x14ac:dyDescent="0.25">
      <c r="A1178" s="9" t="s">
        <v>11521</v>
      </c>
      <c r="B1178" s="9" t="s">
        <v>11522</v>
      </c>
      <c r="C1178" s="9" t="s">
        <v>12</v>
      </c>
      <c r="D1178" s="9" t="s">
        <v>11518</v>
      </c>
      <c r="E1178" s="9"/>
      <c r="F1178" s="9" t="s">
        <v>303</v>
      </c>
      <c r="G1178" s="9"/>
      <c r="H1178" s="9"/>
      <c r="I1178" s="9" t="s">
        <v>11523</v>
      </c>
      <c r="J1178" s="9"/>
      <c r="K1178" s="9" t="s">
        <v>11524</v>
      </c>
      <c r="L1178" s="9"/>
      <c r="M1178" s="9" t="str">
        <f>HYPERLINK("https://ceds.ed.gov/cedselementdetails.aspx?termid=14666")</f>
        <v>https://ceds.ed.gov/cedselementdetails.aspx?termid=14666</v>
      </c>
      <c r="N1178" s="9" t="str">
        <f>HYPERLINK("https://ceds.ed.gov/elementComment.aspx?elementName=Individualized Program Accommodation Description &amp;elementID=14666", "Click here to submit comment")</f>
        <v>Click here to submit comment</v>
      </c>
    </row>
    <row r="1179" spans="1:14" ht="145.5" customHeight="1" x14ac:dyDescent="0.25">
      <c r="A1179" s="9" t="s">
        <v>3356</v>
      </c>
      <c r="B1179" s="9" t="s">
        <v>3357</v>
      </c>
      <c r="C1179" s="9" t="s">
        <v>12</v>
      </c>
      <c r="D1179" s="9" t="s">
        <v>6231</v>
      </c>
      <c r="E1179" s="9"/>
      <c r="F1179" s="9" t="s">
        <v>73</v>
      </c>
      <c r="G1179" s="9"/>
      <c r="H1179" s="9"/>
      <c r="I1179" s="9" t="s">
        <v>3358</v>
      </c>
      <c r="J1179" s="9"/>
      <c r="K1179" s="9" t="s">
        <v>3359</v>
      </c>
      <c r="L1179" s="9"/>
      <c r="M1179" s="9" t="str">
        <f>HYPERLINK("https://ceds.ed.gov/cedselementdetails.aspx?termid=14197")</f>
        <v>https://ceds.ed.gov/cedselementdetails.aspx?termid=14197</v>
      </c>
      <c r="N1179" s="9" t="str">
        <f>HYPERLINK("https://ceds.ed.gov/elementComment.aspx?elementName=Individualized Program Date &amp;elementID=14197", "Click here to submit comment")</f>
        <v>Click here to submit comment</v>
      </c>
    </row>
    <row r="1180" spans="1:14" ht="15" customHeight="1" x14ac:dyDescent="0.25">
      <c r="A1180" s="9" t="s">
        <v>3363</v>
      </c>
      <c r="B1180" s="9" t="s">
        <v>3364</v>
      </c>
      <c r="C1180" s="9" t="s">
        <v>12</v>
      </c>
      <c r="D1180" s="9" t="s">
        <v>11525</v>
      </c>
      <c r="E1180" s="9"/>
      <c r="F1180" s="9" t="s">
        <v>10489</v>
      </c>
      <c r="G1180" s="9"/>
      <c r="H1180" s="9"/>
      <c r="I1180" s="9" t="s">
        <v>3365</v>
      </c>
      <c r="J1180" s="9"/>
      <c r="K1180" s="9" t="s">
        <v>3366</v>
      </c>
      <c r="L1180" s="9"/>
      <c r="M1180" s="9" t="str">
        <f>HYPERLINK("https://ceds.ed.gov/cedselementdetails.aspx?termid=14199")</f>
        <v>https://ceds.ed.gov/cedselementdetails.aspx?termid=14199</v>
      </c>
      <c r="N1180" s="9" t="str">
        <f>HYPERLINK("https://ceds.ed.gov/elementComment.aspx?elementName=Individualized Program Inclusion Minutes Per Week &amp;elementID=14199", "Click here to submit comment")</f>
        <v>Click here to submit comment</v>
      </c>
    </row>
    <row r="1181" spans="1:14" ht="15" customHeight="1" x14ac:dyDescent="0.25">
      <c r="A1181" s="9" t="s">
        <v>3367</v>
      </c>
      <c r="B1181" s="9" t="s">
        <v>3368</v>
      </c>
      <c r="C1181" s="9" t="s">
        <v>12</v>
      </c>
      <c r="D1181" s="9" t="s">
        <v>11525</v>
      </c>
      <c r="E1181" s="9"/>
      <c r="F1181" s="9" t="s">
        <v>10489</v>
      </c>
      <c r="G1181" s="9"/>
      <c r="H1181" s="9"/>
      <c r="I1181" s="9" t="s">
        <v>3369</v>
      </c>
      <c r="J1181" s="9"/>
      <c r="K1181" s="9" t="s">
        <v>3370</v>
      </c>
      <c r="L1181" s="9"/>
      <c r="M1181" s="9" t="str">
        <f>HYPERLINK("https://ceds.ed.gov/cedselementdetails.aspx?termid=14198")</f>
        <v>https://ceds.ed.gov/cedselementdetails.aspx?termid=14198</v>
      </c>
      <c r="N1181" s="9" t="str">
        <f>HYPERLINK("https://ceds.ed.gov/elementComment.aspx?elementName=Individualized Program NonInclusion Minutes Per Week &amp;elementID=14198", "Click here to submit comment")</f>
        <v>Click here to submit comment</v>
      </c>
    </row>
    <row r="1182" spans="1:14" ht="45" x14ac:dyDescent="0.25">
      <c r="A1182" s="9" t="s">
        <v>3371</v>
      </c>
      <c r="B1182" s="9" t="s">
        <v>3372</v>
      </c>
      <c r="C1182" s="9" t="s">
        <v>12</v>
      </c>
      <c r="D1182" s="9" t="s">
        <v>2390</v>
      </c>
      <c r="E1182" s="9"/>
      <c r="F1182" s="9" t="s">
        <v>1513</v>
      </c>
      <c r="G1182" s="9"/>
      <c r="H1182" s="9"/>
      <c r="I1182" s="9" t="s">
        <v>3373</v>
      </c>
      <c r="J1182" s="9"/>
      <c r="K1182" s="9" t="s">
        <v>3374</v>
      </c>
      <c r="L1182" s="9"/>
      <c r="M1182" s="9" t="str">
        <f>HYPERLINK("https://ceds.ed.gov/cedselementdetails.aspx?termid=14493")</f>
        <v>https://ceds.ed.gov/cedselementdetails.aspx?termid=14493</v>
      </c>
      <c r="N1182" s="9" t="str">
        <f>HYPERLINK("https://ceds.ed.gov/elementComment.aspx?elementName=Individualized Program Planned Service Duration &amp;elementID=14493", "Click here to submit comment")</f>
        <v>Click here to submit comment</v>
      </c>
    </row>
    <row r="1183" spans="1:14" ht="150" x14ac:dyDescent="0.25">
      <c r="A1183" s="9" t="s">
        <v>3375</v>
      </c>
      <c r="B1183" s="9" t="s">
        <v>3376</v>
      </c>
      <c r="C1183" s="10" t="s">
        <v>6556</v>
      </c>
      <c r="D1183" s="9" t="s">
        <v>2390</v>
      </c>
      <c r="E1183" s="9"/>
      <c r="F1183" s="9"/>
      <c r="G1183" s="9"/>
      <c r="H1183" s="9"/>
      <c r="I1183" s="9" t="s">
        <v>3377</v>
      </c>
      <c r="J1183" s="9"/>
      <c r="K1183" s="9" t="s">
        <v>3378</v>
      </c>
      <c r="L1183" s="9"/>
      <c r="M1183" s="9" t="str">
        <f>HYPERLINK("https://ceds.ed.gov/cedselementdetails.aspx?termid=14492")</f>
        <v>https://ceds.ed.gov/cedselementdetails.aspx?termid=14492</v>
      </c>
      <c r="N1183" s="9" t="str">
        <f>HYPERLINK("https://ceds.ed.gov/elementComment.aspx?elementName=Individualized Program Planned Service Frequency &amp;elementID=14492", "Click here to submit comment")</f>
        <v>Click here to submit comment</v>
      </c>
    </row>
    <row r="1184" spans="1:14" ht="45" x14ac:dyDescent="0.25">
      <c r="A1184" s="9" t="s">
        <v>3379</v>
      </c>
      <c r="B1184" s="9" t="s">
        <v>3380</v>
      </c>
      <c r="C1184" s="9" t="s">
        <v>12</v>
      </c>
      <c r="D1184" s="9" t="s">
        <v>2390</v>
      </c>
      <c r="E1184" s="9"/>
      <c r="F1184" s="9" t="s">
        <v>73</v>
      </c>
      <c r="G1184" s="9"/>
      <c r="H1184" s="9" t="s">
        <v>3381</v>
      </c>
      <c r="I1184" s="9" t="s">
        <v>3382</v>
      </c>
      <c r="J1184" s="9"/>
      <c r="K1184" s="9" t="s">
        <v>3383</v>
      </c>
      <c r="L1184" s="9"/>
      <c r="M1184" s="9" t="str">
        <f>HYPERLINK("https://ceds.ed.gov/cedselementdetails.aspx?termid=14350")</f>
        <v>https://ceds.ed.gov/cedselementdetails.aspx?termid=14350</v>
      </c>
      <c r="N1184" s="9" t="str">
        <f>HYPERLINK("https://ceds.ed.gov/elementComment.aspx?elementName=Individualized Program Planned Service Start Date &amp;elementID=14350", "Click here to submit comment")</f>
        <v>Click here to submit comment</v>
      </c>
    </row>
    <row r="1185" spans="1:14" ht="300" x14ac:dyDescent="0.25">
      <c r="A1185" s="9" t="s">
        <v>3384</v>
      </c>
      <c r="B1185" s="9" t="s">
        <v>3385</v>
      </c>
      <c r="C1185" s="10" t="s">
        <v>6557</v>
      </c>
      <c r="D1185" s="9" t="s">
        <v>2390</v>
      </c>
      <c r="E1185" s="9"/>
      <c r="F1185" s="9"/>
      <c r="G1185" s="9"/>
      <c r="H1185" s="9"/>
      <c r="I1185" s="9" t="s">
        <v>3386</v>
      </c>
      <c r="J1185" s="9"/>
      <c r="K1185" s="9" t="s">
        <v>3387</v>
      </c>
      <c r="L1185" s="9"/>
      <c r="M1185" s="9" t="str">
        <f>HYPERLINK("https://ceds.ed.gov/cedselementdetails.aspx?termid=14352")</f>
        <v>https://ceds.ed.gov/cedselementdetails.aspx?termid=14352</v>
      </c>
      <c r="N1185" s="9" t="str">
        <f>HYPERLINK("https://ceds.ed.gov/elementComment.aspx?elementName=Individualized Program Planned Service Type &amp;elementID=14352", "Click here to submit comment")</f>
        <v>Click here to submit comment</v>
      </c>
    </row>
    <row r="1186" spans="1:14" ht="45" x14ac:dyDescent="0.25">
      <c r="A1186" s="9" t="s">
        <v>11526</v>
      </c>
      <c r="B1186" s="9" t="s">
        <v>11527</v>
      </c>
      <c r="C1186" s="9" t="s">
        <v>12</v>
      </c>
      <c r="D1186" s="9" t="s">
        <v>11528</v>
      </c>
      <c r="E1186" s="9"/>
      <c r="F1186" s="9" t="s">
        <v>303</v>
      </c>
      <c r="G1186" s="9"/>
      <c r="H1186" s="9"/>
      <c r="I1186" s="9" t="s">
        <v>11529</v>
      </c>
      <c r="J1186" s="9"/>
      <c r="K1186" s="9" t="s">
        <v>11530</v>
      </c>
      <c r="L1186" s="9"/>
      <c r="M1186" s="9" t="str">
        <f>HYPERLINK("https://ceds.ed.gov/cedselementdetails.aspx?termid=14670")</f>
        <v>https://ceds.ed.gov/cedselementdetails.aspx?termid=14670</v>
      </c>
      <c r="N1186" s="9" t="str">
        <f>HYPERLINK("https://ceds.ed.gov/elementComment.aspx?elementName=Individualized Program Service Plan Amendment Description &amp;elementID=14670", "Click here to submit comment")</f>
        <v>Click here to submit comment</v>
      </c>
    </row>
    <row r="1187" spans="1:14" ht="45" x14ac:dyDescent="0.25">
      <c r="A1187" s="9" t="s">
        <v>11531</v>
      </c>
      <c r="B1187" s="9" t="s">
        <v>11532</v>
      </c>
      <c r="C1187" s="9" t="s">
        <v>12</v>
      </c>
      <c r="D1187" s="9" t="s">
        <v>11528</v>
      </c>
      <c r="E1187" s="9"/>
      <c r="F1187" s="9" t="s">
        <v>303</v>
      </c>
      <c r="G1187" s="9"/>
      <c r="H1187" s="9"/>
      <c r="I1187" s="9" t="s">
        <v>11533</v>
      </c>
      <c r="J1187" s="9"/>
      <c r="K1187" s="9" t="s">
        <v>11534</v>
      </c>
      <c r="L1187" s="9"/>
      <c r="M1187" s="9" t="str">
        <f>HYPERLINK("https://ceds.ed.gov/cedselementdetails.aspx?termid=14669")</f>
        <v>https://ceds.ed.gov/cedselementdetails.aspx?termid=14669</v>
      </c>
      <c r="N1187" s="9" t="str">
        <f>HYPERLINK("https://ceds.ed.gov/elementComment.aspx?elementName=Individualized Program Service Plan Amendment Reason Description &amp;elementID=14669", "Click here to submit comment")</f>
        <v>Click here to submit comment</v>
      </c>
    </row>
    <row r="1188" spans="1:14" ht="75" x14ac:dyDescent="0.25">
      <c r="A1188" s="9" t="s">
        <v>3388</v>
      </c>
      <c r="B1188" s="9" t="s">
        <v>3389</v>
      </c>
      <c r="C1188" s="9" t="s">
        <v>12</v>
      </c>
      <c r="D1188" s="9" t="s">
        <v>6231</v>
      </c>
      <c r="E1188" s="9"/>
      <c r="F1188" s="9" t="s">
        <v>73</v>
      </c>
      <c r="G1188" s="9"/>
      <c r="H1188" s="9"/>
      <c r="I1188" s="9" t="s">
        <v>3390</v>
      </c>
      <c r="J1188" s="9"/>
      <c r="K1188" s="9" t="s">
        <v>3391</v>
      </c>
      <c r="L1188" s="9"/>
      <c r="M1188" s="9" t="str">
        <f>HYPERLINK("https://ceds.ed.gov/cedselementdetails.aspx?termid=14201")</f>
        <v>https://ceds.ed.gov/cedselementdetails.aspx?termid=14201</v>
      </c>
      <c r="N1188" s="9" t="str">
        <f>HYPERLINK("https://ceds.ed.gov/elementComment.aspx?elementName=Individualized Program Service Plan Date &amp;elementID=14201", "Click here to submit comment")</f>
        <v>Click here to submit comment</v>
      </c>
    </row>
    <row r="1189" spans="1:14" ht="120" x14ac:dyDescent="0.25">
      <c r="A1189" s="9" t="s">
        <v>11535</v>
      </c>
      <c r="B1189" s="9" t="s">
        <v>3360</v>
      </c>
      <c r="C1189" s="10" t="s">
        <v>6555</v>
      </c>
      <c r="D1189" s="9" t="s">
        <v>6231</v>
      </c>
      <c r="E1189" s="9"/>
      <c r="F1189" s="9"/>
      <c r="G1189" s="9"/>
      <c r="H1189" s="9"/>
      <c r="I1189" s="9" t="s">
        <v>3361</v>
      </c>
      <c r="J1189" s="9"/>
      <c r="K1189" s="9" t="s">
        <v>3362</v>
      </c>
      <c r="L1189" s="9"/>
      <c r="M1189" s="9" t="str">
        <f>HYPERLINK("https://ceds.ed.gov/cedselementdetails.aspx?termid=14196")</f>
        <v>https://ceds.ed.gov/cedselementdetails.aspx?termid=14196</v>
      </c>
      <c r="N1189" s="9" t="str">
        <f>HYPERLINK("https://ceds.ed.gov/elementComment.aspx?elementName=Individualized Program Service Plan Date Type &amp;elementID=14196", "Click here to submit comment")</f>
        <v>Click here to submit comment</v>
      </c>
    </row>
    <row r="1190" spans="1:14" ht="45" x14ac:dyDescent="0.25">
      <c r="A1190" s="9" t="s">
        <v>11536</v>
      </c>
      <c r="B1190" s="9" t="s">
        <v>11537</v>
      </c>
      <c r="C1190" s="9" t="s">
        <v>12</v>
      </c>
      <c r="D1190" s="9" t="s">
        <v>11506</v>
      </c>
      <c r="E1190" s="9"/>
      <c r="F1190" s="9" t="s">
        <v>73</v>
      </c>
      <c r="G1190" s="9"/>
      <c r="H1190" s="9"/>
      <c r="I1190" s="9" t="s">
        <v>11538</v>
      </c>
      <c r="J1190" s="9"/>
      <c r="K1190" s="9" t="s">
        <v>11539</v>
      </c>
      <c r="L1190" s="9"/>
      <c r="M1190" s="9" t="str">
        <f>HYPERLINK("https://ceds.ed.gov/cedselementdetails.aspx?termid=14664")</f>
        <v>https://ceds.ed.gov/cedselementdetails.aspx?termid=14664</v>
      </c>
      <c r="N1190" s="9" t="str">
        <f>HYPERLINK("https://ceds.ed.gov/elementComment.aspx?elementName=Individualized Program Service Plan End Date &amp;elementID=14664", "Click here to submit comment")</f>
        <v>Click here to submit comment</v>
      </c>
    </row>
    <row r="1191" spans="1:14" ht="45" x14ac:dyDescent="0.25">
      <c r="A1191" s="9" t="s">
        <v>11540</v>
      </c>
      <c r="B1191" s="9" t="s">
        <v>11541</v>
      </c>
      <c r="C1191" s="9" t="s">
        <v>12</v>
      </c>
      <c r="D1191" s="9" t="s">
        <v>11506</v>
      </c>
      <c r="E1191" s="9"/>
      <c r="F1191" s="9" t="s">
        <v>73</v>
      </c>
      <c r="G1191" s="9"/>
      <c r="H1191" s="9"/>
      <c r="I1191" s="9" t="s">
        <v>11542</v>
      </c>
      <c r="J1191" s="9"/>
      <c r="K1191" s="9" t="s">
        <v>11543</v>
      </c>
      <c r="L1191" s="9"/>
      <c r="M1191" s="9" t="str">
        <f>HYPERLINK("https://ceds.ed.gov/cedselementdetails.aspx?termid=14665")</f>
        <v>https://ceds.ed.gov/cedselementdetails.aspx?termid=14665</v>
      </c>
      <c r="N1191" s="9" t="str">
        <f>HYPERLINK("https://ceds.ed.gov/elementComment.aspx?elementName=Individualized Program Service Plan Meeting Date &amp;elementID=14665", "Click here to submit comment")</f>
        <v>Click here to submit comment</v>
      </c>
    </row>
    <row r="1192" spans="1:14" ht="255" x14ac:dyDescent="0.25">
      <c r="A1192" s="9" t="s">
        <v>3392</v>
      </c>
      <c r="B1192" s="9" t="s">
        <v>3393</v>
      </c>
      <c r="C1192" s="10" t="s">
        <v>6558</v>
      </c>
      <c r="D1192" s="9" t="s">
        <v>6231</v>
      </c>
      <c r="E1192" s="9"/>
      <c r="F1192" s="9"/>
      <c r="G1192" s="9"/>
      <c r="H1192" s="9"/>
      <c r="I1192" s="9" t="s">
        <v>3394</v>
      </c>
      <c r="J1192" s="9"/>
      <c r="K1192" s="9" t="s">
        <v>3395</v>
      </c>
      <c r="L1192" s="9"/>
      <c r="M1192" s="9" t="str">
        <f>HYPERLINK("https://ceds.ed.gov/cedselementdetails.aspx?termid=14202")</f>
        <v>https://ceds.ed.gov/cedselementdetails.aspx?termid=14202</v>
      </c>
      <c r="N1192" s="9" t="str">
        <f>HYPERLINK("https://ceds.ed.gov/elementComment.aspx?elementName=Individualized Program Service Plan Meeting Location &amp;elementID=14202", "Click here to submit comment")</f>
        <v>Click here to submit comment</v>
      </c>
    </row>
    <row r="1193" spans="1:14" ht="75" x14ac:dyDescent="0.25">
      <c r="A1193" s="9" t="s">
        <v>3396</v>
      </c>
      <c r="B1193" s="9" t="s">
        <v>3397</v>
      </c>
      <c r="C1193" s="9" t="s">
        <v>12</v>
      </c>
      <c r="D1193" s="9" t="s">
        <v>6231</v>
      </c>
      <c r="E1193" s="9"/>
      <c r="F1193" s="9" t="s">
        <v>303</v>
      </c>
      <c r="G1193" s="9"/>
      <c r="H1193" s="9"/>
      <c r="I1193" s="9" t="s">
        <v>3398</v>
      </c>
      <c r="J1193" s="9"/>
      <c r="K1193" s="9" t="s">
        <v>3399</v>
      </c>
      <c r="L1193" s="9"/>
      <c r="M1193" s="9" t="str">
        <f>HYPERLINK("https://ceds.ed.gov/cedselementdetails.aspx?termid=14203")</f>
        <v>https://ceds.ed.gov/cedselementdetails.aspx?termid=14203</v>
      </c>
      <c r="N1193" s="9" t="str">
        <f>HYPERLINK("https://ceds.ed.gov/elementComment.aspx?elementName=Individualized Program Service Plan Meeting Participants &amp;elementID=14203", "Click here to submit comment")</f>
        <v>Click here to submit comment</v>
      </c>
    </row>
    <row r="1194" spans="1:14" ht="75" x14ac:dyDescent="0.25">
      <c r="A1194" s="9" t="s">
        <v>11544</v>
      </c>
      <c r="B1194" s="9" t="s">
        <v>11545</v>
      </c>
      <c r="C1194" s="9" t="s">
        <v>12</v>
      </c>
      <c r="D1194" s="9" t="s">
        <v>11546</v>
      </c>
      <c r="E1194" s="9"/>
      <c r="F1194" s="9" t="s">
        <v>73</v>
      </c>
      <c r="G1194" s="9"/>
      <c r="H1194" s="9"/>
      <c r="I1194" s="9" t="s">
        <v>11547</v>
      </c>
      <c r="J1194" s="9"/>
      <c r="K1194" s="9" t="s">
        <v>11548</v>
      </c>
      <c r="L1194" s="9"/>
      <c r="M1194" s="9" t="str">
        <f>HYPERLINK("https://ceds.ed.gov/cedselementdetails.aspx?termid=14680")</f>
        <v>https://ceds.ed.gov/cedselementdetails.aspx?termid=14680</v>
      </c>
      <c r="N1194" s="9" t="str">
        <f>HYPERLINK("https://ceds.ed.gov/elementComment.aspx?elementName=Individualized Program Service Plan Progress Report Date &amp;elementID=14680", "Click here to submit comment")</f>
        <v>Click here to submit comment</v>
      </c>
    </row>
    <row r="1195" spans="1:14" ht="90" x14ac:dyDescent="0.25">
      <c r="A1195" s="9" t="s">
        <v>11549</v>
      </c>
      <c r="B1195" s="9" t="s">
        <v>11550</v>
      </c>
      <c r="C1195" s="9" t="s">
        <v>12</v>
      </c>
      <c r="D1195" s="9" t="s">
        <v>11546</v>
      </c>
      <c r="E1195" s="9"/>
      <c r="F1195" s="9" t="s">
        <v>303</v>
      </c>
      <c r="G1195" s="9"/>
      <c r="H1195" s="9"/>
      <c r="I1195" s="9" t="s">
        <v>11551</v>
      </c>
      <c r="J1195" s="9"/>
      <c r="K1195" s="9" t="s">
        <v>11552</v>
      </c>
      <c r="L1195" s="9"/>
      <c r="M1195" s="9" t="str">
        <f>HYPERLINK("https://ceds.ed.gov/cedselementdetails.aspx?termid=14681")</f>
        <v>https://ceds.ed.gov/cedselementdetails.aspx?termid=14681</v>
      </c>
      <c r="N1195" s="9" t="str">
        <f>HYPERLINK("https://ceds.ed.gov/elementComment.aspx?elementName=Individualized Program Service Plan Progress Report Description &amp;elementID=14681", "Click here to submit comment")</f>
        <v>Click here to submit comment</v>
      </c>
    </row>
    <row r="1196" spans="1:14" ht="105" x14ac:dyDescent="0.25">
      <c r="A1196" s="9" t="s">
        <v>11553</v>
      </c>
      <c r="B1196" s="9" t="s">
        <v>11554</v>
      </c>
      <c r="C1196" s="10" t="s">
        <v>11887</v>
      </c>
      <c r="D1196" s="9" t="s">
        <v>11506</v>
      </c>
      <c r="E1196" s="9"/>
      <c r="F1196" s="9"/>
      <c r="G1196" s="9"/>
      <c r="H1196" s="9"/>
      <c r="I1196" s="9" t="s">
        <v>11555</v>
      </c>
      <c r="J1196" s="9"/>
      <c r="K1196" s="9" t="s">
        <v>11556</v>
      </c>
      <c r="L1196" s="9"/>
      <c r="M1196" s="9" t="str">
        <f>HYPERLINK("https://ceds.ed.gov/cedselementdetails.aspx?termid=14662")</f>
        <v>https://ceds.ed.gov/cedselementdetails.aspx?termid=14662</v>
      </c>
      <c r="N1196" s="9" t="str">
        <f>HYPERLINK("https://ceds.ed.gov/elementComment.aspx?elementName=Individualized Program Service Plan Progress Report Schedule &amp;elementID=14662", "Click here to submit comment")</f>
        <v>Click here to submit comment</v>
      </c>
    </row>
    <row r="1197" spans="1:14" ht="90" x14ac:dyDescent="0.25">
      <c r="A1197" s="9" t="s">
        <v>11557</v>
      </c>
      <c r="B1197" s="9" t="s">
        <v>11558</v>
      </c>
      <c r="C1197" s="10" t="s">
        <v>11888</v>
      </c>
      <c r="D1197" s="9" t="s">
        <v>11559</v>
      </c>
      <c r="E1197" s="9"/>
      <c r="F1197" s="9"/>
      <c r="G1197" s="9"/>
      <c r="H1197" s="9"/>
      <c r="I1197" s="9" t="s">
        <v>11560</v>
      </c>
      <c r="J1197" s="9"/>
      <c r="K1197" s="9" t="s">
        <v>11561</v>
      </c>
      <c r="L1197" s="9"/>
      <c r="M1197" s="9" t="str">
        <f>HYPERLINK("https://ceds.ed.gov/cedselementdetails.aspx?termid=14682")</f>
        <v>https://ceds.ed.gov/cedselementdetails.aspx?termid=14682</v>
      </c>
      <c r="N1197" s="9" t="str">
        <f>HYPERLINK("https://ceds.ed.gov/elementComment.aspx?elementName=Individualized Program Service Plan Progress Report Type &amp;elementID=14682", "Click here to submit comment")</f>
        <v>Click here to submit comment</v>
      </c>
    </row>
    <row r="1198" spans="1:14" ht="75" x14ac:dyDescent="0.25">
      <c r="A1198" s="9" t="s">
        <v>3400</v>
      </c>
      <c r="B1198" s="9" t="s">
        <v>3401</v>
      </c>
      <c r="C1198" s="9" t="s">
        <v>12</v>
      </c>
      <c r="D1198" s="9" t="s">
        <v>6231</v>
      </c>
      <c r="E1198" s="9"/>
      <c r="F1198" s="9" t="s">
        <v>73</v>
      </c>
      <c r="G1198" s="9"/>
      <c r="H1198" s="9"/>
      <c r="I1198" s="9" t="s">
        <v>3402</v>
      </c>
      <c r="J1198" s="9"/>
      <c r="K1198" s="9" t="s">
        <v>3403</v>
      </c>
      <c r="L1198" s="9"/>
      <c r="M1198" s="9" t="str">
        <f>HYPERLINK("https://ceds.ed.gov/cedselementdetails.aspx?termid=14207")</f>
        <v>https://ceds.ed.gov/cedselementdetails.aspx?termid=14207</v>
      </c>
      <c r="N1198" s="9" t="str">
        <f>HYPERLINK("https://ceds.ed.gov/elementComment.aspx?elementName=Individualized Program Service Plan Reevaluation Date &amp;elementID=14207", "Click here to submit comment")</f>
        <v>Click here to submit comment</v>
      </c>
    </row>
    <row r="1199" spans="1:14" ht="75" x14ac:dyDescent="0.25">
      <c r="A1199" s="9" t="s">
        <v>3404</v>
      </c>
      <c r="B1199" s="9" t="s">
        <v>3405</v>
      </c>
      <c r="C1199" s="9" t="s">
        <v>12</v>
      </c>
      <c r="D1199" s="9" t="s">
        <v>6231</v>
      </c>
      <c r="E1199" s="9"/>
      <c r="F1199" s="9" t="s">
        <v>73</v>
      </c>
      <c r="G1199" s="9"/>
      <c r="H1199" s="9"/>
      <c r="I1199" s="9" t="s">
        <v>3406</v>
      </c>
      <c r="J1199" s="9"/>
      <c r="K1199" s="9" t="s">
        <v>3407</v>
      </c>
      <c r="L1199" s="9"/>
      <c r="M1199" s="9" t="str">
        <f>HYPERLINK("https://ceds.ed.gov/cedselementdetails.aspx?termid=14205")</f>
        <v>https://ceds.ed.gov/cedselementdetails.aspx?termid=14205</v>
      </c>
      <c r="N1199" s="9" t="str">
        <f>HYPERLINK("https://ceds.ed.gov/elementComment.aspx?elementName=Individualized Program Service Plan Signature Date &amp;elementID=14205", "Click here to submit comment")</f>
        <v>Click here to submit comment</v>
      </c>
    </row>
    <row r="1200" spans="1:14" ht="75" x14ac:dyDescent="0.25">
      <c r="A1200" s="9" t="s">
        <v>3408</v>
      </c>
      <c r="B1200" s="9" t="s">
        <v>3409</v>
      </c>
      <c r="C1200" s="9" t="s">
        <v>12</v>
      </c>
      <c r="D1200" s="9" t="s">
        <v>6231</v>
      </c>
      <c r="E1200" s="9"/>
      <c r="F1200" s="9" t="s">
        <v>303</v>
      </c>
      <c r="G1200" s="9"/>
      <c r="H1200" s="9"/>
      <c r="I1200" s="9" t="s">
        <v>3410</v>
      </c>
      <c r="J1200" s="9"/>
      <c r="K1200" s="9" t="s">
        <v>3411</v>
      </c>
      <c r="L1200" s="9"/>
      <c r="M1200" s="9" t="str">
        <f>HYPERLINK("https://ceds.ed.gov/cedselementdetails.aspx?termid=14204")</f>
        <v>https://ceds.ed.gov/cedselementdetails.aspx?termid=14204</v>
      </c>
      <c r="N1200" s="9" t="str">
        <f>HYPERLINK("https://ceds.ed.gov/elementComment.aspx?elementName=Individualized Program Service Plan Signed By &amp;elementID=14204", "Click here to submit comment")</f>
        <v>Click here to submit comment</v>
      </c>
    </row>
    <row r="1201" spans="1:14" ht="75" x14ac:dyDescent="0.25">
      <c r="A1201" s="9" t="s">
        <v>3412</v>
      </c>
      <c r="B1201" s="9" t="s">
        <v>3413</v>
      </c>
      <c r="C1201" s="10" t="s">
        <v>6559</v>
      </c>
      <c r="D1201" s="9" t="s">
        <v>11506</v>
      </c>
      <c r="E1201" s="9"/>
      <c r="F1201" s="9"/>
      <c r="G1201" s="9"/>
      <c r="H1201" s="9"/>
      <c r="I1201" s="9" t="s">
        <v>3414</v>
      </c>
      <c r="J1201" s="9"/>
      <c r="K1201" s="9" t="s">
        <v>3415</v>
      </c>
      <c r="L1201" s="9"/>
      <c r="M1201" s="9" t="str">
        <f>HYPERLINK("https://ceds.ed.gov/cedselementdetails.aspx?termid=14200")</f>
        <v>https://ceds.ed.gov/cedselementdetails.aspx?termid=14200</v>
      </c>
      <c r="N1201" s="9" t="str">
        <f>HYPERLINK("https://ceds.ed.gov/elementComment.aspx?elementName=Individualized Program Transition Plan Type &amp;elementID=14200", "Click here to submit comment")</f>
        <v>Click here to submit comment</v>
      </c>
    </row>
    <row r="1202" spans="1:14" ht="270" x14ac:dyDescent="0.25">
      <c r="A1202" s="9" t="s">
        <v>3416</v>
      </c>
      <c r="B1202" s="9" t="s">
        <v>3417</v>
      </c>
      <c r="C1202" s="10" t="s">
        <v>11889</v>
      </c>
      <c r="D1202" s="9" t="s">
        <v>6232</v>
      </c>
      <c r="E1202" s="9" t="s">
        <v>91</v>
      </c>
      <c r="F1202" s="9"/>
      <c r="G1202" s="9"/>
      <c r="H1202" s="9"/>
      <c r="I1202" s="9" t="s">
        <v>3418</v>
      </c>
      <c r="J1202" s="9"/>
      <c r="K1202" s="9" t="s">
        <v>3419</v>
      </c>
      <c r="L1202" s="9" t="s">
        <v>6124</v>
      </c>
      <c r="M1202" s="9" t="str">
        <f>HYPERLINK("https://ceds.ed.gov/cedselementdetails.aspx?termid=13320")</f>
        <v>https://ceds.ed.gov/cedselementdetails.aspx?termid=13320</v>
      </c>
      <c r="N1202" s="9" t="str">
        <f>HYPERLINK("https://ceds.ed.gov/elementComment.aspx?elementName=Individualized Program Type &amp;elementID=13320", "Click here to submit comment")</f>
        <v>Click here to submit comment</v>
      </c>
    </row>
    <row r="1203" spans="1:14" ht="75" x14ac:dyDescent="0.25">
      <c r="A1203" s="9" t="s">
        <v>3420</v>
      </c>
      <c r="B1203" s="9" t="s">
        <v>3421</v>
      </c>
      <c r="C1203" s="9" t="s">
        <v>12</v>
      </c>
      <c r="D1203" s="9" t="s">
        <v>1808</v>
      </c>
      <c r="E1203" s="9"/>
      <c r="F1203" s="9" t="s">
        <v>87</v>
      </c>
      <c r="G1203" s="9"/>
      <c r="H1203" s="9"/>
      <c r="I1203" s="9" t="s">
        <v>3422</v>
      </c>
      <c r="J1203" s="9"/>
      <c r="K1203" s="9" t="s">
        <v>3423</v>
      </c>
      <c r="L1203" s="9" t="s">
        <v>6115</v>
      </c>
      <c r="M1203" s="9" t="str">
        <f>HYPERLINK("https://ceds.ed.gov/cedselementdetails.aspx?termid=13165")</f>
        <v>https://ceds.ed.gov/cedselementdetails.aspx?termid=13165</v>
      </c>
      <c r="N1203" s="9" t="str">
        <f>HYPERLINK("https://ceds.ed.gov/elementComment.aspx?elementName=Initial Enrollment Term &amp;elementID=13165", "Click here to submit comment")</f>
        <v>Click here to submit comment</v>
      </c>
    </row>
    <row r="1204" spans="1:14" ht="45" x14ac:dyDescent="0.25">
      <c r="A1204" s="9" t="s">
        <v>3424</v>
      </c>
      <c r="B1204" s="9" t="s">
        <v>3425</v>
      </c>
      <c r="C1204" s="9" t="s">
        <v>12</v>
      </c>
      <c r="D1204" s="9" t="s">
        <v>1851</v>
      </c>
      <c r="E1204" s="9"/>
      <c r="F1204" s="9" t="s">
        <v>73</v>
      </c>
      <c r="G1204" s="9"/>
      <c r="H1204" s="9"/>
      <c r="I1204" s="9" t="s">
        <v>3426</v>
      </c>
      <c r="J1204" s="9"/>
      <c r="K1204" s="9" t="s">
        <v>3427</v>
      </c>
      <c r="L1204" s="9" t="s">
        <v>6172</v>
      </c>
      <c r="M1204" s="9" t="str">
        <f>HYPERLINK("https://ceds.ed.gov/cedselementdetails.aspx?termid=13347")</f>
        <v>https://ceds.ed.gov/cedselementdetails.aspx?termid=13347</v>
      </c>
      <c r="N1204" s="9" t="str">
        <f>HYPERLINK("https://ceds.ed.gov/elementComment.aspx?elementName=Initial License Date &amp;elementID=13347", "Click here to submit comment")</f>
        <v>Click here to submit comment</v>
      </c>
    </row>
    <row r="1205" spans="1:14" ht="45" x14ac:dyDescent="0.25">
      <c r="A1205" s="9" t="s">
        <v>3428</v>
      </c>
      <c r="B1205" s="9" t="s">
        <v>3429</v>
      </c>
      <c r="C1205" s="9" t="s">
        <v>12</v>
      </c>
      <c r="D1205" s="9" t="s">
        <v>11363</v>
      </c>
      <c r="E1205" s="9"/>
      <c r="F1205" s="9" t="s">
        <v>1513</v>
      </c>
      <c r="G1205" s="9"/>
      <c r="H1205" s="9"/>
      <c r="I1205" s="9" t="s">
        <v>3430</v>
      </c>
      <c r="J1205" s="9"/>
      <c r="K1205" s="9" t="s">
        <v>3431</v>
      </c>
      <c r="L1205" s="9" t="s">
        <v>188</v>
      </c>
      <c r="M1205" s="9" t="str">
        <f>HYPERLINK("https://ceds.ed.gov/cedselementdetails.aspx?termid=13451")</f>
        <v>https://ceds.ed.gov/cedselementdetails.aspx?termid=13451</v>
      </c>
      <c r="N1205" s="9" t="str">
        <f>HYPERLINK("https://ceds.ed.gov/elementComment.aspx?elementName=Innovative Dollars Spent &amp;elementID=13451", "Click here to submit comment")</f>
        <v>Click here to submit comment</v>
      </c>
    </row>
    <row r="1206" spans="1:14" ht="45" x14ac:dyDescent="0.25">
      <c r="A1206" s="9" t="s">
        <v>3432</v>
      </c>
      <c r="B1206" s="9" t="s">
        <v>3433</v>
      </c>
      <c r="C1206" s="9" t="s">
        <v>12</v>
      </c>
      <c r="D1206" s="9" t="s">
        <v>11363</v>
      </c>
      <c r="E1206" s="9"/>
      <c r="F1206" s="9" t="s">
        <v>1513</v>
      </c>
      <c r="G1206" s="9"/>
      <c r="H1206" s="9"/>
      <c r="I1206" s="9" t="s">
        <v>3434</v>
      </c>
      <c r="J1206" s="9"/>
      <c r="K1206" s="9" t="s">
        <v>3435</v>
      </c>
      <c r="L1206" s="9" t="s">
        <v>188</v>
      </c>
      <c r="M1206" s="9" t="str">
        <f>HYPERLINK("https://ceds.ed.gov/cedselementdetails.aspx?termid=13452")</f>
        <v>https://ceds.ed.gov/cedselementdetails.aspx?termid=13452</v>
      </c>
      <c r="N1206" s="9" t="str">
        <f>HYPERLINK("https://ceds.ed.gov/elementComment.aspx?elementName=Innovative Dollars Spent on Strategic Priorities &amp;elementID=13452", "Click here to submit comment")</f>
        <v>Click here to submit comment</v>
      </c>
    </row>
    <row r="1207" spans="1:14" ht="45" x14ac:dyDescent="0.25">
      <c r="A1207" s="9" t="s">
        <v>3436</v>
      </c>
      <c r="B1207" s="9" t="s">
        <v>3437</v>
      </c>
      <c r="C1207" s="9" t="s">
        <v>12</v>
      </c>
      <c r="D1207" s="9" t="s">
        <v>11363</v>
      </c>
      <c r="E1207" s="9"/>
      <c r="F1207" s="9" t="s">
        <v>1513</v>
      </c>
      <c r="G1207" s="9"/>
      <c r="H1207" s="9"/>
      <c r="I1207" s="9" t="s">
        <v>3438</v>
      </c>
      <c r="J1207" s="9"/>
      <c r="K1207" s="9" t="s">
        <v>3439</v>
      </c>
      <c r="L1207" s="9" t="s">
        <v>188</v>
      </c>
      <c r="M1207" s="9" t="str">
        <f>HYPERLINK("https://ceds.ed.gov/cedselementdetails.aspx?termid=13454")</f>
        <v>https://ceds.ed.gov/cedselementdetails.aspx?termid=13454</v>
      </c>
      <c r="N1207" s="9" t="str">
        <f>HYPERLINK("https://ceds.ed.gov/elementComment.aspx?elementName=Innovative Programs Funds Received &amp;elementID=13454", "Click here to submit comment")</f>
        <v>Click here to submit comment</v>
      </c>
    </row>
    <row r="1208" spans="1:14" ht="45" x14ac:dyDescent="0.25">
      <c r="A1208" s="9" t="s">
        <v>8308</v>
      </c>
      <c r="B1208" s="9" t="s">
        <v>8309</v>
      </c>
      <c r="C1208" s="9" t="s">
        <v>12</v>
      </c>
      <c r="D1208" s="9" t="s">
        <v>10535</v>
      </c>
      <c r="E1208" s="9" t="s">
        <v>1457</v>
      </c>
      <c r="F1208" s="9" t="s">
        <v>1813</v>
      </c>
      <c r="G1208" s="9"/>
      <c r="H1208" s="9"/>
      <c r="I1208" s="9" t="s">
        <v>11562</v>
      </c>
      <c r="J1208" s="9"/>
      <c r="K1208" s="9" t="s">
        <v>11563</v>
      </c>
      <c r="L1208" s="9"/>
      <c r="M1208" s="9" t="str">
        <f>HYPERLINK("https://ceds.ed.gov/cedselementdetails.aspx?termid=14829")</f>
        <v>https://ceds.ed.gov/cedselementdetails.aspx?termid=14829</v>
      </c>
      <c r="N1208" s="9" t="str">
        <f>HYPERLINK("https://ceds.ed.gov/elementComment.aspx?elementName=Installation Date &amp;elementID=14829", "Click here to submit comment")</f>
        <v>Click here to submit comment</v>
      </c>
    </row>
    <row r="1209" spans="1:14" ht="75" x14ac:dyDescent="0.25">
      <c r="A1209" s="9" t="s">
        <v>3440</v>
      </c>
      <c r="B1209" s="9" t="s">
        <v>3441</v>
      </c>
      <c r="C1209" s="9" t="s">
        <v>12</v>
      </c>
      <c r="D1209" s="9" t="s">
        <v>213</v>
      </c>
      <c r="E1209" s="9"/>
      <c r="F1209" s="9" t="s">
        <v>11051</v>
      </c>
      <c r="G1209" s="9"/>
      <c r="H1209" s="9"/>
      <c r="I1209" s="9" t="s">
        <v>3442</v>
      </c>
      <c r="J1209" s="9" t="s">
        <v>3443</v>
      </c>
      <c r="K1209" s="9" t="s">
        <v>3444</v>
      </c>
      <c r="L1209" s="9" t="s">
        <v>6115</v>
      </c>
      <c r="M1209" s="9" t="str">
        <f>HYPERLINK("https://ceds.ed.gov/cedselementdetails.aspx?termid=13166")</f>
        <v>https://ceds.ed.gov/cedselementdetails.aspx?termid=13166</v>
      </c>
      <c r="N1209" s="9" t="str">
        <f>HYPERLINK("https://ceds.ed.gov/elementComment.aspx?elementName=Institution IPEDS UnitID &amp;elementID=13166", "Click here to submit comment")</f>
        <v>Click here to submit comment</v>
      </c>
    </row>
    <row r="1210" spans="1:14" ht="165" x14ac:dyDescent="0.25">
      <c r="A1210" s="9" t="s">
        <v>3445</v>
      </c>
      <c r="B1210" s="9" t="s">
        <v>3446</v>
      </c>
      <c r="C1210" s="10" t="s">
        <v>6560</v>
      </c>
      <c r="D1210" s="9" t="s">
        <v>11564</v>
      </c>
      <c r="E1210" s="9"/>
      <c r="F1210" s="9"/>
      <c r="G1210" s="9"/>
      <c r="H1210" s="9"/>
      <c r="I1210" s="9" t="s">
        <v>3447</v>
      </c>
      <c r="J1210" s="9"/>
      <c r="K1210" s="9" t="s">
        <v>3448</v>
      </c>
      <c r="L1210" s="9"/>
      <c r="M1210" s="9" t="str">
        <f>HYPERLINK("https://ceds.ed.gov/cedselementdetails.aspx?termid=13167")</f>
        <v>https://ceds.ed.gov/cedselementdetails.aspx?termid=13167</v>
      </c>
      <c r="N1210" s="9" t="str">
        <f>HYPERLINK("https://ceds.ed.gov/elementComment.aspx?elementName=Institution Telephone Number Type &amp;elementID=13167", "Click here to submit comment")</f>
        <v>Click here to submit comment</v>
      </c>
    </row>
    <row r="1211" spans="1:14" ht="105" x14ac:dyDescent="0.25">
      <c r="A1211" s="9" t="s">
        <v>3449</v>
      </c>
      <c r="B1211" s="9" t="s">
        <v>3450</v>
      </c>
      <c r="C1211" s="9" t="s">
        <v>6106</v>
      </c>
      <c r="D1211" s="9" t="s">
        <v>213</v>
      </c>
      <c r="E1211" s="9"/>
      <c r="F1211" s="9"/>
      <c r="G1211" s="9"/>
      <c r="H1211" s="9" t="s">
        <v>344</v>
      </c>
      <c r="I1211" s="9" t="s">
        <v>3451</v>
      </c>
      <c r="J1211" s="9"/>
      <c r="K1211" s="9" t="s">
        <v>3452</v>
      </c>
      <c r="L1211" s="9" t="s">
        <v>1552</v>
      </c>
      <c r="M1211" s="9" t="str">
        <f>HYPERLINK("https://ceds.ed.gov/cedselementdetails.aspx?termid=13727")</f>
        <v>https://ceds.ed.gov/cedselementdetails.aspx?termid=13727</v>
      </c>
      <c r="N1211" s="9" t="str">
        <f>HYPERLINK("https://ceds.ed.gov/elementComment.aspx?elementName=Institutionally Controlled Housing Status &amp;elementID=13727", "Click here to submit comment")</f>
        <v>Click here to submit comment</v>
      </c>
    </row>
    <row r="1212" spans="1:14" ht="120" x14ac:dyDescent="0.25">
      <c r="A1212" s="9" t="s">
        <v>3453</v>
      </c>
      <c r="B1212" s="9" t="s">
        <v>3454</v>
      </c>
      <c r="C1212" s="10" t="s">
        <v>6561</v>
      </c>
      <c r="D1212" s="9" t="s">
        <v>33</v>
      </c>
      <c r="E1212" s="9"/>
      <c r="F1212" s="9"/>
      <c r="G1212" s="9"/>
      <c r="H1212" s="9" t="s">
        <v>3455</v>
      </c>
      <c r="I1212" s="9" t="s">
        <v>3456</v>
      </c>
      <c r="J1212" s="9"/>
      <c r="K1212" s="9" t="s">
        <v>3457</v>
      </c>
      <c r="L1212" s="9" t="s">
        <v>37</v>
      </c>
      <c r="M1212" s="9" t="str">
        <f>HYPERLINK("https://ceds.ed.gov/cedselementdetails.aspx?termid=13719")</f>
        <v>https://ceds.ed.gov/cedselementdetails.aspx?termid=13719</v>
      </c>
      <c r="N1212" s="9" t="str">
        <f>HYPERLINK("https://ceds.ed.gov/elementComment.aspx?elementName=Instruction Credit Type &amp;elementID=13719", "Click here to submit comment")</f>
        <v>Click here to submit comment</v>
      </c>
    </row>
    <row r="1213" spans="1:14" ht="135" x14ac:dyDescent="0.25">
      <c r="A1213" s="9" t="s">
        <v>3458</v>
      </c>
      <c r="B1213" s="9" t="s">
        <v>3459</v>
      </c>
      <c r="C1213" s="11" t="s">
        <v>966</v>
      </c>
      <c r="D1213" s="9" t="s">
        <v>10483</v>
      </c>
      <c r="E1213" s="9"/>
      <c r="F1213" s="9"/>
      <c r="G1213" s="9"/>
      <c r="H1213" s="11" t="s">
        <v>967</v>
      </c>
      <c r="I1213" s="9" t="s">
        <v>3460</v>
      </c>
      <c r="J1213" s="9"/>
      <c r="K1213" s="9" t="s">
        <v>3461</v>
      </c>
      <c r="L1213" s="9" t="s">
        <v>188</v>
      </c>
      <c r="M1213" s="9" t="str">
        <f>HYPERLINK("https://ceds.ed.gov/cedselementdetails.aspx?termid=13438")</f>
        <v>https://ceds.ed.gov/cedselementdetails.aspx?termid=13438</v>
      </c>
      <c r="N1213" s="9" t="str">
        <f>HYPERLINK("https://ceds.ed.gov/elementComment.aspx?elementName=Instruction Language &amp;elementID=13438", "Click here to submit comment")</f>
        <v>Click here to submit comment</v>
      </c>
    </row>
    <row r="1214" spans="1:14" ht="45" x14ac:dyDescent="0.25">
      <c r="A1214" s="9" t="s">
        <v>3462</v>
      </c>
      <c r="B1214" s="9" t="s">
        <v>3463</v>
      </c>
      <c r="C1214" s="9" t="s">
        <v>12</v>
      </c>
      <c r="D1214" s="9" t="s">
        <v>2340</v>
      </c>
      <c r="E1214" s="9"/>
      <c r="F1214" s="9" t="s">
        <v>1513</v>
      </c>
      <c r="G1214" s="9"/>
      <c r="H1214" s="9"/>
      <c r="I1214" s="9" t="s">
        <v>3464</v>
      </c>
      <c r="J1214" s="9"/>
      <c r="K1214" s="9" t="s">
        <v>3465</v>
      </c>
      <c r="L1214" s="9" t="s">
        <v>6115</v>
      </c>
      <c r="M1214" s="9" t="str">
        <f>HYPERLINK("https://ceds.ed.gov/cedselementdetails.aspx?termid=13168")</f>
        <v>https://ceds.ed.gov/cedselementdetails.aspx?termid=13168</v>
      </c>
      <c r="N1214" s="9" t="str">
        <f>HYPERLINK("https://ceds.ed.gov/elementComment.aspx?elementName=Instructional Activity Hours Attempted &amp;elementID=13168", "Click here to submit comment")</f>
        <v>Click here to submit comment</v>
      </c>
    </row>
    <row r="1215" spans="1:14" ht="75" x14ac:dyDescent="0.25">
      <c r="A1215" s="9" t="s">
        <v>3466</v>
      </c>
      <c r="B1215" s="9" t="s">
        <v>3467</v>
      </c>
      <c r="C1215" s="9" t="s">
        <v>12</v>
      </c>
      <c r="D1215" s="9" t="s">
        <v>6233</v>
      </c>
      <c r="E1215" s="9"/>
      <c r="F1215" s="9" t="s">
        <v>1513</v>
      </c>
      <c r="G1215" s="9"/>
      <c r="H1215" s="9"/>
      <c r="I1215" s="9" t="s">
        <v>3468</v>
      </c>
      <c r="J1215" s="9"/>
      <c r="K1215" s="9" t="s">
        <v>3469</v>
      </c>
      <c r="L1215" s="9" t="s">
        <v>3470</v>
      </c>
      <c r="M1215" s="9" t="str">
        <f>HYPERLINK("https://ceds.ed.gov/cedselementdetails.aspx?termid=13361")</f>
        <v>https://ceds.ed.gov/cedselementdetails.aspx?termid=13361</v>
      </c>
      <c r="N1215" s="9" t="str">
        <f>HYPERLINK("https://ceds.ed.gov/elementComment.aspx?elementName=Instructional Activity Hours Completed &amp;elementID=13361", "Click here to submit comment")</f>
        <v>Click here to submit comment</v>
      </c>
    </row>
    <row r="1216" spans="1:14" ht="45" x14ac:dyDescent="0.25">
      <c r="A1216" s="9" t="s">
        <v>3471</v>
      </c>
      <c r="B1216" s="9" t="s">
        <v>3472</v>
      </c>
      <c r="C1216" s="10" t="s">
        <v>6562</v>
      </c>
      <c r="D1216" s="9" t="s">
        <v>2340</v>
      </c>
      <c r="E1216" s="9"/>
      <c r="F1216" s="9"/>
      <c r="G1216" s="9"/>
      <c r="H1216" s="9"/>
      <c r="I1216" s="9" t="s">
        <v>3473</v>
      </c>
      <c r="J1216" s="9"/>
      <c r="K1216" s="9" t="s">
        <v>3474</v>
      </c>
      <c r="L1216" s="9" t="s">
        <v>6115</v>
      </c>
      <c r="M1216" s="9" t="str">
        <f>HYPERLINK("https://ceds.ed.gov/cedselementdetails.aspx?termid=13169")</f>
        <v>https://ceds.ed.gov/cedselementdetails.aspx?termid=13169</v>
      </c>
      <c r="N1216" s="9" t="str">
        <f>HYPERLINK("https://ceds.ed.gov/elementComment.aspx?elementName=Instructional Activity Hours Type &amp;elementID=13169", "Click here to submit comment")</f>
        <v>Click here to submit comment</v>
      </c>
    </row>
    <row r="1217" spans="1:14" ht="15" customHeight="1" x14ac:dyDescent="0.25">
      <c r="A1217" s="9" t="s">
        <v>3475</v>
      </c>
      <c r="B1217" s="9" t="s">
        <v>3476</v>
      </c>
      <c r="C1217" s="9" t="s">
        <v>12</v>
      </c>
      <c r="D1217" s="9" t="s">
        <v>2192</v>
      </c>
      <c r="E1217" s="9"/>
      <c r="F1217" s="9" t="s">
        <v>10489</v>
      </c>
      <c r="G1217" s="9"/>
      <c r="H1217" s="9"/>
      <c r="I1217" s="9" t="s">
        <v>3477</v>
      </c>
      <c r="J1217" s="9"/>
      <c r="K1217" s="9" t="s">
        <v>3478</v>
      </c>
      <c r="L1217" s="9"/>
      <c r="M1217" s="9" t="str">
        <f>HYPERLINK("https://ceds.ed.gov/cedselementdetails.aspx?termid=13490")</f>
        <v>https://ceds.ed.gov/cedselementdetails.aspx?termid=13490</v>
      </c>
      <c r="N1217" s="9" t="str">
        <f>HYPERLINK("https://ceds.ed.gov/elementComment.aspx?elementName=Instructional Minutes &amp;elementID=13490", "Click here to submit comment")</f>
        <v>Click here to submit comment</v>
      </c>
    </row>
    <row r="1218" spans="1:14" ht="15" customHeight="1" x14ac:dyDescent="0.25">
      <c r="A1218" s="9" t="s">
        <v>3479</v>
      </c>
      <c r="B1218" s="9" t="s">
        <v>3480</v>
      </c>
      <c r="C1218" s="9" t="s">
        <v>12</v>
      </c>
      <c r="D1218" s="9" t="s">
        <v>1253</v>
      </c>
      <c r="E1218" s="9"/>
      <c r="F1218" s="9" t="s">
        <v>762</v>
      </c>
      <c r="G1218" s="9"/>
      <c r="H1218" s="9"/>
      <c r="I1218" s="9" t="s">
        <v>3481</v>
      </c>
      <c r="J1218" s="9"/>
      <c r="K1218" s="9" t="s">
        <v>3482</v>
      </c>
      <c r="L1218" s="9" t="s">
        <v>6135</v>
      </c>
      <c r="M1218" s="9" t="str">
        <f>HYPERLINK("https://ceds.ed.gov/cedselementdetails.aspx?termid=13369")</f>
        <v>https://ceds.ed.gov/cedselementdetails.aspx?termid=13369</v>
      </c>
      <c r="N1218" s="9" t="str">
        <f>HYPERLINK("https://ceds.ed.gov/elementComment.aspx?elementName=Instructional Recommendation &amp;elementID=13369", "Click here to submit comment")</f>
        <v>Click here to submit comment</v>
      </c>
    </row>
    <row r="1219" spans="1:14" ht="45" customHeight="1" x14ac:dyDescent="0.25">
      <c r="A1219" s="9" t="s">
        <v>3483</v>
      </c>
      <c r="B1219" s="9" t="s">
        <v>3484</v>
      </c>
      <c r="C1219" s="10" t="s">
        <v>6563</v>
      </c>
      <c r="D1219" s="9" t="s">
        <v>33</v>
      </c>
      <c r="E1219" s="9"/>
      <c r="F1219" s="9"/>
      <c r="G1219" s="9"/>
      <c r="H1219" s="9" t="s">
        <v>3485</v>
      </c>
      <c r="I1219" s="9" t="s">
        <v>3486</v>
      </c>
      <c r="J1219" s="9"/>
      <c r="K1219" s="9" t="s">
        <v>3487</v>
      </c>
      <c r="L1219" s="9" t="s">
        <v>37</v>
      </c>
      <c r="M1219" s="9" t="str">
        <f>HYPERLINK("https://ceds.ed.gov/cedselementdetails.aspx?termid=13712")</f>
        <v>https://ceds.ed.gov/cedselementdetails.aspx?termid=13712</v>
      </c>
      <c r="N1219" s="9" t="str">
        <f>HYPERLINK("https://ceds.ed.gov/elementComment.aspx?elementName=Instructional Staff Contract Length &amp;elementID=13712", "Click here to submit comment")</f>
        <v>Click here to submit comment</v>
      </c>
    </row>
    <row r="1220" spans="1:14" ht="105" x14ac:dyDescent="0.25">
      <c r="A1220" s="9" t="s">
        <v>3488</v>
      </c>
      <c r="B1220" s="9" t="s">
        <v>3489</v>
      </c>
      <c r="C1220" s="10" t="s">
        <v>6564</v>
      </c>
      <c r="D1220" s="9" t="s">
        <v>33</v>
      </c>
      <c r="E1220" s="9"/>
      <c r="F1220" s="9"/>
      <c r="G1220" s="9"/>
      <c r="H1220" s="9" t="s">
        <v>1861</v>
      </c>
      <c r="I1220" s="9" t="s">
        <v>3490</v>
      </c>
      <c r="J1220" s="9"/>
      <c r="K1220" s="9" t="s">
        <v>3491</v>
      </c>
      <c r="L1220" s="9" t="s">
        <v>37</v>
      </c>
      <c r="M1220" s="9" t="str">
        <f>HYPERLINK("https://ceds.ed.gov/cedselementdetails.aspx?termid=13716")</f>
        <v>https://ceds.ed.gov/cedselementdetails.aspx?termid=13716</v>
      </c>
      <c r="N1220" s="9" t="str">
        <f>HYPERLINK("https://ceds.ed.gov/elementComment.aspx?elementName=Instructional Staff Faculty Tenure Status &amp;elementID=13716", "Click here to submit comment")</f>
        <v>Click here to submit comment</v>
      </c>
    </row>
    <row r="1221" spans="1:14" ht="90" x14ac:dyDescent="0.25">
      <c r="A1221" s="9" t="s">
        <v>3492</v>
      </c>
      <c r="B1221" s="9" t="s">
        <v>3493</v>
      </c>
      <c r="C1221" s="9" t="s">
        <v>6106</v>
      </c>
      <c r="D1221" s="9" t="s">
        <v>33</v>
      </c>
      <c r="E1221" s="9"/>
      <c r="F1221" s="9"/>
      <c r="G1221" s="9"/>
      <c r="H1221" s="9" t="s">
        <v>2759</v>
      </c>
      <c r="I1221" s="9" t="s">
        <v>3494</v>
      </c>
      <c r="J1221" s="9"/>
      <c r="K1221" s="9" t="s">
        <v>3495</v>
      </c>
      <c r="L1221" s="9"/>
      <c r="M1221" s="9" t="str">
        <f>HYPERLINK("https://ceds.ed.gov/cedselementdetails.aspx?termid=13709")</f>
        <v>https://ceds.ed.gov/cedselementdetails.aspx?termid=13709</v>
      </c>
      <c r="N1221" s="9" t="str">
        <f>HYPERLINK("https://ceds.ed.gov/elementComment.aspx?elementName=Instructional Staff Status &amp;elementID=13709", "Click here to submit comment")</f>
        <v>Click here to submit comment</v>
      </c>
    </row>
    <row r="1222" spans="1:14" ht="210" x14ac:dyDescent="0.25">
      <c r="A1222" s="9" t="s">
        <v>3496</v>
      </c>
      <c r="B1222" s="9" t="s">
        <v>3497</v>
      </c>
      <c r="C1222" s="10" t="s">
        <v>6441</v>
      </c>
      <c r="D1222" s="9" t="s">
        <v>11109</v>
      </c>
      <c r="E1222" s="9"/>
      <c r="F1222" s="9"/>
      <c r="G1222" s="9"/>
      <c r="H1222" s="9" t="s">
        <v>2222</v>
      </c>
      <c r="I1222" s="9" t="s">
        <v>3498</v>
      </c>
      <c r="J1222" s="9"/>
      <c r="K1222" s="9" t="s">
        <v>3499</v>
      </c>
      <c r="L1222" s="9" t="s">
        <v>2225</v>
      </c>
      <c r="M1222" s="9" t="str">
        <f>HYPERLINK("https://ceds.ed.gov/cedselementdetails.aspx?termid=13334")</f>
        <v>https://ceds.ed.gov/cedselementdetails.aspx?termid=13334</v>
      </c>
      <c r="N1222" s="9" t="str">
        <f>HYPERLINK("https://ceds.ed.gov/elementComment.aspx?elementName=Insurance Coverage &amp;elementID=13334", "Click here to submit comment")</f>
        <v>Click here to submit comment</v>
      </c>
    </row>
    <row r="1223" spans="1:14" ht="45" x14ac:dyDescent="0.25">
      <c r="A1223" s="9" t="s">
        <v>8314</v>
      </c>
      <c r="B1223" s="9" t="s">
        <v>8315</v>
      </c>
      <c r="C1223" s="9" t="s">
        <v>12</v>
      </c>
      <c r="D1223" s="9" t="s">
        <v>11513</v>
      </c>
      <c r="E1223" s="9" t="s">
        <v>1457</v>
      </c>
      <c r="F1223" s="9" t="s">
        <v>1513</v>
      </c>
      <c r="G1223" s="9"/>
      <c r="H1223" s="9"/>
      <c r="I1223" s="9" t="s">
        <v>11565</v>
      </c>
      <c r="J1223" s="9"/>
      <c r="K1223" s="9" t="s">
        <v>11566</v>
      </c>
      <c r="L1223" s="9"/>
      <c r="M1223" s="9" t="str">
        <f>HYPERLINK("https://ceds.ed.gov/cedselementdetails.aspx?termid=14875")</f>
        <v>https://ceds.ed.gov/cedselementdetails.aspx?termid=14875</v>
      </c>
      <c r="N1223" s="9" t="str">
        <f>HYPERLINK("https://ceds.ed.gov/elementComment.aspx?elementName=Insurance Deductible &amp;elementID=14875", "Click here to submit comment")</f>
        <v>Click here to submit comment</v>
      </c>
    </row>
    <row r="1224" spans="1:14" ht="15" customHeight="1" x14ac:dyDescent="0.25">
      <c r="A1224" s="9" t="s">
        <v>3500</v>
      </c>
      <c r="B1224" s="9" t="s">
        <v>3501</v>
      </c>
      <c r="C1224" s="10" t="s">
        <v>6565</v>
      </c>
      <c r="D1224" s="9" t="s">
        <v>1522</v>
      </c>
      <c r="E1224" s="9"/>
      <c r="F1224" s="9"/>
      <c r="G1224" s="9"/>
      <c r="H1224" s="9"/>
      <c r="I1224" s="9" t="s">
        <v>3502</v>
      </c>
      <c r="J1224" s="9"/>
      <c r="K1224" s="9" t="s">
        <v>3503</v>
      </c>
      <c r="L1224" s="9" t="s">
        <v>199</v>
      </c>
      <c r="M1224" s="9" t="str">
        <f>HYPERLINK("https://ceds.ed.gov/cedselementdetails.aspx?termid=13170")</f>
        <v>https://ceds.ed.gov/cedselementdetails.aspx?termid=13170</v>
      </c>
      <c r="N1224" s="9" t="str">
        <f>HYPERLINK("https://ceds.ed.gov/elementComment.aspx?elementName=Integrated Technology Status &amp;elementID=13170", "Click here to submit comment")</f>
        <v>Click here to submit comment</v>
      </c>
    </row>
    <row r="1225" spans="1:14" ht="15" customHeight="1" x14ac:dyDescent="0.25">
      <c r="A1225" s="9" t="s">
        <v>3504</v>
      </c>
      <c r="B1225" s="9" t="s">
        <v>3505</v>
      </c>
      <c r="C1225" s="9" t="s">
        <v>12</v>
      </c>
      <c r="D1225" s="9" t="s">
        <v>498</v>
      </c>
      <c r="E1225" s="9"/>
      <c r="F1225" s="9" t="s">
        <v>73</v>
      </c>
      <c r="G1225" s="9"/>
      <c r="H1225" s="9"/>
      <c r="I1225" s="9" t="s">
        <v>3506</v>
      </c>
      <c r="J1225" s="9"/>
      <c r="K1225" s="9" t="s">
        <v>3507</v>
      </c>
      <c r="L1225" s="9"/>
      <c r="M1225" s="9" t="str">
        <f>HYPERLINK("https://ceds.ed.gov/cedselementdetails.aspx?termid=14137")</f>
        <v>https://ceds.ed.gov/cedselementdetails.aspx?termid=14137</v>
      </c>
      <c r="N1225" s="9" t="str">
        <f>HYPERLINK("https://ceds.ed.gov/elementComment.aspx?elementName=Intended Administration Start Date &amp;elementID=14137", "Click here to submit comment")</f>
        <v>Click here to submit comment</v>
      </c>
    </row>
    <row r="1226" spans="1:14" ht="60" x14ac:dyDescent="0.25">
      <c r="A1226" s="9" t="s">
        <v>3508</v>
      </c>
      <c r="B1226" s="9" t="s">
        <v>3509</v>
      </c>
      <c r="C1226" s="10" t="s">
        <v>6566</v>
      </c>
      <c r="D1226" s="9" t="s">
        <v>202</v>
      </c>
      <c r="E1226" s="9"/>
      <c r="F1226" s="9"/>
      <c r="G1226" s="9"/>
      <c r="H1226" s="9"/>
      <c r="I1226" s="9" t="s">
        <v>3510</v>
      </c>
      <c r="J1226" s="9"/>
      <c r="K1226" s="9" t="s">
        <v>3511</v>
      </c>
      <c r="L1226" s="9" t="s">
        <v>199</v>
      </c>
      <c r="M1226" s="9" t="str">
        <f>HYPERLINK("https://ceds.ed.gov/cedselementdetails.aspx?termid=13580")</f>
        <v>https://ceds.ed.gov/cedselementdetails.aspx?termid=13580</v>
      </c>
      <c r="N1226" s="9" t="str">
        <f>HYPERLINK("https://ceds.ed.gov/elementComment.aspx?elementName=Internet Access &amp;elementID=13580", "Click here to submit comment")</f>
        <v>Click here to submit comment</v>
      </c>
    </row>
    <row r="1227" spans="1:14" ht="60" x14ac:dyDescent="0.25">
      <c r="A1227" s="9" t="s">
        <v>3512</v>
      </c>
      <c r="B1227" s="9" t="s">
        <v>3513</v>
      </c>
      <c r="C1227" s="9" t="s">
        <v>12</v>
      </c>
      <c r="D1227" s="9" t="s">
        <v>1522</v>
      </c>
      <c r="E1227" s="9"/>
      <c r="F1227" s="9" t="s">
        <v>10489</v>
      </c>
      <c r="G1227" s="9"/>
      <c r="H1227" s="9"/>
      <c r="I1227" s="9" t="s">
        <v>3514</v>
      </c>
      <c r="J1227" s="9"/>
      <c r="K1227" s="9" t="s">
        <v>3515</v>
      </c>
      <c r="L1227" s="9"/>
      <c r="M1227" s="9" t="str">
        <f>HYPERLINK("https://ceds.ed.gov/cedselementdetails.aspx?termid=13665")</f>
        <v>https://ceds.ed.gov/cedselementdetails.aspx?termid=13665</v>
      </c>
      <c r="N1227" s="9" t="str">
        <f>HYPERLINK("https://ceds.ed.gov/elementComment.aspx?elementName=Interscholastic Sport Participants - Female Only &amp;elementID=13665", "Click here to submit comment")</f>
        <v>Click here to submit comment</v>
      </c>
    </row>
    <row r="1228" spans="1:14" ht="60" x14ac:dyDescent="0.25">
      <c r="A1228" s="9" t="s">
        <v>3516</v>
      </c>
      <c r="B1228" s="9" t="s">
        <v>3517</v>
      </c>
      <c r="C1228" s="9" t="s">
        <v>12</v>
      </c>
      <c r="D1228" s="9" t="s">
        <v>1522</v>
      </c>
      <c r="E1228" s="9"/>
      <c r="F1228" s="9" t="s">
        <v>10489</v>
      </c>
      <c r="G1228" s="9"/>
      <c r="H1228" s="9"/>
      <c r="I1228" s="9" t="s">
        <v>3518</v>
      </c>
      <c r="J1228" s="9"/>
      <c r="K1228" s="9" t="s">
        <v>3519</v>
      </c>
      <c r="L1228" s="9"/>
      <c r="M1228" s="9" t="str">
        <f>HYPERLINK("https://ceds.ed.gov/cedselementdetails.aspx?termid=13664")</f>
        <v>https://ceds.ed.gov/cedselementdetails.aspx?termid=13664</v>
      </c>
      <c r="N1228" s="9" t="str">
        <f>HYPERLINK("https://ceds.ed.gov/elementComment.aspx?elementName=Interscholastic Sport Participants - Male Only &amp;elementID=13664", "Click here to submit comment")</f>
        <v>Click here to submit comment</v>
      </c>
    </row>
    <row r="1229" spans="1:14" ht="90" x14ac:dyDescent="0.25">
      <c r="A1229" s="9" t="s">
        <v>3520</v>
      </c>
      <c r="B1229" s="9" t="s">
        <v>3521</v>
      </c>
      <c r="C1229" s="9" t="s">
        <v>12</v>
      </c>
      <c r="D1229" s="9" t="s">
        <v>1522</v>
      </c>
      <c r="E1229" s="9"/>
      <c r="F1229" s="9" t="s">
        <v>10489</v>
      </c>
      <c r="G1229" s="9"/>
      <c r="H1229" s="9"/>
      <c r="I1229" s="9" t="s">
        <v>3522</v>
      </c>
      <c r="J1229" s="9"/>
      <c r="K1229" s="9" t="s">
        <v>3523</v>
      </c>
      <c r="L1229" s="9"/>
      <c r="M1229" s="9" t="str">
        <f>HYPERLINK("https://ceds.ed.gov/cedselementdetails.aspx?termid=13661")</f>
        <v>https://ceds.ed.gov/cedselementdetails.aspx?termid=13661</v>
      </c>
      <c r="N1229" s="9" t="str">
        <f>HYPERLINK("https://ceds.ed.gov/elementComment.aspx?elementName=Interscholastic Sports - Female Only &amp;elementID=13661", "Click here to submit comment")</f>
        <v>Click here to submit comment</v>
      </c>
    </row>
    <row r="1230" spans="1:14" ht="75" x14ac:dyDescent="0.25">
      <c r="A1230" s="9" t="s">
        <v>3524</v>
      </c>
      <c r="B1230" s="9" t="s">
        <v>3525</v>
      </c>
      <c r="C1230" s="9" t="s">
        <v>12</v>
      </c>
      <c r="D1230" s="9" t="s">
        <v>1522</v>
      </c>
      <c r="E1230" s="9"/>
      <c r="F1230" s="9" t="s">
        <v>10489</v>
      </c>
      <c r="G1230" s="9"/>
      <c r="H1230" s="9"/>
      <c r="I1230" s="9" t="s">
        <v>3526</v>
      </c>
      <c r="J1230" s="9"/>
      <c r="K1230" s="9" t="s">
        <v>3527</v>
      </c>
      <c r="L1230" s="9"/>
      <c r="M1230" s="9" t="str">
        <f>HYPERLINK("https://ceds.ed.gov/cedselementdetails.aspx?termid=13660")</f>
        <v>https://ceds.ed.gov/cedselementdetails.aspx?termid=13660</v>
      </c>
      <c r="N1230" s="9" t="str">
        <f>HYPERLINK("https://ceds.ed.gov/elementComment.aspx?elementName=Interscholastic Sports - Male Only &amp;elementID=13660", "Click here to submit comment")</f>
        <v>Click here to submit comment</v>
      </c>
    </row>
    <row r="1231" spans="1:14" ht="105" x14ac:dyDescent="0.25">
      <c r="A1231" s="9" t="s">
        <v>3528</v>
      </c>
      <c r="B1231" s="9" t="s">
        <v>3529</v>
      </c>
      <c r="C1231" s="9" t="s">
        <v>12</v>
      </c>
      <c r="D1231" s="9" t="s">
        <v>1522</v>
      </c>
      <c r="E1231" s="9"/>
      <c r="F1231" s="9" t="s">
        <v>10489</v>
      </c>
      <c r="G1231" s="9"/>
      <c r="H1231" s="9"/>
      <c r="I1231" s="9" t="s">
        <v>3530</v>
      </c>
      <c r="J1231" s="9"/>
      <c r="K1231" s="9" t="s">
        <v>3531</v>
      </c>
      <c r="L1231" s="9"/>
      <c r="M1231" s="9" t="str">
        <f>HYPERLINK("https://ceds.ed.gov/cedselementdetails.aspx?termid=13663")</f>
        <v>https://ceds.ed.gov/cedselementdetails.aspx?termid=13663</v>
      </c>
      <c r="N1231" s="9" t="str">
        <f>HYPERLINK("https://ceds.ed.gov/elementComment.aspx?elementName=Interscholastic Teams - Female Only &amp;elementID=13663", "Click here to submit comment")</f>
        <v>Click here to submit comment</v>
      </c>
    </row>
    <row r="1232" spans="1:14" ht="105" x14ac:dyDescent="0.25">
      <c r="A1232" s="9" t="s">
        <v>3532</v>
      </c>
      <c r="B1232" s="9" t="s">
        <v>3533</v>
      </c>
      <c r="C1232" s="9" t="s">
        <v>12</v>
      </c>
      <c r="D1232" s="9" t="s">
        <v>1522</v>
      </c>
      <c r="E1232" s="9"/>
      <c r="F1232" s="9" t="s">
        <v>10489</v>
      </c>
      <c r="G1232" s="9"/>
      <c r="H1232" s="9"/>
      <c r="I1232" s="9" t="s">
        <v>3534</v>
      </c>
      <c r="J1232" s="9"/>
      <c r="K1232" s="9" t="s">
        <v>3535</v>
      </c>
      <c r="L1232" s="9"/>
      <c r="M1232" s="9" t="str">
        <f>HYPERLINK("https://ceds.ed.gov/cedselementdetails.aspx?termid=13662")</f>
        <v>https://ceds.ed.gov/cedselementdetails.aspx?termid=13662</v>
      </c>
      <c r="N1232" s="9" t="str">
        <f>HYPERLINK("https://ceds.ed.gov/elementComment.aspx?elementName=Interscholastic Teams - Male Only &amp;elementID=13662", "Click here to submit comment")</f>
        <v>Click here to submit comment</v>
      </c>
    </row>
    <row r="1233" spans="1:14" ht="150" x14ac:dyDescent="0.25">
      <c r="A1233" s="9" t="s">
        <v>3536</v>
      </c>
      <c r="B1233" s="9" t="s">
        <v>3537</v>
      </c>
      <c r="C1233" s="9" t="s">
        <v>12</v>
      </c>
      <c r="D1233" s="9" t="s">
        <v>213</v>
      </c>
      <c r="E1233" s="9"/>
      <c r="F1233" s="9" t="s">
        <v>45</v>
      </c>
      <c r="G1233" s="9"/>
      <c r="H1233" s="9"/>
      <c r="I1233" s="9" t="s">
        <v>3538</v>
      </c>
      <c r="J1233" s="9"/>
      <c r="K1233" s="9" t="s">
        <v>3539</v>
      </c>
      <c r="L1233" s="9" t="s">
        <v>216</v>
      </c>
      <c r="M1233" s="9" t="str">
        <f>HYPERLINK("https://ceds.ed.gov/cedselementdetails.aspx?termid=14592")</f>
        <v>https://ceds.ed.gov/cedselementdetails.aspx?termid=14592</v>
      </c>
      <c r="N1233" s="9" t="str">
        <f>HYPERLINK("https://ceds.ed.gov/elementComment.aspx?elementName=IPEDS Collection Year Designator &amp;elementID=14592", "Click here to submit comment")</f>
        <v>Click here to submit comment</v>
      </c>
    </row>
    <row r="1234" spans="1:14" ht="409.5" x14ac:dyDescent="0.25">
      <c r="A1234" s="9" t="s">
        <v>11567</v>
      </c>
      <c r="B1234" s="9" t="s">
        <v>11568</v>
      </c>
      <c r="C1234" s="10" t="s">
        <v>11890</v>
      </c>
      <c r="D1234" s="9" t="s">
        <v>11569</v>
      </c>
      <c r="E1234" s="9"/>
      <c r="F1234" s="9"/>
      <c r="G1234" s="9"/>
      <c r="H1234" s="9"/>
      <c r="I1234" s="9" t="s">
        <v>11570</v>
      </c>
      <c r="J1234" s="9"/>
      <c r="K1234" s="9" t="s">
        <v>11571</v>
      </c>
      <c r="L1234" s="9"/>
      <c r="M1234" s="9" t="str">
        <f>HYPERLINK("https://ceds.ed.gov/cedselementdetails.aspx?termid=14652")</f>
        <v>https://ceds.ed.gov/cedselementdetails.aspx?termid=14652</v>
      </c>
      <c r="N1234" s="9" t="str">
        <f>HYPERLINK("https://ceds.ed.gov/elementComment.aspx?elementName=IPEDS Finance FASB Financial Position Category &amp;elementID=14652", "Click here to submit comment")</f>
        <v>Click here to submit comment</v>
      </c>
    </row>
    <row r="1235" spans="1:14" ht="240" x14ac:dyDescent="0.25">
      <c r="A1235" s="9" t="s">
        <v>11572</v>
      </c>
      <c r="B1235" s="9" t="s">
        <v>11573</v>
      </c>
      <c r="C1235" s="10" t="s">
        <v>11891</v>
      </c>
      <c r="D1235" s="9" t="s">
        <v>11569</v>
      </c>
      <c r="E1235" s="9"/>
      <c r="F1235" s="9"/>
      <c r="G1235" s="9"/>
      <c r="H1235" s="9" t="s">
        <v>11574</v>
      </c>
      <c r="I1235" s="9" t="s">
        <v>11575</v>
      </c>
      <c r="J1235" s="9"/>
      <c r="K1235" s="9" t="s">
        <v>11576</v>
      </c>
      <c r="L1235" s="9"/>
      <c r="M1235" s="9" t="str">
        <f>HYPERLINK("https://ceds.ed.gov/cedselementdetails.aspx?termid=14640")</f>
        <v>https://ceds.ed.gov/cedselementdetails.aspx?termid=14640</v>
      </c>
      <c r="N1235" s="9" t="str">
        <f>HYPERLINK("https://ceds.ed.gov/elementComment.aspx?elementName=IPEDS Finance FASB Functional Expense Category &amp;elementID=14640", "Click here to submit comment")</f>
        <v>Click here to submit comment</v>
      </c>
    </row>
    <row r="1236" spans="1:14" ht="90" x14ac:dyDescent="0.25">
      <c r="A1236" s="9" t="s">
        <v>11577</v>
      </c>
      <c r="B1236" s="9" t="s">
        <v>11578</v>
      </c>
      <c r="C1236" s="10" t="s">
        <v>11892</v>
      </c>
      <c r="D1236" s="9" t="s">
        <v>11569</v>
      </c>
      <c r="E1236" s="9"/>
      <c r="F1236" s="9"/>
      <c r="G1236" s="9"/>
      <c r="H1236" s="9"/>
      <c r="I1236" s="9" t="s">
        <v>11579</v>
      </c>
      <c r="J1236" s="9"/>
      <c r="K1236" s="9" t="s">
        <v>11580</v>
      </c>
      <c r="L1236" s="9"/>
      <c r="M1236" s="9" t="str">
        <f>HYPERLINK("https://ceds.ed.gov/cedselementdetails.aspx?termid=14661")</f>
        <v>https://ceds.ed.gov/cedselementdetails.aspx?termid=14661</v>
      </c>
      <c r="N1236" s="9" t="str">
        <f>HYPERLINK("https://ceds.ed.gov/elementComment.aspx?elementName=IPEDS Finance FASB Pell Grant Transactions &amp;elementID=14661", "Click here to submit comment")</f>
        <v>Click here to submit comment</v>
      </c>
    </row>
    <row r="1237" spans="1:14" ht="15" customHeight="1" x14ac:dyDescent="0.25">
      <c r="A1237" s="9" t="s">
        <v>11581</v>
      </c>
      <c r="B1237" s="9" t="s">
        <v>11582</v>
      </c>
      <c r="C1237" s="10" t="s">
        <v>11893</v>
      </c>
      <c r="D1237" s="9" t="s">
        <v>11569</v>
      </c>
      <c r="E1237" s="9"/>
      <c r="F1237" s="9"/>
      <c r="G1237" s="9"/>
      <c r="H1237" s="9"/>
      <c r="I1237" s="9" t="s">
        <v>11583</v>
      </c>
      <c r="J1237" s="9"/>
      <c r="K1237" s="9" t="s">
        <v>11584</v>
      </c>
      <c r="L1237" s="9"/>
      <c r="M1237" s="9" t="str">
        <f>HYPERLINK("https://ceds.ed.gov/cedselementdetails.aspx?termid=14654")</f>
        <v>https://ceds.ed.gov/cedselementdetails.aspx?termid=14654</v>
      </c>
      <c r="N1237" s="9" t="str">
        <f>HYPERLINK("https://ceds.ed.gov/elementComment.aspx?elementName=IPEDS Finance FASB Revenue Category &amp;elementID=14654", "Click here to submit comment")</f>
        <v>Click here to submit comment</v>
      </c>
    </row>
    <row r="1238" spans="1:14" ht="15" customHeight="1" x14ac:dyDescent="0.25">
      <c r="A1238" s="9" t="s">
        <v>11585</v>
      </c>
      <c r="B1238" s="9" t="s">
        <v>11586</v>
      </c>
      <c r="C1238" s="10" t="s">
        <v>11894</v>
      </c>
      <c r="D1238" s="9" t="s">
        <v>11569</v>
      </c>
      <c r="E1238" s="9"/>
      <c r="F1238" s="9"/>
      <c r="G1238" s="9"/>
      <c r="H1238" s="9"/>
      <c r="I1238" s="9" t="s">
        <v>11587</v>
      </c>
      <c r="J1238" s="9"/>
      <c r="K1238" s="9" t="s">
        <v>11588</v>
      </c>
      <c r="L1238" s="9"/>
      <c r="M1238" s="9" t="str">
        <f>HYPERLINK("https://ceds.ed.gov/cedselementdetails.aspx?termid=14655")</f>
        <v>https://ceds.ed.gov/cedselementdetails.aspx?termid=14655</v>
      </c>
      <c r="N1238" s="9" t="str">
        <f>HYPERLINK("https://ceds.ed.gov/elementComment.aspx?elementName=IPEDS Finance FASB Revenue Restriction Category &amp;elementID=14655", "Click here to submit comment")</f>
        <v>Click here to submit comment</v>
      </c>
    </row>
    <row r="1239" spans="1:14" ht="270" x14ac:dyDescent="0.25">
      <c r="A1239" s="9" t="s">
        <v>11589</v>
      </c>
      <c r="B1239" s="9" t="s">
        <v>11590</v>
      </c>
      <c r="C1239" s="10" t="s">
        <v>11895</v>
      </c>
      <c r="D1239" s="9" t="s">
        <v>11569</v>
      </c>
      <c r="E1239" s="9"/>
      <c r="F1239" s="9"/>
      <c r="G1239" s="9"/>
      <c r="H1239" s="9"/>
      <c r="I1239" s="9" t="s">
        <v>11591</v>
      </c>
      <c r="J1239" s="9"/>
      <c r="K1239" s="9" t="s">
        <v>11592</v>
      </c>
      <c r="L1239" s="9"/>
      <c r="M1239" s="9" t="str">
        <f>HYPERLINK("https://ceds.ed.gov/cedselementdetails.aspx?termid=14659")</f>
        <v>https://ceds.ed.gov/cedselementdetails.aspx?termid=14659</v>
      </c>
      <c r="N1239" s="9" t="str">
        <f>HYPERLINK("https://ceds.ed.gov/elementComment.aspx?elementName=IPEDS Finance FASB Scholarships and Fellowships Revenue Category &amp;elementID=14659", "Click here to submit comment")</f>
        <v>Click here to submit comment</v>
      </c>
    </row>
    <row r="1240" spans="1:14" ht="409.5" x14ac:dyDescent="0.25">
      <c r="A1240" s="9" t="s">
        <v>11593</v>
      </c>
      <c r="B1240" s="9" t="s">
        <v>11594</v>
      </c>
      <c r="C1240" s="10" t="s">
        <v>11896</v>
      </c>
      <c r="D1240" s="9" t="s">
        <v>11569</v>
      </c>
      <c r="E1240" s="9"/>
      <c r="F1240" s="9"/>
      <c r="G1240" s="9"/>
      <c r="H1240" s="9"/>
      <c r="I1240" s="9" t="s">
        <v>11595</v>
      </c>
      <c r="J1240" s="9"/>
      <c r="K1240" s="9" t="s">
        <v>11596</v>
      </c>
      <c r="L1240" s="9"/>
      <c r="M1240" s="9" t="str">
        <f>HYPERLINK("https://ceds.ed.gov/cedselementdetails.aspx?termid=14651")</f>
        <v>https://ceds.ed.gov/cedselementdetails.aspx?termid=14651</v>
      </c>
      <c r="N1240" s="9" t="str">
        <f>HYPERLINK("https://ceds.ed.gov/elementComment.aspx?elementName=IPEDS Finance GASB Financial Position Category &amp;elementID=14651", "Click here to submit comment")</f>
        <v>Click here to submit comment</v>
      </c>
    </row>
    <row r="1241" spans="1:14" ht="240" x14ac:dyDescent="0.25">
      <c r="A1241" s="9" t="s">
        <v>11597</v>
      </c>
      <c r="B1241" s="9" t="s">
        <v>11598</v>
      </c>
      <c r="C1241" s="10" t="s">
        <v>11897</v>
      </c>
      <c r="D1241" s="9" t="s">
        <v>11569</v>
      </c>
      <c r="E1241" s="9"/>
      <c r="F1241" s="9"/>
      <c r="G1241" s="9"/>
      <c r="H1241" s="9" t="s">
        <v>11574</v>
      </c>
      <c r="I1241" s="9" t="s">
        <v>11599</v>
      </c>
      <c r="J1241" s="9"/>
      <c r="K1241" s="9" t="s">
        <v>11600</v>
      </c>
      <c r="L1241" s="9"/>
      <c r="M1241" s="9" t="str">
        <f>HYPERLINK("https://ceds.ed.gov/cedselementdetails.aspx?termid=14656")</f>
        <v>https://ceds.ed.gov/cedselementdetails.aspx?termid=14656</v>
      </c>
      <c r="N1241" s="9" t="str">
        <f>HYPERLINK("https://ceds.ed.gov/elementComment.aspx?elementName=IPEDS Finance GASB Functional Expense Category &amp;elementID=14656", "Click here to submit comment")</f>
        <v>Click here to submit comment</v>
      </c>
    </row>
    <row r="1242" spans="1:14" ht="409.5" x14ac:dyDescent="0.25">
      <c r="A1242" s="9" t="s">
        <v>11601</v>
      </c>
      <c r="B1242" s="9" t="s">
        <v>11602</v>
      </c>
      <c r="C1242" s="10" t="s">
        <v>11898</v>
      </c>
      <c r="D1242" s="9" t="s">
        <v>11569</v>
      </c>
      <c r="E1242" s="9"/>
      <c r="F1242" s="9"/>
      <c r="G1242" s="9"/>
      <c r="H1242" s="9"/>
      <c r="I1242" s="9" t="s">
        <v>11603</v>
      </c>
      <c r="J1242" s="9"/>
      <c r="K1242" s="9" t="s">
        <v>11604</v>
      </c>
      <c r="L1242" s="9"/>
      <c r="M1242" s="9" t="str">
        <f>HYPERLINK("https://ceds.ed.gov/cedselementdetails.aspx?termid=14653")</f>
        <v>https://ceds.ed.gov/cedselementdetails.aspx?termid=14653</v>
      </c>
      <c r="N1242" s="9" t="str">
        <f>HYPERLINK("https://ceds.ed.gov/elementComment.aspx?elementName=IPEDS Finance GASB Revenue Category &amp;elementID=14653", "Click here to submit comment")</f>
        <v>Click here to submit comment</v>
      </c>
    </row>
    <row r="1243" spans="1:14" ht="315" x14ac:dyDescent="0.25">
      <c r="A1243" s="9" t="s">
        <v>11605</v>
      </c>
      <c r="B1243" s="9" t="s">
        <v>11606</v>
      </c>
      <c r="C1243" s="10" t="s">
        <v>11899</v>
      </c>
      <c r="D1243" s="9" t="s">
        <v>11569</v>
      </c>
      <c r="E1243" s="9"/>
      <c r="F1243" s="9"/>
      <c r="G1243" s="9"/>
      <c r="H1243" s="9"/>
      <c r="I1243" s="9" t="s">
        <v>11607</v>
      </c>
      <c r="J1243" s="9"/>
      <c r="K1243" s="9" t="s">
        <v>11608</v>
      </c>
      <c r="L1243" s="9"/>
      <c r="M1243" s="9" t="str">
        <f>HYPERLINK("https://ceds.ed.gov/cedselementdetails.aspx?termid=14658")</f>
        <v>https://ceds.ed.gov/cedselementdetails.aspx?termid=14658</v>
      </c>
      <c r="N1243" s="9" t="str">
        <f>HYPERLINK("https://ceds.ed.gov/elementComment.aspx?elementName=IPEDS Finance GASB Scholarships and Fellowships Revenue Category &amp;elementID=14658", "Click here to submit comment")</f>
        <v>Click here to submit comment</v>
      </c>
    </row>
    <row r="1244" spans="1:14" ht="120" x14ac:dyDescent="0.25">
      <c r="A1244" s="9" t="s">
        <v>11609</v>
      </c>
      <c r="B1244" s="9" t="s">
        <v>11610</v>
      </c>
      <c r="C1244" s="10" t="s">
        <v>11900</v>
      </c>
      <c r="D1244" s="9" t="s">
        <v>11569</v>
      </c>
      <c r="E1244" s="9"/>
      <c r="F1244" s="9"/>
      <c r="G1244" s="9"/>
      <c r="H1244" s="9"/>
      <c r="I1244" s="9" t="s">
        <v>11611</v>
      </c>
      <c r="J1244" s="9"/>
      <c r="K1244" s="9" t="s">
        <v>11612</v>
      </c>
      <c r="L1244" s="9"/>
      <c r="M1244" s="9" t="str">
        <f>HYPERLINK("https://ceds.ed.gov/cedselementdetails.aspx?termid=14660")</f>
        <v>https://ceds.ed.gov/cedselementdetails.aspx?termid=14660</v>
      </c>
      <c r="N1244" s="9" t="str">
        <f>HYPERLINK("https://ceds.ed.gov/elementComment.aspx?elementName=IPEDS Finance Intercollegiate Athletics Expenses &amp;elementID=14660", "Click here to submit comment")</f>
        <v>Click here to submit comment</v>
      </c>
    </row>
    <row r="1245" spans="1:14" ht="120" x14ac:dyDescent="0.25">
      <c r="A1245" s="9" t="s">
        <v>11613</v>
      </c>
      <c r="B1245" s="9" t="s">
        <v>11614</v>
      </c>
      <c r="C1245" s="10" t="s">
        <v>11901</v>
      </c>
      <c r="D1245" s="9" t="s">
        <v>11569</v>
      </c>
      <c r="E1245" s="9"/>
      <c r="F1245" s="9"/>
      <c r="G1245" s="9"/>
      <c r="H1245" s="9" t="s">
        <v>11615</v>
      </c>
      <c r="I1245" s="9" t="s">
        <v>11616</v>
      </c>
      <c r="J1245" s="9"/>
      <c r="K1245" s="9" t="s">
        <v>11617</v>
      </c>
      <c r="L1245" s="9"/>
      <c r="M1245" s="9" t="str">
        <f>HYPERLINK("https://ceds.ed.gov/cedselementdetails.aspx?termid=14657")</f>
        <v>https://ceds.ed.gov/cedselementdetails.aspx?termid=14657</v>
      </c>
      <c r="N1245" s="9" t="str">
        <f>HYPERLINK("https://ceds.ed.gov/elementComment.aspx?elementName=IPEDS Finance Natural Expense Category &amp;elementID=14657", "Click here to submit comment")</f>
        <v>Click here to submit comment</v>
      </c>
    </row>
    <row r="1246" spans="1:14" ht="390" x14ac:dyDescent="0.25">
      <c r="A1246" s="9" t="s">
        <v>3540</v>
      </c>
      <c r="B1246" s="9" t="s">
        <v>3541</v>
      </c>
      <c r="C1246" s="10" t="s">
        <v>6567</v>
      </c>
      <c r="D1246" s="9" t="s">
        <v>33</v>
      </c>
      <c r="E1246" s="9"/>
      <c r="F1246" s="9"/>
      <c r="G1246" s="9"/>
      <c r="H1246" s="9" t="s">
        <v>3542</v>
      </c>
      <c r="I1246" s="9" t="s">
        <v>3543</v>
      </c>
      <c r="J1246" s="9"/>
      <c r="K1246" s="9" t="s">
        <v>3544</v>
      </c>
      <c r="L1246" s="9" t="s">
        <v>37</v>
      </c>
      <c r="M1246" s="9" t="str">
        <f>HYPERLINK("https://ceds.ed.gov/cedselementdetails.aspx?termid=13708")</f>
        <v>https://ceds.ed.gov/cedselementdetails.aspx?termid=13708</v>
      </c>
      <c r="N1246" s="9" t="str">
        <f>HYPERLINK("https://ceds.ed.gov/elementComment.aspx?elementName=IPEDS Occupational Category &amp;elementID=13708", "Click here to submit comment")</f>
        <v>Click here to submit comment</v>
      </c>
    </row>
    <row r="1247" spans="1:14" ht="135" x14ac:dyDescent="0.25">
      <c r="A1247" s="9" t="s">
        <v>3545</v>
      </c>
      <c r="B1247" s="9" t="s">
        <v>3546</v>
      </c>
      <c r="C1247" s="11" t="s">
        <v>966</v>
      </c>
      <c r="D1247" s="9" t="s">
        <v>6234</v>
      </c>
      <c r="E1247" s="9"/>
      <c r="F1247" s="9"/>
      <c r="G1247" s="9"/>
      <c r="H1247" s="11" t="s">
        <v>967</v>
      </c>
      <c r="I1247" s="9" t="s">
        <v>3547</v>
      </c>
      <c r="J1247" s="9"/>
      <c r="K1247" s="9" t="s">
        <v>3548</v>
      </c>
      <c r="L1247" s="9" t="s">
        <v>6235</v>
      </c>
      <c r="M1247" s="9" t="str">
        <f>HYPERLINK("https://ceds.ed.gov/cedselementdetails.aspx?termid=13317")</f>
        <v>https://ceds.ed.gov/cedselementdetails.aspx?termid=13317</v>
      </c>
      <c r="N1247" s="9" t="str">
        <f>HYPERLINK("https://ceds.ed.gov/elementComment.aspx?elementName=ISO 639-2 Language Code &amp;elementID=13317", "Click here to submit comment")</f>
        <v>Click here to submit comment</v>
      </c>
    </row>
    <row r="1248" spans="1:14" ht="135" x14ac:dyDescent="0.25">
      <c r="A1248" s="9" t="s">
        <v>3549</v>
      </c>
      <c r="B1248" s="9" t="s">
        <v>3546</v>
      </c>
      <c r="C1248" s="11" t="s">
        <v>11618</v>
      </c>
      <c r="D1248" s="9" t="s">
        <v>6234</v>
      </c>
      <c r="E1248" s="9"/>
      <c r="F1248" s="9"/>
      <c r="G1248" s="9"/>
      <c r="H1248" s="11" t="s">
        <v>3550</v>
      </c>
      <c r="I1248" s="9" t="s">
        <v>3551</v>
      </c>
      <c r="J1248" s="9"/>
      <c r="K1248" s="9" t="s">
        <v>3552</v>
      </c>
      <c r="L1248" s="9"/>
      <c r="M1248" s="9" t="str">
        <f>HYPERLINK("https://ceds.ed.gov/cedselementdetails.aspx?termid=14618")</f>
        <v>https://ceds.ed.gov/cedselementdetails.aspx?termid=14618</v>
      </c>
      <c r="N1248" s="9" t="str">
        <f>HYPERLINK("https://ceds.ed.gov/elementComment.aspx?elementName=ISO 639-3 Language Code &amp;elementID=14618", "Click here to submit comment")</f>
        <v>Click here to submit comment</v>
      </c>
    </row>
    <row r="1249" spans="1:14" ht="409.5" x14ac:dyDescent="0.25">
      <c r="A1249" s="9" t="s">
        <v>3553</v>
      </c>
      <c r="B1249" s="9" t="s">
        <v>3554</v>
      </c>
      <c r="C1249" s="10" t="s">
        <v>6568</v>
      </c>
      <c r="D1249" s="9" t="s">
        <v>6234</v>
      </c>
      <c r="E1249" s="9"/>
      <c r="F1249" s="9"/>
      <c r="G1249" s="9"/>
      <c r="H1249" s="11" t="s">
        <v>3555</v>
      </c>
      <c r="I1249" s="9" t="s">
        <v>3556</v>
      </c>
      <c r="J1249" s="9"/>
      <c r="K1249" s="9" t="s">
        <v>3557</v>
      </c>
      <c r="L1249" s="9"/>
      <c r="M1249" s="9" t="str">
        <f>HYPERLINK("https://ceds.ed.gov/cedselementdetails.aspx?termid=14619")</f>
        <v>https://ceds.ed.gov/cedselementdetails.aspx?termid=14619</v>
      </c>
      <c r="N1249" s="9" t="str">
        <f>HYPERLINK("https://ceds.ed.gov/elementComment.aspx?elementName=ISO 639-5 Language Family &amp;elementID=14619", "Click here to submit comment")</f>
        <v>Click here to submit comment</v>
      </c>
    </row>
    <row r="1250" spans="1:14" ht="45" x14ac:dyDescent="0.25">
      <c r="A1250" s="9" t="s">
        <v>3558</v>
      </c>
      <c r="B1250" s="9" t="s">
        <v>3559</v>
      </c>
      <c r="C1250" s="9" t="s">
        <v>6106</v>
      </c>
      <c r="D1250" s="9" t="s">
        <v>2436</v>
      </c>
      <c r="E1250" s="9"/>
      <c r="F1250" s="9"/>
      <c r="G1250" s="9"/>
      <c r="H1250" s="9"/>
      <c r="I1250" s="9" t="s">
        <v>3560</v>
      </c>
      <c r="J1250" s="9"/>
      <c r="K1250" s="9" t="s">
        <v>3561</v>
      </c>
      <c r="L1250" s="9"/>
      <c r="M1250" s="9" t="str">
        <f>HYPERLINK("https://ceds.ed.gov/cedselementdetails.aspx?termid=14353")</f>
        <v>https://ceds.ed.gov/cedselementdetails.aspx?termid=14353</v>
      </c>
      <c r="N1250" s="9" t="str">
        <f>HYPERLINK("https://ceds.ed.gov/elementComment.aspx?elementName=Itinerant Provider &amp;elementID=14353", "Click here to submit comment")</f>
        <v>Click here to submit comment</v>
      </c>
    </row>
    <row r="1251" spans="1:14" ht="45" x14ac:dyDescent="0.25">
      <c r="A1251" s="9" t="s">
        <v>3562</v>
      </c>
      <c r="B1251" s="9" t="s">
        <v>3563</v>
      </c>
      <c r="C1251" s="9" t="s">
        <v>6106</v>
      </c>
      <c r="D1251" s="9" t="s">
        <v>3564</v>
      </c>
      <c r="E1251" s="9"/>
      <c r="F1251" s="9"/>
      <c r="G1251" s="9"/>
      <c r="H1251" s="9"/>
      <c r="I1251" s="9" t="s">
        <v>3565</v>
      </c>
      <c r="J1251" s="9"/>
      <c r="K1251" s="9" t="s">
        <v>3566</v>
      </c>
      <c r="L1251" s="9"/>
      <c r="M1251" s="9" t="str">
        <f>HYPERLINK("https://ceds.ed.gov/cedselementdetails.aspx?termid=13519")</f>
        <v>https://ceds.ed.gov/cedselementdetails.aspx?termid=13519</v>
      </c>
      <c r="N1251" s="9" t="str">
        <f>HYPERLINK("https://ceds.ed.gov/elementComment.aspx?elementName=Itinerant Teacher &amp;elementID=13519", "Click here to submit comment")</f>
        <v>Click here to submit comment</v>
      </c>
    </row>
    <row r="1252" spans="1:14" ht="75" x14ac:dyDescent="0.25">
      <c r="A1252" s="9" t="s">
        <v>3567</v>
      </c>
      <c r="B1252" s="9" t="s">
        <v>3568</v>
      </c>
      <c r="C1252" s="10" t="s">
        <v>6569</v>
      </c>
      <c r="D1252" s="9" t="s">
        <v>3569</v>
      </c>
      <c r="E1252" s="9"/>
      <c r="F1252" s="9"/>
      <c r="G1252" s="9"/>
      <c r="H1252" s="9"/>
      <c r="I1252" s="9" t="s">
        <v>3570</v>
      </c>
      <c r="J1252" s="9"/>
      <c r="K1252" s="9" t="s">
        <v>3571</v>
      </c>
      <c r="L1252" s="9"/>
      <c r="M1252" s="9" t="str">
        <f>HYPERLINK("https://ceds.ed.gov/cedselementdetails.aspx?termid=14355")</f>
        <v>https://ceds.ed.gov/cedselementdetails.aspx?termid=14355</v>
      </c>
      <c r="N1252" s="9" t="str">
        <f>HYPERLINK("https://ceds.ed.gov/elementComment.aspx?elementName=K12 End of Course Requirement &amp;elementID=14355", "Click here to submit comment")</f>
        <v>Click here to submit comment</v>
      </c>
    </row>
    <row r="1253" spans="1:14" ht="409.5" x14ac:dyDescent="0.25">
      <c r="A1253" s="9" t="s">
        <v>3572</v>
      </c>
      <c r="B1253" s="9" t="s">
        <v>3573</v>
      </c>
      <c r="C1253" s="10" t="s">
        <v>6570</v>
      </c>
      <c r="D1253" s="9" t="s">
        <v>3564</v>
      </c>
      <c r="E1253" s="9"/>
      <c r="F1253" s="9"/>
      <c r="G1253" s="9"/>
      <c r="H1253" s="9"/>
      <c r="I1253" s="9" t="s">
        <v>3574</v>
      </c>
      <c r="J1253" s="9"/>
      <c r="K1253" s="9" t="s">
        <v>3575</v>
      </c>
      <c r="L1253" s="9" t="s">
        <v>6236</v>
      </c>
      <c r="M1253" s="9" t="str">
        <f>HYPERLINK("https://ceds.ed.gov/cedselementdetails.aspx?termid=13087")</f>
        <v>https://ceds.ed.gov/cedselementdetails.aspx?termid=13087</v>
      </c>
      <c r="N1253" s="9" t="str">
        <f>HYPERLINK("https://ceds.ed.gov/elementComment.aspx?elementName=K12 Staff Classification &amp;elementID=13087", "Click here to submit comment")</f>
        <v>Click here to submit comment</v>
      </c>
    </row>
    <row r="1254" spans="1:14" ht="60" x14ac:dyDescent="0.25">
      <c r="A1254" s="9" t="s">
        <v>3576</v>
      </c>
      <c r="B1254" s="9" t="s">
        <v>3577</v>
      </c>
      <c r="C1254" s="10" t="s">
        <v>6571</v>
      </c>
      <c r="D1254" s="9" t="s">
        <v>3578</v>
      </c>
      <c r="E1254" s="9"/>
      <c r="F1254" s="9"/>
      <c r="G1254" s="9"/>
      <c r="H1254" s="9"/>
      <c r="I1254" s="9" t="s">
        <v>3579</v>
      </c>
      <c r="J1254" s="9"/>
      <c r="K1254" s="9" t="s">
        <v>3580</v>
      </c>
      <c r="L1254" s="9" t="s">
        <v>4</v>
      </c>
      <c r="M1254" s="9" t="str">
        <f>HYPERLINK("https://ceds.ed.gov/cedselementdetails.aspx?termid=13482")</f>
        <v>https://ceds.ed.gov/cedselementdetails.aspx?termid=13482</v>
      </c>
      <c r="N1254" s="9" t="str">
        <f>HYPERLINK("https://ceds.ed.gov/elementComment.aspx?elementName=Kindergarten Daily Length &amp;elementID=13482", "Click here to submit comment")</f>
        <v>Click here to submit comment</v>
      </c>
    </row>
    <row r="1255" spans="1:14" ht="105" x14ac:dyDescent="0.25">
      <c r="A1255" s="9" t="s">
        <v>3581</v>
      </c>
      <c r="B1255" s="9" t="s">
        <v>3582</v>
      </c>
      <c r="C1255" s="10" t="s">
        <v>6572</v>
      </c>
      <c r="D1255" s="9" t="s">
        <v>2335</v>
      </c>
      <c r="E1255" s="9"/>
      <c r="F1255" s="9"/>
      <c r="G1255" s="9"/>
      <c r="H1255" s="9"/>
      <c r="I1255" s="9" t="s">
        <v>3583</v>
      </c>
      <c r="J1255" s="9"/>
      <c r="K1255" s="9" t="s">
        <v>3584</v>
      </c>
      <c r="L1255" s="9"/>
      <c r="M1255" s="9" t="str">
        <f>HYPERLINK("https://ceds.ed.gov/cedselementdetails.aspx?termid=13690")</f>
        <v>https://ceds.ed.gov/cedselementdetails.aspx?termid=13690</v>
      </c>
      <c r="N1255" s="9" t="str">
        <f>HYPERLINK("https://ceds.ed.gov/elementComment.aspx?elementName=Kindergarten Program Participation Type &amp;elementID=13690", "Click here to submit comment")</f>
        <v>Click here to submit comment</v>
      </c>
    </row>
    <row r="1256" spans="1:14" ht="60" x14ac:dyDescent="0.25">
      <c r="A1256" s="9" t="s">
        <v>3585</v>
      </c>
      <c r="B1256" s="9" t="s">
        <v>3586</v>
      </c>
      <c r="C1256" s="9" t="s">
        <v>6106</v>
      </c>
      <c r="D1256" s="9" t="s">
        <v>11619</v>
      </c>
      <c r="E1256" s="9"/>
      <c r="F1256" s="9"/>
      <c r="G1256" s="9"/>
      <c r="H1256" s="9"/>
      <c r="I1256" s="9" t="s">
        <v>3587</v>
      </c>
      <c r="J1256" s="9"/>
      <c r="K1256" s="9" t="s">
        <v>3588</v>
      </c>
      <c r="L1256" s="9"/>
      <c r="M1256" s="9" t="str">
        <f>HYPERLINK("https://ceds.ed.gov/cedselementdetails.aspx?termid=14190")</f>
        <v>https://ceds.ed.gov/cedselementdetails.aspx?termid=14190</v>
      </c>
      <c r="N1256" s="9" t="str">
        <f>HYPERLINK("https://ceds.ed.gov/elementComment.aspx?elementName=Language Translation Policy &amp;elementID=14190", "Click here to submit comment")</f>
        <v>Click here to submit comment</v>
      </c>
    </row>
    <row r="1257" spans="1:14" ht="135" x14ac:dyDescent="0.25">
      <c r="A1257" s="9" t="s">
        <v>3589</v>
      </c>
      <c r="B1257" s="9" t="s">
        <v>3590</v>
      </c>
      <c r="C1257" s="10" t="s">
        <v>6573</v>
      </c>
      <c r="D1257" s="9" t="s">
        <v>6237</v>
      </c>
      <c r="E1257" s="9"/>
      <c r="F1257" s="9"/>
      <c r="G1257" s="9"/>
      <c r="H1257" s="9"/>
      <c r="I1257" s="9" t="s">
        <v>3591</v>
      </c>
      <c r="J1257" s="9"/>
      <c r="K1257" s="9" t="s">
        <v>3592</v>
      </c>
      <c r="L1257" s="9" t="s">
        <v>6235</v>
      </c>
      <c r="M1257" s="9" t="str">
        <f>HYPERLINK("https://ceds.ed.gov/cedselementdetails.aspx?termid=13316")</f>
        <v>https://ceds.ed.gov/cedselementdetails.aspx?termid=13316</v>
      </c>
      <c r="N1257" s="9" t="str">
        <f>HYPERLINK("https://ceds.ed.gov/elementComment.aspx?elementName=Language Type &amp;elementID=13316", "Click here to submit comment")</f>
        <v>Click here to submit comment</v>
      </c>
    </row>
    <row r="1258" spans="1:14" ht="105" x14ac:dyDescent="0.25">
      <c r="A1258" s="9" t="s">
        <v>3593</v>
      </c>
      <c r="B1258" s="9" t="s">
        <v>3594</v>
      </c>
      <c r="C1258" s="9" t="s">
        <v>12</v>
      </c>
      <c r="D1258" s="9" t="s">
        <v>2192</v>
      </c>
      <c r="E1258" s="9"/>
      <c r="F1258" s="9" t="s">
        <v>73</v>
      </c>
      <c r="G1258" s="9"/>
      <c r="H1258" s="9"/>
      <c r="I1258" s="9" t="s">
        <v>3595</v>
      </c>
      <c r="J1258" s="9"/>
      <c r="K1258" s="9" t="s">
        <v>3596</v>
      </c>
      <c r="L1258" s="9"/>
      <c r="M1258" s="9" t="str">
        <f>HYPERLINK("https://ceds.ed.gov/cedselementdetails.aspx?termid=13489")</f>
        <v>https://ceds.ed.gov/cedselementdetails.aspx?termid=13489</v>
      </c>
      <c r="N1258" s="9" t="str">
        <f>HYPERLINK("https://ceds.ed.gov/elementComment.aspx?elementName=Last Instruction Date &amp;elementID=13489", "Click here to submit comment")</f>
        <v>Click here to submit comment</v>
      </c>
    </row>
    <row r="1259" spans="1:14" x14ac:dyDescent="0.25">
      <c r="A1259" s="18" t="s">
        <v>3597</v>
      </c>
      <c r="B1259" s="18" t="s">
        <v>3598</v>
      </c>
      <c r="C1259" s="18" t="s">
        <v>12</v>
      </c>
      <c r="D1259" s="18" t="s">
        <v>11348</v>
      </c>
      <c r="E1259" s="18"/>
      <c r="F1259" s="18" t="s">
        <v>1310</v>
      </c>
      <c r="G1259" s="18"/>
      <c r="H1259" s="9" t="s">
        <v>2996</v>
      </c>
      <c r="I1259" s="18" t="s">
        <v>3599</v>
      </c>
      <c r="J1259" s="18" t="s">
        <v>3600</v>
      </c>
      <c r="K1259" s="18" t="s">
        <v>3601</v>
      </c>
      <c r="L1259" s="18" t="s">
        <v>6211</v>
      </c>
      <c r="M1259" s="18" t="str">
        <f>HYPERLINK("https://ceds.ed.gov/cedselementdetails.aspx?termid=13172")</f>
        <v>https://ceds.ed.gov/cedselementdetails.aspx?termid=13172</v>
      </c>
      <c r="N1259" s="18" t="str">
        <f>HYPERLINK("https://ceds.ed.gov/elementComment.aspx?elementName=Last or Surname &amp;elementID=13172", "Click here to submit comment")</f>
        <v>Click here to submit comment</v>
      </c>
    </row>
    <row r="1260" spans="1:14" ht="90" x14ac:dyDescent="0.25">
      <c r="A1260" s="18"/>
      <c r="B1260" s="18"/>
      <c r="C1260" s="18"/>
      <c r="D1260" s="18"/>
      <c r="E1260" s="18"/>
      <c r="F1260" s="18"/>
      <c r="G1260" s="18"/>
      <c r="H1260" s="9" t="s">
        <v>2997</v>
      </c>
      <c r="I1260" s="18"/>
      <c r="J1260" s="18"/>
      <c r="K1260" s="18"/>
      <c r="L1260" s="18"/>
      <c r="M1260" s="18"/>
      <c r="N1260" s="18"/>
    </row>
    <row r="1261" spans="1:14" ht="45" x14ac:dyDescent="0.25">
      <c r="A1261" s="9" t="s">
        <v>3602</v>
      </c>
      <c r="B1261" s="9" t="s">
        <v>3603</v>
      </c>
      <c r="C1261" s="9" t="s">
        <v>12</v>
      </c>
      <c r="D1261" s="9" t="s">
        <v>1846</v>
      </c>
      <c r="E1261" s="9"/>
      <c r="F1261" s="9" t="s">
        <v>73</v>
      </c>
      <c r="G1261" s="9"/>
      <c r="H1261" s="9"/>
      <c r="I1261" s="9" t="s">
        <v>3604</v>
      </c>
      <c r="J1261" s="9"/>
      <c r="K1261" s="9" t="s">
        <v>3605</v>
      </c>
      <c r="L1261" s="9" t="s">
        <v>199</v>
      </c>
      <c r="M1261" s="9" t="str">
        <f>HYPERLINK("https://ceds.ed.gov/cedselementdetails.aspx?termid=13171")</f>
        <v>https://ceds.ed.gov/cedselementdetails.aspx?termid=13171</v>
      </c>
      <c r="N1261" s="9" t="str">
        <f>HYPERLINK("https://ceds.ed.gov/elementComment.aspx?elementName=Last Qualifying Move Date &amp;elementID=13171", "Click here to submit comment")</f>
        <v>Click here to submit comment</v>
      </c>
    </row>
    <row r="1262" spans="1:14" ht="409.5" x14ac:dyDescent="0.25">
      <c r="A1262" s="9" t="s">
        <v>3606</v>
      </c>
      <c r="B1262" s="9" t="s">
        <v>3607</v>
      </c>
      <c r="C1262" s="9" t="s">
        <v>12</v>
      </c>
      <c r="D1262" s="9" t="s">
        <v>11620</v>
      </c>
      <c r="E1262" s="9"/>
      <c r="F1262" s="9" t="s">
        <v>1165</v>
      </c>
      <c r="G1262" s="9"/>
      <c r="H1262" s="9"/>
      <c r="I1262" s="9" t="s">
        <v>3608</v>
      </c>
      <c r="J1262" s="9"/>
      <c r="K1262" s="9" t="s">
        <v>3606</v>
      </c>
      <c r="L1262" s="9"/>
      <c r="M1262" s="9" t="str">
        <f>HYPERLINK("https://ceds.ed.gov/cedselementdetails.aspx?termid=13599")</f>
        <v>https://ceds.ed.gov/cedselementdetails.aspx?termid=13599</v>
      </c>
      <c r="N1262" s="9" t="str">
        <f>HYPERLINK("https://ceds.ed.gov/elementComment.aspx?elementName=Latitude &amp;elementID=13599", "Click here to submit comment")</f>
        <v>Click here to submit comment</v>
      </c>
    </row>
    <row r="1263" spans="1:14" ht="75" x14ac:dyDescent="0.25">
      <c r="A1263" s="9" t="s">
        <v>11621</v>
      </c>
      <c r="B1263" s="9" t="s">
        <v>11622</v>
      </c>
      <c r="C1263" s="9" t="s">
        <v>6106</v>
      </c>
      <c r="D1263" s="9" t="s">
        <v>1200</v>
      </c>
      <c r="E1263" s="9"/>
      <c r="F1263" s="9"/>
      <c r="G1263" s="9"/>
      <c r="H1263" s="9"/>
      <c r="I1263" s="9" t="s">
        <v>11623</v>
      </c>
      <c r="J1263" s="9"/>
      <c r="K1263" s="9" t="s">
        <v>11624</v>
      </c>
      <c r="L1263" s="9"/>
      <c r="M1263" s="9" t="str">
        <f>HYPERLINK("https://ceds.ed.gov/cedselementdetails.aspx?termid=14743")</f>
        <v>https://ceds.ed.gov/cedselementdetails.aspx?termid=14743</v>
      </c>
      <c r="N1263" s="9" t="str">
        <f>HYPERLINK("https://ceds.ed.gov/elementComment.aspx?elementName=LEA Full Academic Year &amp;elementID=14743", "Click here to submit comment")</f>
        <v>Click here to submit comment</v>
      </c>
    </row>
    <row r="1264" spans="1:14" ht="105" x14ac:dyDescent="0.25">
      <c r="A1264" s="18" t="s">
        <v>3609</v>
      </c>
      <c r="B1264" s="18" t="s">
        <v>3610</v>
      </c>
      <c r="C1264" s="18" t="s">
        <v>12</v>
      </c>
      <c r="D1264" s="18" t="s">
        <v>6238</v>
      </c>
      <c r="E1264" s="18"/>
      <c r="F1264" s="18" t="s">
        <v>119</v>
      </c>
      <c r="G1264" s="18"/>
      <c r="H1264" s="9" t="s">
        <v>120</v>
      </c>
      <c r="I1264" s="18" t="s">
        <v>3611</v>
      </c>
      <c r="J1264" s="18"/>
      <c r="K1264" s="18" t="s">
        <v>3612</v>
      </c>
      <c r="L1264" s="18"/>
      <c r="M1264" s="18" t="str">
        <f>HYPERLINK("https://ceds.ed.gov/cedselementdetails.aspx?termid=14533")</f>
        <v>https://ceds.ed.gov/cedselementdetails.aspx?termid=14533</v>
      </c>
      <c r="N1264" s="18" t="str">
        <f>HYPERLINK("https://ceds.ed.gov/elementComment.aspx?elementName=Learner Action Actor Identifier &amp;elementID=14533", "Click here to submit comment")</f>
        <v>Click here to submit comment</v>
      </c>
    </row>
    <row r="1265" spans="1:14" x14ac:dyDescent="0.25">
      <c r="A1265" s="18"/>
      <c r="B1265" s="18"/>
      <c r="C1265" s="18"/>
      <c r="D1265" s="18"/>
      <c r="E1265" s="18"/>
      <c r="F1265" s="18"/>
      <c r="G1265" s="18"/>
      <c r="H1265" s="9"/>
      <c r="I1265" s="18"/>
      <c r="J1265" s="18"/>
      <c r="K1265" s="18"/>
      <c r="L1265" s="18"/>
      <c r="M1265" s="18"/>
      <c r="N1265" s="18"/>
    </row>
    <row r="1266" spans="1:14" ht="90" x14ac:dyDescent="0.25">
      <c r="A1266" s="18"/>
      <c r="B1266" s="18"/>
      <c r="C1266" s="18"/>
      <c r="D1266" s="18"/>
      <c r="E1266" s="18"/>
      <c r="F1266" s="18"/>
      <c r="G1266" s="18"/>
      <c r="H1266" s="9" t="s">
        <v>121</v>
      </c>
      <c r="I1266" s="18"/>
      <c r="J1266" s="18"/>
      <c r="K1266" s="18"/>
      <c r="L1266" s="18"/>
      <c r="M1266" s="18"/>
      <c r="N1266" s="18"/>
    </row>
    <row r="1267" spans="1:14" ht="15" customHeight="1" x14ac:dyDescent="0.25">
      <c r="A1267" s="9" t="s">
        <v>3613</v>
      </c>
      <c r="B1267" s="9" t="s">
        <v>3614</v>
      </c>
      <c r="C1267" s="9" t="s">
        <v>12</v>
      </c>
      <c r="D1267" s="9" t="s">
        <v>6238</v>
      </c>
      <c r="E1267" s="9"/>
      <c r="F1267" s="9" t="s">
        <v>828</v>
      </c>
      <c r="G1267" s="9"/>
      <c r="H1267" s="9"/>
      <c r="I1267" s="9" t="s">
        <v>3615</v>
      </c>
      <c r="J1267" s="9"/>
      <c r="K1267" s="9" t="s">
        <v>3616</v>
      </c>
      <c r="L1267" s="9"/>
      <c r="M1267" s="9" t="str">
        <f>HYPERLINK("https://ceds.ed.gov/cedselementdetails.aspx?termid=13938")</f>
        <v>https://ceds.ed.gov/cedselementdetails.aspx?termid=13938</v>
      </c>
      <c r="N1267" s="9" t="str">
        <f>HYPERLINK("https://ceds.ed.gov/elementComment.aspx?elementName=Learner Action Date Time &amp;elementID=13938", "Click here to submit comment")</f>
        <v>Click here to submit comment</v>
      </c>
    </row>
    <row r="1268" spans="1:14" ht="15" customHeight="1" x14ac:dyDescent="0.25">
      <c r="A1268" s="9" t="s">
        <v>3617</v>
      </c>
      <c r="B1268" s="9" t="s">
        <v>3618</v>
      </c>
      <c r="C1268" s="9" t="s">
        <v>12</v>
      </c>
      <c r="D1268" s="9" t="s">
        <v>6238</v>
      </c>
      <c r="E1268" s="9"/>
      <c r="F1268" s="9" t="s">
        <v>68</v>
      </c>
      <c r="G1268" s="9"/>
      <c r="H1268" s="9"/>
      <c r="I1268" s="9" t="s">
        <v>3619</v>
      </c>
      <c r="J1268" s="9"/>
      <c r="K1268" s="9" t="s">
        <v>3620</v>
      </c>
      <c r="L1268" s="9"/>
      <c r="M1268" s="9" t="str">
        <f>HYPERLINK("https://ceds.ed.gov/cedselementdetails.aspx?termid=14534")</f>
        <v>https://ceds.ed.gov/cedselementdetails.aspx?termid=14534</v>
      </c>
      <c r="N1268" s="9" t="str">
        <f>HYPERLINK("https://ceds.ed.gov/elementComment.aspx?elementName=Learner Action Object Description &amp;elementID=14534", "Click here to submit comment")</f>
        <v>Click here to submit comment</v>
      </c>
    </row>
    <row r="1269" spans="1:14" ht="105" x14ac:dyDescent="0.25">
      <c r="A1269" s="18" t="s">
        <v>3621</v>
      </c>
      <c r="B1269" s="18" t="s">
        <v>3622</v>
      </c>
      <c r="C1269" s="18" t="s">
        <v>12</v>
      </c>
      <c r="D1269" s="18" t="s">
        <v>6238</v>
      </c>
      <c r="E1269" s="18"/>
      <c r="F1269" s="18" t="s">
        <v>119</v>
      </c>
      <c r="G1269" s="18"/>
      <c r="H1269" s="9" t="s">
        <v>120</v>
      </c>
      <c r="I1269" s="18" t="s">
        <v>3623</v>
      </c>
      <c r="J1269" s="18"/>
      <c r="K1269" s="18" t="s">
        <v>3624</v>
      </c>
      <c r="L1269" s="18"/>
      <c r="M1269" s="18" t="str">
        <f>HYPERLINK("https://ceds.ed.gov/cedselementdetails.aspx?termid=14535")</f>
        <v>https://ceds.ed.gov/cedselementdetails.aspx?termid=14535</v>
      </c>
      <c r="N1269" s="18" t="str">
        <f>HYPERLINK("https://ceds.ed.gov/elementComment.aspx?elementName=Learner Action Object Identifier &amp;elementID=14535", "Click here to submit comment")</f>
        <v>Click here to submit comment</v>
      </c>
    </row>
    <row r="1270" spans="1:14" x14ac:dyDescent="0.25">
      <c r="A1270" s="18"/>
      <c r="B1270" s="18"/>
      <c r="C1270" s="18"/>
      <c r="D1270" s="18"/>
      <c r="E1270" s="18"/>
      <c r="F1270" s="18"/>
      <c r="G1270" s="18"/>
      <c r="H1270" s="9"/>
      <c r="I1270" s="18"/>
      <c r="J1270" s="18"/>
      <c r="K1270" s="18"/>
      <c r="L1270" s="18"/>
      <c r="M1270" s="18"/>
      <c r="N1270" s="18"/>
    </row>
    <row r="1271" spans="1:14" ht="90" x14ac:dyDescent="0.25">
      <c r="A1271" s="18"/>
      <c r="B1271" s="18"/>
      <c r="C1271" s="18"/>
      <c r="D1271" s="18"/>
      <c r="E1271" s="18"/>
      <c r="F1271" s="18"/>
      <c r="G1271" s="18"/>
      <c r="H1271" s="9" t="s">
        <v>121</v>
      </c>
      <c r="I1271" s="18"/>
      <c r="J1271" s="18"/>
      <c r="K1271" s="18"/>
      <c r="L1271" s="18"/>
      <c r="M1271" s="18"/>
      <c r="N1271" s="18"/>
    </row>
    <row r="1272" spans="1:14" ht="45" x14ac:dyDescent="0.25">
      <c r="A1272" s="9" t="s">
        <v>3625</v>
      </c>
      <c r="B1272" s="9" t="s">
        <v>3626</v>
      </c>
      <c r="C1272" s="9" t="s">
        <v>12</v>
      </c>
      <c r="D1272" s="9" t="s">
        <v>6238</v>
      </c>
      <c r="E1272" s="9"/>
      <c r="F1272" s="9" t="s">
        <v>92</v>
      </c>
      <c r="G1272" s="9"/>
      <c r="H1272" s="9"/>
      <c r="I1272" s="9" t="s">
        <v>3627</v>
      </c>
      <c r="J1272" s="9"/>
      <c r="K1272" s="9" t="s">
        <v>3628</v>
      </c>
      <c r="L1272" s="9"/>
      <c r="M1272" s="9" t="str">
        <f>HYPERLINK("https://ceds.ed.gov/cedselementdetails.aspx?termid=14536")</f>
        <v>https://ceds.ed.gov/cedselementdetails.aspx?termid=14536</v>
      </c>
      <c r="N1272" s="9" t="str">
        <f>HYPERLINK("https://ceds.ed.gov/elementComment.aspx?elementName=Learner Action Object Type &amp;elementID=14536", "Click here to submit comment")</f>
        <v>Click here to submit comment</v>
      </c>
    </row>
    <row r="1273" spans="1:14" ht="45" customHeight="1" x14ac:dyDescent="0.25">
      <c r="A1273" s="9" t="s">
        <v>3629</v>
      </c>
      <c r="B1273" s="9" t="s">
        <v>3630</v>
      </c>
      <c r="C1273" s="10" t="s">
        <v>6574</v>
      </c>
      <c r="D1273" s="9" t="s">
        <v>6238</v>
      </c>
      <c r="E1273" s="9"/>
      <c r="F1273" s="9"/>
      <c r="G1273" s="9"/>
      <c r="H1273" s="11" t="s">
        <v>3631</v>
      </c>
      <c r="I1273" s="9" t="s">
        <v>3632</v>
      </c>
      <c r="J1273" s="9"/>
      <c r="K1273" s="9" t="s">
        <v>3633</v>
      </c>
      <c r="L1273" s="9"/>
      <c r="M1273" s="9" t="str">
        <f>HYPERLINK("https://ceds.ed.gov/cedselementdetails.aspx?termid=13935")</f>
        <v>https://ceds.ed.gov/cedselementdetails.aspx?termid=13935</v>
      </c>
      <c r="N1273" s="9" t="str">
        <f>HYPERLINK("https://ceds.ed.gov/elementComment.aspx?elementName=Learner Action Type &amp;elementID=13935", "Click here to submit comment")</f>
        <v>Click here to submit comment</v>
      </c>
    </row>
    <row r="1274" spans="1:14" ht="15" customHeight="1" x14ac:dyDescent="0.25">
      <c r="A1274" s="9" t="s">
        <v>3634</v>
      </c>
      <c r="B1274" s="9" t="s">
        <v>3635</v>
      </c>
      <c r="C1274" s="9" t="s">
        <v>12</v>
      </c>
      <c r="D1274" s="9" t="s">
        <v>6238</v>
      </c>
      <c r="E1274" s="9"/>
      <c r="F1274" s="9" t="s">
        <v>303</v>
      </c>
      <c r="G1274" s="9"/>
      <c r="H1274" s="9"/>
      <c r="I1274" s="9" t="s">
        <v>3636</v>
      </c>
      <c r="J1274" s="9"/>
      <c r="K1274" s="9" t="s">
        <v>3637</v>
      </c>
      <c r="L1274" s="9"/>
      <c r="M1274" s="9" t="str">
        <f>HYPERLINK("https://ceds.ed.gov/cedselementdetails.aspx?termid=13936")</f>
        <v>https://ceds.ed.gov/cedselementdetails.aspx?termid=13936</v>
      </c>
      <c r="N1274" s="9" t="str">
        <f>HYPERLINK("https://ceds.ed.gov/elementComment.aspx?elementName=Learner Action Value &amp;elementID=13936", "Click here to submit comment")</f>
        <v>Click here to submit comment</v>
      </c>
    </row>
    <row r="1275" spans="1:14" ht="15" customHeight="1" x14ac:dyDescent="0.25">
      <c r="A1275" s="9" t="s">
        <v>12214</v>
      </c>
      <c r="B1275" s="9" t="s">
        <v>3638</v>
      </c>
      <c r="C1275" s="10" t="s">
        <v>6342</v>
      </c>
      <c r="D1275" s="9" t="s">
        <v>3639</v>
      </c>
      <c r="E1275" s="9"/>
      <c r="F1275" s="9"/>
      <c r="G1275" s="9"/>
      <c r="H1275" s="9"/>
      <c r="I1275" s="9" t="s">
        <v>3640</v>
      </c>
      <c r="J1275" s="9"/>
      <c r="K1275" s="9" t="s">
        <v>3641</v>
      </c>
      <c r="L1275" s="9"/>
      <c r="M1275" s="9" t="str">
        <f>HYPERLINK("https://ceds.ed.gov/cedselementdetails.aspx?termid=13950")</f>
        <v>https://ceds.ed.gov/cedselementdetails.aspx?termid=13950</v>
      </c>
      <c r="N1275" s="9" t="str">
        <f>HYPERLINK("https://ceds.ed.gov/elementComment.aspx?elementName=Learner Activity Add to Grade Book Flag &amp;elementID=13950", "Click here to submit comment")</f>
        <v>Click here to submit comment</v>
      </c>
    </row>
    <row r="1276" spans="1:14" ht="45" x14ac:dyDescent="0.25">
      <c r="A1276" s="9" t="s">
        <v>3642</v>
      </c>
      <c r="B1276" s="9" t="s">
        <v>3643</v>
      </c>
      <c r="C1276" s="9" t="s">
        <v>12</v>
      </c>
      <c r="D1276" s="9" t="s">
        <v>3639</v>
      </c>
      <c r="E1276" s="9"/>
      <c r="F1276" s="9" t="s">
        <v>73</v>
      </c>
      <c r="G1276" s="9"/>
      <c r="H1276" s="9"/>
      <c r="I1276" s="9" t="s">
        <v>3644</v>
      </c>
      <c r="J1276" s="9"/>
      <c r="K1276" s="9" t="s">
        <v>3645</v>
      </c>
      <c r="L1276" s="9"/>
      <c r="M1276" s="9" t="str">
        <f>HYPERLINK("https://ceds.ed.gov/cedselementdetails.aspx?termid=13944")</f>
        <v>https://ceds.ed.gov/cedselementdetails.aspx?termid=13944</v>
      </c>
      <c r="N1276" s="9" t="str">
        <f>HYPERLINK("https://ceds.ed.gov/elementComment.aspx?elementName=Learner Activity Creation Date &amp;elementID=13944", "Click here to submit comment")</f>
        <v>Click here to submit comment</v>
      </c>
    </row>
    <row r="1277" spans="1:14" ht="45" x14ac:dyDescent="0.25">
      <c r="A1277" s="9" t="s">
        <v>3646</v>
      </c>
      <c r="B1277" s="9" t="s">
        <v>3647</v>
      </c>
      <c r="C1277" s="9" t="s">
        <v>12</v>
      </c>
      <c r="D1277" s="9" t="s">
        <v>3639</v>
      </c>
      <c r="E1277" s="9"/>
      <c r="F1277" s="9" t="s">
        <v>68</v>
      </c>
      <c r="G1277" s="9"/>
      <c r="H1277" s="9"/>
      <c r="I1277" s="9" t="s">
        <v>3648</v>
      </c>
      <c r="J1277" s="9"/>
      <c r="K1277" s="9" t="s">
        <v>3649</v>
      </c>
      <c r="L1277" s="9"/>
      <c r="M1277" s="9" t="str">
        <f>HYPERLINK("https://ceds.ed.gov/cedselementdetails.aspx?termid=13941")</f>
        <v>https://ceds.ed.gov/cedselementdetails.aspx?termid=13941</v>
      </c>
      <c r="N1277" s="9" t="str">
        <f>HYPERLINK("https://ceds.ed.gov/elementComment.aspx?elementName=Learner Activity Description &amp;elementID=13941", "Click here to submit comment")</f>
        <v>Click here to submit comment</v>
      </c>
    </row>
    <row r="1278" spans="1:14" ht="45" x14ac:dyDescent="0.25">
      <c r="A1278" s="9" t="s">
        <v>3650</v>
      </c>
      <c r="B1278" s="9" t="s">
        <v>3651</v>
      </c>
      <c r="C1278" s="9" t="s">
        <v>12</v>
      </c>
      <c r="D1278" s="9" t="s">
        <v>3639</v>
      </c>
      <c r="E1278" s="9"/>
      <c r="F1278" s="9" t="s">
        <v>73</v>
      </c>
      <c r="G1278" s="9"/>
      <c r="H1278" s="9"/>
      <c r="I1278" s="9" t="s">
        <v>3652</v>
      </c>
      <c r="J1278" s="9"/>
      <c r="K1278" s="9" t="s">
        <v>3653</v>
      </c>
      <c r="L1278" s="9"/>
      <c r="M1278" s="9" t="str">
        <f>HYPERLINK("https://ceds.ed.gov/cedselementdetails.aspx?termid=13947")</f>
        <v>https://ceds.ed.gov/cedselementdetails.aspx?termid=13947</v>
      </c>
      <c r="N1278" s="9" t="str">
        <f>HYPERLINK("https://ceds.ed.gov/elementComment.aspx?elementName=Learner Activity Due Date &amp;elementID=13947", "Click here to submit comment")</f>
        <v>Click here to submit comment</v>
      </c>
    </row>
    <row r="1279" spans="1:14" ht="45" x14ac:dyDescent="0.25">
      <c r="A1279" s="9" t="s">
        <v>3654</v>
      </c>
      <c r="B1279" s="9" t="s">
        <v>3655</v>
      </c>
      <c r="C1279" s="9" t="s">
        <v>12</v>
      </c>
      <c r="D1279" s="9" t="s">
        <v>3639</v>
      </c>
      <c r="E1279" s="9"/>
      <c r="F1279" s="9" t="s">
        <v>406</v>
      </c>
      <c r="G1279" s="9"/>
      <c r="H1279" s="9"/>
      <c r="I1279" s="9" t="s">
        <v>3656</v>
      </c>
      <c r="J1279" s="9"/>
      <c r="K1279" s="9" t="s">
        <v>3657</v>
      </c>
      <c r="L1279" s="9"/>
      <c r="M1279" s="9" t="str">
        <f>HYPERLINK("https://ceds.ed.gov/cedselementdetails.aspx?termid=13948")</f>
        <v>https://ceds.ed.gov/cedselementdetails.aspx?termid=13948</v>
      </c>
      <c r="N1279" s="9" t="str">
        <f>HYPERLINK("https://ceds.ed.gov/elementComment.aspx?elementName=Learner Activity Due Time &amp;elementID=13948", "Click here to submit comment")</f>
        <v>Click here to submit comment</v>
      </c>
    </row>
    <row r="1280" spans="1:14" ht="90" x14ac:dyDescent="0.25">
      <c r="A1280" s="9" t="s">
        <v>3658</v>
      </c>
      <c r="B1280" s="9" t="s">
        <v>3659</v>
      </c>
      <c r="C1280" s="11" t="s">
        <v>966</v>
      </c>
      <c r="D1280" s="9" t="s">
        <v>3639</v>
      </c>
      <c r="E1280" s="9"/>
      <c r="F1280" s="9"/>
      <c r="G1280" s="9"/>
      <c r="H1280" s="11" t="s">
        <v>967</v>
      </c>
      <c r="I1280" s="9" t="s">
        <v>3660</v>
      </c>
      <c r="J1280" s="9"/>
      <c r="K1280" s="9" t="s">
        <v>3661</v>
      </c>
      <c r="L1280" s="9"/>
      <c r="M1280" s="9" t="str">
        <f>HYPERLINK("https://ceds.ed.gov/cedselementdetails.aspx?termid=13939")</f>
        <v>https://ceds.ed.gov/cedselementdetails.aspx?termid=13939</v>
      </c>
      <c r="N1280" s="9" t="str">
        <f>HYPERLINK("https://ceds.ed.gov/elementComment.aspx?elementName=Learner Activity Language &amp;elementID=13939", "Click here to submit comment")</f>
        <v>Click here to submit comment</v>
      </c>
    </row>
    <row r="1281" spans="1:14" ht="45" x14ac:dyDescent="0.25">
      <c r="A1281" s="9" t="s">
        <v>3662</v>
      </c>
      <c r="B1281" s="9" t="s">
        <v>3663</v>
      </c>
      <c r="C1281" s="9" t="s">
        <v>12</v>
      </c>
      <c r="D1281" s="9" t="s">
        <v>3639</v>
      </c>
      <c r="E1281" s="9"/>
      <c r="F1281" s="9" t="s">
        <v>10489</v>
      </c>
      <c r="G1281" s="9"/>
      <c r="H1281" s="9"/>
      <c r="I1281" s="9" t="s">
        <v>3664</v>
      </c>
      <c r="J1281" s="9"/>
      <c r="K1281" s="9" t="s">
        <v>3665</v>
      </c>
      <c r="L1281" s="9"/>
      <c r="M1281" s="9" t="str">
        <f>HYPERLINK("https://ceds.ed.gov/cedselementdetails.aspx?termid=13949")</f>
        <v>https://ceds.ed.gov/cedselementdetails.aspx?termid=13949</v>
      </c>
      <c r="N1281" s="9" t="str">
        <f>HYPERLINK("https://ceds.ed.gov/elementComment.aspx?elementName=Learner Activity Maximum Attempts Allowed &amp;elementID=13949", "Click here to submit comment")</f>
        <v>Click here to submit comment</v>
      </c>
    </row>
    <row r="1282" spans="1:14" ht="45" x14ac:dyDescent="0.25">
      <c r="A1282" s="9" t="s">
        <v>3666</v>
      </c>
      <c r="B1282" s="9" t="s">
        <v>3667</v>
      </c>
      <c r="C1282" s="9" t="s">
        <v>12</v>
      </c>
      <c r="D1282" s="9" t="s">
        <v>3639</v>
      </c>
      <c r="E1282" s="9"/>
      <c r="F1282" s="9" t="s">
        <v>10489</v>
      </c>
      <c r="G1282" s="9"/>
      <c r="H1282" s="9" t="s">
        <v>3668</v>
      </c>
      <c r="I1282" s="9" t="s">
        <v>3669</v>
      </c>
      <c r="J1282" s="9"/>
      <c r="K1282" s="9" t="s">
        <v>3670</v>
      </c>
      <c r="L1282" s="9"/>
      <c r="M1282" s="9" t="str">
        <f>HYPERLINK("https://ceds.ed.gov/cedselementdetails.aspx?termid=13945")</f>
        <v>https://ceds.ed.gov/cedselementdetails.aspx?termid=13945</v>
      </c>
      <c r="N1282" s="9" t="str">
        <f>HYPERLINK("https://ceds.ed.gov/elementComment.aspx?elementName=Learner Activity Maximum Time Allowed &amp;elementID=13945", "Click here to submit comment")</f>
        <v>Click here to submit comment</v>
      </c>
    </row>
    <row r="1283" spans="1:14" ht="90" x14ac:dyDescent="0.25">
      <c r="A1283" s="9" t="s">
        <v>3671</v>
      </c>
      <c r="B1283" s="9" t="s">
        <v>3672</v>
      </c>
      <c r="C1283" s="10" t="s">
        <v>6575</v>
      </c>
      <c r="D1283" s="9" t="s">
        <v>3639</v>
      </c>
      <c r="E1283" s="9"/>
      <c r="F1283" s="9"/>
      <c r="G1283" s="9"/>
      <c r="H1283" s="9"/>
      <c r="I1283" s="9" t="s">
        <v>3673</v>
      </c>
      <c r="J1283" s="9"/>
      <c r="K1283" s="9" t="s">
        <v>3674</v>
      </c>
      <c r="L1283" s="9"/>
      <c r="M1283" s="9" t="str">
        <f>HYPERLINK("https://ceds.ed.gov/cedselementdetails.aspx?termid=13946")</f>
        <v>https://ceds.ed.gov/cedselementdetails.aspx?termid=13946</v>
      </c>
      <c r="N1283" s="9" t="str">
        <f>HYPERLINK("https://ceds.ed.gov/elementComment.aspx?elementName=Learner Activity Maximum Time Allowed Unit &amp;elementID=13946", "Click here to submit comment")</f>
        <v>Click here to submit comment</v>
      </c>
    </row>
    <row r="1284" spans="1:14" ht="45" x14ac:dyDescent="0.25">
      <c r="A1284" s="9" t="s">
        <v>3675</v>
      </c>
      <c r="B1284" s="9" t="s">
        <v>3676</v>
      </c>
      <c r="C1284" s="9" t="s">
        <v>12</v>
      </c>
      <c r="D1284" s="9" t="s">
        <v>3639</v>
      </c>
      <c r="E1284" s="9"/>
      <c r="F1284" s="9" t="s">
        <v>1513</v>
      </c>
      <c r="G1284" s="9"/>
      <c r="H1284" s="9"/>
      <c r="I1284" s="9" t="s">
        <v>3677</v>
      </c>
      <c r="J1284" s="9"/>
      <c r="K1284" s="9" t="s">
        <v>3678</v>
      </c>
      <c r="L1284" s="9"/>
      <c r="M1284" s="9" t="str">
        <f>HYPERLINK("https://ceds.ed.gov/cedselementdetails.aspx?termid=13953")</f>
        <v>https://ceds.ed.gov/cedselementdetails.aspx?termid=13953</v>
      </c>
      <c r="N1284" s="9" t="str">
        <f>HYPERLINK("https://ceds.ed.gov/elementComment.aspx?elementName=Learner Activity Possible Points &amp;elementID=13953", "Click here to submit comment")</f>
        <v>Click here to submit comment</v>
      </c>
    </row>
    <row r="1285" spans="1:14" ht="120" x14ac:dyDescent="0.25">
      <c r="A1285" s="9" t="s">
        <v>3679</v>
      </c>
      <c r="B1285" s="9" t="s">
        <v>3680</v>
      </c>
      <c r="C1285" s="9" t="s">
        <v>12</v>
      </c>
      <c r="D1285" s="9" t="s">
        <v>3639</v>
      </c>
      <c r="E1285" s="9"/>
      <c r="F1285" s="9" t="s">
        <v>68</v>
      </c>
      <c r="G1285" s="9"/>
      <c r="H1285" s="9" t="s">
        <v>3681</v>
      </c>
      <c r="I1285" s="9" t="s">
        <v>3682</v>
      </c>
      <c r="J1285" s="9"/>
      <c r="K1285" s="9" t="s">
        <v>3683</v>
      </c>
      <c r="L1285" s="9"/>
      <c r="M1285" s="9" t="str">
        <f>HYPERLINK("https://ceds.ed.gov/cedselementdetails.aspx?termid=13942")</f>
        <v>https://ceds.ed.gov/cedselementdetails.aspx?termid=13942</v>
      </c>
      <c r="N1285" s="9" t="str">
        <f>HYPERLINK("https://ceds.ed.gov/elementComment.aspx?elementName=Learner Activity Prerequisite &amp;elementID=13942", "Click here to submit comment")</f>
        <v>Click here to submit comment</v>
      </c>
    </row>
    <row r="1286" spans="1:14" ht="60" x14ac:dyDescent="0.25">
      <c r="A1286" s="9" t="s">
        <v>3684</v>
      </c>
      <c r="B1286" s="9" t="s">
        <v>3685</v>
      </c>
      <c r="C1286" s="9" t="s">
        <v>12</v>
      </c>
      <c r="D1286" s="9" t="s">
        <v>3639</v>
      </c>
      <c r="E1286" s="9"/>
      <c r="F1286" s="9" t="s">
        <v>73</v>
      </c>
      <c r="G1286" s="9"/>
      <c r="H1286" s="9"/>
      <c r="I1286" s="9" t="s">
        <v>3686</v>
      </c>
      <c r="J1286" s="9"/>
      <c r="K1286" s="9" t="s">
        <v>3687</v>
      </c>
      <c r="L1286" s="9"/>
      <c r="M1286" s="9" t="str">
        <f>HYPERLINK("https://ceds.ed.gov/cedselementdetails.aspx?termid=13951")</f>
        <v>https://ceds.ed.gov/cedselementdetails.aspx?termid=13951</v>
      </c>
      <c r="N1286" s="9" t="str">
        <f>HYPERLINK("https://ceds.ed.gov/elementComment.aspx?elementName=Learner Activity Release Date &amp;elementID=13951", "Click here to submit comment")</f>
        <v>Click here to submit comment</v>
      </c>
    </row>
    <row r="1287" spans="1:14" ht="60" x14ac:dyDescent="0.25">
      <c r="A1287" s="9" t="s">
        <v>3688</v>
      </c>
      <c r="B1287" s="9" t="s">
        <v>3689</v>
      </c>
      <c r="C1287" s="9" t="s">
        <v>12</v>
      </c>
      <c r="D1287" s="9" t="s">
        <v>3639</v>
      </c>
      <c r="E1287" s="9"/>
      <c r="F1287" s="9" t="s">
        <v>1143</v>
      </c>
      <c r="G1287" s="9"/>
      <c r="H1287" s="9"/>
      <c r="I1287" s="9" t="s">
        <v>3690</v>
      </c>
      <c r="J1287" s="9"/>
      <c r="K1287" s="9" t="s">
        <v>3691</v>
      </c>
      <c r="L1287" s="9"/>
      <c r="M1287" s="9" t="str">
        <f>HYPERLINK("https://ceds.ed.gov/cedselementdetails.aspx?termid=13954")</f>
        <v>https://ceds.ed.gov/cedselementdetails.aspx?termid=13954</v>
      </c>
      <c r="N1287" s="9" t="str">
        <f>HYPERLINK("https://ceds.ed.gov/elementComment.aspx?elementName=Learner Activity Rubric URL &amp;elementID=13954", "Click here to submit comment")</f>
        <v>Click here to submit comment</v>
      </c>
    </row>
    <row r="1288" spans="1:14" ht="45" x14ac:dyDescent="0.25">
      <c r="A1288" s="9" t="s">
        <v>3692</v>
      </c>
      <c r="B1288" s="9" t="s">
        <v>3693</v>
      </c>
      <c r="C1288" s="9" t="s">
        <v>12</v>
      </c>
      <c r="D1288" s="9" t="s">
        <v>3639</v>
      </c>
      <c r="E1288" s="9"/>
      <c r="F1288" s="9" t="s">
        <v>87</v>
      </c>
      <c r="G1288" s="9"/>
      <c r="H1288" s="9"/>
      <c r="I1288" s="9" t="s">
        <v>3694</v>
      </c>
      <c r="J1288" s="9"/>
      <c r="K1288" s="9" t="s">
        <v>3695</v>
      </c>
      <c r="L1288" s="9"/>
      <c r="M1288" s="9" t="str">
        <f>HYPERLINK("https://ceds.ed.gov/cedselementdetails.aspx?termid=13940")</f>
        <v>https://ceds.ed.gov/cedselementdetails.aspx?termid=13940</v>
      </c>
      <c r="N1288" s="9" t="str">
        <f>HYPERLINK("https://ceds.ed.gov/elementComment.aspx?elementName=Learner Activity Title &amp;elementID=13940", "Click here to submit comment")</f>
        <v>Click here to submit comment</v>
      </c>
    </row>
    <row r="1289" spans="1:14" ht="75" x14ac:dyDescent="0.25">
      <c r="A1289" s="9" t="s">
        <v>3696</v>
      </c>
      <c r="B1289" s="9" t="s">
        <v>3697</v>
      </c>
      <c r="C1289" s="10" t="s">
        <v>6576</v>
      </c>
      <c r="D1289" s="9" t="s">
        <v>3639</v>
      </c>
      <c r="E1289" s="9"/>
      <c r="F1289" s="9"/>
      <c r="G1289" s="9"/>
      <c r="H1289" s="9"/>
      <c r="I1289" s="9" t="s">
        <v>3698</v>
      </c>
      <c r="J1289" s="9"/>
      <c r="K1289" s="9" t="s">
        <v>3699</v>
      </c>
      <c r="L1289" s="9"/>
      <c r="M1289" s="9" t="str">
        <f>HYPERLINK("https://ceds.ed.gov/cedselementdetails.aspx?termid=13943")</f>
        <v>https://ceds.ed.gov/cedselementdetails.aspx?termid=13943</v>
      </c>
      <c r="N1289" s="9" t="str">
        <f>HYPERLINK("https://ceds.ed.gov/elementComment.aspx?elementName=Learner Activity Type &amp;elementID=13943", "Click here to submit comment")</f>
        <v>Click here to submit comment</v>
      </c>
    </row>
    <row r="1290" spans="1:14" ht="45" x14ac:dyDescent="0.25">
      <c r="A1290" s="9" t="s">
        <v>3700</v>
      </c>
      <c r="B1290" s="9" t="s">
        <v>3701</v>
      </c>
      <c r="C1290" s="9" t="s">
        <v>12</v>
      </c>
      <c r="D1290" s="9" t="s">
        <v>3639</v>
      </c>
      <c r="E1290" s="9"/>
      <c r="F1290" s="9" t="s">
        <v>10496</v>
      </c>
      <c r="G1290" s="9"/>
      <c r="H1290" s="9"/>
      <c r="I1290" s="9" t="s">
        <v>3702</v>
      </c>
      <c r="J1290" s="9"/>
      <c r="K1290" s="9" t="s">
        <v>3703</v>
      </c>
      <c r="L1290" s="9"/>
      <c r="M1290" s="9" t="str">
        <f>HYPERLINK("https://ceds.ed.gov/cedselementdetails.aspx?termid=13952")</f>
        <v>https://ceds.ed.gov/cedselementdetails.aspx?termid=13952</v>
      </c>
      <c r="N1290" s="9" t="str">
        <f>HYPERLINK("https://ceds.ed.gov/elementComment.aspx?elementName=Learner Activity Weight &amp;elementID=13952", "Click here to submit comment")</f>
        <v>Click here to submit comment</v>
      </c>
    </row>
    <row r="1291" spans="1:14" ht="225" x14ac:dyDescent="0.25">
      <c r="A1291" s="9" t="s">
        <v>3709</v>
      </c>
      <c r="B1291" s="9" t="s">
        <v>3710</v>
      </c>
      <c r="C1291" s="10" t="s">
        <v>6577</v>
      </c>
      <c r="D1291" s="9" t="s">
        <v>3724</v>
      </c>
      <c r="E1291" s="9"/>
      <c r="F1291" s="9"/>
      <c r="G1291" s="9"/>
      <c r="H1291" s="9" t="s">
        <v>3711</v>
      </c>
      <c r="I1291" s="9" t="s">
        <v>3712</v>
      </c>
      <c r="J1291" s="9"/>
      <c r="K1291" s="9" t="s">
        <v>3713</v>
      </c>
      <c r="L1291" s="9"/>
      <c r="M1291" s="9" t="str">
        <f>HYPERLINK("https://ceds.ed.gov/cedselementdetails.aspx?termid=14358")</f>
        <v>https://ceds.ed.gov/cedselementdetails.aspx?termid=14358</v>
      </c>
      <c r="N1291" s="9" t="str">
        <f>HYPERLINK("https://ceds.ed.gov/elementComment.aspx?elementName=Learning Resource Access API Type &amp;elementID=14358", "Click here to submit comment")</f>
        <v>Click here to submit comment</v>
      </c>
    </row>
    <row r="1292" spans="1:14" ht="60" x14ac:dyDescent="0.25">
      <c r="A1292" s="9" t="s">
        <v>3714</v>
      </c>
      <c r="B1292" s="9" t="s">
        <v>3715</v>
      </c>
      <c r="C1292" s="10" t="s">
        <v>6578</v>
      </c>
      <c r="D1292" s="9" t="s">
        <v>3724</v>
      </c>
      <c r="E1292" s="9"/>
      <c r="F1292" s="9"/>
      <c r="G1292" s="9"/>
      <c r="H1292" s="9"/>
      <c r="I1292" s="9" t="s">
        <v>3716</v>
      </c>
      <c r="J1292" s="9"/>
      <c r="K1292" s="9" t="s">
        <v>3717</v>
      </c>
      <c r="L1292" s="9"/>
      <c r="M1292" s="9" t="str">
        <f>HYPERLINK("https://ceds.ed.gov/cedselementdetails.aspx?termid=14359")</f>
        <v>https://ceds.ed.gov/cedselementdetails.aspx?termid=14359</v>
      </c>
      <c r="N1292" s="9" t="str">
        <f>HYPERLINK("https://ceds.ed.gov/elementComment.aspx?elementName=Learning Resource Access Hazard Type &amp;elementID=14359", "Click here to submit comment")</f>
        <v>Click here to submit comment</v>
      </c>
    </row>
    <row r="1293" spans="1:14" ht="105" x14ac:dyDescent="0.25">
      <c r="A1293" s="9" t="s">
        <v>3718</v>
      </c>
      <c r="B1293" s="9" t="s">
        <v>3719</v>
      </c>
      <c r="C1293" s="10" t="s">
        <v>6579</v>
      </c>
      <c r="D1293" s="9" t="s">
        <v>3724</v>
      </c>
      <c r="E1293" s="9"/>
      <c r="F1293" s="9"/>
      <c r="G1293" s="9"/>
      <c r="H1293" s="9" t="s">
        <v>3720</v>
      </c>
      <c r="I1293" s="9" t="s">
        <v>3721</v>
      </c>
      <c r="J1293" s="9"/>
      <c r="K1293" s="9" t="s">
        <v>3722</v>
      </c>
      <c r="L1293" s="9"/>
      <c r="M1293" s="9" t="str">
        <f>HYPERLINK("https://ceds.ed.gov/cedselementdetails.aspx?termid=14360")</f>
        <v>https://ceds.ed.gov/cedselementdetails.aspx?termid=14360</v>
      </c>
      <c r="N1293" s="9" t="str">
        <f>HYPERLINK("https://ceds.ed.gov/elementComment.aspx?elementName=Learning Resource Access Mode Type &amp;elementID=14360", "Click here to submit comment")</f>
        <v>Click here to submit comment</v>
      </c>
    </row>
    <row r="1294" spans="1:14" ht="165" x14ac:dyDescent="0.25">
      <c r="A1294" s="9" t="s">
        <v>11625</v>
      </c>
      <c r="B1294" s="9" t="s">
        <v>3723</v>
      </c>
      <c r="C1294" s="10" t="s">
        <v>6580</v>
      </c>
      <c r="D1294" s="9" t="s">
        <v>3724</v>
      </c>
      <c r="E1294" s="9" t="s">
        <v>91</v>
      </c>
      <c r="F1294" s="9"/>
      <c r="G1294" s="9" t="s">
        <v>11626</v>
      </c>
      <c r="H1294" s="9"/>
      <c r="I1294" s="9" t="s">
        <v>3725</v>
      </c>
      <c r="J1294" s="9"/>
      <c r="K1294" s="9" t="s">
        <v>11627</v>
      </c>
      <c r="L1294" s="9"/>
      <c r="M1294" s="9" t="str">
        <f>HYPERLINK("https://ceds.ed.gov/cedselementdetails.aspx?termid=14537")</f>
        <v>https://ceds.ed.gov/cedselementdetails.aspx?termid=14537</v>
      </c>
      <c r="N1294" s="9" t="str">
        <f>HYPERLINK("https://ceds.ed.gov/elementComment.aspx?elementName=Learning Resource Access Rights URL &amp;elementID=14537", "Click here to submit comment")</f>
        <v>Click here to submit comment</v>
      </c>
    </row>
    <row r="1295" spans="1:14" ht="45" x14ac:dyDescent="0.25">
      <c r="A1295" s="9" t="s">
        <v>3726</v>
      </c>
      <c r="B1295" s="9" t="s">
        <v>3727</v>
      </c>
      <c r="C1295" s="9" t="s">
        <v>12</v>
      </c>
      <c r="D1295" s="9" t="s">
        <v>3724</v>
      </c>
      <c r="E1295" s="9"/>
      <c r="F1295" s="9" t="s">
        <v>1143</v>
      </c>
      <c r="G1295" s="9"/>
      <c r="H1295" s="9"/>
      <c r="I1295" s="9" t="s">
        <v>3728</v>
      </c>
      <c r="J1295" s="9"/>
      <c r="K1295" s="9" t="s">
        <v>3729</v>
      </c>
      <c r="L1295" s="9"/>
      <c r="M1295" s="9" t="str">
        <f>HYPERLINK("https://ceds.ed.gov/cedselementdetails.aspx?termid=14361")</f>
        <v>https://ceds.ed.gov/cedselementdetails.aspx?termid=14361</v>
      </c>
      <c r="N1295" s="9" t="str">
        <f>HYPERLINK("https://ceds.ed.gov/elementComment.aspx?elementName=Learning Resource Adaptation URL &amp;elementID=14361", "Click here to submit comment")</f>
        <v>Click here to submit comment</v>
      </c>
    </row>
    <row r="1296" spans="1:14" ht="45" x14ac:dyDescent="0.25">
      <c r="A1296" s="9" t="s">
        <v>3730</v>
      </c>
      <c r="B1296" s="9" t="s">
        <v>3731</v>
      </c>
      <c r="C1296" s="9" t="s">
        <v>12</v>
      </c>
      <c r="D1296" s="9" t="s">
        <v>3724</v>
      </c>
      <c r="E1296" s="9"/>
      <c r="F1296" s="9" t="s">
        <v>1143</v>
      </c>
      <c r="G1296" s="9"/>
      <c r="H1296" s="9"/>
      <c r="I1296" s="9" t="s">
        <v>3732</v>
      </c>
      <c r="J1296" s="9"/>
      <c r="K1296" s="9" t="s">
        <v>3733</v>
      </c>
      <c r="L1296" s="9"/>
      <c r="M1296" s="9" t="str">
        <f>HYPERLINK("https://ceds.ed.gov/cedselementdetails.aspx?termid=14367")</f>
        <v>https://ceds.ed.gov/cedselementdetails.aspx?termid=14367</v>
      </c>
      <c r="N1296" s="9" t="str">
        <f>HYPERLINK("https://ceds.ed.gov/elementComment.aspx?elementName=Learning Resource Adapted From URL &amp;elementID=14367", "Click here to submit comment")</f>
        <v>Click here to submit comment</v>
      </c>
    </row>
    <row r="1297" spans="1:14" ht="75" x14ac:dyDescent="0.25">
      <c r="A1297" s="9" t="s">
        <v>3734</v>
      </c>
      <c r="B1297" s="9" t="s">
        <v>3735</v>
      </c>
      <c r="C1297" s="9" t="s">
        <v>6106</v>
      </c>
      <c r="D1297" s="9" t="s">
        <v>3724</v>
      </c>
      <c r="E1297" s="9"/>
      <c r="F1297" s="9"/>
      <c r="G1297" s="9"/>
      <c r="H1297" s="9" t="s">
        <v>3736</v>
      </c>
      <c r="I1297" s="9" t="s">
        <v>3737</v>
      </c>
      <c r="J1297" s="9"/>
      <c r="K1297" s="9" t="s">
        <v>3738</v>
      </c>
      <c r="L1297" s="9"/>
      <c r="M1297" s="9" t="str">
        <f>HYPERLINK("https://ceds.ed.gov/cedselementdetails.aspx?termid=14362")</f>
        <v>https://ceds.ed.gov/cedselementdetails.aspx?termid=14362</v>
      </c>
      <c r="N1297" s="9" t="str">
        <f>HYPERLINK("https://ceds.ed.gov/elementComment.aspx?elementName=Learning Resource Assistive Technologies Compatible Indicator &amp;elementID=14362", "Click here to submit comment")</f>
        <v>Click here to submit comment</v>
      </c>
    </row>
    <row r="1298" spans="1:14" ht="45" x14ac:dyDescent="0.25">
      <c r="A1298" s="9" t="s">
        <v>3739</v>
      </c>
      <c r="B1298" s="9" t="s">
        <v>3740</v>
      </c>
      <c r="C1298" s="9" t="s">
        <v>12</v>
      </c>
      <c r="D1298" s="9" t="s">
        <v>3724</v>
      </c>
      <c r="E1298" s="9"/>
      <c r="F1298" s="9" t="s">
        <v>11127</v>
      </c>
      <c r="G1298" s="9"/>
      <c r="H1298" s="9"/>
      <c r="I1298" s="9" t="s">
        <v>3741</v>
      </c>
      <c r="J1298" s="9"/>
      <c r="K1298" s="9" t="s">
        <v>3742</v>
      </c>
      <c r="L1298" s="9"/>
      <c r="M1298" s="9" t="str">
        <f>HYPERLINK("https://ceds.ed.gov/cedselementdetails.aspx?termid=14544")</f>
        <v>https://ceds.ed.gov/cedselementdetails.aspx?termid=14544</v>
      </c>
      <c r="N1298" s="9" t="str">
        <f>HYPERLINK("https://ceds.ed.gov/elementComment.aspx?elementName=Learning Resource Author Email &amp;elementID=14544", "Click here to submit comment")</f>
        <v>Click here to submit comment</v>
      </c>
    </row>
    <row r="1299" spans="1:14" ht="45" x14ac:dyDescent="0.25">
      <c r="A1299" s="9" t="s">
        <v>3743</v>
      </c>
      <c r="B1299" s="9" t="s">
        <v>3744</v>
      </c>
      <c r="C1299" s="10" t="s">
        <v>6581</v>
      </c>
      <c r="D1299" s="9" t="s">
        <v>3724</v>
      </c>
      <c r="E1299" s="9"/>
      <c r="F1299" s="9"/>
      <c r="G1299" s="9"/>
      <c r="H1299" s="9"/>
      <c r="I1299" s="9" t="s">
        <v>3745</v>
      </c>
      <c r="J1299" s="9"/>
      <c r="K1299" s="9" t="s">
        <v>3746</v>
      </c>
      <c r="L1299" s="9"/>
      <c r="M1299" s="9" t="str">
        <f>HYPERLINK("https://ceds.ed.gov/cedselementdetails.aspx?termid=14540")</f>
        <v>https://ceds.ed.gov/cedselementdetails.aspx?termid=14540</v>
      </c>
      <c r="N1299" s="9" t="str">
        <f>HYPERLINK("https://ceds.ed.gov/elementComment.aspx?elementName=Learning Resource Author Type &amp;elementID=14540", "Click here to submit comment")</f>
        <v>Click here to submit comment</v>
      </c>
    </row>
    <row r="1300" spans="1:14" ht="45" x14ac:dyDescent="0.25">
      <c r="A1300" s="9" t="s">
        <v>3747</v>
      </c>
      <c r="B1300" s="9" t="s">
        <v>3748</v>
      </c>
      <c r="C1300" s="9" t="s">
        <v>12</v>
      </c>
      <c r="D1300" s="9" t="s">
        <v>3724</v>
      </c>
      <c r="E1300" s="9"/>
      <c r="F1300" s="9" t="s">
        <v>1143</v>
      </c>
      <c r="G1300" s="9"/>
      <c r="H1300" s="9"/>
      <c r="I1300" s="9" t="s">
        <v>3749</v>
      </c>
      <c r="J1300" s="9"/>
      <c r="K1300" s="9" t="s">
        <v>3750</v>
      </c>
      <c r="L1300" s="9"/>
      <c r="M1300" s="9" t="str">
        <f>HYPERLINK("https://ceds.ed.gov/cedselementdetails.aspx?termid=14541")</f>
        <v>https://ceds.ed.gov/cedselementdetails.aspx?termid=14541</v>
      </c>
      <c r="N1300" s="9" t="str">
        <f>HYPERLINK("https://ceds.ed.gov/elementComment.aspx?elementName=Learning Resource Author URL &amp;elementID=14541", "Click here to submit comment")</f>
        <v>Click here to submit comment</v>
      </c>
    </row>
    <row r="1301" spans="1:14" ht="45" x14ac:dyDescent="0.25">
      <c r="A1301" s="9" t="s">
        <v>12215</v>
      </c>
      <c r="B1301" s="9" t="s">
        <v>3751</v>
      </c>
      <c r="C1301" s="9" t="s">
        <v>12</v>
      </c>
      <c r="D1301" s="9" t="s">
        <v>3724</v>
      </c>
      <c r="E1301" s="9"/>
      <c r="F1301" s="9" t="s">
        <v>1143</v>
      </c>
      <c r="G1301" s="9"/>
      <c r="H1301" s="9" t="s">
        <v>3752</v>
      </c>
      <c r="I1301" s="9" t="s">
        <v>3753</v>
      </c>
      <c r="J1301" s="9"/>
      <c r="K1301" s="9" t="s">
        <v>3754</v>
      </c>
      <c r="L1301" s="9"/>
      <c r="M1301" s="9" t="str">
        <f>HYPERLINK("https://ceds.ed.gov/cedselementdetails.aspx?termid=13923")</f>
        <v>https://ceds.ed.gov/cedselementdetails.aspx?termid=13923</v>
      </c>
      <c r="N1301" s="9" t="str">
        <f>HYPERLINK("https://ceds.ed.gov/elementComment.aspx?elementName=Learning Resource Based on URL &amp;elementID=13923", "Click here to submit comment")</f>
        <v>Click here to submit comment</v>
      </c>
    </row>
    <row r="1302" spans="1:14" ht="135" x14ac:dyDescent="0.25">
      <c r="A1302" s="9" t="s">
        <v>3755</v>
      </c>
      <c r="B1302" s="9" t="s">
        <v>3756</v>
      </c>
      <c r="C1302" s="10" t="s">
        <v>6582</v>
      </c>
      <c r="D1302" s="9" t="s">
        <v>3724</v>
      </c>
      <c r="E1302" s="9"/>
      <c r="F1302" s="9"/>
      <c r="G1302" s="9"/>
      <c r="H1302" s="9"/>
      <c r="I1302" s="9" t="s">
        <v>3757</v>
      </c>
      <c r="J1302" s="9"/>
      <c r="K1302" s="9" t="s">
        <v>3758</v>
      </c>
      <c r="L1302" s="9"/>
      <c r="M1302" s="9" t="str">
        <f>HYPERLINK("https://ceds.ed.gov/cedselementdetails.aspx?termid=14363")</f>
        <v>https://ceds.ed.gov/cedselementdetails.aspx?termid=14363</v>
      </c>
      <c r="N1302" s="9" t="str">
        <f>HYPERLINK("https://ceds.ed.gov/elementComment.aspx?elementName=Learning Resource Book Format Type &amp;elementID=14363", "Click here to submit comment")</f>
        <v>Click here to submit comment</v>
      </c>
    </row>
    <row r="1303" spans="1:14" ht="135" x14ac:dyDescent="0.25">
      <c r="A1303" s="9" t="s">
        <v>3759</v>
      </c>
      <c r="B1303" s="9" t="s">
        <v>3760</v>
      </c>
      <c r="C1303" s="10" t="s">
        <v>6583</v>
      </c>
      <c r="D1303" s="9" t="s">
        <v>11628</v>
      </c>
      <c r="E1303" s="9"/>
      <c r="F1303" s="9"/>
      <c r="G1303" s="9"/>
      <c r="H1303" s="9" t="s">
        <v>3761</v>
      </c>
      <c r="I1303" s="9" t="s">
        <v>3762</v>
      </c>
      <c r="J1303" s="9"/>
      <c r="K1303" s="9" t="s">
        <v>3763</v>
      </c>
      <c r="L1303" s="9"/>
      <c r="M1303" s="9" t="str">
        <f>HYPERLINK("https://ceds.ed.gov/cedselementdetails.aspx?termid=13879")</f>
        <v>https://ceds.ed.gov/cedselementdetails.aspx?termid=13879</v>
      </c>
      <c r="N1303" s="9" t="str">
        <f>HYPERLINK("https://ceds.ed.gov/elementComment.aspx?elementName=Learning Resource Competency Alignment Type &amp;elementID=13879", "Click here to submit comment")</f>
        <v>Click here to submit comment</v>
      </c>
    </row>
    <row r="1304" spans="1:14" ht="45" x14ac:dyDescent="0.25">
      <c r="A1304" s="9" t="s">
        <v>3764</v>
      </c>
      <c r="B1304" s="9" t="s">
        <v>3765</v>
      </c>
      <c r="C1304" s="9" t="s">
        <v>12</v>
      </c>
      <c r="D1304" s="9" t="s">
        <v>3724</v>
      </c>
      <c r="E1304" s="9"/>
      <c r="F1304" s="9" t="s">
        <v>68</v>
      </c>
      <c r="G1304" s="9"/>
      <c r="H1304" s="9"/>
      <c r="I1304" s="9" t="s">
        <v>3766</v>
      </c>
      <c r="J1304" s="9"/>
      <c r="K1304" s="9" t="s">
        <v>3767</v>
      </c>
      <c r="L1304" s="9"/>
      <c r="M1304" s="9" t="str">
        <f>HYPERLINK("https://ceds.ed.gov/cedselementdetails.aspx?termid=14159")</f>
        <v>https://ceds.ed.gov/cedselementdetails.aspx?termid=14159</v>
      </c>
      <c r="N1304" s="9" t="str">
        <f>HYPERLINK("https://ceds.ed.gov/elementComment.aspx?elementName=Learning Resource Concept Keyword &amp;elementID=14159", "Click here to submit comment")</f>
        <v>Click here to submit comment</v>
      </c>
    </row>
    <row r="1305" spans="1:14" ht="105" x14ac:dyDescent="0.25">
      <c r="A1305" s="9" t="s">
        <v>3768</v>
      </c>
      <c r="B1305" s="9" t="s">
        <v>3769</v>
      </c>
      <c r="C1305" s="10" t="s">
        <v>6584</v>
      </c>
      <c r="D1305" s="9" t="s">
        <v>3724</v>
      </c>
      <c r="E1305" s="9"/>
      <c r="F1305" s="9"/>
      <c r="G1305" s="9"/>
      <c r="H1305" s="9"/>
      <c r="I1305" s="9" t="s">
        <v>3770</v>
      </c>
      <c r="J1305" s="9"/>
      <c r="K1305" s="9" t="s">
        <v>3771</v>
      </c>
      <c r="L1305" s="9"/>
      <c r="M1305" s="9" t="str">
        <f>HYPERLINK("https://ceds.ed.gov/cedselementdetails.aspx?termid=14364")</f>
        <v>https://ceds.ed.gov/cedselementdetails.aspx?termid=14364</v>
      </c>
      <c r="N1305" s="9" t="str">
        <f>HYPERLINK("https://ceds.ed.gov/elementComment.aspx?elementName=Learning Resource Control Flexibility Type &amp;elementID=14364", "Click here to submit comment")</f>
        <v>Click here to submit comment</v>
      </c>
    </row>
    <row r="1306" spans="1:14" ht="15" customHeight="1" x14ac:dyDescent="0.25">
      <c r="A1306" s="9" t="s">
        <v>3772</v>
      </c>
      <c r="B1306" s="9" t="s">
        <v>3773</v>
      </c>
      <c r="C1306" s="9" t="s">
        <v>12</v>
      </c>
      <c r="D1306" s="9" t="s">
        <v>3724</v>
      </c>
      <c r="E1306" s="9"/>
      <c r="F1306" s="9" t="s">
        <v>92</v>
      </c>
      <c r="G1306" s="9"/>
      <c r="H1306" s="9"/>
      <c r="I1306" s="9" t="s">
        <v>3774</v>
      </c>
      <c r="J1306" s="9"/>
      <c r="K1306" s="9" t="s">
        <v>3775</v>
      </c>
      <c r="L1306" s="9"/>
      <c r="M1306" s="9" t="str">
        <f>HYPERLINK("https://ceds.ed.gov/cedselementdetails.aspx?termid=14157")</f>
        <v>https://ceds.ed.gov/cedselementdetails.aspx?termid=14157</v>
      </c>
      <c r="N1306" s="9" t="str">
        <f>HYPERLINK("https://ceds.ed.gov/elementComment.aspx?elementName=Learning Resource Copyright Holder Name &amp;elementID=14157", "Click here to submit comment")</f>
        <v>Click here to submit comment</v>
      </c>
    </row>
    <row r="1307" spans="1:14" ht="15" customHeight="1" x14ac:dyDescent="0.25">
      <c r="A1307" s="9" t="s">
        <v>3776</v>
      </c>
      <c r="B1307" s="9" t="s">
        <v>3777</v>
      </c>
      <c r="C1307" s="9" t="s">
        <v>12</v>
      </c>
      <c r="D1307" s="9" t="s">
        <v>3724</v>
      </c>
      <c r="E1307" s="9"/>
      <c r="F1307" s="9" t="s">
        <v>1813</v>
      </c>
      <c r="G1307" s="9"/>
      <c r="H1307" s="9"/>
      <c r="I1307" s="9" t="s">
        <v>3778</v>
      </c>
      <c r="J1307" s="9"/>
      <c r="K1307" s="9" t="s">
        <v>3779</v>
      </c>
      <c r="L1307" s="9"/>
      <c r="M1307" s="9" t="str">
        <f>HYPERLINK("https://ceds.ed.gov/cedselementdetails.aspx?termid=14158")</f>
        <v>https://ceds.ed.gov/cedselementdetails.aspx?termid=14158</v>
      </c>
      <c r="N1307" s="9" t="str">
        <f>HYPERLINK("https://ceds.ed.gov/elementComment.aspx?elementName=Learning Resource Copyright Year &amp;elementID=14158", "Click here to submit comment")</f>
        <v>Click here to submit comment</v>
      </c>
    </row>
    <row r="1308" spans="1:14" ht="15" customHeight="1" x14ac:dyDescent="0.25">
      <c r="A1308" s="9" t="s">
        <v>3780</v>
      </c>
      <c r="B1308" s="9" t="s">
        <v>3781</v>
      </c>
      <c r="C1308" s="9" t="s">
        <v>12</v>
      </c>
      <c r="D1308" s="9" t="s">
        <v>3724</v>
      </c>
      <c r="E1308" s="9"/>
      <c r="F1308" s="9" t="s">
        <v>92</v>
      </c>
      <c r="G1308" s="9"/>
      <c r="H1308" s="9"/>
      <c r="I1308" s="9" t="s">
        <v>3782</v>
      </c>
      <c r="J1308" s="9"/>
      <c r="K1308" s="9" t="s">
        <v>3783</v>
      </c>
      <c r="L1308" s="9"/>
      <c r="M1308" s="9" t="str">
        <f>HYPERLINK("https://ceds.ed.gov/cedselementdetails.aspx?termid=13918")</f>
        <v>https://ceds.ed.gov/cedselementdetails.aspx?termid=13918</v>
      </c>
      <c r="N1308" s="9" t="str">
        <f>HYPERLINK("https://ceds.ed.gov/elementComment.aspx?elementName=Learning Resource Creator &amp;elementID=13918", "Click here to submit comment")</f>
        <v>Click here to submit comment</v>
      </c>
    </row>
    <row r="1309" spans="1:14" ht="45" x14ac:dyDescent="0.25">
      <c r="A1309" s="9" t="s">
        <v>3784</v>
      </c>
      <c r="B1309" s="9" t="s">
        <v>3785</v>
      </c>
      <c r="C1309" s="9" t="s">
        <v>12</v>
      </c>
      <c r="D1309" s="9" t="s">
        <v>3724</v>
      </c>
      <c r="E1309" s="9"/>
      <c r="F1309" s="9" t="s">
        <v>73</v>
      </c>
      <c r="G1309" s="9"/>
      <c r="H1309" s="9"/>
      <c r="I1309" s="9" t="s">
        <v>3786</v>
      </c>
      <c r="J1309" s="9"/>
      <c r="K1309" s="9" t="s">
        <v>3787</v>
      </c>
      <c r="L1309" s="9"/>
      <c r="M1309" s="9" t="str">
        <f>HYPERLINK("https://ceds.ed.gov/cedselementdetails.aspx?termid=13916")</f>
        <v>https://ceds.ed.gov/cedselementdetails.aspx?termid=13916</v>
      </c>
      <c r="N1309" s="9" t="str">
        <f>HYPERLINK("https://ceds.ed.gov/elementComment.aspx?elementName=Learning Resource Date Created &amp;elementID=13916", "Click here to submit comment")</f>
        <v>Click here to submit comment</v>
      </c>
    </row>
    <row r="1310" spans="1:14" ht="45" x14ac:dyDescent="0.25">
      <c r="A1310" s="9" t="s">
        <v>3788</v>
      </c>
      <c r="B1310" s="9" t="s">
        <v>3789</v>
      </c>
      <c r="C1310" s="9" t="s">
        <v>12</v>
      </c>
      <c r="D1310" s="9" t="s">
        <v>3724</v>
      </c>
      <c r="E1310" s="9"/>
      <c r="F1310" s="9" t="s">
        <v>73</v>
      </c>
      <c r="G1310" s="9"/>
      <c r="H1310" s="9"/>
      <c r="I1310" s="9" t="s">
        <v>3790</v>
      </c>
      <c r="J1310" s="9"/>
      <c r="K1310" s="9" t="s">
        <v>3791</v>
      </c>
      <c r="L1310" s="9"/>
      <c r="M1310" s="9" t="str">
        <f>HYPERLINK("https://ceds.ed.gov/cedselementdetails.aspx?termid=14542")</f>
        <v>https://ceds.ed.gov/cedselementdetails.aspx?termid=14542</v>
      </c>
      <c r="N1310" s="9" t="str">
        <f>HYPERLINK("https://ceds.ed.gov/elementComment.aspx?elementName=Learning Resource Date Modified &amp;elementID=14542", "Click here to submit comment")</f>
        <v>Click here to submit comment</v>
      </c>
    </row>
    <row r="1311" spans="1:14" ht="45" x14ac:dyDescent="0.25">
      <c r="A1311" s="9" t="s">
        <v>3792</v>
      </c>
      <c r="B1311" s="9" t="s">
        <v>3793</v>
      </c>
      <c r="C1311" s="9" t="s">
        <v>12</v>
      </c>
      <c r="D1311" s="9" t="s">
        <v>3724</v>
      </c>
      <c r="E1311" s="9"/>
      <c r="F1311" s="9" t="s">
        <v>68</v>
      </c>
      <c r="G1311" s="9"/>
      <c r="H1311" s="9"/>
      <c r="I1311" s="9" t="s">
        <v>3794</v>
      </c>
      <c r="J1311" s="9"/>
      <c r="K1311" s="9" t="s">
        <v>3795</v>
      </c>
      <c r="L1311" s="9"/>
      <c r="M1311" s="9" t="str">
        <f>HYPERLINK("https://ceds.ed.gov/cedselementdetails.aspx?termid=14156")</f>
        <v>https://ceds.ed.gov/cedselementdetails.aspx?termid=14156</v>
      </c>
      <c r="N1311" s="9" t="str">
        <f>HYPERLINK("https://ceds.ed.gov/elementComment.aspx?elementName=Learning Resource Description &amp;elementID=14156", "Click here to submit comment")</f>
        <v>Click here to submit comment</v>
      </c>
    </row>
    <row r="1312" spans="1:14" ht="105" x14ac:dyDescent="0.25">
      <c r="A1312" s="9" t="s">
        <v>3796</v>
      </c>
      <c r="B1312" s="9" t="s">
        <v>3797</v>
      </c>
      <c r="C1312" s="9" t="s">
        <v>3798</v>
      </c>
      <c r="D1312" s="9" t="s">
        <v>3724</v>
      </c>
      <c r="E1312" s="9"/>
      <c r="F1312" s="9"/>
      <c r="G1312" s="9"/>
      <c r="H1312" s="9"/>
      <c r="I1312" s="9" t="s">
        <v>3799</v>
      </c>
      <c r="J1312" s="9"/>
      <c r="K1312" s="9" t="s">
        <v>3800</v>
      </c>
      <c r="L1312" s="9"/>
      <c r="M1312" s="9" t="str">
        <f>HYPERLINK("https://ceds.ed.gov/cedselementdetails.aspx?termid=14365")</f>
        <v>https://ceds.ed.gov/cedselementdetails.aspx?termid=14365</v>
      </c>
      <c r="N1312" s="9" t="str">
        <f>HYPERLINK("https://ceds.ed.gov/elementComment.aspx?elementName=Learning Resource Digital Media Sub Type &amp;elementID=14365", "Click here to submit comment")</f>
        <v>Click here to submit comment</v>
      </c>
    </row>
    <row r="1313" spans="1:14" ht="150" x14ac:dyDescent="0.25">
      <c r="A1313" s="9" t="s">
        <v>3801</v>
      </c>
      <c r="B1313" s="9" t="s">
        <v>3802</v>
      </c>
      <c r="C1313" s="10" t="s">
        <v>6585</v>
      </c>
      <c r="D1313" s="9" t="s">
        <v>3724</v>
      </c>
      <c r="E1313" s="9"/>
      <c r="F1313" s="9"/>
      <c r="G1313" s="9"/>
      <c r="H1313" s="9"/>
      <c r="I1313" s="9" t="s">
        <v>3803</v>
      </c>
      <c r="J1313" s="9"/>
      <c r="K1313" s="9" t="s">
        <v>3804</v>
      </c>
      <c r="L1313" s="9"/>
      <c r="M1313" s="9" t="str">
        <f>HYPERLINK("https://ceds.ed.gov/cedselementdetails.aspx?termid=14366")</f>
        <v>https://ceds.ed.gov/cedselementdetails.aspx?termid=14366</v>
      </c>
      <c r="N1313" s="9" t="str">
        <f>HYPERLINK("https://ceds.ed.gov/elementComment.aspx?elementName=Learning Resource Digital Media Type &amp;elementID=14366", "Click here to submit comment")</f>
        <v>Click here to submit comment</v>
      </c>
    </row>
    <row r="1314" spans="1:14" ht="409.5" x14ac:dyDescent="0.25">
      <c r="A1314" s="9" t="s">
        <v>3805</v>
      </c>
      <c r="B1314" s="9" t="s">
        <v>3806</v>
      </c>
      <c r="C1314" s="10" t="s">
        <v>6420</v>
      </c>
      <c r="D1314" s="9" t="s">
        <v>3724</v>
      </c>
      <c r="E1314" s="9"/>
      <c r="F1314" s="9"/>
      <c r="G1314" s="9"/>
      <c r="H1314" s="9"/>
      <c r="I1314" s="9" t="s">
        <v>3807</v>
      </c>
      <c r="J1314" s="9"/>
      <c r="K1314" s="9" t="s">
        <v>3808</v>
      </c>
      <c r="L1314" s="9"/>
      <c r="M1314" s="9" t="str">
        <f>HYPERLINK("https://ceds.ed.gov/cedselementdetails.aspx?termid=14212")</f>
        <v>https://ceds.ed.gov/cedselementdetails.aspx?termid=14212</v>
      </c>
      <c r="N1314" s="9" t="str">
        <f>HYPERLINK("https://ceds.ed.gov/elementComment.aspx?elementName=Learning Resource Education Level  &amp;elementID=14212", "Click here to submit comment")</f>
        <v>Click here to submit comment</v>
      </c>
    </row>
    <row r="1315" spans="1:14" ht="105" x14ac:dyDescent="0.25">
      <c r="A1315" s="9" t="s">
        <v>3809</v>
      </c>
      <c r="B1315" s="9" t="s">
        <v>3810</v>
      </c>
      <c r="C1315" s="10" t="s">
        <v>6586</v>
      </c>
      <c r="D1315" s="9" t="s">
        <v>3724</v>
      </c>
      <c r="E1315" s="9"/>
      <c r="F1315" s="9"/>
      <c r="G1315" s="9"/>
      <c r="H1315" s="9"/>
      <c r="I1315" s="9" t="s">
        <v>3811</v>
      </c>
      <c r="J1315" s="9"/>
      <c r="K1315" s="9" t="s">
        <v>3812</v>
      </c>
      <c r="L1315" s="9"/>
      <c r="M1315" s="9" t="str">
        <f>HYPERLINK("https://ceds.ed.gov/cedselementdetails.aspx?termid=14005")</f>
        <v>https://ceds.ed.gov/cedselementdetails.aspx?termid=14005</v>
      </c>
      <c r="N1315" s="9" t="str">
        <f>HYPERLINK("https://ceds.ed.gov/elementComment.aspx?elementName=Learning Resource Educational Use &amp;elementID=14005", "Click here to submit comment")</f>
        <v>Click here to submit comment</v>
      </c>
    </row>
    <row r="1316" spans="1:14" ht="150" x14ac:dyDescent="0.25">
      <c r="A1316" s="9" t="s">
        <v>3813</v>
      </c>
      <c r="B1316" s="9" t="s">
        <v>3814</v>
      </c>
      <c r="C1316" s="10" t="s">
        <v>6587</v>
      </c>
      <c r="D1316" s="9" t="s">
        <v>3724</v>
      </c>
      <c r="E1316" s="9"/>
      <c r="F1316" s="9"/>
      <c r="G1316" s="9"/>
      <c r="H1316" s="9"/>
      <c r="I1316" s="9" t="s">
        <v>3815</v>
      </c>
      <c r="J1316" s="9"/>
      <c r="K1316" s="9" t="s">
        <v>3816</v>
      </c>
      <c r="L1316" s="9"/>
      <c r="M1316" s="9" t="str">
        <f>HYPERLINK("https://ceds.ed.gov/cedselementdetails.aspx?termid=13924")</f>
        <v>https://ceds.ed.gov/cedselementdetails.aspx?termid=13924</v>
      </c>
      <c r="N1316" s="9" t="str">
        <f>HYPERLINK("https://ceds.ed.gov/elementComment.aspx?elementName=Learning Resource Intended End User Role &amp;elementID=13924", "Click here to submit comment")</f>
        <v>Click here to submit comment</v>
      </c>
    </row>
    <row r="1317" spans="1:14" ht="15" customHeight="1" x14ac:dyDescent="0.25">
      <c r="A1317" s="9" t="s">
        <v>3817</v>
      </c>
      <c r="B1317" s="9" t="s">
        <v>3818</v>
      </c>
      <c r="C1317" s="10" t="s">
        <v>6588</v>
      </c>
      <c r="D1317" s="9" t="s">
        <v>3724</v>
      </c>
      <c r="E1317" s="9"/>
      <c r="F1317" s="9"/>
      <c r="G1317" s="9"/>
      <c r="H1317" s="9"/>
      <c r="I1317" s="9" t="s">
        <v>3819</v>
      </c>
      <c r="J1317" s="9"/>
      <c r="K1317" s="9" t="s">
        <v>3820</v>
      </c>
      <c r="L1317" s="9"/>
      <c r="M1317" s="9" t="str">
        <f>HYPERLINK("https://ceds.ed.gov/cedselementdetails.aspx?termid=14543")</f>
        <v>https://ceds.ed.gov/cedselementdetails.aspx?termid=14543</v>
      </c>
      <c r="N1317" s="9" t="str">
        <f>HYPERLINK("https://ceds.ed.gov/elementComment.aspx?elementName=Learning Resource Interaction Mode &amp;elementID=14543", "Click here to submit comment")</f>
        <v>Click here to submit comment</v>
      </c>
    </row>
    <row r="1318" spans="1:14" ht="15" customHeight="1" x14ac:dyDescent="0.25">
      <c r="A1318" s="9" t="s">
        <v>3821</v>
      </c>
      <c r="B1318" s="9" t="s">
        <v>3822</v>
      </c>
      <c r="C1318" s="10" t="s">
        <v>6589</v>
      </c>
      <c r="D1318" s="9" t="s">
        <v>3724</v>
      </c>
      <c r="E1318" s="9"/>
      <c r="F1318" s="9"/>
      <c r="G1318" s="9"/>
      <c r="H1318" s="9"/>
      <c r="I1318" s="9" t="s">
        <v>3823</v>
      </c>
      <c r="J1318" s="9"/>
      <c r="K1318" s="9" t="s">
        <v>3824</v>
      </c>
      <c r="L1318" s="9"/>
      <c r="M1318" s="9" t="str">
        <f>HYPERLINK("https://ceds.ed.gov/cedselementdetails.aspx?termid=13928")</f>
        <v>https://ceds.ed.gov/cedselementdetails.aspx?termid=13928</v>
      </c>
      <c r="N1318" s="9" t="str">
        <f>HYPERLINK("https://ceds.ed.gov/elementComment.aspx?elementName=Learning Resource Interactivity Type &amp;elementID=13928", "Click here to submit comment")</f>
        <v>Click here to submit comment</v>
      </c>
    </row>
    <row r="1319" spans="1:14" ht="90" x14ac:dyDescent="0.25">
      <c r="A1319" s="18" t="s">
        <v>3825</v>
      </c>
      <c r="B1319" s="18" t="s">
        <v>3826</v>
      </c>
      <c r="C1319" s="20" t="s">
        <v>966</v>
      </c>
      <c r="D1319" s="18" t="s">
        <v>3724</v>
      </c>
      <c r="E1319" s="18"/>
      <c r="F1319" s="18"/>
      <c r="G1319" s="18"/>
      <c r="H1319" s="11" t="s">
        <v>967</v>
      </c>
      <c r="I1319" s="18" t="s">
        <v>3828</v>
      </c>
      <c r="J1319" s="18"/>
      <c r="K1319" s="18" t="s">
        <v>3829</v>
      </c>
      <c r="L1319" s="18"/>
      <c r="M1319" s="18" t="str">
        <f>HYPERLINK("https://ceds.ed.gov/cedselementdetails.aspx?termid=13920")</f>
        <v>https://ceds.ed.gov/cedselementdetails.aspx?termid=13920</v>
      </c>
      <c r="N1319" s="18" t="str">
        <f>HYPERLINK("https://ceds.ed.gov/elementComment.aspx?elementName=Learning Resource Language &amp;elementID=13920", "Click here to submit comment")</f>
        <v>Click here to submit comment</v>
      </c>
    </row>
    <row r="1320" spans="1:14" ht="75" x14ac:dyDescent="0.25">
      <c r="A1320" s="18"/>
      <c r="B1320" s="18"/>
      <c r="C1320" s="20"/>
      <c r="D1320" s="18"/>
      <c r="E1320" s="18"/>
      <c r="F1320" s="18"/>
      <c r="G1320" s="18"/>
      <c r="H1320" s="9" t="s">
        <v>3827</v>
      </c>
      <c r="I1320" s="18"/>
      <c r="J1320" s="18"/>
      <c r="K1320" s="18"/>
      <c r="L1320" s="18"/>
      <c r="M1320" s="18"/>
      <c r="N1320" s="18"/>
    </row>
    <row r="1321" spans="1:14" ht="45" x14ac:dyDescent="0.25">
      <c r="A1321" s="9" t="s">
        <v>3830</v>
      </c>
      <c r="B1321" s="9" t="s">
        <v>3831</v>
      </c>
      <c r="C1321" s="9" t="s">
        <v>12</v>
      </c>
      <c r="D1321" s="9" t="s">
        <v>3724</v>
      </c>
      <c r="E1321" s="9"/>
      <c r="F1321" s="9" t="s">
        <v>1143</v>
      </c>
      <c r="G1321" s="9"/>
      <c r="H1321" s="9" t="s">
        <v>3832</v>
      </c>
      <c r="I1321" s="9" t="s">
        <v>3833</v>
      </c>
      <c r="J1321" s="9"/>
      <c r="K1321" s="9" t="s">
        <v>3834</v>
      </c>
      <c r="L1321" s="9"/>
      <c r="M1321" s="9" t="str">
        <f>HYPERLINK("https://ceds.ed.gov/cedselementdetails.aspx?termid=13922")</f>
        <v>https://ceds.ed.gov/cedselementdetails.aspx?termid=13922</v>
      </c>
      <c r="N1321" s="9" t="str">
        <f>HYPERLINK("https://ceds.ed.gov/elementComment.aspx?elementName=Learning Resource License URL &amp;elementID=13922", "Click here to submit comment")</f>
        <v>Click here to submit comment</v>
      </c>
    </row>
    <row r="1322" spans="1:14" ht="345" x14ac:dyDescent="0.25">
      <c r="A1322" s="9" t="s">
        <v>3835</v>
      </c>
      <c r="B1322" s="9" t="s">
        <v>3836</v>
      </c>
      <c r="C1322" s="10" t="s">
        <v>6590</v>
      </c>
      <c r="D1322" s="9" t="s">
        <v>3724</v>
      </c>
      <c r="E1322" s="9"/>
      <c r="F1322" s="9"/>
      <c r="G1322" s="9"/>
      <c r="H1322" s="9" t="s">
        <v>3837</v>
      </c>
      <c r="I1322" s="9" t="s">
        <v>3838</v>
      </c>
      <c r="J1322" s="9"/>
      <c r="K1322" s="9" t="s">
        <v>3839</v>
      </c>
      <c r="L1322" s="9"/>
      <c r="M1322" s="9" t="str">
        <f>HYPERLINK("https://ceds.ed.gov/cedselementdetails.aspx?termid=14368")</f>
        <v>https://ceds.ed.gov/cedselementdetails.aspx?termid=14368</v>
      </c>
      <c r="N1322" s="9" t="str">
        <f>HYPERLINK("https://ceds.ed.gov/elementComment.aspx?elementName=Learning Resource Media Feature Type &amp;elementID=14368", "Click here to submit comment")</f>
        <v>Click here to submit comment</v>
      </c>
    </row>
    <row r="1323" spans="1:14" ht="60" x14ac:dyDescent="0.25">
      <c r="A1323" s="9" t="s">
        <v>3840</v>
      </c>
      <c r="B1323" s="9" t="s">
        <v>3841</v>
      </c>
      <c r="C1323" s="9" t="s">
        <v>12</v>
      </c>
      <c r="D1323" s="9" t="s">
        <v>11629</v>
      </c>
      <c r="E1323" s="9"/>
      <c r="F1323" s="9" t="s">
        <v>10489</v>
      </c>
      <c r="G1323" s="9"/>
      <c r="H1323" s="9"/>
      <c r="I1323" s="9" t="s">
        <v>3842</v>
      </c>
      <c r="J1323" s="9"/>
      <c r="K1323" s="9" t="s">
        <v>3843</v>
      </c>
      <c r="L1323" s="9"/>
      <c r="M1323" s="9" t="str">
        <f>HYPERLINK("https://ceds.ed.gov/cedselementdetails.aspx?termid=14369")</f>
        <v>https://ceds.ed.gov/cedselementdetails.aspx?termid=14369</v>
      </c>
      <c r="N1323" s="9" t="str">
        <f>HYPERLINK("https://ceds.ed.gov/elementComment.aspx?elementName=Learning Resource Peer Rating Sample Size &amp;elementID=14369", "Click here to submit comment")</f>
        <v>Click here to submit comment</v>
      </c>
    </row>
    <row r="1324" spans="1:14" ht="90" x14ac:dyDescent="0.25">
      <c r="A1324" s="9" t="s">
        <v>3844</v>
      </c>
      <c r="B1324" s="9" t="s">
        <v>3845</v>
      </c>
      <c r="C1324" s="9" t="s">
        <v>12</v>
      </c>
      <c r="D1324" s="9" t="s">
        <v>11629</v>
      </c>
      <c r="E1324" s="9"/>
      <c r="F1324" s="9" t="s">
        <v>3018</v>
      </c>
      <c r="G1324" s="9"/>
      <c r="H1324" s="9"/>
      <c r="I1324" s="9" t="s">
        <v>3846</v>
      </c>
      <c r="J1324" s="9"/>
      <c r="K1324" s="9" t="s">
        <v>3847</v>
      </c>
      <c r="L1324" s="9"/>
      <c r="M1324" s="9" t="str">
        <f>HYPERLINK("https://ceds.ed.gov/cedselementdetails.aspx?termid=14161")</f>
        <v>https://ceds.ed.gov/cedselementdetails.aspx?termid=14161</v>
      </c>
      <c r="N1324" s="9" t="str">
        <f>HYPERLINK("https://ceds.ed.gov/elementComment.aspx?elementName=Learning Resource Peer Rating Value &amp;elementID=14161", "Click here to submit comment")</f>
        <v>Click here to submit comment</v>
      </c>
    </row>
    <row r="1325" spans="1:14" ht="409.5" x14ac:dyDescent="0.25">
      <c r="A1325" s="9" t="s">
        <v>3848</v>
      </c>
      <c r="B1325" s="9" t="s">
        <v>3849</v>
      </c>
      <c r="C1325" s="10" t="s">
        <v>6591</v>
      </c>
      <c r="D1325" s="9" t="s">
        <v>3724</v>
      </c>
      <c r="E1325" s="9"/>
      <c r="F1325" s="9"/>
      <c r="G1325" s="9"/>
      <c r="H1325" s="9"/>
      <c r="I1325" s="9" t="s">
        <v>3850</v>
      </c>
      <c r="J1325" s="9"/>
      <c r="K1325" s="9" t="s">
        <v>3851</v>
      </c>
      <c r="L1325" s="9"/>
      <c r="M1325" s="9" t="str">
        <f>HYPERLINK("https://ceds.ed.gov/cedselementdetails.aspx?termid=14370")</f>
        <v>https://ceds.ed.gov/cedselementdetails.aspx?termid=14370</v>
      </c>
      <c r="N1325" s="9" t="str">
        <f>HYPERLINK("https://ceds.ed.gov/elementComment.aspx?elementName=Learning Resource Physical Media Type &amp;elementID=14370", "Click here to submit comment")</f>
        <v>Click here to submit comment</v>
      </c>
    </row>
    <row r="1326" spans="1:14" ht="60" x14ac:dyDescent="0.25">
      <c r="A1326" s="9" t="s">
        <v>3852</v>
      </c>
      <c r="B1326" s="9" t="s">
        <v>3853</v>
      </c>
      <c r="C1326" s="9" t="s">
        <v>12</v>
      </c>
      <c r="D1326" s="9" t="s">
        <v>6130</v>
      </c>
      <c r="E1326" s="9"/>
      <c r="F1326" s="9" t="s">
        <v>73</v>
      </c>
      <c r="G1326" s="9"/>
      <c r="H1326" s="9"/>
      <c r="I1326" s="9" t="s">
        <v>3854</v>
      </c>
      <c r="J1326" s="9"/>
      <c r="K1326" s="9" t="s">
        <v>3855</v>
      </c>
      <c r="L1326" s="9"/>
      <c r="M1326" s="9" t="str">
        <f>HYPERLINK("https://ceds.ed.gov/cedselementdetails.aspx?termid=14135")</f>
        <v>https://ceds.ed.gov/cedselementdetails.aspx?termid=14135</v>
      </c>
      <c r="N1326" s="9" t="str">
        <f>HYPERLINK("https://ceds.ed.gov/elementComment.aspx?elementName=Learning Resource Published Date &amp;elementID=14135", "Click here to submit comment")</f>
        <v>Click here to submit comment</v>
      </c>
    </row>
    <row r="1327" spans="1:14" ht="45" x14ac:dyDescent="0.25">
      <c r="A1327" s="9" t="s">
        <v>3856</v>
      </c>
      <c r="B1327" s="9" t="s">
        <v>3857</v>
      </c>
      <c r="C1327" s="9" t="s">
        <v>12</v>
      </c>
      <c r="D1327" s="9" t="s">
        <v>3724</v>
      </c>
      <c r="E1327" s="9"/>
      <c r="F1327" s="9" t="s">
        <v>11127</v>
      </c>
      <c r="G1327" s="9"/>
      <c r="H1327" s="9"/>
      <c r="I1327" s="9" t="s">
        <v>3858</v>
      </c>
      <c r="J1327" s="9"/>
      <c r="K1327" s="9" t="s">
        <v>3859</v>
      </c>
      <c r="L1327" s="9"/>
      <c r="M1327" s="9" t="str">
        <f>HYPERLINK("https://ceds.ed.gov/cedselementdetails.aspx?termid=14545")</f>
        <v>https://ceds.ed.gov/cedselementdetails.aspx?termid=14545</v>
      </c>
      <c r="N1327" s="9" t="str">
        <f>HYPERLINK("https://ceds.ed.gov/elementComment.aspx?elementName=Learning Resource Publisher Email &amp;elementID=14545", "Click here to submit comment")</f>
        <v>Click here to submit comment</v>
      </c>
    </row>
    <row r="1328" spans="1:14" ht="45" x14ac:dyDescent="0.25">
      <c r="A1328" s="9" t="s">
        <v>3860</v>
      </c>
      <c r="B1328" s="9" t="s">
        <v>3861</v>
      </c>
      <c r="C1328" s="9" t="s">
        <v>12</v>
      </c>
      <c r="D1328" s="9" t="s">
        <v>3724</v>
      </c>
      <c r="E1328" s="9"/>
      <c r="F1328" s="9" t="s">
        <v>92</v>
      </c>
      <c r="G1328" s="9"/>
      <c r="H1328" s="9"/>
      <c r="I1328" s="9" t="s">
        <v>3862</v>
      </c>
      <c r="J1328" s="9"/>
      <c r="K1328" s="9" t="s">
        <v>3863</v>
      </c>
      <c r="L1328" s="9"/>
      <c r="M1328" s="9" t="str">
        <f>HYPERLINK("https://ceds.ed.gov/cedselementdetails.aspx?termid=13919")</f>
        <v>https://ceds.ed.gov/cedselementdetails.aspx?termid=13919</v>
      </c>
      <c r="N1328" s="9" t="str">
        <f>HYPERLINK("https://ceds.ed.gov/elementComment.aspx?elementName=Learning Resource Publisher Name &amp;elementID=13919", "Click here to submit comment")</f>
        <v>Click here to submit comment</v>
      </c>
    </row>
    <row r="1329" spans="1:14" ht="45" x14ac:dyDescent="0.25">
      <c r="A1329" s="9" t="s">
        <v>3864</v>
      </c>
      <c r="B1329" s="9" t="s">
        <v>3865</v>
      </c>
      <c r="C1329" s="9" t="s">
        <v>12</v>
      </c>
      <c r="D1329" s="9" t="s">
        <v>3724</v>
      </c>
      <c r="E1329" s="9"/>
      <c r="F1329" s="9" t="s">
        <v>1143</v>
      </c>
      <c r="G1329" s="9"/>
      <c r="H1329" s="9"/>
      <c r="I1329" s="9" t="s">
        <v>3866</v>
      </c>
      <c r="J1329" s="9"/>
      <c r="K1329" s="9" t="s">
        <v>3867</v>
      </c>
      <c r="L1329" s="9"/>
      <c r="M1329" s="9" t="str">
        <f>HYPERLINK("https://ceds.ed.gov/cedselementdetails.aspx?termid=14547")</f>
        <v>https://ceds.ed.gov/cedselementdetails.aspx?termid=14547</v>
      </c>
      <c r="N1329" s="9" t="str">
        <f>HYPERLINK("https://ceds.ed.gov/elementComment.aspx?elementName=Learning Resource Publisher URL &amp;elementID=14547", "Click here to submit comment")</f>
        <v>Click here to submit comment</v>
      </c>
    </row>
    <row r="1330" spans="1:14" ht="210" x14ac:dyDescent="0.25">
      <c r="A1330" s="9" t="s">
        <v>3868</v>
      </c>
      <c r="B1330" s="9" t="s">
        <v>3869</v>
      </c>
      <c r="C1330" s="9" t="s">
        <v>12</v>
      </c>
      <c r="D1330" s="9" t="s">
        <v>3724</v>
      </c>
      <c r="E1330" s="9"/>
      <c r="F1330" s="9" t="s">
        <v>87</v>
      </c>
      <c r="G1330" s="9"/>
      <c r="H1330" s="9" t="s">
        <v>3870</v>
      </c>
      <c r="I1330" s="9" t="s">
        <v>3871</v>
      </c>
      <c r="J1330" s="9"/>
      <c r="K1330" s="9" t="s">
        <v>3872</v>
      </c>
      <c r="L1330" s="9"/>
      <c r="M1330" s="9" t="str">
        <f>HYPERLINK("https://ceds.ed.gov/cedselementdetails.aspx?termid=13914")</f>
        <v>https://ceds.ed.gov/cedselementdetails.aspx?termid=13914</v>
      </c>
      <c r="N1330" s="9" t="str">
        <f>HYPERLINK("https://ceds.ed.gov/elementComment.aspx?elementName=Learning Resource Subject Code &amp;elementID=13914", "Click here to submit comment")</f>
        <v>Click here to submit comment</v>
      </c>
    </row>
    <row r="1331" spans="1:14" ht="240" x14ac:dyDescent="0.25">
      <c r="A1331" s="9" t="s">
        <v>3873</v>
      </c>
      <c r="B1331" s="9" t="s">
        <v>3874</v>
      </c>
      <c r="C1331" s="9" t="s">
        <v>12</v>
      </c>
      <c r="D1331" s="9" t="s">
        <v>3724</v>
      </c>
      <c r="E1331" s="9"/>
      <c r="F1331" s="9" t="s">
        <v>87</v>
      </c>
      <c r="G1331" s="9"/>
      <c r="H1331" s="9" t="s">
        <v>3875</v>
      </c>
      <c r="I1331" s="9" t="s">
        <v>3876</v>
      </c>
      <c r="J1331" s="9"/>
      <c r="K1331" s="9" t="s">
        <v>3877</v>
      </c>
      <c r="L1331" s="9"/>
      <c r="M1331" s="9" t="str">
        <f>HYPERLINK("https://ceds.ed.gov/cedselementdetails.aspx?termid=13915")</f>
        <v>https://ceds.ed.gov/cedselementdetails.aspx?termid=13915</v>
      </c>
      <c r="N1331" s="9" t="str">
        <f>HYPERLINK("https://ceds.ed.gov/elementComment.aspx?elementName=Learning Resource Subject Code System &amp;elementID=13915", "Click here to submit comment")</f>
        <v>Click here to submit comment</v>
      </c>
    </row>
    <row r="1332" spans="1:14" ht="45" x14ac:dyDescent="0.25">
      <c r="A1332" s="9" t="s">
        <v>3878</v>
      </c>
      <c r="B1332" s="9" t="s">
        <v>3879</v>
      </c>
      <c r="C1332" s="9" t="s">
        <v>12</v>
      </c>
      <c r="D1332" s="9" t="s">
        <v>3724</v>
      </c>
      <c r="E1332" s="9"/>
      <c r="F1332" s="9" t="s">
        <v>87</v>
      </c>
      <c r="G1332" s="9"/>
      <c r="H1332" s="9"/>
      <c r="I1332" s="9" t="s">
        <v>3880</v>
      </c>
      <c r="J1332" s="9"/>
      <c r="K1332" s="9" t="s">
        <v>3881</v>
      </c>
      <c r="L1332" s="9"/>
      <c r="M1332" s="9" t="str">
        <f>HYPERLINK("https://ceds.ed.gov/cedselementdetails.aspx?termid=13913")</f>
        <v>https://ceds.ed.gov/cedselementdetails.aspx?termid=13913</v>
      </c>
      <c r="N1332" s="9" t="str">
        <f>HYPERLINK("https://ceds.ed.gov/elementComment.aspx?elementName=Learning Resource Subject Name &amp;elementID=13913", "Click here to submit comment")</f>
        <v>Click here to submit comment</v>
      </c>
    </row>
    <row r="1333" spans="1:14" ht="45" x14ac:dyDescent="0.25">
      <c r="A1333" s="9" t="s">
        <v>3882</v>
      </c>
      <c r="B1333" s="9" t="s">
        <v>3883</v>
      </c>
      <c r="C1333" s="9" t="s">
        <v>12</v>
      </c>
      <c r="D1333" s="9" t="s">
        <v>3724</v>
      </c>
      <c r="E1333" s="9"/>
      <c r="F1333" s="9" t="s">
        <v>87</v>
      </c>
      <c r="G1333" s="9"/>
      <c r="H1333" s="9"/>
      <c r="I1333" s="9" t="s">
        <v>3884</v>
      </c>
      <c r="J1333" s="9"/>
      <c r="K1333" s="9" t="s">
        <v>3885</v>
      </c>
      <c r="L1333" s="9"/>
      <c r="M1333" s="9" t="str">
        <f>HYPERLINK("https://ceds.ed.gov/cedselementdetails.aspx?termid=13931")</f>
        <v>https://ceds.ed.gov/cedselementdetails.aspx?termid=13931</v>
      </c>
      <c r="N1333" s="9" t="str">
        <f>HYPERLINK("https://ceds.ed.gov/elementComment.aspx?elementName=Learning Resource Text Complexity System &amp;elementID=13931", "Click here to submit comment")</f>
        <v>Click here to submit comment</v>
      </c>
    </row>
    <row r="1334" spans="1:14" ht="45" x14ac:dyDescent="0.25">
      <c r="A1334" s="9" t="s">
        <v>3886</v>
      </c>
      <c r="B1334" s="9" t="s">
        <v>3887</v>
      </c>
      <c r="C1334" s="9" t="s">
        <v>12</v>
      </c>
      <c r="D1334" s="9" t="s">
        <v>3724</v>
      </c>
      <c r="E1334" s="9"/>
      <c r="F1334" s="9" t="s">
        <v>87</v>
      </c>
      <c r="G1334" s="9"/>
      <c r="H1334" s="9"/>
      <c r="I1334" s="9" t="s">
        <v>3888</v>
      </c>
      <c r="J1334" s="9"/>
      <c r="K1334" s="9" t="s">
        <v>3889</v>
      </c>
      <c r="L1334" s="9"/>
      <c r="M1334" s="9" t="str">
        <f>HYPERLINK("https://ceds.ed.gov/cedselementdetails.aspx?termid=13930")</f>
        <v>https://ceds.ed.gov/cedselementdetails.aspx?termid=13930</v>
      </c>
      <c r="N1334" s="9" t="str">
        <f>HYPERLINK("https://ceds.ed.gov/elementComment.aspx?elementName=Learning Resource Text Complexity Value &amp;elementID=13930", "Click here to submit comment")</f>
        <v>Click here to submit comment</v>
      </c>
    </row>
    <row r="1335" spans="1:14" ht="60" x14ac:dyDescent="0.25">
      <c r="A1335" s="9" t="s">
        <v>3890</v>
      </c>
      <c r="B1335" s="9" t="s">
        <v>3891</v>
      </c>
      <c r="C1335" s="9" t="s">
        <v>12</v>
      </c>
      <c r="D1335" s="9" t="s">
        <v>3724</v>
      </c>
      <c r="E1335" s="9"/>
      <c r="F1335" s="9" t="s">
        <v>4841</v>
      </c>
      <c r="G1335" s="9"/>
      <c r="H1335" s="9"/>
      <c r="I1335" s="9" t="s">
        <v>3892</v>
      </c>
      <c r="J1335" s="9"/>
      <c r="K1335" s="9" t="s">
        <v>3893</v>
      </c>
      <c r="L1335" s="9"/>
      <c r="M1335" s="9" t="str">
        <f>HYPERLINK("https://ceds.ed.gov/cedselementdetails.aspx?termid=13925")</f>
        <v>https://ceds.ed.gov/cedselementdetails.aspx?termid=13925</v>
      </c>
      <c r="N1335" s="9" t="str">
        <f>HYPERLINK("https://ceds.ed.gov/elementComment.aspx?elementName=Learning Resource Time Required &amp;elementID=13925", "Click here to submit comment")</f>
        <v>Click here to submit comment</v>
      </c>
    </row>
    <row r="1336" spans="1:14" ht="45" x14ac:dyDescent="0.25">
      <c r="A1336" s="9" t="s">
        <v>3894</v>
      </c>
      <c r="B1336" s="9" t="s">
        <v>3895</v>
      </c>
      <c r="C1336" s="9" t="s">
        <v>12</v>
      </c>
      <c r="D1336" s="9" t="s">
        <v>3724</v>
      </c>
      <c r="E1336" s="9"/>
      <c r="F1336" s="9" t="s">
        <v>87</v>
      </c>
      <c r="G1336" s="9"/>
      <c r="H1336" s="9"/>
      <c r="I1336" s="9" t="s">
        <v>3896</v>
      </c>
      <c r="J1336" s="9"/>
      <c r="K1336" s="9" t="s">
        <v>3897</v>
      </c>
      <c r="L1336" s="9"/>
      <c r="M1336" s="9" t="str">
        <f>HYPERLINK("https://ceds.ed.gov/cedselementdetails.aspx?termid=13912")</f>
        <v>https://ceds.ed.gov/cedselementdetails.aspx?termid=13912</v>
      </c>
      <c r="N1336" s="9" t="str">
        <f>HYPERLINK("https://ceds.ed.gov/elementComment.aspx?elementName=Learning Resource Title &amp;elementID=13912", "Click here to submit comment")</f>
        <v>Click here to submit comment</v>
      </c>
    </row>
    <row r="1337" spans="1:14" ht="360" x14ac:dyDescent="0.25">
      <c r="A1337" s="9" t="s">
        <v>3898</v>
      </c>
      <c r="B1337" s="9" t="s">
        <v>3899</v>
      </c>
      <c r="C1337" s="10" t="s">
        <v>6592</v>
      </c>
      <c r="D1337" s="9" t="s">
        <v>3724</v>
      </c>
      <c r="E1337" s="9"/>
      <c r="F1337" s="9"/>
      <c r="G1337" s="9"/>
      <c r="H1337" s="9" t="s">
        <v>3900</v>
      </c>
      <c r="I1337" s="9" t="s">
        <v>3901</v>
      </c>
      <c r="J1337" s="9"/>
      <c r="K1337" s="9" t="s">
        <v>3902</v>
      </c>
      <c r="L1337" s="9"/>
      <c r="M1337" s="9" t="str">
        <f>HYPERLINK("https://ceds.ed.gov/cedselementdetails.aspx?termid=13929")</f>
        <v>https://ceds.ed.gov/cedselementdetails.aspx?termid=13929</v>
      </c>
      <c r="N1337" s="9" t="str">
        <f>HYPERLINK("https://ceds.ed.gov/elementComment.aspx?elementName=Learning Resource Type &amp;elementID=13929", "Click here to submit comment")</f>
        <v>Click here to submit comment</v>
      </c>
    </row>
    <row r="1338" spans="1:14" ht="45" x14ac:dyDescent="0.25">
      <c r="A1338" s="9" t="s">
        <v>3903</v>
      </c>
      <c r="B1338" s="9" t="s">
        <v>3904</v>
      </c>
      <c r="C1338" s="9" t="s">
        <v>12</v>
      </c>
      <c r="D1338" s="9" t="s">
        <v>3724</v>
      </c>
      <c r="E1338" s="9"/>
      <c r="F1338" s="9" t="s">
        <v>10489</v>
      </c>
      <c r="G1338" s="9"/>
      <c r="H1338" s="9"/>
      <c r="I1338" s="9" t="s">
        <v>3905</v>
      </c>
      <c r="J1338" s="9"/>
      <c r="K1338" s="9" t="s">
        <v>3906</v>
      </c>
      <c r="L1338" s="9"/>
      <c r="M1338" s="9" t="str">
        <f>HYPERLINK("https://ceds.ed.gov/cedselementdetails.aspx?termid=13927")</f>
        <v>https://ceds.ed.gov/cedselementdetails.aspx?termid=13927</v>
      </c>
      <c r="N1338" s="9" t="str">
        <f>HYPERLINK("https://ceds.ed.gov/elementComment.aspx?elementName=Learning Resource Typical Age Range Maximum &amp;elementID=13927", "Click here to submit comment")</f>
        <v>Click here to submit comment</v>
      </c>
    </row>
    <row r="1339" spans="1:14" ht="150" customHeight="1" x14ac:dyDescent="0.25">
      <c r="A1339" s="9" t="s">
        <v>3907</v>
      </c>
      <c r="B1339" s="9" t="s">
        <v>3908</v>
      </c>
      <c r="C1339" s="9" t="s">
        <v>12</v>
      </c>
      <c r="D1339" s="9" t="s">
        <v>3724</v>
      </c>
      <c r="E1339" s="9"/>
      <c r="F1339" s="9" t="s">
        <v>10489</v>
      </c>
      <c r="G1339" s="9"/>
      <c r="H1339" s="9"/>
      <c r="I1339" s="9" t="s">
        <v>3909</v>
      </c>
      <c r="J1339" s="9"/>
      <c r="K1339" s="9" t="s">
        <v>3910</v>
      </c>
      <c r="L1339" s="9"/>
      <c r="M1339" s="9" t="str">
        <f>HYPERLINK("https://ceds.ed.gov/cedselementdetails.aspx?termid=13926")</f>
        <v>https://ceds.ed.gov/cedselementdetails.aspx?termid=13926</v>
      </c>
      <c r="N1339" s="9" t="str">
        <f>HYPERLINK("https://ceds.ed.gov/elementComment.aspx?elementName=Learning Resource Typical Age Range Minimum &amp;elementID=13926", "Click here to submit comment")</f>
        <v>Click here to submit comment</v>
      </c>
    </row>
    <row r="1340" spans="1:14" ht="75" x14ac:dyDescent="0.25">
      <c r="A1340" s="9" t="s">
        <v>3911</v>
      </c>
      <c r="B1340" s="9" t="s">
        <v>3912</v>
      </c>
      <c r="C1340" s="9" t="s">
        <v>12</v>
      </c>
      <c r="D1340" s="9" t="s">
        <v>3724</v>
      </c>
      <c r="E1340" s="9"/>
      <c r="F1340" s="9" t="s">
        <v>1143</v>
      </c>
      <c r="G1340" s="9"/>
      <c r="H1340" s="9"/>
      <c r="I1340" s="9" t="s">
        <v>3913</v>
      </c>
      <c r="J1340" s="9"/>
      <c r="K1340" s="9" t="s">
        <v>3914</v>
      </c>
      <c r="L1340" s="9"/>
      <c r="M1340" s="9" t="str">
        <f>HYPERLINK("https://ceds.ed.gov/cedselementdetails.aspx?termid=13911")</f>
        <v>https://ceds.ed.gov/cedselementdetails.aspx?termid=13911</v>
      </c>
      <c r="N1340" s="9" t="str">
        <f>HYPERLINK("https://ceds.ed.gov/elementComment.aspx?elementName=Learning Resource URL &amp;elementID=13911", "Click here to submit comment")</f>
        <v>Click here to submit comment</v>
      </c>
    </row>
    <row r="1341" spans="1:14" ht="45" x14ac:dyDescent="0.25">
      <c r="A1341" s="9" t="s">
        <v>3915</v>
      </c>
      <c r="B1341" s="9" t="s">
        <v>3916</v>
      </c>
      <c r="C1341" s="9" t="s">
        <v>12</v>
      </c>
      <c r="D1341" s="9" t="s">
        <v>3724</v>
      </c>
      <c r="E1341" s="9"/>
      <c r="F1341" s="9" t="s">
        <v>87</v>
      </c>
      <c r="G1341" s="9"/>
      <c r="H1341" s="9"/>
      <c r="I1341" s="9" t="s">
        <v>3917</v>
      </c>
      <c r="J1341" s="9"/>
      <c r="K1341" s="9" t="s">
        <v>3918</v>
      </c>
      <c r="L1341" s="9"/>
      <c r="M1341" s="9" t="str">
        <f>HYPERLINK("https://ceds.ed.gov/cedselementdetails.aspx?termid=14182")</f>
        <v>https://ceds.ed.gov/cedselementdetails.aspx?termid=14182</v>
      </c>
      <c r="N1341" s="9" t="str">
        <f>HYPERLINK("https://ceds.ed.gov/elementComment.aspx?elementName=Learning Resource Version &amp;elementID=14182", "Click here to submit comment")</f>
        <v>Click here to submit comment</v>
      </c>
    </row>
    <row r="1342" spans="1:14" ht="345" x14ac:dyDescent="0.25">
      <c r="A1342" s="9" t="s">
        <v>4051</v>
      </c>
      <c r="B1342" s="9" t="s">
        <v>4052</v>
      </c>
      <c r="C1342" s="10" t="s">
        <v>6599</v>
      </c>
      <c r="D1342" s="9" t="s">
        <v>4053</v>
      </c>
      <c r="E1342" s="9"/>
      <c r="F1342" s="9"/>
      <c r="G1342" s="9"/>
      <c r="H1342" s="9"/>
      <c r="I1342" s="9" t="s">
        <v>4054</v>
      </c>
      <c r="J1342" s="9"/>
      <c r="K1342" s="9" t="s">
        <v>4055</v>
      </c>
      <c r="L1342" s="9"/>
      <c r="M1342" s="9" t="str">
        <f>HYPERLINK("https://ceds.ed.gov/cedselementdetails.aspx?termid=13617")</f>
        <v>https://ceds.ed.gov/cedselementdetails.aspx?termid=13617</v>
      </c>
      <c r="N1342" s="9" t="str">
        <f>HYPERLINK("https://ceds.ed.gov/elementComment.aspx?elementName=Leave Event Type &amp;elementID=13617", "Click here to submit comment")</f>
        <v>Click here to submit comment</v>
      </c>
    </row>
    <row r="1343" spans="1:14" ht="90" x14ac:dyDescent="0.25">
      <c r="A1343" s="9" t="s">
        <v>4056</v>
      </c>
      <c r="B1343" s="9" t="s">
        <v>4057</v>
      </c>
      <c r="C1343" s="10" t="s">
        <v>6600</v>
      </c>
      <c r="D1343" s="9" t="s">
        <v>6239</v>
      </c>
      <c r="E1343" s="9"/>
      <c r="F1343" s="9"/>
      <c r="G1343" s="9"/>
      <c r="H1343" s="9"/>
      <c r="I1343" s="9" t="s">
        <v>4058</v>
      </c>
      <c r="J1343" s="9"/>
      <c r="K1343" s="9" t="s">
        <v>4059</v>
      </c>
      <c r="L1343" s="9" t="s">
        <v>6161</v>
      </c>
      <c r="M1343" s="9" t="str">
        <f>HYPERLINK("https://ceds.ed.gov/cedselementdetails.aspx?termid=13178")</f>
        <v>https://ceds.ed.gov/cedselementdetails.aspx?termid=13178</v>
      </c>
      <c r="N1343" s="9" t="str">
        <f>HYPERLINK("https://ceds.ed.gov/elementComment.aspx?elementName=Level of Institution &amp;elementID=13178", "Click here to submit comment")</f>
        <v>Click here to submit comment</v>
      </c>
    </row>
    <row r="1344" spans="1:14" ht="105" x14ac:dyDescent="0.25">
      <c r="A1344" s="9" t="s">
        <v>4060</v>
      </c>
      <c r="B1344" s="9" t="s">
        <v>4061</v>
      </c>
      <c r="C1344" s="10" t="s">
        <v>6601</v>
      </c>
      <c r="D1344" s="9" t="s">
        <v>2385</v>
      </c>
      <c r="E1344" s="9"/>
      <c r="F1344" s="9"/>
      <c r="G1344" s="9"/>
      <c r="H1344" s="9"/>
      <c r="I1344" s="9" t="s">
        <v>4062</v>
      </c>
      <c r="J1344" s="9"/>
      <c r="K1344" s="9" t="s">
        <v>4063</v>
      </c>
      <c r="L1344" s="9" t="s">
        <v>6199</v>
      </c>
      <c r="M1344" s="9" t="str">
        <f>HYPERLINK("https://ceds.ed.gov/cedselementdetails.aspx?termid=13340")</f>
        <v>https://ceds.ed.gov/cedselementdetails.aspx?termid=13340</v>
      </c>
      <c r="N1344" s="9" t="str">
        <f>HYPERLINK("https://ceds.ed.gov/elementComment.aspx?elementName=Level of Specialization in Early Learning &amp;elementID=13340", "Click here to submit comment")</f>
        <v>Click here to submit comment</v>
      </c>
    </row>
    <row r="1345" spans="1:14" ht="15" customHeight="1" x14ac:dyDescent="0.25">
      <c r="A1345" s="9" t="s">
        <v>4064</v>
      </c>
      <c r="B1345" s="9" t="s">
        <v>4065</v>
      </c>
      <c r="C1345" s="10" t="s">
        <v>6340</v>
      </c>
      <c r="D1345" s="9" t="s">
        <v>1851</v>
      </c>
      <c r="E1345" s="9"/>
      <c r="F1345" s="9"/>
      <c r="G1345" s="9"/>
      <c r="H1345" s="9"/>
      <c r="I1345" s="9" t="s">
        <v>4066</v>
      </c>
      <c r="J1345" s="9"/>
      <c r="K1345" s="9" t="s">
        <v>4067</v>
      </c>
      <c r="L1345" s="9" t="s">
        <v>6172</v>
      </c>
      <c r="M1345" s="9" t="str">
        <f>HYPERLINK("https://ceds.ed.gov/cedselementdetails.aspx?termid=13349")</f>
        <v>https://ceds.ed.gov/cedselementdetails.aspx?termid=13349</v>
      </c>
      <c r="N1345" s="9" t="str">
        <f>HYPERLINK("https://ceds.ed.gov/elementComment.aspx?elementName=License Exempt &amp;elementID=13349", "Click here to submit comment")</f>
        <v>Click here to submit comment</v>
      </c>
    </row>
    <row r="1346" spans="1:14" ht="15" customHeight="1" x14ac:dyDescent="0.25">
      <c r="A1346" s="9" t="s">
        <v>8439</v>
      </c>
      <c r="B1346" s="9" t="s">
        <v>8440</v>
      </c>
      <c r="C1346" s="9" t="s">
        <v>12</v>
      </c>
      <c r="D1346" s="9" t="s">
        <v>10535</v>
      </c>
      <c r="E1346" s="9" t="s">
        <v>1457</v>
      </c>
      <c r="F1346" s="9" t="s">
        <v>1513</v>
      </c>
      <c r="G1346" s="9"/>
      <c r="H1346" s="9"/>
      <c r="I1346" s="9" t="s">
        <v>11630</v>
      </c>
      <c r="J1346" s="9"/>
      <c r="K1346" s="9" t="s">
        <v>11631</v>
      </c>
      <c r="L1346" s="9"/>
      <c r="M1346" s="9" t="str">
        <f>HYPERLINK("https://ceds.ed.gov/cedselementdetails.aspx?termid=14830")</f>
        <v>https://ceds.ed.gov/cedselementdetails.aspx?termid=14830</v>
      </c>
      <c r="N1346" s="9" t="str">
        <f>HYPERLINK("https://ceds.ed.gov/elementComment.aspx?elementName=Life-cycle Cost &amp;elementID=14830", "Click here to submit comment")</f>
        <v>Click here to submit comment</v>
      </c>
    </row>
    <row r="1347" spans="1:14" ht="15" customHeight="1" x14ac:dyDescent="0.25">
      <c r="A1347" s="9" t="s">
        <v>4068</v>
      </c>
      <c r="B1347" s="9" t="s">
        <v>4069</v>
      </c>
      <c r="C1347" s="10" t="s">
        <v>6602</v>
      </c>
      <c r="D1347" s="9" t="s">
        <v>1587</v>
      </c>
      <c r="E1347" s="9"/>
      <c r="F1347" s="9"/>
      <c r="G1347" s="9"/>
      <c r="H1347" s="9"/>
      <c r="I1347" s="9" t="s">
        <v>4070</v>
      </c>
      <c r="J1347" s="9" t="s">
        <v>4071</v>
      </c>
      <c r="K1347" s="9" t="s">
        <v>4072</v>
      </c>
      <c r="L1347" s="9" t="s">
        <v>25</v>
      </c>
      <c r="M1347" s="9" t="str">
        <f>HYPERLINK("https://ceds.ed.gov/cedselementdetails.aspx?termid=13179")</f>
        <v>https://ceds.ed.gov/cedselementdetails.aspx?termid=13179</v>
      </c>
      <c r="N1347" s="9" t="str">
        <f>HYPERLINK("https://ceds.ed.gov/elementComment.aspx?elementName=Limited English Proficiency - Postsecondary &amp;elementID=13179", "Click here to submit comment")</f>
        <v>Click here to submit comment</v>
      </c>
    </row>
    <row r="1348" spans="1:14" ht="240" x14ac:dyDescent="0.25">
      <c r="A1348" s="9" t="s">
        <v>4079</v>
      </c>
      <c r="B1348" s="9" t="s">
        <v>4080</v>
      </c>
      <c r="C1348" s="10" t="s">
        <v>6603</v>
      </c>
      <c r="D1348" s="9" t="s">
        <v>28</v>
      </c>
      <c r="E1348" s="9"/>
      <c r="F1348" s="9"/>
      <c r="G1348" s="9"/>
      <c r="H1348" s="9"/>
      <c r="I1348" s="9" t="s">
        <v>4081</v>
      </c>
      <c r="J1348" s="9"/>
      <c r="K1348" s="9" t="s">
        <v>4082</v>
      </c>
      <c r="L1348" s="9" t="s">
        <v>188</v>
      </c>
      <c r="M1348" s="9" t="str">
        <f>HYPERLINK("https://ceds.ed.gov/cedselementdetails.aspx?termid=13456")</f>
        <v>https://ceds.ed.gov/cedselementdetails.aspx?termid=13456</v>
      </c>
      <c r="N1348" s="9" t="str">
        <f>HYPERLINK("https://ceds.ed.gov/elementComment.aspx?elementName=Literacy Assessment Administered Type &amp;elementID=13456", "Click here to submit comment")</f>
        <v>Click here to submit comment</v>
      </c>
    </row>
    <row r="1349" spans="1:14" ht="60" x14ac:dyDescent="0.25">
      <c r="A1349" s="9" t="s">
        <v>4083</v>
      </c>
      <c r="B1349" s="9" t="s">
        <v>4084</v>
      </c>
      <c r="C1349" s="9" t="s">
        <v>6106</v>
      </c>
      <c r="D1349" s="9" t="s">
        <v>28</v>
      </c>
      <c r="E1349" s="9"/>
      <c r="F1349" s="9"/>
      <c r="G1349" s="9"/>
      <c r="H1349" s="9"/>
      <c r="I1349" s="9" t="s">
        <v>4085</v>
      </c>
      <c r="J1349" s="9"/>
      <c r="K1349" s="9" t="s">
        <v>4086</v>
      </c>
      <c r="L1349" s="9" t="s">
        <v>188</v>
      </c>
      <c r="M1349" s="9" t="str">
        <f>HYPERLINK("https://ceds.ed.gov/cedselementdetails.aspx?termid=13457")</f>
        <v>https://ceds.ed.gov/cedselementdetails.aspx?termid=13457</v>
      </c>
      <c r="N1349" s="9" t="str">
        <f>HYPERLINK("https://ceds.ed.gov/elementComment.aspx?elementName=Literacy Goal Met Status &amp;elementID=13457", "Click here to submit comment")</f>
        <v>Click here to submit comment</v>
      </c>
    </row>
    <row r="1350" spans="1:14" ht="45" x14ac:dyDescent="0.25">
      <c r="A1350" s="9" t="s">
        <v>4087</v>
      </c>
      <c r="B1350" s="9" t="s">
        <v>4088</v>
      </c>
      <c r="C1350" s="9" t="s">
        <v>6106</v>
      </c>
      <c r="D1350" s="9" t="s">
        <v>28</v>
      </c>
      <c r="E1350" s="9"/>
      <c r="F1350" s="9"/>
      <c r="G1350" s="9"/>
      <c r="H1350" s="9"/>
      <c r="I1350" s="9" t="s">
        <v>4089</v>
      </c>
      <c r="J1350" s="9"/>
      <c r="K1350" s="9" t="s">
        <v>4090</v>
      </c>
      <c r="L1350" s="9" t="s">
        <v>188</v>
      </c>
      <c r="M1350" s="9" t="str">
        <f>HYPERLINK("https://ceds.ed.gov/cedselementdetails.aspx?termid=13458")</f>
        <v>https://ceds.ed.gov/cedselementdetails.aspx?termid=13458</v>
      </c>
      <c r="N1350" s="9" t="str">
        <f>HYPERLINK("https://ceds.ed.gov/elementComment.aspx?elementName=Literacy Post Test Status &amp;elementID=13458", "Click here to submit comment")</f>
        <v>Click here to submit comment</v>
      </c>
    </row>
    <row r="1351" spans="1:14" ht="45" x14ac:dyDescent="0.25">
      <c r="A1351" s="9" t="s">
        <v>4091</v>
      </c>
      <c r="B1351" s="9" t="s">
        <v>4092</v>
      </c>
      <c r="C1351" s="9" t="s">
        <v>6106</v>
      </c>
      <c r="D1351" s="9" t="s">
        <v>28</v>
      </c>
      <c r="E1351" s="9"/>
      <c r="F1351" s="9"/>
      <c r="G1351" s="9"/>
      <c r="H1351" s="9"/>
      <c r="I1351" s="9" t="s">
        <v>4093</v>
      </c>
      <c r="J1351" s="9"/>
      <c r="K1351" s="9" t="s">
        <v>4094</v>
      </c>
      <c r="L1351" s="9" t="s">
        <v>188</v>
      </c>
      <c r="M1351" s="9" t="str">
        <f>HYPERLINK("https://ceds.ed.gov/cedselementdetails.aspx?termid=13459")</f>
        <v>https://ceds.ed.gov/cedselementdetails.aspx?termid=13459</v>
      </c>
      <c r="N1351" s="9" t="str">
        <f>HYPERLINK("https://ceds.ed.gov/elementComment.aspx?elementName=Literacy Pre Test Status &amp;elementID=13459", "Click here to submit comment")</f>
        <v>Click here to submit comment</v>
      </c>
    </row>
    <row r="1352" spans="1:14" ht="60" x14ac:dyDescent="0.25">
      <c r="A1352" s="9" t="s">
        <v>4095</v>
      </c>
      <c r="B1352" s="9" t="s">
        <v>4096</v>
      </c>
      <c r="C1352" s="10" t="s">
        <v>6604</v>
      </c>
      <c r="D1352" s="9" t="s">
        <v>4097</v>
      </c>
      <c r="E1352" s="9"/>
      <c r="F1352" s="9"/>
      <c r="G1352" s="9"/>
      <c r="H1352" s="9"/>
      <c r="I1352" s="9" t="s">
        <v>4098</v>
      </c>
      <c r="J1352" s="9" t="s">
        <v>4099</v>
      </c>
      <c r="K1352" s="9" t="s">
        <v>4100</v>
      </c>
      <c r="L1352" s="9" t="s">
        <v>188</v>
      </c>
      <c r="M1352" s="9" t="str">
        <f>HYPERLINK("https://ceds.ed.gov/cedselementdetails.aspx?termid=13441")</f>
        <v>https://ceds.ed.gov/cedselementdetails.aspx?termid=13441</v>
      </c>
      <c r="N1352" s="9" t="str">
        <f>HYPERLINK("https://ceds.ed.gov/elementComment.aspx?elementName=Local Education Agency Funds Transfer Type &amp;elementID=13441", "Click here to submit comment")</f>
        <v>Click here to submit comment</v>
      </c>
    </row>
    <row r="1353" spans="1:14" ht="240" x14ac:dyDescent="0.25">
      <c r="A1353" s="9" t="s">
        <v>4101</v>
      </c>
      <c r="B1353" s="9" t="s">
        <v>4102</v>
      </c>
      <c r="C1353" s="10" t="s">
        <v>6605</v>
      </c>
      <c r="D1353" s="9" t="s">
        <v>6240</v>
      </c>
      <c r="E1353" s="9"/>
      <c r="F1353" s="9"/>
      <c r="G1353" s="9"/>
      <c r="H1353" s="9"/>
      <c r="I1353" s="9" t="s">
        <v>4103</v>
      </c>
      <c r="J1353" s="9" t="s">
        <v>4104</v>
      </c>
      <c r="K1353" s="9" t="s">
        <v>4105</v>
      </c>
      <c r="L1353" s="9" t="s">
        <v>6241</v>
      </c>
      <c r="M1353" s="9" t="str">
        <f>HYPERLINK("https://ceds.ed.gov/cedselementdetails.aspx?termid=13159")</f>
        <v>https://ceds.ed.gov/cedselementdetails.aspx?termid=13159</v>
      </c>
      <c r="N1353" s="9" t="str">
        <f>HYPERLINK("https://ceds.ed.gov/elementComment.aspx?elementName=Local Education Agency Identification System &amp;elementID=13159", "Click here to submit comment")</f>
        <v>Click here to submit comment</v>
      </c>
    </row>
    <row r="1354" spans="1:14" ht="105" x14ac:dyDescent="0.25">
      <c r="A1354" s="18" t="s">
        <v>4106</v>
      </c>
      <c r="B1354" s="18" t="s">
        <v>4107</v>
      </c>
      <c r="C1354" s="18" t="s">
        <v>12</v>
      </c>
      <c r="D1354" s="18" t="s">
        <v>6240</v>
      </c>
      <c r="E1354" s="18"/>
      <c r="F1354" s="18" t="s">
        <v>119</v>
      </c>
      <c r="G1354" s="18"/>
      <c r="H1354" s="9" t="s">
        <v>120</v>
      </c>
      <c r="I1354" s="18" t="s">
        <v>4108</v>
      </c>
      <c r="J1354" s="18" t="s">
        <v>4109</v>
      </c>
      <c r="K1354" s="18" t="s">
        <v>4110</v>
      </c>
      <c r="L1354" s="18" t="s">
        <v>6241</v>
      </c>
      <c r="M1354" s="18" t="str">
        <f>HYPERLINK("https://ceds.ed.gov/cedselementdetails.aspx?termid=13153")</f>
        <v>https://ceds.ed.gov/cedselementdetails.aspx?termid=13153</v>
      </c>
      <c r="N1354" s="18" t="str">
        <f>HYPERLINK("https://ceds.ed.gov/elementComment.aspx?elementName=Local Education Agency Identifier &amp;elementID=13153", "Click here to submit comment")</f>
        <v>Click here to submit comment</v>
      </c>
    </row>
    <row r="1355" spans="1:14" x14ac:dyDescent="0.25">
      <c r="A1355" s="18"/>
      <c r="B1355" s="18"/>
      <c r="C1355" s="18"/>
      <c r="D1355" s="18"/>
      <c r="E1355" s="18"/>
      <c r="F1355" s="18"/>
      <c r="G1355" s="18"/>
      <c r="H1355" s="9"/>
      <c r="I1355" s="18"/>
      <c r="J1355" s="18"/>
      <c r="K1355" s="18"/>
      <c r="L1355" s="18"/>
      <c r="M1355" s="18"/>
      <c r="N1355" s="18"/>
    </row>
    <row r="1356" spans="1:14" ht="90" x14ac:dyDescent="0.25">
      <c r="A1356" s="18"/>
      <c r="B1356" s="18"/>
      <c r="C1356" s="18"/>
      <c r="D1356" s="18"/>
      <c r="E1356" s="18"/>
      <c r="F1356" s="18"/>
      <c r="G1356" s="18"/>
      <c r="H1356" s="9" t="s">
        <v>121</v>
      </c>
      <c r="I1356" s="18"/>
      <c r="J1356" s="18"/>
      <c r="K1356" s="18"/>
      <c r="L1356" s="18"/>
      <c r="M1356" s="18"/>
      <c r="N1356" s="18"/>
    </row>
    <row r="1357" spans="1:14" ht="90" x14ac:dyDescent="0.25">
      <c r="A1357" s="9" t="s">
        <v>4111</v>
      </c>
      <c r="B1357" s="9" t="s">
        <v>4112</v>
      </c>
      <c r="C1357" s="10" t="s">
        <v>6606</v>
      </c>
      <c r="D1357" s="9" t="s">
        <v>55</v>
      </c>
      <c r="E1357" s="9"/>
      <c r="F1357" s="9"/>
      <c r="G1357" s="9"/>
      <c r="H1357" s="9"/>
      <c r="I1357" s="9" t="s">
        <v>4113</v>
      </c>
      <c r="J1357" s="9" t="s">
        <v>4114</v>
      </c>
      <c r="K1357" s="9" t="s">
        <v>4115</v>
      </c>
      <c r="L1357" s="9" t="s">
        <v>199</v>
      </c>
      <c r="M1357" s="9" t="str">
        <f>HYPERLINK("https://ceds.ed.gov/cedselementdetails.aspx?termid=13173")</f>
        <v>https://ceds.ed.gov/cedselementdetails.aspx?termid=13173</v>
      </c>
      <c r="N1357" s="9" t="str">
        <f>HYPERLINK("https://ceds.ed.gov/elementComment.aspx?elementName=Local Education Agency Improvement Status &amp;elementID=13173", "Click here to submit comment")</f>
        <v>Click here to submit comment</v>
      </c>
    </row>
    <row r="1358" spans="1:14" ht="135" x14ac:dyDescent="0.25">
      <c r="A1358" s="9" t="s">
        <v>4116</v>
      </c>
      <c r="B1358" s="9" t="s">
        <v>4117</v>
      </c>
      <c r="C1358" s="10" t="s">
        <v>6607</v>
      </c>
      <c r="D1358" s="9" t="s">
        <v>4118</v>
      </c>
      <c r="E1358" s="9"/>
      <c r="F1358" s="9"/>
      <c r="G1358" s="9"/>
      <c r="H1358" s="9"/>
      <c r="I1358" s="9" t="s">
        <v>4119</v>
      </c>
      <c r="J1358" s="9" t="s">
        <v>4120</v>
      </c>
      <c r="K1358" s="9" t="s">
        <v>4121</v>
      </c>
      <c r="L1358" s="9" t="s">
        <v>199</v>
      </c>
      <c r="M1358" s="9" t="str">
        <f>HYPERLINK("https://ceds.ed.gov/cedselementdetails.aspx?termid=13174")</f>
        <v>https://ceds.ed.gov/cedselementdetails.aspx?termid=13174</v>
      </c>
      <c r="N1358" s="9" t="str">
        <f>HYPERLINK("https://ceds.ed.gov/elementComment.aspx?elementName=Local Education Agency Operational Status &amp;elementID=13174", "Click here to submit comment")</f>
        <v>Click here to submit comment</v>
      </c>
    </row>
    <row r="1359" spans="1:14" ht="45" x14ac:dyDescent="0.25">
      <c r="A1359" s="9" t="s">
        <v>4122</v>
      </c>
      <c r="B1359" s="9" t="s">
        <v>4123</v>
      </c>
      <c r="C1359" s="9" t="s">
        <v>12</v>
      </c>
      <c r="D1359" s="9" t="s">
        <v>4118</v>
      </c>
      <c r="E1359" s="9"/>
      <c r="F1359" s="9" t="s">
        <v>4124</v>
      </c>
      <c r="G1359" s="9"/>
      <c r="H1359" s="9"/>
      <c r="I1359" s="9" t="s">
        <v>4125</v>
      </c>
      <c r="J1359" s="9" t="s">
        <v>4126</v>
      </c>
      <c r="K1359" s="9" t="s">
        <v>4127</v>
      </c>
      <c r="L1359" s="9" t="s">
        <v>199</v>
      </c>
      <c r="M1359" s="9" t="str">
        <f>HYPERLINK("https://ceds.ed.gov/cedselementdetails.aspx?termid=13175")</f>
        <v>https://ceds.ed.gov/cedselementdetails.aspx?termid=13175</v>
      </c>
      <c r="N1359" s="9" t="str">
        <f>HYPERLINK("https://ceds.ed.gov/elementComment.aspx?elementName=Local Education Agency Supervisory Union Identification Number &amp;elementID=13175", "Click here to submit comment")</f>
        <v>Click here to submit comment</v>
      </c>
    </row>
    <row r="1360" spans="1:14" ht="60" x14ac:dyDescent="0.25">
      <c r="A1360" s="9" t="s">
        <v>4128</v>
      </c>
      <c r="B1360" s="9" t="s">
        <v>4129</v>
      </c>
      <c r="C1360" s="9" t="s">
        <v>6106</v>
      </c>
      <c r="D1360" s="9" t="s">
        <v>4097</v>
      </c>
      <c r="E1360" s="9"/>
      <c r="F1360" s="9"/>
      <c r="G1360" s="9"/>
      <c r="H1360" s="9"/>
      <c r="I1360" s="9" t="s">
        <v>4130</v>
      </c>
      <c r="J1360" s="9" t="s">
        <v>4131</v>
      </c>
      <c r="K1360" s="9" t="s">
        <v>4132</v>
      </c>
      <c r="L1360" s="9" t="s">
        <v>188</v>
      </c>
      <c r="M1360" s="9" t="str">
        <f>HYPERLINK("https://ceds.ed.gov/cedselementdetails.aspx?termid=13436")</f>
        <v>https://ceds.ed.gov/cedselementdetails.aspx?termid=13436</v>
      </c>
      <c r="N1360" s="9" t="str">
        <f>HYPERLINK("https://ceds.ed.gov/elementComment.aspx?elementName=Local Education Agency Transferability of Funds &amp;elementID=13436", "Click here to submit comment")</f>
        <v>Click here to submit comment</v>
      </c>
    </row>
    <row r="1361" spans="1:14" ht="30" x14ac:dyDescent="0.25">
      <c r="A1361" s="18" t="s">
        <v>4133</v>
      </c>
      <c r="B1361" s="18" t="s">
        <v>4134</v>
      </c>
      <c r="C1361" s="19" t="s">
        <v>6608</v>
      </c>
      <c r="D1361" s="18" t="s">
        <v>4118</v>
      </c>
      <c r="E1361" s="18"/>
      <c r="F1361" s="18"/>
      <c r="G1361" s="18"/>
      <c r="H1361" s="9" t="s">
        <v>4135</v>
      </c>
      <c r="I1361" s="18" t="s">
        <v>4137</v>
      </c>
      <c r="J1361" s="18"/>
      <c r="K1361" s="18" t="s">
        <v>4138</v>
      </c>
      <c r="L1361" s="18" t="s">
        <v>199</v>
      </c>
      <c r="M1361" s="18" t="str">
        <f>HYPERLINK("https://ceds.ed.gov/cedselementdetails.aspx?termid=13528")</f>
        <v>https://ceds.ed.gov/cedselementdetails.aspx?termid=13528</v>
      </c>
      <c r="N1361" s="18" t="str">
        <f>HYPERLINK("https://ceds.ed.gov/elementComment.aspx?elementName=Local Education Agency Type &amp;elementID=13528", "Click here to submit comment")</f>
        <v>Click here to submit comment</v>
      </c>
    </row>
    <row r="1362" spans="1:14" ht="45" x14ac:dyDescent="0.25">
      <c r="A1362" s="18"/>
      <c r="B1362" s="18"/>
      <c r="C1362" s="19"/>
      <c r="D1362" s="18"/>
      <c r="E1362" s="18"/>
      <c r="F1362" s="18"/>
      <c r="G1362" s="18"/>
      <c r="H1362" s="9" t="s">
        <v>4136</v>
      </c>
      <c r="I1362" s="18"/>
      <c r="J1362" s="18"/>
      <c r="K1362" s="18"/>
      <c r="L1362" s="18"/>
      <c r="M1362" s="18"/>
      <c r="N1362" s="18"/>
    </row>
    <row r="1363" spans="1:14" ht="409.5" x14ac:dyDescent="0.25">
      <c r="A1363" s="9" t="s">
        <v>4139</v>
      </c>
      <c r="B1363" s="9" t="s">
        <v>4140</v>
      </c>
      <c r="C1363" s="9" t="s">
        <v>12</v>
      </c>
      <c r="D1363" s="9" t="s">
        <v>11620</v>
      </c>
      <c r="E1363" s="9"/>
      <c r="F1363" s="9" t="s">
        <v>1165</v>
      </c>
      <c r="G1363" s="9"/>
      <c r="H1363" s="9"/>
      <c r="I1363" s="9" t="s">
        <v>4141</v>
      </c>
      <c r="J1363" s="9"/>
      <c r="K1363" s="9" t="s">
        <v>4139</v>
      </c>
      <c r="L1363" s="9"/>
      <c r="M1363" s="9" t="str">
        <f>HYPERLINK("https://ceds.ed.gov/cedselementdetails.aspx?termid=13600")</f>
        <v>https://ceds.ed.gov/cedselementdetails.aspx?termid=13600</v>
      </c>
      <c r="N1363" s="9" t="str">
        <f>HYPERLINK("https://ceds.ed.gov/elementComment.aspx?elementName=Longitude &amp;elementID=13600", "Click here to submit comment")</f>
        <v>Click here to submit comment</v>
      </c>
    </row>
    <row r="1364" spans="1:14" ht="180" x14ac:dyDescent="0.25">
      <c r="A1364" s="9" t="s">
        <v>4142</v>
      </c>
      <c r="B1364" s="9" t="s">
        <v>4143</v>
      </c>
      <c r="C1364" s="9" t="s">
        <v>6106</v>
      </c>
      <c r="D1364" s="9" t="s">
        <v>2330</v>
      </c>
      <c r="E1364" s="9"/>
      <c r="F1364" s="9"/>
      <c r="G1364" s="9"/>
      <c r="H1364" s="9"/>
      <c r="I1364" s="9" t="s">
        <v>4144</v>
      </c>
      <c r="J1364" s="9"/>
      <c r="K1364" s="9" t="s">
        <v>4145</v>
      </c>
      <c r="L1364" s="9"/>
      <c r="M1364" s="9" t="str">
        <f>HYPERLINK("https://ceds.ed.gov/cedselementdetails.aspx?termid=13758")</f>
        <v>https://ceds.ed.gov/cedselementdetails.aspx?termid=13758</v>
      </c>
      <c r="N1364" s="9" t="str">
        <f>HYPERLINK("https://ceds.ed.gov/elementComment.aspx?elementName=Low-income Status &amp;elementID=13758", "Click here to submit comment")</f>
        <v>Click here to submit comment</v>
      </c>
    </row>
    <row r="1365" spans="1:14" ht="135" x14ac:dyDescent="0.25">
      <c r="A1365" s="9" t="s">
        <v>4146</v>
      </c>
      <c r="B1365" s="9" t="s">
        <v>4147</v>
      </c>
      <c r="C1365" s="10" t="s">
        <v>6609</v>
      </c>
      <c r="D1365" s="9" t="s">
        <v>202</v>
      </c>
      <c r="E1365" s="9"/>
      <c r="F1365" s="9"/>
      <c r="G1365" s="9"/>
      <c r="H1365" s="9"/>
      <c r="I1365" s="9" t="s">
        <v>4148</v>
      </c>
      <c r="J1365" s="9"/>
      <c r="K1365" s="9" t="s">
        <v>4149</v>
      </c>
      <c r="L1365" s="9" t="s">
        <v>6109</v>
      </c>
      <c r="M1365" s="9" t="str">
        <f>HYPERLINK("https://ceds.ed.gov/cedselementdetails.aspx?termid=13181")</f>
        <v>https://ceds.ed.gov/cedselementdetails.aspx?termid=13181</v>
      </c>
      <c r="N1365" s="9" t="str">
        <f>HYPERLINK("https://ceds.ed.gov/elementComment.aspx?elementName=Magnet or Special Program Emphasis School &amp;elementID=13181", "Click here to submit comment")</f>
        <v>Click here to submit comment</v>
      </c>
    </row>
    <row r="1366" spans="1:14" ht="210" x14ac:dyDescent="0.25">
      <c r="A1366" s="9" t="s">
        <v>4150</v>
      </c>
      <c r="B1366" s="9" t="s">
        <v>4151</v>
      </c>
      <c r="C1366" s="9" t="s">
        <v>12</v>
      </c>
      <c r="D1366" s="9" t="s">
        <v>11632</v>
      </c>
      <c r="E1366" s="9"/>
      <c r="F1366" s="9" t="s">
        <v>87</v>
      </c>
      <c r="G1366" s="9"/>
      <c r="H1366" s="9"/>
      <c r="I1366" s="9" t="s">
        <v>4152</v>
      </c>
      <c r="J1366" s="9"/>
      <c r="K1366" s="9" t="s">
        <v>4153</v>
      </c>
      <c r="L1366" s="9" t="s">
        <v>6109</v>
      </c>
      <c r="M1366" s="9" t="str">
        <f>HYPERLINK("https://ceds.ed.gov/cedselementdetails.aspx?termid=13182")</f>
        <v>https://ceds.ed.gov/cedselementdetails.aspx?termid=13182</v>
      </c>
      <c r="N1366" s="9" t="str">
        <f>HYPERLINK("https://ceds.ed.gov/elementComment.aspx?elementName=Marking Period Name &amp;elementID=13182", "Click here to submit comment")</f>
        <v>Click here to submit comment</v>
      </c>
    </row>
    <row r="1367" spans="1:14" ht="165" x14ac:dyDescent="0.25">
      <c r="A1367" s="9" t="s">
        <v>4154</v>
      </c>
      <c r="B1367" s="9" t="s">
        <v>4155</v>
      </c>
      <c r="C1367" s="10" t="s">
        <v>6610</v>
      </c>
      <c r="D1367" s="9" t="s">
        <v>1587</v>
      </c>
      <c r="E1367" s="9"/>
      <c r="F1367" s="9"/>
      <c r="G1367" s="9"/>
      <c r="H1367" s="9"/>
      <c r="I1367" s="9" t="s">
        <v>4156</v>
      </c>
      <c r="J1367" s="9"/>
      <c r="K1367" s="9" t="s">
        <v>4157</v>
      </c>
      <c r="L1367" s="9"/>
      <c r="M1367" s="9" t="str">
        <f>HYPERLINK("https://ceds.ed.gov/cedselementdetails.aspx?termid=14194")</f>
        <v>https://ceds.ed.gov/cedselementdetails.aspx?termid=14194</v>
      </c>
      <c r="N1367" s="9" t="str">
        <f>HYPERLINK("https://ceds.ed.gov/elementComment.aspx?elementName=Maternal Guardian Education &amp;elementID=14194", "Click here to submit comment")</f>
        <v>Click here to submit comment</v>
      </c>
    </row>
    <row r="1368" spans="1:14" ht="60" x14ac:dyDescent="0.25">
      <c r="A1368" s="9" t="s">
        <v>4158</v>
      </c>
      <c r="B1368" s="9" t="s">
        <v>4159</v>
      </c>
      <c r="C1368" s="10" t="s">
        <v>6611</v>
      </c>
      <c r="D1368" s="9" t="s">
        <v>6119</v>
      </c>
      <c r="E1368" s="9"/>
      <c r="F1368" s="9"/>
      <c r="G1368" s="9"/>
      <c r="H1368" s="9"/>
      <c r="I1368" s="9" t="s">
        <v>4160</v>
      </c>
      <c r="J1368" s="9"/>
      <c r="K1368" s="9" t="s">
        <v>4161</v>
      </c>
      <c r="L1368" s="9" t="s">
        <v>1537</v>
      </c>
      <c r="M1368" s="9" t="str">
        <f>HYPERLINK("https://ceds.ed.gov/cedselementdetails.aspx?termid=13429")</f>
        <v>https://ceds.ed.gov/cedselementdetails.aspx?termid=13429</v>
      </c>
      <c r="N1368" s="9" t="str">
        <f>HYPERLINK("https://ceds.ed.gov/elementComment.aspx?elementName=Medical Alert Indicator &amp;elementID=13429", "Click here to submit comment")</f>
        <v>Click here to submit comment</v>
      </c>
    </row>
    <row r="1369" spans="1:14" ht="180" x14ac:dyDescent="0.25">
      <c r="A1369" s="9" t="s">
        <v>4162</v>
      </c>
      <c r="B1369" s="9" t="s">
        <v>4163</v>
      </c>
      <c r="C1369" s="9" t="s">
        <v>6106</v>
      </c>
      <c r="D1369" s="9" t="s">
        <v>33</v>
      </c>
      <c r="E1369" s="9"/>
      <c r="F1369" s="9"/>
      <c r="G1369" s="9"/>
      <c r="H1369" s="9" t="s">
        <v>2759</v>
      </c>
      <c r="I1369" s="9" t="s">
        <v>4164</v>
      </c>
      <c r="J1369" s="9"/>
      <c r="K1369" s="9" t="s">
        <v>4165</v>
      </c>
      <c r="L1369" s="9" t="s">
        <v>37</v>
      </c>
      <c r="M1369" s="9" t="str">
        <f>HYPERLINK("https://ceds.ed.gov/cedselementdetails.aspx?termid=13710")</f>
        <v>https://ceds.ed.gov/cedselementdetails.aspx?termid=13710</v>
      </c>
      <c r="N1369" s="9" t="str">
        <f>HYPERLINK("https://ceds.ed.gov/elementComment.aspx?elementName=Medical School Staff Status &amp;elementID=13710", "Click here to submit comment")</f>
        <v>Click here to submit comment</v>
      </c>
    </row>
    <row r="1370" spans="1:14" ht="60" x14ac:dyDescent="0.25">
      <c r="A1370" s="9" t="s">
        <v>4166</v>
      </c>
      <c r="B1370" s="9" t="s">
        <v>4167</v>
      </c>
      <c r="C1370" s="9" t="s">
        <v>12</v>
      </c>
      <c r="D1370" s="9" t="s">
        <v>4168</v>
      </c>
      <c r="E1370" s="9"/>
      <c r="F1370" s="9" t="s">
        <v>73</v>
      </c>
      <c r="G1370" s="9"/>
      <c r="H1370" s="9"/>
      <c r="I1370" s="9" t="s">
        <v>4169</v>
      </c>
      <c r="J1370" s="9"/>
      <c r="K1370" s="9" t="s">
        <v>4170</v>
      </c>
      <c r="L1370" s="9"/>
      <c r="M1370" s="9" t="str">
        <f>HYPERLINK("https://ceds.ed.gov/cedselementdetails.aspx?termid=14593")</f>
        <v>https://ceds.ed.gov/cedselementdetails.aspx?termid=14593</v>
      </c>
      <c r="N1370" s="9" t="str">
        <f>HYPERLINK("https://ceds.ed.gov/elementComment.aspx?elementName=Memorandum of Understanding End Date &amp;elementID=14593", "Click here to submit comment")</f>
        <v>Click here to submit comment</v>
      </c>
    </row>
    <row r="1371" spans="1:14" ht="60" x14ac:dyDescent="0.25">
      <c r="A1371" s="9" t="s">
        <v>4171</v>
      </c>
      <c r="B1371" s="9" t="s">
        <v>4172</v>
      </c>
      <c r="C1371" s="9" t="s">
        <v>12</v>
      </c>
      <c r="D1371" s="9" t="s">
        <v>4168</v>
      </c>
      <c r="E1371" s="9"/>
      <c r="F1371" s="9" t="s">
        <v>73</v>
      </c>
      <c r="G1371" s="9"/>
      <c r="H1371" s="9"/>
      <c r="I1371" s="9" t="s">
        <v>4173</v>
      </c>
      <c r="J1371" s="9"/>
      <c r="K1371" s="9" t="s">
        <v>4174</v>
      </c>
      <c r="L1371" s="9"/>
      <c r="M1371" s="9" t="str">
        <f>HYPERLINK("https://ceds.ed.gov/cedselementdetails.aspx?termid=14594")</f>
        <v>https://ceds.ed.gov/cedselementdetails.aspx?termid=14594</v>
      </c>
      <c r="N1371" s="9" t="str">
        <f>HYPERLINK("https://ceds.ed.gov/elementComment.aspx?elementName=Memorandum of Understanding Start Date &amp;elementID=14594", "Click here to submit comment")</f>
        <v>Click here to submit comment</v>
      </c>
    </row>
    <row r="1372" spans="1:14" ht="45" x14ac:dyDescent="0.25">
      <c r="A1372" s="9" t="s">
        <v>4175</v>
      </c>
      <c r="B1372" s="9" t="s">
        <v>4176</v>
      </c>
      <c r="C1372" s="10" t="s">
        <v>6612</v>
      </c>
      <c r="D1372" s="9" t="s">
        <v>3196</v>
      </c>
      <c r="E1372" s="9"/>
      <c r="F1372" s="9" t="s">
        <v>92</v>
      </c>
      <c r="G1372" s="9"/>
      <c r="H1372" s="9"/>
      <c r="I1372" s="9" t="s">
        <v>4177</v>
      </c>
      <c r="J1372" s="9"/>
      <c r="K1372" s="9" t="s">
        <v>4178</v>
      </c>
      <c r="L1372" s="9"/>
      <c r="M1372" s="9" t="str">
        <f>HYPERLINK("https://ceds.ed.gov/cedselementdetails.aspx?termid=14482")</f>
        <v>https://ceds.ed.gov/cedselementdetails.aspx?termid=14482</v>
      </c>
      <c r="N1372" s="9" t="str">
        <f>HYPERLINK("https://ceds.ed.gov/elementComment.aspx?elementName=Method of Service Delivery &amp;elementID=14482", "Click here to submit comment")</f>
        <v>Click here to submit comment</v>
      </c>
    </row>
    <row r="1373" spans="1:14" ht="210" x14ac:dyDescent="0.25">
      <c r="A1373" s="9" t="s">
        <v>4179</v>
      </c>
      <c r="B1373" s="9" t="s">
        <v>4180</v>
      </c>
      <c r="C1373" s="9" t="s">
        <v>12</v>
      </c>
      <c r="D1373" s="9" t="s">
        <v>11632</v>
      </c>
      <c r="E1373" s="9"/>
      <c r="F1373" s="9" t="s">
        <v>1900</v>
      </c>
      <c r="G1373" s="9"/>
      <c r="H1373" s="9"/>
      <c r="I1373" s="9" t="s">
        <v>4181</v>
      </c>
      <c r="J1373" s="9"/>
      <c r="K1373" s="9" t="s">
        <v>4182</v>
      </c>
      <c r="L1373" s="9" t="s">
        <v>6109</v>
      </c>
      <c r="M1373" s="9" t="str">
        <f>HYPERLINK("https://ceds.ed.gov/cedselementdetails.aspx?termid=13183")</f>
        <v>https://ceds.ed.gov/cedselementdetails.aspx?termid=13183</v>
      </c>
      <c r="N1373" s="9" t="str">
        <f>HYPERLINK("https://ceds.ed.gov/elementComment.aspx?elementName=Mid Term Mark &amp;elementID=13183", "Click here to submit comment")</f>
        <v>Click here to submit comment</v>
      </c>
    </row>
    <row r="1374" spans="1:14" x14ac:dyDescent="0.25">
      <c r="A1374" s="18" t="s">
        <v>4183</v>
      </c>
      <c r="B1374" s="18" t="s">
        <v>4184</v>
      </c>
      <c r="C1374" s="18" t="s">
        <v>12</v>
      </c>
      <c r="D1374" s="18" t="s">
        <v>11633</v>
      </c>
      <c r="E1374" s="18"/>
      <c r="F1374" s="18" t="s">
        <v>1310</v>
      </c>
      <c r="G1374" s="18"/>
      <c r="H1374" s="9" t="s">
        <v>2996</v>
      </c>
      <c r="I1374" s="18" t="s">
        <v>4185</v>
      </c>
      <c r="J1374" s="18"/>
      <c r="K1374" s="18" t="s">
        <v>4186</v>
      </c>
      <c r="L1374" s="18" t="s">
        <v>6211</v>
      </c>
      <c r="M1374" s="18" t="str">
        <f>HYPERLINK("https://ceds.ed.gov/cedselementdetails.aspx?termid=13184")</f>
        <v>https://ceds.ed.gov/cedselementdetails.aspx?termid=13184</v>
      </c>
      <c r="N1374" s="18" t="str">
        <f>HYPERLINK("https://ceds.ed.gov/elementComment.aspx?elementName=Middle Name &amp;elementID=13184", "Click here to submit comment")</f>
        <v>Click here to submit comment</v>
      </c>
    </row>
    <row r="1375" spans="1:14" ht="90" x14ac:dyDescent="0.25">
      <c r="A1375" s="18"/>
      <c r="B1375" s="18"/>
      <c r="C1375" s="18"/>
      <c r="D1375" s="18"/>
      <c r="E1375" s="18"/>
      <c r="F1375" s="18"/>
      <c r="G1375" s="18"/>
      <c r="H1375" s="9" t="s">
        <v>2997</v>
      </c>
      <c r="I1375" s="18"/>
      <c r="J1375" s="18"/>
      <c r="K1375" s="18"/>
      <c r="L1375" s="18"/>
      <c r="M1375" s="18"/>
      <c r="N1375" s="18"/>
    </row>
    <row r="1376" spans="1:14" ht="75" x14ac:dyDescent="0.25">
      <c r="A1376" s="9" t="s">
        <v>4187</v>
      </c>
      <c r="B1376" s="9" t="s">
        <v>4188</v>
      </c>
      <c r="C1376" s="9" t="s">
        <v>6106</v>
      </c>
      <c r="D1376" s="9" t="s">
        <v>1846</v>
      </c>
      <c r="E1376" s="9"/>
      <c r="F1376" s="9"/>
      <c r="G1376" s="9"/>
      <c r="H1376" s="9"/>
      <c r="I1376" s="9" t="s">
        <v>4189</v>
      </c>
      <c r="J1376" s="9" t="s">
        <v>4190</v>
      </c>
      <c r="K1376" s="9" t="s">
        <v>4191</v>
      </c>
      <c r="L1376" s="9" t="s">
        <v>199</v>
      </c>
      <c r="M1376" s="9" t="str">
        <f>HYPERLINK("https://ceds.ed.gov/cedselementdetails.aspx?termid=13555")</f>
        <v>https://ceds.ed.gov/cedselementdetails.aspx?termid=13555</v>
      </c>
      <c r="N1376" s="9" t="str">
        <f>HYPERLINK("https://ceds.ed.gov/elementComment.aspx?elementName=Migrant Education Program Continuation of Services Status &amp;elementID=13555", "Click here to submit comment")</f>
        <v>Click here to submit comment</v>
      </c>
    </row>
    <row r="1377" spans="1:14" ht="120" x14ac:dyDescent="0.25">
      <c r="A1377" s="9" t="s">
        <v>4192</v>
      </c>
      <c r="B1377" s="9" t="s">
        <v>4193</v>
      </c>
      <c r="C1377" s="9" t="s">
        <v>12</v>
      </c>
      <c r="D1377" s="9" t="s">
        <v>1846</v>
      </c>
      <c r="E1377" s="9"/>
      <c r="F1377" s="9" t="s">
        <v>73</v>
      </c>
      <c r="G1377" s="9"/>
      <c r="H1377" s="9"/>
      <c r="I1377" s="9" t="s">
        <v>4194</v>
      </c>
      <c r="J1377" s="9" t="s">
        <v>4195</v>
      </c>
      <c r="K1377" s="9" t="s">
        <v>4196</v>
      </c>
      <c r="L1377" s="9" t="s">
        <v>1537</v>
      </c>
      <c r="M1377" s="9" t="str">
        <f>HYPERLINK("https://ceds.ed.gov/cedselementdetails.aspx?termid=13420")</f>
        <v>https://ceds.ed.gov/cedselementdetails.aspx?termid=13420</v>
      </c>
      <c r="N1377" s="9" t="str">
        <f>HYPERLINK("https://ceds.ed.gov/elementComment.aspx?elementName=Migrant Education Program Eligibility Expiration Date &amp;elementID=13420", "Click here to submit comment")</f>
        <v>Click here to submit comment</v>
      </c>
    </row>
    <row r="1378" spans="1:14" ht="150" x14ac:dyDescent="0.25">
      <c r="A1378" s="9" t="s">
        <v>4197</v>
      </c>
      <c r="B1378" s="9" t="s">
        <v>4198</v>
      </c>
      <c r="C1378" s="10" t="s">
        <v>6613</v>
      </c>
      <c r="D1378" s="9" t="s">
        <v>1846</v>
      </c>
      <c r="E1378" s="9"/>
      <c r="F1378" s="9"/>
      <c r="G1378" s="9"/>
      <c r="H1378" s="9"/>
      <c r="I1378" s="9" t="s">
        <v>4199</v>
      </c>
      <c r="J1378" s="9" t="s">
        <v>4200</v>
      </c>
      <c r="K1378" s="9" t="s">
        <v>4201</v>
      </c>
      <c r="L1378" s="9" t="s">
        <v>1537</v>
      </c>
      <c r="M1378" s="9" t="str">
        <f>HYPERLINK("https://ceds.ed.gov/cedselementdetails.aspx?termid=13427")</f>
        <v>https://ceds.ed.gov/cedselementdetails.aspx?termid=13427</v>
      </c>
      <c r="N1378" s="9" t="str">
        <f>HYPERLINK("https://ceds.ed.gov/elementComment.aspx?elementName=Migrant Education Program Enrollment Type &amp;elementID=13427", "Click here to submit comment")</f>
        <v>Click here to submit comment</v>
      </c>
    </row>
    <row r="1379" spans="1:14" ht="45" x14ac:dyDescent="0.25">
      <c r="A1379" s="9" t="s">
        <v>4202</v>
      </c>
      <c r="B1379" s="9" t="s">
        <v>4203</v>
      </c>
      <c r="C1379" s="9" t="s">
        <v>6106</v>
      </c>
      <c r="D1379" s="9" t="s">
        <v>1846</v>
      </c>
      <c r="E1379" s="9"/>
      <c r="F1379" s="9"/>
      <c r="G1379" s="9"/>
      <c r="H1379" s="9"/>
      <c r="I1379" s="9" t="s">
        <v>4204</v>
      </c>
      <c r="J1379" s="9" t="s">
        <v>4205</v>
      </c>
      <c r="K1379" s="9" t="s">
        <v>4206</v>
      </c>
      <c r="L1379" s="9" t="s">
        <v>199</v>
      </c>
      <c r="M1379" s="9" t="str">
        <f>HYPERLINK("https://ceds.ed.gov/cedselementdetails.aspx?termid=13185")</f>
        <v>https://ceds.ed.gov/cedselementdetails.aspx?termid=13185</v>
      </c>
      <c r="N1379" s="9" t="str">
        <f>HYPERLINK("https://ceds.ed.gov/elementComment.aspx?elementName=Migrant Education Program Participation Status &amp;elementID=13185", "Click here to submit comment")</f>
        <v>Click here to submit comment</v>
      </c>
    </row>
    <row r="1380" spans="1:14" ht="60" x14ac:dyDescent="0.25">
      <c r="A1380" s="9" t="s">
        <v>4207</v>
      </c>
      <c r="B1380" s="9" t="s">
        <v>4208</v>
      </c>
      <c r="C1380" s="9" t="s">
        <v>6106</v>
      </c>
      <c r="D1380" s="9" t="s">
        <v>1855</v>
      </c>
      <c r="E1380" s="9"/>
      <c r="F1380" s="9"/>
      <c r="G1380" s="9"/>
      <c r="H1380" s="9"/>
      <c r="I1380" s="9" t="s">
        <v>4209</v>
      </c>
      <c r="J1380" s="9" t="s">
        <v>4210</v>
      </c>
      <c r="K1380" s="9" t="s">
        <v>4211</v>
      </c>
      <c r="L1380" s="9" t="s">
        <v>199</v>
      </c>
      <c r="M1380" s="9" t="str">
        <f>HYPERLINK("https://ceds.ed.gov/cedselementdetails.aspx?termid=13534")</f>
        <v>https://ceds.ed.gov/cedselementdetails.aspx?termid=13534</v>
      </c>
      <c r="N1380" s="9" t="str">
        <f>HYPERLINK("https://ceds.ed.gov/elementComment.aspx?elementName=Migrant Education Program Personnel Indicator &amp;elementID=13534", "Click here to submit comment")</f>
        <v>Click here to submit comment</v>
      </c>
    </row>
    <row r="1381" spans="1:14" ht="75" x14ac:dyDescent="0.25">
      <c r="A1381" s="9" t="s">
        <v>4212</v>
      </c>
      <c r="B1381" s="9" t="s">
        <v>4213</v>
      </c>
      <c r="C1381" s="10" t="s">
        <v>6614</v>
      </c>
      <c r="D1381" s="9" t="s">
        <v>1846</v>
      </c>
      <c r="E1381" s="9"/>
      <c r="F1381" s="9"/>
      <c r="G1381" s="9"/>
      <c r="H1381" s="9"/>
      <c r="I1381" s="9" t="s">
        <v>4214</v>
      </c>
      <c r="J1381" s="9" t="s">
        <v>4215</v>
      </c>
      <c r="K1381" s="9" t="s">
        <v>4216</v>
      </c>
      <c r="L1381" s="9" t="s">
        <v>1537</v>
      </c>
      <c r="M1381" s="9" t="str">
        <f>HYPERLINK("https://ceds.ed.gov/cedselementdetails.aspx?termid=13430")</f>
        <v>https://ceds.ed.gov/cedselementdetails.aspx?termid=13430</v>
      </c>
      <c r="N1381" s="9" t="str">
        <f>HYPERLINK("https://ceds.ed.gov/elementComment.aspx?elementName=Migrant Education Program Project Based &amp;elementID=13430", "Click here to submit comment")</f>
        <v>Click here to submit comment</v>
      </c>
    </row>
    <row r="1382" spans="1:14" ht="120" x14ac:dyDescent="0.25">
      <c r="A1382" s="9" t="s">
        <v>4217</v>
      </c>
      <c r="B1382" s="9" t="s">
        <v>4218</v>
      </c>
      <c r="C1382" s="10" t="s">
        <v>6615</v>
      </c>
      <c r="D1382" s="9" t="s">
        <v>3578</v>
      </c>
      <c r="E1382" s="9"/>
      <c r="F1382" s="9"/>
      <c r="G1382" s="9"/>
      <c r="H1382" s="9"/>
      <c r="I1382" s="9" t="s">
        <v>4219</v>
      </c>
      <c r="J1382" s="9" t="s">
        <v>4220</v>
      </c>
      <c r="K1382" s="9" t="s">
        <v>4221</v>
      </c>
      <c r="L1382" s="9" t="s">
        <v>188</v>
      </c>
      <c r="M1382" s="9" t="str">
        <f>HYPERLINK("https://ceds.ed.gov/cedselementdetails.aspx?termid=13453")</f>
        <v>https://ceds.ed.gov/cedselementdetails.aspx?termid=13453</v>
      </c>
      <c r="N1382" s="9" t="str">
        <f>HYPERLINK("https://ceds.ed.gov/elementComment.aspx?elementName=Migrant Education Program Project Type &amp;elementID=13453", "Click here to submit comment")</f>
        <v>Click here to submit comment</v>
      </c>
    </row>
    <row r="1383" spans="1:14" ht="195" x14ac:dyDescent="0.25">
      <c r="A1383" s="9" t="s">
        <v>4222</v>
      </c>
      <c r="B1383" s="9" t="s">
        <v>4223</v>
      </c>
      <c r="C1383" s="10" t="s">
        <v>6616</v>
      </c>
      <c r="D1383" s="9" t="s">
        <v>1846</v>
      </c>
      <c r="E1383" s="9"/>
      <c r="F1383" s="9"/>
      <c r="G1383" s="9"/>
      <c r="H1383" s="9"/>
      <c r="I1383" s="9" t="s">
        <v>4224</v>
      </c>
      <c r="J1383" s="9" t="s">
        <v>4225</v>
      </c>
      <c r="K1383" s="9" t="s">
        <v>4226</v>
      </c>
      <c r="L1383" s="9" t="s">
        <v>199</v>
      </c>
      <c r="M1383" s="9" t="str">
        <f>HYPERLINK("https://ceds.ed.gov/cedselementdetails.aspx?termid=13186")</f>
        <v>https://ceds.ed.gov/cedselementdetails.aspx?termid=13186</v>
      </c>
      <c r="N1383" s="9" t="str">
        <f>HYPERLINK("https://ceds.ed.gov/elementComment.aspx?elementName=Migrant Education Program Services Type &amp;elementID=13186", "Click here to submit comment")</f>
        <v>Click here to submit comment</v>
      </c>
    </row>
    <row r="1384" spans="1:14" ht="75" x14ac:dyDescent="0.25">
      <c r="A1384" s="9" t="s">
        <v>4227</v>
      </c>
      <c r="B1384" s="9" t="s">
        <v>4228</v>
      </c>
      <c r="C1384" s="10" t="s">
        <v>6617</v>
      </c>
      <c r="D1384" s="9" t="s">
        <v>3578</v>
      </c>
      <c r="E1384" s="9"/>
      <c r="F1384" s="9"/>
      <c r="G1384" s="9"/>
      <c r="H1384" s="9"/>
      <c r="I1384" s="9" t="s">
        <v>4229</v>
      </c>
      <c r="J1384" s="9" t="s">
        <v>4230</v>
      </c>
      <c r="K1384" s="9" t="s">
        <v>4231</v>
      </c>
      <c r="L1384" s="9" t="s">
        <v>199</v>
      </c>
      <c r="M1384" s="9" t="str">
        <f>HYPERLINK("https://ceds.ed.gov/cedselementdetails.aspx?termid=13187")</f>
        <v>https://ceds.ed.gov/cedselementdetails.aspx?termid=13187</v>
      </c>
      <c r="N1384" s="9" t="str">
        <f>HYPERLINK("https://ceds.ed.gov/elementComment.aspx?elementName=Migrant Education Program Session Type &amp;elementID=13187", "Click here to submit comment")</f>
        <v>Click here to submit comment</v>
      </c>
    </row>
    <row r="1385" spans="1:14" ht="120" x14ac:dyDescent="0.25">
      <c r="A1385" s="9" t="s">
        <v>4232</v>
      </c>
      <c r="B1385" s="9" t="s">
        <v>4233</v>
      </c>
      <c r="C1385" s="10" t="s">
        <v>6618</v>
      </c>
      <c r="D1385" s="9" t="s">
        <v>3564</v>
      </c>
      <c r="E1385" s="9"/>
      <c r="F1385" s="9"/>
      <c r="G1385" s="9"/>
      <c r="H1385" s="9" t="s">
        <v>4234</v>
      </c>
      <c r="I1385" s="9" t="s">
        <v>4235</v>
      </c>
      <c r="J1385" s="9" t="s">
        <v>4236</v>
      </c>
      <c r="K1385" s="9" t="s">
        <v>4237</v>
      </c>
      <c r="L1385" s="9" t="s">
        <v>199</v>
      </c>
      <c r="M1385" s="9" t="str">
        <f>HYPERLINK("https://ceds.ed.gov/cedselementdetails.aspx?termid=13188")</f>
        <v>https://ceds.ed.gov/cedselementdetails.aspx?termid=13188</v>
      </c>
      <c r="N1385" s="9" t="str">
        <f>HYPERLINK("https://ceds.ed.gov/elementComment.aspx?elementName=Migrant Education Program Staff Category &amp;elementID=13188", "Click here to submit comment")</f>
        <v>Click here to submit comment</v>
      </c>
    </row>
    <row r="1386" spans="1:14" ht="120" x14ac:dyDescent="0.25">
      <c r="A1386" s="9" t="s">
        <v>4238</v>
      </c>
      <c r="B1386" s="9" t="s">
        <v>4239</v>
      </c>
      <c r="C1386" s="9" t="s">
        <v>6106</v>
      </c>
      <c r="D1386" s="9" t="s">
        <v>1846</v>
      </c>
      <c r="E1386" s="9"/>
      <c r="F1386" s="9"/>
      <c r="G1386" s="9"/>
      <c r="H1386" s="9"/>
      <c r="I1386" s="9" t="s">
        <v>4240</v>
      </c>
      <c r="J1386" s="9"/>
      <c r="K1386" s="9" t="s">
        <v>4241</v>
      </c>
      <c r="L1386" s="9" t="s">
        <v>199</v>
      </c>
      <c r="M1386" s="9" t="str">
        <f>HYPERLINK("https://ceds.ed.gov/cedselementdetails.aspx?termid=13554")</f>
        <v>https://ceds.ed.gov/cedselementdetails.aspx?termid=13554</v>
      </c>
      <c r="N1386" s="9" t="str">
        <f>HYPERLINK("https://ceds.ed.gov/elementComment.aspx?elementName=Migrant Prioritized for Services &amp;elementID=13554", "Click here to submit comment")</f>
        <v>Click here to submit comment</v>
      </c>
    </row>
    <row r="1387" spans="1:14" ht="270" x14ac:dyDescent="0.25">
      <c r="A1387" s="9" t="s">
        <v>4242</v>
      </c>
      <c r="B1387" s="9" t="s">
        <v>4243</v>
      </c>
      <c r="C1387" s="9" t="s">
        <v>6106</v>
      </c>
      <c r="D1387" s="9" t="s">
        <v>6242</v>
      </c>
      <c r="E1387" s="9"/>
      <c r="F1387" s="9"/>
      <c r="G1387" s="9"/>
      <c r="H1387" s="9"/>
      <c r="I1387" s="9" t="s">
        <v>4244</v>
      </c>
      <c r="J1387" s="9"/>
      <c r="K1387" s="9" t="s">
        <v>4245</v>
      </c>
      <c r="L1387" s="9" t="s">
        <v>6155</v>
      </c>
      <c r="M1387" s="9" t="str">
        <f>HYPERLINK("https://ceds.ed.gov/cedselementdetails.aspx?termid=13189")</f>
        <v>https://ceds.ed.gov/cedselementdetails.aspx?termid=13189</v>
      </c>
      <c r="N1387" s="9" t="str">
        <f>HYPERLINK("https://ceds.ed.gov/elementComment.aspx?elementName=Migrant Status &amp;elementID=13189", "Click here to submit comment")</f>
        <v>Click here to submit comment</v>
      </c>
    </row>
    <row r="1388" spans="1:14" ht="195" x14ac:dyDescent="0.25">
      <c r="A1388" s="9" t="s">
        <v>4246</v>
      </c>
      <c r="B1388" s="9" t="s">
        <v>4247</v>
      </c>
      <c r="C1388" s="9" t="s">
        <v>12</v>
      </c>
      <c r="D1388" s="9" t="s">
        <v>1846</v>
      </c>
      <c r="E1388" s="9"/>
      <c r="F1388" s="9" t="s">
        <v>73</v>
      </c>
      <c r="G1388" s="9"/>
      <c r="H1388" s="9"/>
      <c r="I1388" s="9" t="s">
        <v>4248</v>
      </c>
      <c r="J1388" s="9"/>
      <c r="K1388" s="9" t="s">
        <v>4249</v>
      </c>
      <c r="L1388" s="9" t="s">
        <v>1537</v>
      </c>
      <c r="M1388" s="9" t="str">
        <f>HYPERLINK("https://ceds.ed.gov/cedselementdetails.aspx?termid=13422")</f>
        <v>https://ceds.ed.gov/cedselementdetails.aspx?termid=13422</v>
      </c>
      <c r="N1388" s="9" t="str">
        <f>HYPERLINK("https://ceds.ed.gov/elementComment.aspx?elementName=Migrant Student Qualifying Arrival Date &amp;elementID=13422", "Click here to submit comment")</f>
        <v>Click here to submit comment</v>
      </c>
    </row>
    <row r="1389" spans="1:14" ht="120" x14ac:dyDescent="0.25">
      <c r="A1389" s="9" t="s">
        <v>4250</v>
      </c>
      <c r="B1389" s="9" t="s">
        <v>4251</v>
      </c>
      <c r="C1389" s="10" t="s">
        <v>6619</v>
      </c>
      <c r="D1389" s="9" t="s">
        <v>6243</v>
      </c>
      <c r="E1389" s="9"/>
      <c r="F1389" s="9"/>
      <c r="G1389" s="9"/>
      <c r="H1389" s="9"/>
      <c r="I1389" s="9" t="s">
        <v>4252</v>
      </c>
      <c r="J1389" s="9"/>
      <c r="K1389" s="9" t="s">
        <v>4253</v>
      </c>
      <c r="L1389" s="9"/>
      <c r="M1389" s="9" t="str">
        <f>HYPERLINK("https://ceds.ed.gov/cedselementdetails.aspx?termid=14556")</f>
        <v>https://ceds.ed.gov/cedselementdetails.aspx?termid=14556</v>
      </c>
      <c r="N1389" s="9" t="str">
        <f>HYPERLINK("https://ceds.ed.gov/elementComment.aspx?elementName=Military Active Student Indicator &amp;elementID=14556", "Click here to submit comment")</f>
        <v>Click here to submit comment</v>
      </c>
    </row>
    <row r="1390" spans="1:14" ht="150" x14ac:dyDescent="0.25">
      <c r="A1390" s="9" t="s">
        <v>4254</v>
      </c>
      <c r="B1390" s="9" t="s">
        <v>4255</v>
      </c>
      <c r="C1390" s="10" t="s">
        <v>6620</v>
      </c>
      <c r="D1390" s="9" t="s">
        <v>6244</v>
      </c>
      <c r="E1390" s="9"/>
      <c r="F1390" s="9"/>
      <c r="G1390" s="9"/>
      <c r="H1390" s="9"/>
      <c r="I1390" s="9" t="s">
        <v>4256</v>
      </c>
      <c r="J1390" s="9"/>
      <c r="K1390" s="9" t="s">
        <v>4257</v>
      </c>
      <c r="L1390" s="9"/>
      <c r="M1390" s="9" t="str">
        <f>HYPERLINK("https://ceds.ed.gov/cedselementdetails.aspx?termid=14621")</f>
        <v>https://ceds.ed.gov/cedselementdetails.aspx?termid=14621</v>
      </c>
      <c r="N1390" s="9" t="str">
        <f>HYPERLINK("https://ceds.ed.gov/elementComment.aspx?elementName=Military Branch &amp;elementID=14621", "Click here to submit comment")</f>
        <v>Click here to submit comment</v>
      </c>
    </row>
    <row r="1391" spans="1:14" ht="105" x14ac:dyDescent="0.25">
      <c r="A1391" s="9" t="s">
        <v>4258</v>
      </c>
      <c r="B1391" s="9" t="s">
        <v>4259</v>
      </c>
      <c r="C1391" s="10" t="s">
        <v>6621</v>
      </c>
      <c r="D1391" s="9" t="s">
        <v>1754</v>
      </c>
      <c r="E1391" s="15" t="s">
        <v>91</v>
      </c>
      <c r="F1391" s="15"/>
      <c r="G1391" s="17" t="s">
        <v>12223</v>
      </c>
      <c r="H1391" s="9"/>
      <c r="I1391" s="9" t="s">
        <v>4260</v>
      </c>
      <c r="J1391" s="9"/>
      <c r="K1391" s="9" t="s">
        <v>4261</v>
      </c>
      <c r="L1391" s="9"/>
      <c r="M1391" s="9" t="str">
        <f>HYPERLINK("https://ceds.ed.gov/cedselementdetails.aspx?termid=14555")</f>
        <v>https://ceds.ed.gov/cedselementdetails.aspx?termid=14555</v>
      </c>
      <c r="N1391" s="9" t="str">
        <f>HYPERLINK("https://ceds.ed.gov/elementComment.aspx?elementName=Military Connected Student Indicator &amp;elementID=14555", "Click here to submit comment")</f>
        <v>Click here to submit comment</v>
      </c>
    </row>
    <row r="1392" spans="1:14" ht="210" x14ac:dyDescent="0.25">
      <c r="A1392" s="9" t="s">
        <v>4262</v>
      </c>
      <c r="B1392" s="9" t="s">
        <v>4263</v>
      </c>
      <c r="C1392" s="9" t="s">
        <v>6106</v>
      </c>
      <c r="D1392" s="9" t="s">
        <v>2618</v>
      </c>
      <c r="E1392" s="9"/>
      <c r="F1392" s="9"/>
      <c r="G1392" s="9"/>
      <c r="H1392" s="9" t="s">
        <v>4264</v>
      </c>
      <c r="I1392" s="9" t="s">
        <v>4265</v>
      </c>
      <c r="J1392" s="9"/>
      <c r="K1392" s="9" t="s">
        <v>4266</v>
      </c>
      <c r="L1392" s="9"/>
      <c r="M1392" s="9" t="str">
        <f>HYPERLINK("https://ceds.ed.gov/cedselementdetails.aspx?termid=14381")</f>
        <v>https://ceds.ed.gov/cedselementdetails.aspx?termid=14381</v>
      </c>
      <c r="N1392" s="9" t="str">
        <f>HYPERLINK("https://ceds.ed.gov/elementComment.aspx?elementName=Military Enlistment After Exit &amp;elementID=14381", "Click here to submit comment")</f>
        <v>Click here to submit comment</v>
      </c>
    </row>
    <row r="1393" spans="1:14" ht="120" x14ac:dyDescent="0.25">
      <c r="A1393" s="9" t="s">
        <v>4267</v>
      </c>
      <c r="B1393" s="9" t="s">
        <v>4268</v>
      </c>
      <c r="C1393" s="10" t="s">
        <v>6622</v>
      </c>
      <c r="D1393" s="9" t="s">
        <v>6243</v>
      </c>
      <c r="E1393" s="9"/>
      <c r="F1393" s="9"/>
      <c r="G1393" s="9"/>
      <c r="H1393" s="9"/>
      <c r="I1393" s="9" t="s">
        <v>4269</v>
      </c>
      <c r="J1393" s="9"/>
      <c r="K1393" s="9" t="s">
        <v>4270</v>
      </c>
      <c r="L1393" s="9"/>
      <c r="M1393" s="9" t="str">
        <f>HYPERLINK("https://ceds.ed.gov/cedselementdetails.aspx?termid=14557")</f>
        <v>https://ceds.ed.gov/cedselementdetails.aspx?termid=14557</v>
      </c>
      <c r="N1393" s="9" t="str">
        <f>HYPERLINK("https://ceds.ed.gov/elementComment.aspx?elementName=Military Veteran Student Indicator &amp;elementID=14557", "Click here to submit comment")</f>
        <v>Click here to submit comment</v>
      </c>
    </row>
    <row r="1394" spans="1:14" ht="45" x14ac:dyDescent="0.25">
      <c r="A1394" s="9" t="s">
        <v>4271</v>
      </c>
      <c r="B1394" s="9" t="s">
        <v>4272</v>
      </c>
      <c r="C1394" s="9" t="s">
        <v>12</v>
      </c>
      <c r="D1394" s="9" t="s">
        <v>2192</v>
      </c>
      <c r="E1394" s="9"/>
      <c r="F1394" s="9" t="s">
        <v>10489</v>
      </c>
      <c r="G1394" s="9"/>
      <c r="H1394" s="9"/>
      <c r="I1394" s="9" t="s">
        <v>4273</v>
      </c>
      <c r="J1394" s="9"/>
      <c r="K1394" s="9" t="s">
        <v>4274</v>
      </c>
      <c r="L1394" s="9"/>
      <c r="M1394" s="9" t="str">
        <f>HYPERLINK("https://ceds.ed.gov/cedselementdetails.aspx?termid=13491")</f>
        <v>https://ceds.ed.gov/cedselementdetails.aspx?termid=13491</v>
      </c>
      <c r="N1394" s="9" t="str">
        <f>HYPERLINK("https://ceds.ed.gov/elementComment.aspx?elementName=Minutes Per Day &amp;elementID=13491", "Click here to submit comment")</f>
        <v>Click here to submit comment</v>
      </c>
    </row>
    <row r="1395" spans="1:14" ht="45" x14ac:dyDescent="0.25">
      <c r="A1395" s="9" t="s">
        <v>4275</v>
      </c>
      <c r="B1395" s="9" t="s">
        <v>4276</v>
      </c>
      <c r="C1395" s="9" t="s">
        <v>12</v>
      </c>
      <c r="D1395" s="9" t="s">
        <v>4277</v>
      </c>
      <c r="E1395" s="9"/>
      <c r="F1395" s="9" t="s">
        <v>73</v>
      </c>
      <c r="G1395" s="9"/>
      <c r="H1395" s="9"/>
      <c r="I1395" s="9" t="s">
        <v>4278</v>
      </c>
      <c r="J1395" s="9"/>
      <c r="K1395" s="9" t="s">
        <v>4279</v>
      </c>
      <c r="L1395" s="9"/>
      <c r="M1395" s="9" t="str">
        <f>HYPERLINK("https://ceds.ed.gov/cedselementdetails.aspx?termid=14298")</f>
        <v>https://ceds.ed.gov/cedselementdetails.aspx?termid=14298</v>
      </c>
      <c r="N1395" s="9" t="str">
        <f>HYPERLINK("https://ceds.ed.gov/elementComment.aspx?elementName=Monitoring Visit End Date &amp;elementID=14298", "Click here to submit comment")</f>
        <v>Click here to submit comment</v>
      </c>
    </row>
    <row r="1396" spans="1:14" ht="45" x14ac:dyDescent="0.25">
      <c r="A1396" s="9" t="s">
        <v>4280</v>
      </c>
      <c r="B1396" s="9" t="s">
        <v>4281</v>
      </c>
      <c r="C1396" s="9" t="s">
        <v>12</v>
      </c>
      <c r="D1396" s="9" t="s">
        <v>4277</v>
      </c>
      <c r="E1396" s="9"/>
      <c r="F1396" s="9" t="s">
        <v>73</v>
      </c>
      <c r="G1396" s="9"/>
      <c r="H1396" s="9"/>
      <c r="I1396" s="9" t="s">
        <v>4282</v>
      </c>
      <c r="J1396" s="9"/>
      <c r="K1396" s="9" t="s">
        <v>4283</v>
      </c>
      <c r="L1396" s="9"/>
      <c r="M1396" s="9" t="str">
        <f>HYPERLINK("https://ceds.ed.gov/cedselementdetails.aspx?termid=14297")</f>
        <v>https://ceds.ed.gov/cedselementdetails.aspx?termid=14297</v>
      </c>
      <c r="N1396" s="9" t="str">
        <f>HYPERLINK("https://ceds.ed.gov/elementComment.aspx?elementName=Monitoring Visit Start Date &amp;elementID=14297", "Click here to submit comment")</f>
        <v>Click here to submit comment</v>
      </c>
    </row>
    <row r="1397" spans="1:14" ht="45" x14ac:dyDescent="0.25">
      <c r="A1397" s="9" t="s">
        <v>4284</v>
      </c>
      <c r="B1397" s="9" t="s">
        <v>4285</v>
      </c>
      <c r="C1397" s="9" t="s">
        <v>6106</v>
      </c>
      <c r="D1397" s="9" t="s">
        <v>1846</v>
      </c>
      <c r="E1397" s="9"/>
      <c r="F1397" s="9"/>
      <c r="G1397" s="9"/>
      <c r="H1397" s="9"/>
      <c r="I1397" s="9" t="s">
        <v>4286</v>
      </c>
      <c r="J1397" s="9"/>
      <c r="K1397" s="9" t="s">
        <v>4287</v>
      </c>
      <c r="L1397" s="9" t="s">
        <v>1537</v>
      </c>
      <c r="M1397" s="9" t="str">
        <f>HYPERLINK("https://ceds.ed.gov/cedselementdetails.aspx?termid=13421")</f>
        <v>https://ceds.ed.gov/cedselementdetails.aspx?termid=13421</v>
      </c>
      <c r="N1397" s="9" t="str">
        <f>HYPERLINK("https://ceds.ed.gov/elementComment.aspx?elementName=Multiple Birth Indicator &amp;elementID=13421", "Click here to submit comment")</f>
        <v>Click here to submit comment</v>
      </c>
    </row>
    <row r="1398" spans="1:14" ht="105" x14ac:dyDescent="0.25">
      <c r="A1398" s="9" t="s">
        <v>4288</v>
      </c>
      <c r="B1398" s="9" t="s">
        <v>4289</v>
      </c>
      <c r="C1398" s="10" t="s">
        <v>6623</v>
      </c>
      <c r="D1398" s="9" t="s">
        <v>615</v>
      </c>
      <c r="E1398" s="9"/>
      <c r="F1398" s="9"/>
      <c r="G1398" s="9"/>
      <c r="H1398" s="9"/>
      <c r="I1398" s="9" t="s">
        <v>4290</v>
      </c>
      <c r="J1398" s="9"/>
      <c r="K1398" s="9" t="s">
        <v>4291</v>
      </c>
      <c r="L1398" s="9"/>
      <c r="M1398" s="9" t="str">
        <f>HYPERLINK("https://ceds.ed.gov/cedselementdetails.aspx?termid=14166")</f>
        <v>https://ceds.ed.gov/cedselementdetails.aspx?termid=14166</v>
      </c>
      <c r="N1398" s="9" t="str">
        <f>HYPERLINK("https://ceds.ed.gov/elementComment.aspx?elementName=NAEP Aspects of Reading &amp;elementID=14166", "Click here to submit comment")</f>
        <v>Click here to submit comment</v>
      </c>
    </row>
    <row r="1399" spans="1:14" ht="75" x14ac:dyDescent="0.25">
      <c r="A1399" s="9" t="s">
        <v>4292</v>
      </c>
      <c r="B1399" s="9" t="s">
        <v>4293</v>
      </c>
      <c r="C1399" s="10" t="s">
        <v>6624</v>
      </c>
      <c r="D1399" s="9" t="s">
        <v>615</v>
      </c>
      <c r="E1399" s="9"/>
      <c r="F1399" s="9"/>
      <c r="G1399" s="9"/>
      <c r="H1399" s="9"/>
      <c r="I1399" s="9" t="s">
        <v>4294</v>
      </c>
      <c r="J1399" s="9"/>
      <c r="K1399" s="9" t="s">
        <v>4295</v>
      </c>
      <c r="L1399" s="9"/>
      <c r="M1399" s="9" t="str">
        <f>HYPERLINK("https://ceds.ed.gov/cedselementdetails.aspx?termid=14072")</f>
        <v>https://ceds.ed.gov/cedselementdetails.aspx?termid=14072</v>
      </c>
      <c r="N1399" s="9" t="str">
        <f>HYPERLINK("https://ceds.ed.gov/elementComment.aspx?elementName=NAEP Mathematical Complexity Level &amp;elementID=14072", "Click here to submit comment")</f>
        <v>Click here to submit comment</v>
      </c>
    </row>
    <row r="1400" spans="1:14" ht="285" x14ac:dyDescent="0.25">
      <c r="A1400" s="9" t="s">
        <v>4296</v>
      </c>
      <c r="B1400" s="9" t="s">
        <v>4297</v>
      </c>
      <c r="C1400" s="9" t="s">
        <v>12</v>
      </c>
      <c r="D1400" s="9" t="s">
        <v>11634</v>
      </c>
      <c r="E1400" s="9"/>
      <c r="F1400" s="9" t="s">
        <v>92</v>
      </c>
      <c r="G1400" s="9"/>
      <c r="H1400" s="9"/>
      <c r="I1400" s="9" t="s">
        <v>4298</v>
      </c>
      <c r="J1400" s="9"/>
      <c r="K1400" s="9" t="s">
        <v>4299</v>
      </c>
      <c r="L1400" s="9" t="s">
        <v>6245</v>
      </c>
      <c r="M1400" s="9" t="str">
        <f>HYPERLINK("https://ceds.ed.gov/cedselementdetails.aspx?termid=13191")</f>
        <v>https://ceds.ed.gov/cedselementdetails.aspx?termid=13191</v>
      </c>
      <c r="N1400" s="9" t="str">
        <f>HYPERLINK("https://ceds.ed.gov/elementComment.aspx?elementName=Name of Institution &amp;elementID=13191", "Click here to submit comment")</f>
        <v>Click here to submit comment</v>
      </c>
    </row>
    <row r="1401" spans="1:14" ht="60" x14ac:dyDescent="0.25">
      <c r="A1401" s="9" t="s">
        <v>4300</v>
      </c>
      <c r="B1401" s="9" t="s">
        <v>4301</v>
      </c>
      <c r="C1401" s="9" t="s">
        <v>12</v>
      </c>
      <c r="D1401" s="9" t="s">
        <v>6180</v>
      </c>
      <c r="E1401" s="9"/>
      <c r="F1401" s="9" t="s">
        <v>92</v>
      </c>
      <c r="G1401" s="9"/>
      <c r="H1401" s="9"/>
      <c r="I1401" s="9" t="s">
        <v>4302</v>
      </c>
      <c r="J1401" s="9"/>
      <c r="K1401" s="9" t="s">
        <v>4303</v>
      </c>
      <c r="L1401" s="9" t="s">
        <v>182</v>
      </c>
      <c r="M1401" s="9" t="str">
        <f>HYPERLINK("https://ceds.ed.gov/cedselementdetails.aspx?termid=14064")</f>
        <v>https://ceds.ed.gov/cedselementdetails.aspx?termid=14064</v>
      </c>
      <c r="N1401" s="9" t="str">
        <f>HYPERLINK("https://ceds.ed.gov/elementComment.aspx?elementName=Name of Professional Credential or License &amp;elementID=14064", "Click here to submit comment")</f>
        <v>Click here to submit comment</v>
      </c>
    </row>
    <row r="1402" spans="1:14" ht="15" customHeight="1" x14ac:dyDescent="0.25">
      <c r="A1402" s="9" t="s">
        <v>4304</v>
      </c>
      <c r="B1402" s="9" t="s">
        <v>4305</v>
      </c>
      <c r="C1402" s="9" t="s">
        <v>6106</v>
      </c>
      <c r="D1402" s="9" t="s">
        <v>10527</v>
      </c>
      <c r="E1402" s="9"/>
      <c r="F1402" s="9"/>
      <c r="G1402" s="9"/>
      <c r="H1402" s="9"/>
      <c r="I1402" s="9" t="s">
        <v>4306</v>
      </c>
      <c r="J1402" s="9" t="s">
        <v>4307</v>
      </c>
      <c r="K1402" s="9" t="s">
        <v>4308</v>
      </c>
      <c r="L1402" s="9"/>
      <c r="M1402" s="9" t="str">
        <f>HYPERLINK("https://ceds.ed.gov/cedselementdetails.aspx?termid=14382")</f>
        <v>https://ceds.ed.gov/cedselementdetails.aspx?termid=14382</v>
      </c>
      <c r="N1402" s="9" t="str">
        <f>HYPERLINK("https://ceds.ed.gov/elementComment.aspx?elementName=National Collegiate Athletic Association Eligibility &amp;elementID=14382", "Click here to submit comment")</f>
        <v>Click here to submit comment</v>
      </c>
    </row>
    <row r="1403" spans="1:14" ht="75" customHeight="1" x14ac:dyDescent="0.25">
      <c r="A1403" s="9" t="s">
        <v>4309</v>
      </c>
      <c r="B1403" s="9" t="s">
        <v>4310</v>
      </c>
      <c r="C1403" s="9" t="s">
        <v>6106</v>
      </c>
      <c r="D1403" s="9" t="s">
        <v>2567</v>
      </c>
      <c r="E1403" s="9"/>
      <c r="F1403" s="9"/>
      <c r="G1403" s="9"/>
      <c r="H1403" s="9" t="s">
        <v>4311</v>
      </c>
      <c r="I1403" s="9" t="s">
        <v>4312</v>
      </c>
      <c r="J1403" s="9"/>
      <c r="K1403" s="9" t="s">
        <v>4313</v>
      </c>
      <c r="L1403" s="9" t="s">
        <v>199</v>
      </c>
      <c r="M1403" s="9" t="str">
        <f>HYPERLINK("https://ceds.ed.gov/cedselementdetails.aspx?termid=14635")</f>
        <v>https://ceds.ed.gov/cedselementdetails.aspx?termid=14635</v>
      </c>
      <c r="N1403" s="9" t="str">
        <f>HYPERLINK("https://ceds.ed.gov/elementComment.aspx?elementName=National School Lunch Program Direct Certification Indicator &amp;elementID=14635", "Click here to submit comment")</f>
        <v>Click here to submit comment</v>
      </c>
    </row>
    <row r="1404" spans="1:14" ht="15" customHeight="1" x14ac:dyDescent="0.25">
      <c r="A1404" s="9" t="s">
        <v>11635</v>
      </c>
      <c r="B1404" s="9" t="s">
        <v>11636</v>
      </c>
      <c r="C1404" s="10" t="s">
        <v>11902</v>
      </c>
      <c r="D1404" s="9" t="s">
        <v>11637</v>
      </c>
      <c r="E1404" s="9" t="s">
        <v>1457</v>
      </c>
      <c r="F1404" s="9"/>
      <c r="G1404" s="9"/>
      <c r="H1404" s="9"/>
      <c r="I1404" s="9" t="s">
        <v>11638</v>
      </c>
      <c r="J1404" s="9"/>
      <c r="K1404" s="9" t="s">
        <v>11639</v>
      </c>
      <c r="L1404" s="9"/>
      <c r="M1404" s="9" t="str">
        <f>HYPERLINK("https://ceds.ed.gov/cedselementdetails.aspx?termid=14748")</f>
        <v>https://ceds.ed.gov/cedselementdetails.aspx?termid=14748</v>
      </c>
      <c r="N1404" s="9" t="str">
        <f>HYPERLINK("https://ceds.ed.gov/elementComment.aspx?elementName=National School Lunch Program Status &amp;elementID=14748", "Click here to submit comment")</f>
        <v>Click here to submit comment</v>
      </c>
    </row>
    <row r="1405" spans="1:14" ht="30" x14ac:dyDescent="0.25">
      <c r="A1405" s="18" t="s">
        <v>4314</v>
      </c>
      <c r="B1405" s="18" t="s">
        <v>4315</v>
      </c>
      <c r="C1405" s="19" t="s">
        <v>6342</v>
      </c>
      <c r="D1405" s="18" t="s">
        <v>6120</v>
      </c>
      <c r="E1405" s="18"/>
      <c r="F1405" s="18"/>
      <c r="G1405" s="18"/>
      <c r="H1405" s="9" t="s">
        <v>336</v>
      </c>
      <c r="I1405" s="18" t="s">
        <v>4316</v>
      </c>
      <c r="J1405" s="18"/>
      <c r="K1405" s="18" t="s">
        <v>4317</v>
      </c>
      <c r="L1405" s="18" t="s">
        <v>6121</v>
      </c>
      <c r="M1405" s="18" t="str">
        <f>HYPERLINK("https://ceds.ed.gov/cedselementdetails.aspx?termid=13658")</f>
        <v>https://ceds.ed.gov/cedselementdetails.aspx?termid=13658</v>
      </c>
      <c r="N1405" s="18" t="str">
        <f>HYPERLINK("https://ceds.ed.gov/elementComment.aspx?elementName=Native Hawaiian or Other Pacific Islander &amp;elementID=13658", "Click here to submit comment")</f>
        <v>Click here to submit comment</v>
      </c>
    </row>
    <row r="1406" spans="1:14" x14ac:dyDescent="0.25">
      <c r="A1406" s="18"/>
      <c r="B1406" s="18"/>
      <c r="C1406" s="19"/>
      <c r="D1406" s="18"/>
      <c r="E1406" s="18"/>
      <c r="F1406" s="18"/>
      <c r="G1406" s="18"/>
      <c r="H1406" s="9"/>
      <c r="I1406" s="18"/>
      <c r="J1406" s="18"/>
      <c r="K1406" s="18"/>
      <c r="L1406" s="18"/>
      <c r="M1406" s="18"/>
      <c r="N1406" s="18"/>
    </row>
    <row r="1407" spans="1:14" x14ac:dyDescent="0.25">
      <c r="A1407" s="18"/>
      <c r="B1407" s="18"/>
      <c r="C1407" s="19"/>
      <c r="D1407" s="18"/>
      <c r="E1407" s="18"/>
      <c r="F1407" s="18"/>
      <c r="G1407" s="18"/>
      <c r="H1407" s="9" t="s">
        <v>337</v>
      </c>
      <c r="I1407" s="18"/>
      <c r="J1407" s="18"/>
      <c r="K1407" s="18"/>
      <c r="L1407" s="18"/>
      <c r="M1407" s="18"/>
      <c r="N1407" s="18"/>
    </row>
    <row r="1408" spans="1:14" ht="30" x14ac:dyDescent="0.25">
      <c r="A1408" s="18"/>
      <c r="B1408" s="18"/>
      <c r="C1408" s="19"/>
      <c r="D1408" s="18"/>
      <c r="E1408" s="18"/>
      <c r="F1408" s="18"/>
      <c r="G1408" s="18"/>
      <c r="H1408" s="9" t="s">
        <v>338</v>
      </c>
      <c r="I1408" s="18"/>
      <c r="J1408" s="18"/>
      <c r="K1408" s="18"/>
      <c r="L1408" s="18"/>
      <c r="M1408" s="18"/>
      <c r="N1408" s="18"/>
    </row>
    <row r="1409" spans="1:14" x14ac:dyDescent="0.25">
      <c r="A1409" s="18"/>
      <c r="B1409" s="18"/>
      <c r="C1409" s="19"/>
      <c r="D1409" s="18"/>
      <c r="E1409" s="18"/>
      <c r="F1409" s="18"/>
      <c r="G1409" s="18"/>
      <c r="H1409" s="9" t="s">
        <v>339</v>
      </c>
      <c r="I1409" s="18"/>
      <c r="J1409" s="18"/>
      <c r="K1409" s="18"/>
      <c r="L1409" s="18"/>
      <c r="M1409" s="18"/>
      <c r="N1409" s="18"/>
    </row>
    <row r="1410" spans="1:14" ht="120" x14ac:dyDescent="0.25">
      <c r="A1410" s="9" t="s">
        <v>4318</v>
      </c>
      <c r="B1410" s="9" t="s">
        <v>4319</v>
      </c>
      <c r="C1410" s="9" t="s">
        <v>4320</v>
      </c>
      <c r="D1410" s="9" t="s">
        <v>10490</v>
      </c>
      <c r="E1410" s="9"/>
      <c r="F1410" s="9"/>
      <c r="G1410" s="9"/>
      <c r="H1410" s="9"/>
      <c r="I1410" s="9" t="s">
        <v>4321</v>
      </c>
      <c r="J1410" s="9"/>
      <c r="K1410" s="9" t="s">
        <v>4322</v>
      </c>
      <c r="L1410" s="9"/>
      <c r="M1410" s="9" t="str">
        <f>HYPERLINK("https://ceds.ed.gov/cedselementdetails.aspx?termid=14383")</f>
        <v>https://ceds.ed.gov/cedselementdetails.aspx?termid=14383</v>
      </c>
      <c r="N1410" s="9" t="str">
        <f>HYPERLINK("https://ceds.ed.gov/elementComment.aspx?elementName=NCES College Course Map Code &amp;elementID=14383", "Click here to submit comment")</f>
        <v>Click here to submit comment</v>
      </c>
    </row>
    <row r="1411" spans="1:14" ht="90" x14ac:dyDescent="0.25">
      <c r="A1411" s="18" t="s">
        <v>4323</v>
      </c>
      <c r="B1411" s="18" t="s">
        <v>4324</v>
      </c>
      <c r="C1411" s="18" t="s">
        <v>6106</v>
      </c>
      <c r="D1411" s="18" t="s">
        <v>4325</v>
      </c>
      <c r="E1411" s="18"/>
      <c r="F1411" s="18"/>
      <c r="G1411" s="18"/>
      <c r="H1411" s="9" t="s">
        <v>4326</v>
      </c>
      <c r="I1411" s="18" t="s">
        <v>4328</v>
      </c>
      <c r="J1411" s="18"/>
      <c r="K1411" s="18" t="s">
        <v>4329</v>
      </c>
      <c r="L1411" s="18" t="s">
        <v>199</v>
      </c>
      <c r="M1411" s="18" t="str">
        <f>HYPERLINK("https://ceds.ed.gov/cedselementdetails.aspx?termid=13636")</f>
        <v>https://ceds.ed.gov/cedselementdetails.aspx?termid=13636</v>
      </c>
      <c r="N1411" s="18" t="str">
        <f>HYPERLINK("https://ceds.ed.gov/elementComment.aspx?elementName=Neglected or Delinquent Academic Achievement Indicator &amp;elementID=13636", "Click here to submit comment")</f>
        <v>Click here to submit comment</v>
      </c>
    </row>
    <row r="1412" spans="1:14" ht="105" x14ac:dyDescent="0.25">
      <c r="A1412" s="18"/>
      <c r="B1412" s="18"/>
      <c r="C1412" s="18"/>
      <c r="D1412" s="18"/>
      <c r="E1412" s="18"/>
      <c r="F1412" s="18"/>
      <c r="G1412" s="18"/>
      <c r="H1412" s="9" t="s">
        <v>4327</v>
      </c>
      <c r="I1412" s="18"/>
      <c r="J1412" s="18"/>
      <c r="K1412" s="18"/>
      <c r="L1412" s="18"/>
      <c r="M1412" s="18"/>
      <c r="N1412" s="18"/>
    </row>
    <row r="1413" spans="1:14" ht="90" x14ac:dyDescent="0.25">
      <c r="A1413" s="18" t="s">
        <v>4330</v>
      </c>
      <c r="B1413" s="18" t="s">
        <v>4331</v>
      </c>
      <c r="C1413" s="18" t="s">
        <v>6106</v>
      </c>
      <c r="D1413" s="18" t="s">
        <v>4325</v>
      </c>
      <c r="E1413" s="18"/>
      <c r="F1413" s="18"/>
      <c r="G1413" s="18"/>
      <c r="H1413" s="9" t="s">
        <v>4326</v>
      </c>
      <c r="I1413" s="18" t="s">
        <v>4332</v>
      </c>
      <c r="J1413" s="18"/>
      <c r="K1413" s="18" t="s">
        <v>4333</v>
      </c>
      <c r="L1413" s="18" t="s">
        <v>199</v>
      </c>
      <c r="M1413" s="18" t="str">
        <f>HYPERLINK("https://ceds.ed.gov/cedselementdetails.aspx?termid=13638")</f>
        <v>https://ceds.ed.gov/cedselementdetails.aspx?termid=13638</v>
      </c>
      <c r="N1413" s="18" t="str">
        <f>HYPERLINK("https://ceds.ed.gov/elementComment.aspx?elementName=Neglected or Delinquent Academic Outcome Indicator &amp;elementID=13638", "Click here to submit comment")</f>
        <v>Click here to submit comment</v>
      </c>
    </row>
    <row r="1414" spans="1:14" ht="105" x14ac:dyDescent="0.25">
      <c r="A1414" s="18"/>
      <c r="B1414" s="18"/>
      <c r="C1414" s="18"/>
      <c r="D1414" s="18"/>
      <c r="E1414" s="18"/>
      <c r="F1414" s="18"/>
      <c r="G1414" s="18"/>
      <c r="H1414" s="9" t="s">
        <v>4327</v>
      </c>
      <c r="I1414" s="18"/>
      <c r="J1414" s="18"/>
      <c r="K1414" s="18"/>
      <c r="L1414" s="18"/>
      <c r="M1414" s="18"/>
      <c r="N1414" s="18"/>
    </row>
    <row r="1415" spans="1:14" ht="15" customHeight="1" x14ac:dyDescent="0.25">
      <c r="A1415" s="9" t="s">
        <v>4334</v>
      </c>
      <c r="B1415" s="9" t="s">
        <v>4335</v>
      </c>
      <c r="C1415" s="9" t="s">
        <v>6106</v>
      </c>
      <c r="D1415" s="9" t="s">
        <v>4325</v>
      </c>
      <c r="E1415" s="9"/>
      <c r="F1415" s="9"/>
      <c r="G1415" s="9"/>
      <c r="H1415" s="9"/>
      <c r="I1415" s="9" t="s">
        <v>4336</v>
      </c>
      <c r="J1415" s="9"/>
      <c r="K1415" s="9" t="s">
        <v>4337</v>
      </c>
      <c r="L1415" s="9" t="s">
        <v>188</v>
      </c>
      <c r="M1415" s="9" t="str">
        <f>HYPERLINK("https://ceds.ed.gov/cedselementdetails.aspx?termid=13475")</f>
        <v>https://ceds.ed.gov/cedselementdetails.aspx?termid=13475</v>
      </c>
      <c r="N1415" s="9" t="str">
        <f>HYPERLINK("https://ceds.ed.gov/elementComment.aspx?elementName=Neglected or Delinquent Obtained Employment &amp;elementID=13475", "Click here to submit comment")</f>
        <v>Click here to submit comment</v>
      </c>
    </row>
    <row r="1416" spans="1:14" ht="15" customHeight="1" x14ac:dyDescent="0.25">
      <c r="A1416" s="9" t="s">
        <v>4338</v>
      </c>
      <c r="B1416" s="9" t="s">
        <v>4339</v>
      </c>
      <c r="C1416" s="10" t="s">
        <v>6625</v>
      </c>
      <c r="D1416" s="9" t="s">
        <v>4325</v>
      </c>
      <c r="E1416" s="9"/>
      <c r="F1416" s="9"/>
      <c r="G1416" s="9"/>
      <c r="H1416" s="9"/>
      <c r="I1416" s="9" t="s">
        <v>4340</v>
      </c>
      <c r="J1416" s="9"/>
      <c r="K1416" s="9" t="s">
        <v>4341</v>
      </c>
      <c r="L1416" s="9" t="s">
        <v>199</v>
      </c>
      <c r="M1416" s="9" t="str">
        <f>HYPERLINK("https://ceds.ed.gov/cedselementdetails.aspx?termid=13194")</f>
        <v>https://ceds.ed.gov/cedselementdetails.aspx?termid=13194</v>
      </c>
      <c r="N1416" s="9" t="str">
        <f>HYPERLINK("https://ceds.ed.gov/elementComment.aspx?elementName=Neglected or Delinquent Program Type &amp;elementID=13194", "Click here to submit comment")</f>
        <v>Click here to submit comment</v>
      </c>
    </row>
    <row r="1417" spans="1:14" ht="105" x14ac:dyDescent="0.25">
      <c r="A1417" s="9" t="s">
        <v>4342</v>
      </c>
      <c r="B1417" s="9" t="s">
        <v>11640</v>
      </c>
      <c r="C1417" s="9" t="s">
        <v>6213</v>
      </c>
      <c r="D1417" s="9" t="s">
        <v>4325</v>
      </c>
      <c r="E1417" s="9" t="s">
        <v>91</v>
      </c>
      <c r="F1417" s="9"/>
      <c r="G1417" s="9" t="s">
        <v>11641</v>
      </c>
      <c r="H1417" s="9"/>
      <c r="I1417" s="9" t="s">
        <v>4343</v>
      </c>
      <c r="J1417" s="9"/>
      <c r="K1417" s="9" t="s">
        <v>4344</v>
      </c>
      <c r="L1417" s="9" t="s">
        <v>6155</v>
      </c>
      <c r="M1417" s="9" t="str">
        <f>HYPERLINK("https://ceds.ed.gov/cedselementdetails.aspx?termid=13193")</f>
        <v>https://ceds.ed.gov/cedselementdetails.aspx?termid=13193</v>
      </c>
      <c r="N1417" s="9" t="str">
        <f>HYPERLINK("https://ceds.ed.gov/elementComment.aspx?elementName=Neglected or Delinquent Status &amp;elementID=13193", "Click here to submit comment")</f>
        <v>Click here to submit comment</v>
      </c>
    </row>
    <row r="1418" spans="1:14" ht="165" x14ac:dyDescent="0.25">
      <c r="A1418" s="9" t="s">
        <v>4345</v>
      </c>
      <c r="B1418" s="9" t="s">
        <v>4346</v>
      </c>
      <c r="C1418" s="10" t="s">
        <v>6626</v>
      </c>
      <c r="D1418" s="9" t="s">
        <v>28</v>
      </c>
      <c r="E1418" s="9"/>
      <c r="F1418" s="9"/>
      <c r="G1418" s="9"/>
      <c r="H1418" s="9"/>
      <c r="I1418" s="9" t="s">
        <v>4347</v>
      </c>
      <c r="J1418" s="9"/>
      <c r="K1418" s="9" t="s">
        <v>4348</v>
      </c>
      <c r="L1418" s="9"/>
      <c r="M1418" s="9" t="str">
        <f>HYPERLINK("https://ceds.ed.gov/cedselementdetails.aspx?termid=13522")</f>
        <v>https://ceds.ed.gov/cedselementdetails.aspx?termid=13522</v>
      </c>
      <c r="N1418" s="9" t="str">
        <f>HYPERLINK("https://ceds.ed.gov/elementComment.aspx?elementName=Nonpromotion Reason &amp;elementID=13522", "Click here to submit comment")</f>
        <v>Click here to submit comment</v>
      </c>
    </row>
    <row r="1419" spans="1:14" ht="210" x14ac:dyDescent="0.25">
      <c r="A1419" s="9" t="s">
        <v>4349</v>
      </c>
      <c r="B1419" s="9" t="s">
        <v>4350</v>
      </c>
      <c r="C1419" s="9" t="s">
        <v>12</v>
      </c>
      <c r="D1419" s="9" t="s">
        <v>6190</v>
      </c>
      <c r="E1419" s="9"/>
      <c r="F1419" s="9" t="s">
        <v>92</v>
      </c>
      <c r="G1419" s="9"/>
      <c r="H1419" s="9"/>
      <c r="I1419" s="9" t="s">
        <v>4351</v>
      </c>
      <c r="J1419" s="9"/>
      <c r="K1419" s="9" t="s">
        <v>4352</v>
      </c>
      <c r="L1419" s="9" t="s">
        <v>6115</v>
      </c>
      <c r="M1419" s="9" t="str">
        <f>HYPERLINK("https://ceds.ed.gov/cedselementdetails.aspx?termid=13197")</f>
        <v>https://ceds.ed.gov/cedselementdetails.aspx?termid=13197</v>
      </c>
      <c r="N1419" s="9" t="str">
        <f>HYPERLINK("https://ceds.ed.gov/elementComment.aspx?elementName=Normal Length of Time for Completion &amp;elementID=13197", "Click here to submit comment")</f>
        <v>Click here to submit comment</v>
      </c>
    </row>
    <row r="1420" spans="1:14" ht="90" x14ac:dyDescent="0.25">
      <c r="A1420" s="9" t="s">
        <v>4353</v>
      </c>
      <c r="B1420" s="9" t="s">
        <v>4354</v>
      </c>
      <c r="C1420" s="10" t="s">
        <v>6627</v>
      </c>
      <c r="D1420" s="9" t="s">
        <v>6190</v>
      </c>
      <c r="E1420" s="9"/>
      <c r="F1420" s="9"/>
      <c r="G1420" s="9"/>
      <c r="H1420" s="9"/>
      <c r="I1420" s="9" t="s">
        <v>4355</v>
      </c>
      <c r="J1420" s="9"/>
      <c r="K1420" s="9" t="s">
        <v>4356</v>
      </c>
      <c r="L1420" s="9" t="s">
        <v>6115</v>
      </c>
      <c r="M1420" s="9" t="str">
        <f>HYPERLINK("https://ceds.ed.gov/cedselementdetails.aspx?termid=13198")</f>
        <v>https://ceds.ed.gov/cedselementdetails.aspx?termid=13198</v>
      </c>
      <c r="N1420" s="9" t="str">
        <f>HYPERLINK("https://ceds.ed.gov/elementComment.aspx?elementName=Normal Length of Time for Completion Units &amp;elementID=13198", "Click here to submit comment")</f>
        <v>Click here to submit comment</v>
      </c>
    </row>
    <row r="1421" spans="1:14" ht="45" x14ac:dyDescent="0.25">
      <c r="A1421" s="9" t="s">
        <v>4357</v>
      </c>
      <c r="B1421" s="9" t="s">
        <v>4358</v>
      </c>
      <c r="C1421" s="9" t="s">
        <v>12</v>
      </c>
      <c r="D1421" s="9" t="s">
        <v>2572</v>
      </c>
      <c r="E1421" s="9"/>
      <c r="F1421" s="9" t="s">
        <v>10489</v>
      </c>
      <c r="G1421" s="9"/>
      <c r="H1421" s="9"/>
      <c r="I1421" s="9" t="s">
        <v>4359</v>
      </c>
      <c r="J1421" s="9"/>
      <c r="K1421" s="9" t="s">
        <v>4360</v>
      </c>
      <c r="L1421" s="9" t="s">
        <v>64</v>
      </c>
      <c r="M1421" s="9" t="str">
        <f>HYPERLINK("https://ceds.ed.gov/cedselementdetails.aspx?termid=13844")</f>
        <v>https://ceds.ed.gov/cedselementdetails.aspx?termid=13844</v>
      </c>
      <c r="N1421" s="9" t="str">
        <f>HYPERLINK("https://ceds.ed.gov/elementComment.aspx?elementName=Number of Classrooms &amp;elementID=13844", "Click here to submit comment")</f>
        <v>Click here to submit comment</v>
      </c>
    </row>
    <row r="1422" spans="1:14" ht="90" x14ac:dyDescent="0.25">
      <c r="A1422" s="9" t="s">
        <v>4361</v>
      </c>
      <c r="B1422" s="9" t="s">
        <v>4362</v>
      </c>
      <c r="C1422" s="9" t="s">
        <v>12</v>
      </c>
      <c r="D1422" s="9" t="s">
        <v>11642</v>
      </c>
      <c r="E1422" s="9"/>
      <c r="F1422" s="9" t="s">
        <v>1513</v>
      </c>
      <c r="G1422" s="9"/>
      <c r="H1422" s="9"/>
      <c r="I1422" s="9" t="s">
        <v>4363</v>
      </c>
      <c r="J1422" s="9"/>
      <c r="K1422" s="9" t="s">
        <v>4364</v>
      </c>
      <c r="L1422" s="9" t="s">
        <v>6109</v>
      </c>
      <c r="M1422" s="9" t="str">
        <f>HYPERLINK("https://ceds.ed.gov/cedselementdetails.aspx?termid=13199")</f>
        <v>https://ceds.ed.gov/cedselementdetails.aspx?termid=13199</v>
      </c>
      <c r="N1422" s="9" t="str">
        <f>HYPERLINK("https://ceds.ed.gov/elementComment.aspx?elementName=Number of Credits Attempted &amp;elementID=13199", "Click here to submit comment")</f>
        <v>Click here to submit comment</v>
      </c>
    </row>
    <row r="1423" spans="1:14" ht="390" x14ac:dyDescent="0.25">
      <c r="A1423" s="9" t="s">
        <v>4365</v>
      </c>
      <c r="B1423" s="9" t="s">
        <v>4366</v>
      </c>
      <c r="C1423" s="9" t="s">
        <v>12</v>
      </c>
      <c r="D1423" s="9" t="s">
        <v>11643</v>
      </c>
      <c r="E1423" s="9"/>
      <c r="F1423" s="9" t="s">
        <v>1513</v>
      </c>
      <c r="G1423" s="9"/>
      <c r="H1423" s="9"/>
      <c r="I1423" s="9" t="s">
        <v>4367</v>
      </c>
      <c r="J1423" s="9"/>
      <c r="K1423" s="9" t="s">
        <v>4368</v>
      </c>
      <c r="L1423" s="9" t="s">
        <v>6241</v>
      </c>
      <c r="M1423" s="9" t="str">
        <f>HYPERLINK("https://ceds.ed.gov/cedselementdetails.aspx?termid=13200")</f>
        <v>https://ceds.ed.gov/cedselementdetails.aspx?termid=13200</v>
      </c>
      <c r="N1423" s="9" t="str">
        <f>HYPERLINK("https://ceds.ed.gov/elementComment.aspx?elementName=Number of Credits Earned &amp;elementID=13200", "Click here to submit comment")</f>
        <v>Click here to submit comment</v>
      </c>
    </row>
    <row r="1424" spans="1:14" ht="120" x14ac:dyDescent="0.25">
      <c r="A1424" s="9" t="s">
        <v>4369</v>
      </c>
      <c r="B1424" s="9" t="s">
        <v>4370</v>
      </c>
      <c r="C1424" s="9" t="s">
        <v>12</v>
      </c>
      <c r="D1424" s="9" t="s">
        <v>6246</v>
      </c>
      <c r="E1424" s="9"/>
      <c r="F1424" s="9" t="s">
        <v>1513</v>
      </c>
      <c r="G1424" s="9"/>
      <c r="H1424" s="9"/>
      <c r="I1424" s="9" t="s">
        <v>4371</v>
      </c>
      <c r="J1424" s="9"/>
      <c r="K1424" s="9" t="s">
        <v>4372</v>
      </c>
      <c r="L1424" s="9" t="s">
        <v>6247</v>
      </c>
      <c r="M1424" s="9" t="str">
        <f>HYPERLINK("https://ceds.ed.gov/cedselementdetails.aspx?termid=13201")</f>
        <v>https://ceds.ed.gov/cedselementdetails.aspx?termid=13201</v>
      </c>
      <c r="N1424" s="9" t="str">
        <f>HYPERLINK("https://ceds.ed.gov/elementComment.aspx?elementName=Number of Days Absent &amp;elementID=13201", "Click here to submit comment")</f>
        <v>Click here to submit comment</v>
      </c>
    </row>
    <row r="1425" spans="1:14" ht="90" x14ac:dyDescent="0.25">
      <c r="A1425" s="9" t="s">
        <v>4373</v>
      </c>
      <c r="B1425" s="9" t="s">
        <v>4374</v>
      </c>
      <c r="C1425" s="9" t="s">
        <v>12</v>
      </c>
      <c r="D1425" s="9" t="s">
        <v>2180</v>
      </c>
      <c r="E1425" s="9"/>
      <c r="F1425" s="9" t="s">
        <v>1513</v>
      </c>
      <c r="G1425" s="9"/>
      <c r="H1425" s="9"/>
      <c r="I1425" s="9" t="s">
        <v>4375</v>
      </c>
      <c r="J1425" s="9"/>
      <c r="K1425" s="9" t="s">
        <v>4376</v>
      </c>
      <c r="L1425" s="9" t="s">
        <v>188</v>
      </c>
      <c r="M1425" s="9" t="str">
        <f>HYPERLINK("https://ceds.ed.gov/cedselementdetails.aspx?termid=13447")</f>
        <v>https://ceds.ed.gov/cedselementdetails.aspx?termid=13447</v>
      </c>
      <c r="N1425" s="9" t="str">
        <f>HYPERLINK("https://ceds.ed.gov/elementComment.aspx?elementName=Number of Days for Title III Subgrants &amp;elementID=13447", "Click here to submit comment")</f>
        <v>Click here to submit comment</v>
      </c>
    </row>
    <row r="1426" spans="1:14" ht="255" x14ac:dyDescent="0.25">
      <c r="A1426" s="9" t="s">
        <v>4377</v>
      </c>
      <c r="B1426" s="9" t="s">
        <v>4378</v>
      </c>
      <c r="C1426" s="9" t="s">
        <v>12</v>
      </c>
      <c r="D1426" s="9" t="s">
        <v>6248</v>
      </c>
      <c r="E1426" s="9"/>
      <c r="F1426" s="9" t="s">
        <v>1513</v>
      </c>
      <c r="G1426" s="9"/>
      <c r="H1426" s="9" t="s">
        <v>4379</v>
      </c>
      <c r="I1426" s="9" t="s">
        <v>4380</v>
      </c>
      <c r="J1426" s="9"/>
      <c r="K1426" s="9" t="s">
        <v>4381</v>
      </c>
      <c r="L1426" s="9" t="s">
        <v>6249</v>
      </c>
      <c r="M1426" s="9" t="str">
        <f>HYPERLINK("https://ceds.ed.gov/cedselementdetails.aspx?termid=13202")</f>
        <v>https://ceds.ed.gov/cedselementdetails.aspx?termid=13202</v>
      </c>
      <c r="N1426" s="9" t="str">
        <f>HYPERLINK("https://ceds.ed.gov/elementComment.aspx?elementName=Number of Days in Attendance &amp;elementID=13202", "Click here to submit comment")</f>
        <v>Click here to submit comment</v>
      </c>
    </row>
    <row r="1427" spans="1:14" ht="60" x14ac:dyDescent="0.25">
      <c r="A1427" s="9" t="s">
        <v>4382</v>
      </c>
      <c r="B1427" s="9" t="s">
        <v>4383</v>
      </c>
      <c r="C1427" s="9" t="s">
        <v>12</v>
      </c>
      <c r="D1427" s="9" t="s">
        <v>1587</v>
      </c>
      <c r="E1427" s="9"/>
      <c r="F1427" s="9" t="s">
        <v>10489</v>
      </c>
      <c r="G1427" s="9"/>
      <c r="H1427" s="9"/>
      <c r="I1427" s="9" t="s">
        <v>4384</v>
      </c>
      <c r="J1427" s="9"/>
      <c r="K1427" s="9" t="s">
        <v>4385</v>
      </c>
      <c r="L1427" s="9"/>
      <c r="M1427" s="9" t="str">
        <f>HYPERLINK("https://ceds.ed.gov/cedselementdetails.aspx?termid=14384")</f>
        <v>https://ceds.ed.gov/cedselementdetails.aspx?termid=14384</v>
      </c>
      <c r="N1427" s="9" t="str">
        <f>HYPERLINK("https://ceds.ed.gov/elementComment.aspx?elementName=Number of Dependents &amp;elementID=14384", "Click here to submit comment")</f>
        <v>Click here to submit comment</v>
      </c>
    </row>
    <row r="1428" spans="1:14" ht="45" x14ac:dyDescent="0.25">
      <c r="A1428" s="9" t="s">
        <v>4386</v>
      </c>
      <c r="B1428" s="9" t="s">
        <v>4387</v>
      </c>
      <c r="C1428" s="9" t="s">
        <v>12</v>
      </c>
      <c r="D1428" s="9" t="s">
        <v>1851</v>
      </c>
      <c r="E1428" s="9"/>
      <c r="F1428" s="9" t="s">
        <v>10489</v>
      </c>
      <c r="G1428" s="9"/>
      <c r="H1428" s="9"/>
      <c r="I1428" s="9" t="s">
        <v>4388</v>
      </c>
      <c r="J1428" s="9"/>
      <c r="K1428" s="9" t="s">
        <v>4389</v>
      </c>
      <c r="L1428" s="9" t="s">
        <v>64</v>
      </c>
      <c r="M1428" s="9" t="str">
        <f>HYPERLINK("https://ceds.ed.gov/cedselementdetails.aspx?termid=13835")</f>
        <v>https://ceds.ed.gov/cedselementdetails.aspx?termid=13835</v>
      </c>
      <c r="N1428" s="9" t="str">
        <f>HYPERLINK("https://ceds.ed.gov/elementComment.aspx?elementName=Number of Early Learning Fatalities &amp;elementID=13835", "Click here to submit comment")</f>
        <v>Click here to submit comment</v>
      </c>
    </row>
    <row r="1429" spans="1:14" ht="45" x14ac:dyDescent="0.25">
      <c r="A1429" s="9" t="s">
        <v>4390</v>
      </c>
      <c r="B1429" s="9" t="s">
        <v>4391</v>
      </c>
      <c r="C1429" s="9" t="s">
        <v>12</v>
      </c>
      <c r="D1429" s="9" t="s">
        <v>1851</v>
      </c>
      <c r="E1429" s="9"/>
      <c r="F1429" s="9" t="s">
        <v>10489</v>
      </c>
      <c r="G1429" s="9"/>
      <c r="H1429" s="9"/>
      <c r="I1429" s="9" t="s">
        <v>4392</v>
      </c>
      <c r="J1429" s="9"/>
      <c r="K1429" s="9" t="s">
        <v>4393</v>
      </c>
      <c r="L1429" s="9" t="s">
        <v>64</v>
      </c>
      <c r="M1429" s="9" t="str">
        <f>HYPERLINK("https://ceds.ed.gov/cedselementdetails.aspx?termid=13836")</f>
        <v>https://ceds.ed.gov/cedselementdetails.aspx?termid=13836</v>
      </c>
      <c r="N1429" s="9" t="str">
        <f>HYPERLINK("https://ceds.ed.gov/elementComment.aspx?elementName=Number of Early Learning Injuries &amp;elementID=13836", "Click here to submit comment")</f>
        <v>Click here to submit comment</v>
      </c>
    </row>
    <row r="1430" spans="1:14" ht="45" x14ac:dyDescent="0.25">
      <c r="A1430" s="9" t="s">
        <v>4394</v>
      </c>
      <c r="B1430" s="9" t="s">
        <v>4395</v>
      </c>
      <c r="C1430" s="9" t="s">
        <v>12</v>
      </c>
      <c r="D1430" s="9" t="s">
        <v>4277</v>
      </c>
      <c r="E1430" s="9"/>
      <c r="F1430" s="9" t="s">
        <v>10489</v>
      </c>
      <c r="G1430" s="9"/>
      <c r="H1430" s="9"/>
      <c r="I1430" s="9" t="s">
        <v>4396</v>
      </c>
      <c r="J1430" s="9"/>
      <c r="K1430" s="9" t="s">
        <v>4397</v>
      </c>
      <c r="L1430" s="9" t="s">
        <v>64</v>
      </c>
      <c r="M1430" s="9" t="str">
        <f>HYPERLINK("https://ceds.ed.gov/cedselementdetails.aspx?termid=13839")</f>
        <v>https://ceds.ed.gov/cedselementdetails.aspx?termid=13839</v>
      </c>
      <c r="N1430" s="9" t="str">
        <f>HYPERLINK("https://ceds.ed.gov/elementComment.aspx?elementName=Number of Early Learning Program Monitoring Visits &amp;elementID=13839", "Click here to submit comment")</f>
        <v>Click here to submit comment</v>
      </c>
    </row>
    <row r="1431" spans="1:14" ht="15" customHeight="1" x14ac:dyDescent="0.25">
      <c r="A1431" s="9" t="s">
        <v>4398</v>
      </c>
      <c r="B1431" s="9" t="s">
        <v>4399</v>
      </c>
      <c r="C1431" s="9" t="s">
        <v>12</v>
      </c>
      <c r="D1431" s="9" t="s">
        <v>3578</v>
      </c>
      <c r="E1431" s="9"/>
      <c r="F1431" s="9" t="s">
        <v>10489</v>
      </c>
      <c r="G1431" s="9"/>
      <c r="H1431" s="9"/>
      <c r="I1431" s="9" t="s">
        <v>4400</v>
      </c>
      <c r="J1431" s="9"/>
      <c r="K1431" s="9" t="s">
        <v>4401</v>
      </c>
      <c r="L1431" s="9" t="s">
        <v>188</v>
      </c>
      <c r="M1431" s="9" t="str">
        <f>HYPERLINK("https://ceds.ed.gov/cedselementdetails.aspx?termid=13460")</f>
        <v>https://ceds.ed.gov/cedselementdetails.aspx?termid=13460</v>
      </c>
      <c r="N1431" s="9" t="str">
        <f>HYPERLINK("https://ceds.ed.gov/elementComment.aspx?elementName=Number of Immigrant Program Subgrants &amp;elementID=13460", "Click here to submit comment")</f>
        <v>Click here to submit comment</v>
      </c>
    </row>
    <row r="1432" spans="1:14" ht="15" customHeight="1" x14ac:dyDescent="0.25">
      <c r="A1432" s="9" t="s">
        <v>4402</v>
      </c>
      <c r="B1432" s="9" t="s">
        <v>4403</v>
      </c>
      <c r="C1432" s="9" t="s">
        <v>12</v>
      </c>
      <c r="D1432" s="9" t="s">
        <v>2772</v>
      </c>
      <c r="E1432" s="9"/>
      <c r="F1432" s="9" t="s">
        <v>10489</v>
      </c>
      <c r="G1432" s="9"/>
      <c r="H1432" s="9"/>
      <c r="I1432" s="9" t="s">
        <v>4404</v>
      </c>
      <c r="J1432" s="9"/>
      <c r="K1432" s="9" t="s">
        <v>4405</v>
      </c>
      <c r="L1432" s="9" t="s">
        <v>2225</v>
      </c>
      <c r="M1432" s="9" t="str">
        <f>HYPERLINK("https://ceds.ed.gov/cedselementdetails.aspx?termid=13329")</f>
        <v>https://ceds.ed.gov/cedselementdetails.aspx?termid=13329</v>
      </c>
      <c r="N1432" s="9" t="str">
        <f>HYPERLINK("https://ceds.ed.gov/elementComment.aspx?elementName=Number of People in Family &amp;elementID=13329", "Click here to submit comment")</f>
        <v>Click here to submit comment</v>
      </c>
    </row>
    <row r="1433" spans="1:14" ht="15" customHeight="1" x14ac:dyDescent="0.25">
      <c r="A1433" s="9" t="s">
        <v>4406</v>
      </c>
      <c r="B1433" s="9" t="s">
        <v>4407</v>
      </c>
      <c r="C1433" s="9" t="s">
        <v>12</v>
      </c>
      <c r="D1433" s="9" t="s">
        <v>2772</v>
      </c>
      <c r="E1433" s="9"/>
      <c r="F1433" s="9" t="s">
        <v>10489</v>
      </c>
      <c r="G1433" s="9"/>
      <c r="H1433" s="9"/>
      <c r="I1433" s="9" t="s">
        <v>4408</v>
      </c>
      <c r="J1433" s="9"/>
      <c r="K1433" s="9" t="s">
        <v>4409</v>
      </c>
      <c r="L1433" s="9" t="s">
        <v>2225</v>
      </c>
      <c r="M1433" s="9" t="str">
        <f>HYPERLINK("https://ceds.ed.gov/cedselementdetails.aspx?termid=13330")</f>
        <v>https://ceds.ed.gov/cedselementdetails.aspx?termid=13330</v>
      </c>
      <c r="N1433" s="9" t="str">
        <f>HYPERLINK("https://ceds.ed.gov/elementComment.aspx?elementName=Number of People in Household &amp;elementID=13330", "Click here to submit comment")</f>
        <v>Click here to submit comment</v>
      </c>
    </row>
    <row r="1434" spans="1:14" ht="45" x14ac:dyDescent="0.25">
      <c r="A1434" s="9" t="s">
        <v>4410</v>
      </c>
      <c r="B1434" s="9" t="s">
        <v>4411</v>
      </c>
      <c r="C1434" s="9" t="s">
        <v>12</v>
      </c>
      <c r="D1434" s="9" t="s">
        <v>4412</v>
      </c>
      <c r="E1434" s="9"/>
      <c r="F1434" s="9" t="s">
        <v>10489</v>
      </c>
      <c r="G1434" s="9"/>
      <c r="H1434" s="9"/>
      <c r="I1434" s="9" t="s">
        <v>4413</v>
      </c>
      <c r="J1434" s="9" t="s">
        <v>4414</v>
      </c>
      <c r="K1434" s="9" t="s">
        <v>4415</v>
      </c>
      <c r="L1434" s="9" t="s">
        <v>64</v>
      </c>
      <c r="M1434" s="9" t="str">
        <f>HYPERLINK("https://ceds.ed.gov/cedselementdetails.aspx?termid=13843")</f>
        <v>https://ceds.ed.gov/cedselementdetails.aspx?termid=13843</v>
      </c>
      <c r="N1434" s="9" t="str">
        <f>HYPERLINK("https://ceds.ed.gov/elementComment.aspx?elementName=Number of Quality Rating and Improvement System Levels &amp;elementID=13843", "Click here to submit comment")</f>
        <v>Click here to submit comment</v>
      </c>
    </row>
    <row r="1435" spans="1:14" ht="75" x14ac:dyDescent="0.25">
      <c r="A1435" s="9" t="s">
        <v>4416</v>
      </c>
      <c r="B1435" s="9" t="s">
        <v>4417</v>
      </c>
      <c r="C1435" s="9" t="s">
        <v>12</v>
      </c>
      <c r="D1435" s="9" t="s">
        <v>11125</v>
      </c>
      <c r="E1435" s="9"/>
      <c r="F1435" s="9" t="s">
        <v>1513</v>
      </c>
      <c r="G1435" s="9"/>
      <c r="H1435" s="9"/>
      <c r="I1435" s="9" t="s">
        <v>4418</v>
      </c>
      <c r="J1435" s="9"/>
      <c r="K1435" s="9" t="s">
        <v>4419</v>
      </c>
      <c r="L1435" s="9" t="s">
        <v>182</v>
      </c>
      <c r="M1435" s="9" t="str">
        <f>HYPERLINK("https://ceds.ed.gov/cedselementdetails.aspx?termid=13815")</f>
        <v>https://ceds.ed.gov/cedselementdetails.aspx?termid=13815</v>
      </c>
      <c r="N1435" s="9" t="str">
        <f>HYPERLINK("https://ceds.ed.gov/elementComment.aspx?elementName=Number of School-age Education Postsecondary Credit Hours &amp;elementID=13815", "Click here to submit comment")</f>
        <v>Click here to submit comment</v>
      </c>
    </row>
    <row r="1436" spans="1:14" ht="60" x14ac:dyDescent="0.25">
      <c r="A1436" s="9" t="s">
        <v>11644</v>
      </c>
      <c r="B1436" s="9" t="s">
        <v>11645</v>
      </c>
      <c r="C1436" s="9" t="s">
        <v>12</v>
      </c>
      <c r="D1436" s="9" t="s">
        <v>6886</v>
      </c>
      <c r="E1436" s="9"/>
      <c r="F1436" s="9" t="s">
        <v>11646</v>
      </c>
      <c r="G1436" s="9"/>
      <c r="H1436" s="11" t="s">
        <v>11647</v>
      </c>
      <c r="I1436" s="9" t="s">
        <v>11648</v>
      </c>
      <c r="J1436" s="9"/>
      <c r="K1436" s="9" t="s">
        <v>11649</v>
      </c>
      <c r="L1436" s="9"/>
      <c r="M1436" s="9" t="str">
        <f>HYPERLINK("https://ceds.ed.gov/cedselementdetails.aspx?termid=14737")</f>
        <v>https://ceds.ed.gov/cedselementdetails.aspx?termid=14737</v>
      </c>
      <c r="N1436" s="9" t="str">
        <f>HYPERLINK("https://ceds.ed.gov/elementComment.aspx?elementName=O*NET-SOC Occupation Type &amp;elementID=14737", "Click here to submit comment")</f>
        <v>Click here to submit comment</v>
      </c>
    </row>
    <row r="1437" spans="1:14" ht="180" x14ac:dyDescent="0.25">
      <c r="A1437" s="9" t="s">
        <v>4420</v>
      </c>
      <c r="B1437" s="9" t="s">
        <v>4421</v>
      </c>
      <c r="C1437" s="9" t="s">
        <v>12</v>
      </c>
      <c r="D1437" s="9" t="s">
        <v>6250</v>
      </c>
      <c r="E1437" s="9"/>
      <c r="F1437" s="9" t="s">
        <v>11650</v>
      </c>
      <c r="G1437" s="9"/>
      <c r="H1437" s="9"/>
      <c r="I1437" s="9" t="s">
        <v>4422</v>
      </c>
      <c r="J1437" s="9" t="s">
        <v>4423</v>
      </c>
      <c r="K1437" s="9" t="s">
        <v>4423</v>
      </c>
      <c r="L1437" s="9"/>
      <c r="M1437" s="9" t="str">
        <f>HYPERLINK("https://ceds.ed.gov/cedselementdetails.aspx?termid=13203")</f>
        <v>https://ceds.ed.gov/cedselementdetails.aspx?termid=13203</v>
      </c>
      <c r="N1437" s="9" t="str">
        <f>HYPERLINK("https://ceds.ed.gov/elementComment.aspx?elementName=Office of Postsecondary Education Identifier &amp;elementID=13203", "Click here to submit comment")</f>
        <v>Click here to submit comment</v>
      </c>
    </row>
    <row r="1438" spans="1:14" ht="45" x14ac:dyDescent="0.25">
      <c r="A1438" s="9" t="s">
        <v>4424</v>
      </c>
      <c r="B1438" s="9" t="s">
        <v>4425</v>
      </c>
      <c r="C1438" s="9" t="s">
        <v>6106</v>
      </c>
      <c r="D1438" s="9" t="s">
        <v>2505</v>
      </c>
      <c r="E1438" s="9"/>
      <c r="F1438" s="9"/>
      <c r="G1438" s="9"/>
      <c r="H1438" s="9"/>
      <c r="I1438" s="9" t="s">
        <v>4426</v>
      </c>
      <c r="J1438" s="9"/>
      <c r="K1438" s="9" t="s">
        <v>4427</v>
      </c>
      <c r="L1438" s="9" t="s">
        <v>64</v>
      </c>
      <c r="M1438" s="9" t="str">
        <f>HYPERLINK("https://ceds.ed.gov/cedselementdetails.aspx?termid=13847")</f>
        <v>https://ceds.ed.gov/cedselementdetails.aspx?termid=13847</v>
      </c>
      <c r="N1438" s="9" t="str">
        <f>HYPERLINK("https://ceds.ed.gov/elementComment.aspx?elementName=Ongoing Health Screening Policy &amp;elementID=13847", "Click here to submit comment")</f>
        <v>Click here to submit comment</v>
      </c>
    </row>
    <row r="1439" spans="1:14" ht="45" x14ac:dyDescent="0.25">
      <c r="A1439" s="9" t="s">
        <v>4428</v>
      </c>
      <c r="B1439" s="9" t="s">
        <v>4429</v>
      </c>
      <c r="C1439" s="9" t="s">
        <v>12</v>
      </c>
      <c r="D1439" s="9" t="s">
        <v>2572</v>
      </c>
      <c r="E1439" s="9"/>
      <c r="F1439" s="9" t="s">
        <v>73</v>
      </c>
      <c r="G1439" s="9"/>
      <c r="H1439" s="9"/>
      <c r="I1439" s="9" t="s">
        <v>4430</v>
      </c>
      <c r="J1439" s="9"/>
      <c r="K1439" s="9" t="s">
        <v>4431</v>
      </c>
      <c r="L1439" s="9" t="s">
        <v>6172</v>
      </c>
      <c r="M1439" s="9" t="str">
        <f>HYPERLINK("https://ceds.ed.gov/cedselementdetails.aspx?termid=13350")</f>
        <v>https://ceds.ed.gov/cedselementdetails.aspx?termid=13350</v>
      </c>
      <c r="N1439" s="9" t="str">
        <f>HYPERLINK("https://ceds.ed.gov/elementComment.aspx?elementName=Operation Date &amp;elementID=13350", "Click here to submit comment")</f>
        <v>Click here to submit comment</v>
      </c>
    </row>
    <row r="1440" spans="1:14" ht="45" x14ac:dyDescent="0.25">
      <c r="A1440" s="9" t="s">
        <v>4432</v>
      </c>
      <c r="B1440" s="9" t="s">
        <v>4433</v>
      </c>
      <c r="C1440" s="9" t="s">
        <v>12</v>
      </c>
      <c r="D1440" s="9" t="s">
        <v>6162</v>
      </c>
      <c r="E1440" s="9"/>
      <c r="F1440" s="9" t="s">
        <v>73</v>
      </c>
      <c r="G1440" s="9"/>
      <c r="H1440" s="9"/>
      <c r="I1440" s="9" t="s">
        <v>4434</v>
      </c>
      <c r="J1440" s="9"/>
      <c r="K1440" s="9" t="s">
        <v>4435</v>
      </c>
      <c r="L1440" s="9" t="s">
        <v>199</v>
      </c>
      <c r="M1440" s="9" t="str">
        <f>HYPERLINK("https://ceds.ed.gov/cedselementdetails.aspx?termid=13525")</f>
        <v>https://ceds.ed.gov/cedselementdetails.aspx?termid=13525</v>
      </c>
      <c r="N1440" s="9" t="str">
        <f>HYPERLINK("https://ceds.ed.gov/elementComment.aspx?elementName=Operational Status Effective Date &amp;elementID=13525", "Click here to submit comment")</f>
        <v>Click here to submit comment</v>
      </c>
    </row>
    <row r="1441" spans="1:14" ht="90" x14ac:dyDescent="0.25">
      <c r="A1441" s="9" t="s">
        <v>4436</v>
      </c>
      <c r="B1441" s="9" t="s">
        <v>4437</v>
      </c>
      <c r="C1441" s="9" t="s">
        <v>6106</v>
      </c>
      <c r="D1441" s="9" t="s">
        <v>2351</v>
      </c>
      <c r="E1441" s="9"/>
      <c r="F1441" s="9"/>
      <c r="G1441" s="9"/>
      <c r="H1441" s="9"/>
      <c r="I1441" s="9" t="s">
        <v>4438</v>
      </c>
      <c r="J1441" s="9"/>
      <c r="K1441" s="9" t="s">
        <v>4439</v>
      </c>
      <c r="L1441" s="9"/>
      <c r="M1441" s="9" t="str">
        <f>HYPERLINK("https://ceds.ed.gov/cedselementdetails.aspx?termid=14385")</f>
        <v>https://ceds.ed.gov/cedselementdetails.aspx?termid=14385</v>
      </c>
      <c r="N1441" s="9" t="str">
        <f>HYPERLINK("https://ceds.ed.gov/elementComment.aspx?elementName=Oral Defense Completed Indicator &amp;elementID=14385", "Click here to submit comment")</f>
        <v>Click here to submit comment</v>
      </c>
    </row>
    <row r="1442" spans="1:14" ht="45" x14ac:dyDescent="0.25">
      <c r="A1442" s="9" t="s">
        <v>4440</v>
      </c>
      <c r="B1442" s="9" t="s">
        <v>4441</v>
      </c>
      <c r="C1442" s="9" t="s">
        <v>12</v>
      </c>
      <c r="D1442" s="9" t="s">
        <v>2351</v>
      </c>
      <c r="E1442" s="9"/>
      <c r="F1442" s="9" t="s">
        <v>73</v>
      </c>
      <c r="G1442" s="9"/>
      <c r="H1442" s="9"/>
      <c r="I1442" s="9" t="s">
        <v>4442</v>
      </c>
      <c r="J1442" s="9"/>
      <c r="K1442" s="9" t="s">
        <v>4443</v>
      </c>
      <c r="L1442" s="9"/>
      <c r="M1442" s="9" t="str">
        <f>HYPERLINK("https://ceds.ed.gov/cedselementdetails.aspx?termid=14386")</f>
        <v>https://ceds.ed.gov/cedselementdetails.aspx?termid=14386</v>
      </c>
      <c r="N1442" s="9" t="str">
        <f>HYPERLINK("https://ceds.ed.gov/elementComment.aspx?elementName=Oral Defense Date &amp;elementID=14386", "Click here to submit comment")</f>
        <v>Click here to submit comment</v>
      </c>
    </row>
    <row r="1443" spans="1:14" ht="409.5" x14ac:dyDescent="0.25">
      <c r="A1443" s="9" t="s">
        <v>4444</v>
      </c>
      <c r="B1443" s="9" t="s">
        <v>4445</v>
      </c>
      <c r="C1443" s="10" t="s">
        <v>11903</v>
      </c>
      <c r="D1443" s="9" t="s">
        <v>11651</v>
      </c>
      <c r="E1443" s="9"/>
      <c r="F1443" s="9"/>
      <c r="G1443" s="9"/>
      <c r="H1443" s="9"/>
      <c r="I1443" s="9" t="s">
        <v>4446</v>
      </c>
      <c r="J1443" s="9"/>
      <c r="K1443" s="9" t="s">
        <v>4447</v>
      </c>
      <c r="L1443" s="9" t="s">
        <v>64</v>
      </c>
      <c r="M1443" s="9" t="str">
        <f>HYPERLINK("https://ceds.ed.gov/cedselementdetails.aspx?termid=13827")</f>
        <v>https://ceds.ed.gov/cedselementdetails.aspx?termid=13827</v>
      </c>
      <c r="N1443" s="9" t="str">
        <f>HYPERLINK("https://ceds.ed.gov/elementComment.aspx?elementName=Organization Identification System &amp;elementID=13827", "Click here to submit comment")</f>
        <v>Click here to submit comment</v>
      </c>
    </row>
    <row r="1444" spans="1:14" ht="105" x14ac:dyDescent="0.25">
      <c r="A1444" s="18" t="s">
        <v>4448</v>
      </c>
      <c r="B1444" s="18" t="s">
        <v>4449</v>
      </c>
      <c r="C1444" s="18" t="s">
        <v>12</v>
      </c>
      <c r="D1444" s="18" t="s">
        <v>11652</v>
      </c>
      <c r="E1444" s="18"/>
      <c r="F1444" s="18" t="s">
        <v>119</v>
      </c>
      <c r="G1444" s="18"/>
      <c r="H1444" s="9" t="s">
        <v>120</v>
      </c>
      <c r="I1444" s="18" t="s">
        <v>4450</v>
      </c>
      <c r="J1444" s="18"/>
      <c r="K1444" s="18" t="s">
        <v>4451</v>
      </c>
      <c r="L1444" s="18" t="s">
        <v>64</v>
      </c>
      <c r="M1444" s="18" t="str">
        <f>HYPERLINK("https://ceds.ed.gov/cedselementdetails.aspx?termid=13825")</f>
        <v>https://ceds.ed.gov/cedselementdetails.aspx?termid=13825</v>
      </c>
      <c r="N1444" s="18" t="str">
        <f>HYPERLINK("https://ceds.ed.gov/elementComment.aspx?elementName=Organization Identifier &amp;elementID=13825", "Click here to submit comment")</f>
        <v>Click here to submit comment</v>
      </c>
    </row>
    <row r="1445" spans="1:14" x14ac:dyDescent="0.25">
      <c r="A1445" s="18"/>
      <c r="B1445" s="18"/>
      <c r="C1445" s="18"/>
      <c r="D1445" s="18"/>
      <c r="E1445" s="18"/>
      <c r="F1445" s="18"/>
      <c r="G1445" s="18"/>
      <c r="H1445" s="9"/>
      <c r="I1445" s="18"/>
      <c r="J1445" s="18"/>
      <c r="K1445" s="18"/>
      <c r="L1445" s="18"/>
      <c r="M1445" s="18"/>
      <c r="N1445" s="18"/>
    </row>
    <row r="1446" spans="1:14" ht="90" x14ac:dyDescent="0.25">
      <c r="A1446" s="18"/>
      <c r="B1446" s="18"/>
      <c r="C1446" s="18"/>
      <c r="D1446" s="18"/>
      <c r="E1446" s="18"/>
      <c r="F1446" s="18"/>
      <c r="G1446" s="18"/>
      <c r="H1446" s="9" t="s">
        <v>121</v>
      </c>
      <c r="I1446" s="18"/>
      <c r="J1446" s="18"/>
      <c r="K1446" s="18"/>
      <c r="L1446" s="18"/>
      <c r="M1446" s="18"/>
      <c r="N1446" s="18"/>
    </row>
    <row r="1447" spans="1:14" ht="195" x14ac:dyDescent="0.25">
      <c r="A1447" s="9" t="s">
        <v>11653</v>
      </c>
      <c r="B1447" s="9" t="s">
        <v>11654</v>
      </c>
      <c r="C1447" s="9" t="s">
        <v>12</v>
      </c>
      <c r="D1447" s="9" t="s">
        <v>11655</v>
      </c>
      <c r="E1447" s="9"/>
      <c r="F1447" s="9" t="s">
        <v>1143</v>
      </c>
      <c r="G1447" s="9"/>
      <c r="H1447" s="9"/>
      <c r="I1447" s="9" t="s">
        <v>11656</v>
      </c>
      <c r="J1447" s="9"/>
      <c r="K1447" s="9" t="s">
        <v>11657</v>
      </c>
      <c r="L1447" s="9"/>
      <c r="M1447" s="9" t="str">
        <f>HYPERLINK("https://ceds.ed.gov/cedselementdetails.aspx?termid=14644")</f>
        <v>https://ceds.ed.gov/cedselementdetails.aspx?termid=14644</v>
      </c>
      <c r="N1447" s="9" t="str">
        <f>HYPERLINK("https://ceds.ed.gov/elementComment.aspx?elementName=Organization Image URL &amp;elementID=14644", "Click here to submit comment")</f>
        <v>Click here to submit comment</v>
      </c>
    </row>
    <row r="1448" spans="1:14" ht="45" x14ac:dyDescent="0.25">
      <c r="A1448" s="9" t="s">
        <v>4452</v>
      </c>
      <c r="B1448" s="9" t="s">
        <v>4453</v>
      </c>
      <c r="C1448" s="10" t="s">
        <v>6628</v>
      </c>
      <c r="D1448" s="9" t="s">
        <v>4277</v>
      </c>
      <c r="E1448" s="9"/>
      <c r="F1448" s="9"/>
      <c r="G1448" s="9"/>
      <c r="H1448" s="9"/>
      <c r="I1448" s="9" t="s">
        <v>4454</v>
      </c>
      <c r="J1448" s="9"/>
      <c r="K1448" s="9" t="s">
        <v>4455</v>
      </c>
      <c r="L1448" s="9"/>
      <c r="M1448" s="9" t="str">
        <f>HYPERLINK("https://ceds.ed.gov/cedselementdetails.aspx?termid=14296")</f>
        <v>https://ceds.ed.gov/cedselementdetails.aspx?termid=14296</v>
      </c>
      <c r="N1448" s="9" t="str">
        <f>HYPERLINK("https://ceds.ed.gov/elementComment.aspx?elementName=Organization Monitoring Notifications &amp;elementID=14296", "Click here to submit comment")</f>
        <v>Click here to submit comment</v>
      </c>
    </row>
    <row r="1449" spans="1:14" ht="285" x14ac:dyDescent="0.25">
      <c r="A1449" s="9" t="s">
        <v>4456</v>
      </c>
      <c r="B1449" s="9" t="s">
        <v>4457</v>
      </c>
      <c r="C1449" s="9" t="s">
        <v>12</v>
      </c>
      <c r="D1449" s="9" t="s">
        <v>11658</v>
      </c>
      <c r="E1449" s="9"/>
      <c r="F1449" s="9" t="s">
        <v>92</v>
      </c>
      <c r="G1449" s="9"/>
      <c r="H1449" s="9"/>
      <c r="I1449" s="9" t="s">
        <v>4458</v>
      </c>
      <c r="J1449" s="9"/>
      <c r="K1449" s="9" t="s">
        <v>4459</v>
      </c>
      <c r="L1449" s="9" t="s">
        <v>182</v>
      </c>
      <c r="M1449" s="9" t="str">
        <f>HYPERLINK("https://ceds.ed.gov/cedselementdetails.aspx?termid=13204")</f>
        <v>https://ceds.ed.gov/cedselementdetails.aspx?termid=13204</v>
      </c>
      <c r="N1449" s="9" t="str">
        <f>HYPERLINK("https://ceds.ed.gov/elementComment.aspx?elementName=Organization Name &amp;elementID=13204", "Click here to submit comment")</f>
        <v>Click here to submit comment</v>
      </c>
    </row>
    <row r="1450" spans="1:14" ht="105" x14ac:dyDescent="0.25">
      <c r="A1450" s="9" t="s">
        <v>4460</v>
      </c>
      <c r="B1450" s="9" t="s">
        <v>4461</v>
      </c>
      <c r="C1450" s="10" t="s">
        <v>6629</v>
      </c>
      <c r="D1450" s="9" t="s">
        <v>11659</v>
      </c>
      <c r="E1450" s="9"/>
      <c r="F1450" s="9"/>
      <c r="G1450" s="9"/>
      <c r="H1450" s="9"/>
      <c r="I1450" s="9" t="s">
        <v>4462</v>
      </c>
      <c r="J1450" s="9"/>
      <c r="K1450" s="9" t="s">
        <v>4463</v>
      </c>
      <c r="L1450" s="9"/>
      <c r="M1450" s="9" t="str">
        <f>HYPERLINK("https://ceds.ed.gov/cedselementdetails.aspx?termid=14387")</f>
        <v>https://ceds.ed.gov/cedselementdetails.aspx?termid=14387</v>
      </c>
      <c r="N1450" s="9" t="str">
        <f>HYPERLINK("https://ceds.ed.gov/elementComment.aspx?elementName=Organization Operational Status &amp;elementID=14387", "Click here to submit comment")</f>
        <v>Click here to submit comment</v>
      </c>
    </row>
    <row r="1451" spans="1:14" ht="225" x14ac:dyDescent="0.25">
      <c r="A1451" s="9" t="s">
        <v>11660</v>
      </c>
      <c r="B1451" s="9" t="s">
        <v>11661</v>
      </c>
      <c r="C1451" s="9" t="s">
        <v>12</v>
      </c>
      <c r="D1451" s="9" t="s">
        <v>12216</v>
      </c>
      <c r="E1451" s="9" t="s">
        <v>91</v>
      </c>
      <c r="F1451" s="9" t="s">
        <v>11025</v>
      </c>
      <c r="G1451" s="9" t="s">
        <v>11663</v>
      </c>
      <c r="H1451" s="9"/>
      <c r="I1451" s="9" t="s">
        <v>11664</v>
      </c>
      <c r="J1451" s="9"/>
      <c r="K1451" s="9" t="s">
        <v>11665</v>
      </c>
      <c r="L1451" s="9"/>
      <c r="M1451" s="9" t="str">
        <f>HYPERLINK("https://ceds.ed.gov/cedselementdetails.aspx?termid=14731")</f>
        <v>https://ceds.ed.gov/cedselementdetails.aspx?termid=14731</v>
      </c>
      <c r="N1451" s="9" t="str">
        <f>HYPERLINK("https://ceds.ed.gov/elementComment.aspx?elementName=Organization Region GeoJSON &amp;elementID=14731", "Click here to submit comment")</f>
        <v>Click here to submit comment</v>
      </c>
    </row>
    <row r="1452" spans="1:14" ht="270" x14ac:dyDescent="0.25">
      <c r="A1452" s="9" t="s">
        <v>11666</v>
      </c>
      <c r="B1452" s="9" t="s">
        <v>11667</v>
      </c>
      <c r="C1452" s="10" t="s">
        <v>11904</v>
      </c>
      <c r="D1452" s="9" t="s">
        <v>11668</v>
      </c>
      <c r="E1452" s="9" t="s">
        <v>1457</v>
      </c>
      <c r="F1452" s="9"/>
      <c r="G1452" s="9"/>
      <c r="H1452" s="9"/>
      <c r="I1452" s="9" t="s">
        <v>11669</v>
      </c>
      <c r="J1452" s="9"/>
      <c r="K1452" s="9" t="s">
        <v>11670</v>
      </c>
      <c r="L1452" s="9"/>
      <c r="M1452" s="9" t="str">
        <f>HYPERLINK("https://ceds.ed.gov/cedselementdetails.aspx?termid=14886")</f>
        <v>https://ceds.ed.gov/cedselementdetails.aspx?termid=14886</v>
      </c>
      <c r="N1452" s="9" t="str">
        <f>HYPERLINK("https://ceds.ed.gov/elementComment.aspx?elementName=Organization Relationship Type &amp;elementID=14886", "Click here to submit comment")</f>
        <v>Click here to submit comment</v>
      </c>
    </row>
    <row r="1453" spans="1:14" ht="45" x14ac:dyDescent="0.25">
      <c r="A1453" s="9" t="s">
        <v>4464</v>
      </c>
      <c r="B1453" s="9" t="s">
        <v>4465</v>
      </c>
      <c r="C1453" s="9" t="s">
        <v>12</v>
      </c>
      <c r="D1453" s="9" t="s">
        <v>60</v>
      </c>
      <c r="E1453" s="9"/>
      <c r="F1453" s="9" t="s">
        <v>73</v>
      </c>
      <c r="G1453" s="9"/>
      <c r="H1453" s="9"/>
      <c r="I1453" s="9" t="s">
        <v>4466</v>
      </c>
      <c r="J1453" s="9"/>
      <c r="K1453" s="9" t="s">
        <v>4467</v>
      </c>
      <c r="L1453" s="9"/>
      <c r="M1453" s="9" t="str">
        <f>HYPERLINK("https://ceds.ed.gov/cedselementdetails.aspx?termid=14388")</f>
        <v>https://ceds.ed.gov/cedselementdetails.aspx?termid=14388</v>
      </c>
      <c r="N1453" s="9" t="str">
        <f>HYPERLINK("https://ceds.ed.gov/elementComment.aspx?elementName=Organization Seeking Accreditation Date &amp;elementID=14388", "Click here to submit comment")</f>
        <v>Click here to submit comment</v>
      </c>
    </row>
    <row r="1454" spans="1:14" ht="409.5" x14ac:dyDescent="0.25">
      <c r="A1454" s="9" t="s">
        <v>4468</v>
      </c>
      <c r="B1454" s="9" t="s">
        <v>4469</v>
      </c>
      <c r="C1454" s="10" t="s">
        <v>11905</v>
      </c>
      <c r="D1454" s="9" t="s">
        <v>11671</v>
      </c>
      <c r="E1454" s="9" t="s">
        <v>91</v>
      </c>
      <c r="F1454" s="9"/>
      <c r="G1454" s="9"/>
      <c r="H1454" s="9" t="s">
        <v>4470</v>
      </c>
      <c r="I1454" s="9" t="s">
        <v>4471</v>
      </c>
      <c r="J1454" s="9"/>
      <c r="K1454" s="9" t="s">
        <v>4472</v>
      </c>
      <c r="L1454" s="9"/>
      <c r="M1454" s="9" t="str">
        <f>HYPERLINK("https://ceds.ed.gov/cedselementdetails.aspx?termid=14165")</f>
        <v>https://ceds.ed.gov/cedselementdetails.aspx?termid=14165</v>
      </c>
      <c r="N1454" s="9" t="str">
        <f>HYPERLINK("https://ceds.ed.gov/elementComment.aspx?elementName=Organization Type &amp;elementID=14165", "Click here to submit comment")</f>
        <v>Click here to submit comment</v>
      </c>
    </row>
    <row r="1455" spans="1:14" ht="45" x14ac:dyDescent="0.25">
      <c r="A1455" s="9" t="s">
        <v>4473</v>
      </c>
      <c r="B1455" s="9" t="s">
        <v>4474</v>
      </c>
      <c r="C1455" s="9" t="s">
        <v>12</v>
      </c>
      <c r="D1455" s="9" t="s">
        <v>4277</v>
      </c>
      <c r="E1455" s="9"/>
      <c r="F1455" s="9" t="s">
        <v>68</v>
      </c>
      <c r="G1455" s="9"/>
      <c r="H1455" s="9"/>
      <c r="I1455" s="9" t="s">
        <v>4475</v>
      </c>
      <c r="J1455" s="9"/>
      <c r="K1455" s="9" t="s">
        <v>4476</v>
      </c>
      <c r="L1455" s="9"/>
      <c r="M1455" s="9" t="str">
        <f>HYPERLINK("https://ceds.ed.gov/cedselementdetails.aspx?termid=14300")</f>
        <v>https://ceds.ed.gov/cedselementdetails.aspx?termid=14300</v>
      </c>
      <c r="N1455" s="9" t="str">
        <f>HYPERLINK("https://ceds.ed.gov/elementComment.aspx?elementName=Organization Type of Monitoring &amp;elementID=14300", "Click here to submit comment")</f>
        <v>Click here to submit comment</v>
      </c>
    </row>
    <row r="1456" spans="1:14" ht="105" x14ac:dyDescent="0.25">
      <c r="A1456" s="18" t="s">
        <v>4477</v>
      </c>
      <c r="B1456" s="18" t="s">
        <v>4478</v>
      </c>
      <c r="C1456" s="18" t="s">
        <v>12</v>
      </c>
      <c r="D1456" s="18" t="s">
        <v>10935</v>
      </c>
      <c r="E1456" s="18"/>
      <c r="F1456" s="18" t="s">
        <v>119</v>
      </c>
      <c r="G1456" s="18"/>
      <c r="H1456" s="9" t="s">
        <v>120</v>
      </c>
      <c r="I1456" s="18" t="s">
        <v>4479</v>
      </c>
      <c r="J1456" s="18"/>
      <c r="K1456" s="18" t="s">
        <v>4480</v>
      </c>
      <c r="L1456" s="18"/>
      <c r="M1456" s="18" t="str">
        <f>HYPERLINK("https://ceds.ed.gov/cedselementdetails.aspx?termid=14389")</f>
        <v>https://ceds.ed.gov/cedselementdetails.aspx?termid=14389</v>
      </c>
      <c r="N1456" s="18" t="str">
        <f>HYPERLINK("https://ceds.ed.gov/elementComment.aspx?elementName=Original Course Identifier &amp;elementID=14389", "Click here to submit comment")</f>
        <v>Click here to submit comment</v>
      </c>
    </row>
    <row r="1457" spans="1:14" x14ac:dyDescent="0.25">
      <c r="A1457" s="18"/>
      <c r="B1457" s="18"/>
      <c r="C1457" s="18"/>
      <c r="D1457" s="18"/>
      <c r="E1457" s="18"/>
      <c r="F1457" s="18"/>
      <c r="G1457" s="18"/>
      <c r="H1457" s="9"/>
      <c r="I1457" s="18"/>
      <c r="J1457" s="18"/>
      <c r="K1457" s="18"/>
      <c r="L1457" s="18"/>
      <c r="M1457" s="18"/>
      <c r="N1457" s="18"/>
    </row>
    <row r="1458" spans="1:14" ht="90" x14ac:dyDescent="0.25">
      <c r="A1458" s="18"/>
      <c r="B1458" s="18"/>
      <c r="C1458" s="18"/>
      <c r="D1458" s="18"/>
      <c r="E1458" s="18"/>
      <c r="F1458" s="18"/>
      <c r="G1458" s="18"/>
      <c r="H1458" s="9" t="s">
        <v>121</v>
      </c>
      <c r="I1458" s="18"/>
      <c r="J1458" s="18"/>
      <c r="K1458" s="18"/>
      <c r="L1458" s="18"/>
      <c r="M1458" s="18"/>
      <c r="N1458" s="18"/>
    </row>
    <row r="1459" spans="1:14" ht="409.5" x14ac:dyDescent="0.25">
      <c r="A1459" s="9" t="s">
        <v>4481</v>
      </c>
      <c r="B1459" s="9" t="s">
        <v>4482</v>
      </c>
      <c r="C1459" s="9" t="s">
        <v>12</v>
      </c>
      <c r="D1459" s="9" t="s">
        <v>11672</v>
      </c>
      <c r="E1459" s="9"/>
      <c r="F1459" s="9" t="s">
        <v>1310</v>
      </c>
      <c r="G1459" s="9"/>
      <c r="H1459" s="9" t="s">
        <v>4483</v>
      </c>
      <c r="I1459" s="9" t="s">
        <v>4484</v>
      </c>
      <c r="J1459" s="9"/>
      <c r="K1459" s="9" t="s">
        <v>4485</v>
      </c>
      <c r="L1459" s="9"/>
      <c r="M1459" s="9" t="str">
        <f>HYPERLINK("https://ceds.ed.gov/cedselementdetails.aspx?termid=14486")</f>
        <v>https://ceds.ed.gov/cedselementdetails.aspx?termid=14486</v>
      </c>
      <c r="N1459" s="9" t="str">
        <f>HYPERLINK("https://ceds.ed.gov/elementComment.aspx?elementName=Other First Name &amp;elementID=14486", "Click here to submit comment")</f>
        <v>Click here to submit comment</v>
      </c>
    </row>
    <row r="1460" spans="1:14" ht="409.5" x14ac:dyDescent="0.25">
      <c r="A1460" s="9" t="s">
        <v>4486</v>
      </c>
      <c r="B1460" s="9" t="s">
        <v>4487</v>
      </c>
      <c r="C1460" s="9" t="s">
        <v>12</v>
      </c>
      <c r="D1460" s="9" t="s">
        <v>11672</v>
      </c>
      <c r="E1460" s="9"/>
      <c r="F1460" s="9" t="s">
        <v>1310</v>
      </c>
      <c r="G1460" s="9"/>
      <c r="H1460" s="9" t="s">
        <v>4488</v>
      </c>
      <c r="I1460" s="9" t="s">
        <v>4489</v>
      </c>
      <c r="J1460" s="9"/>
      <c r="K1460" s="9" t="s">
        <v>4490</v>
      </c>
      <c r="L1460" s="9"/>
      <c r="M1460" s="9" t="str">
        <f>HYPERLINK("https://ceds.ed.gov/cedselementdetails.aspx?termid=14485")</f>
        <v>https://ceds.ed.gov/cedselementdetails.aspx?termid=14485</v>
      </c>
      <c r="N1460" s="9" t="str">
        <f>HYPERLINK("https://ceds.ed.gov/elementComment.aspx?elementName=Other Last Name &amp;elementID=14485", "Click here to submit comment")</f>
        <v>Click here to submit comment</v>
      </c>
    </row>
    <row r="1461" spans="1:14" ht="409.5" x14ac:dyDescent="0.25">
      <c r="A1461" s="9" t="s">
        <v>4491</v>
      </c>
      <c r="B1461" s="9" t="s">
        <v>4492</v>
      </c>
      <c r="C1461" s="9" t="s">
        <v>12</v>
      </c>
      <c r="D1461" s="9" t="s">
        <v>11672</v>
      </c>
      <c r="E1461" s="9"/>
      <c r="F1461" s="9" t="s">
        <v>1310</v>
      </c>
      <c r="G1461" s="9"/>
      <c r="H1461" s="9" t="s">
        <v>4493</v>
      </c>
      <c r="I1461" s="9" t="s">
        <v>4494</v>
      </c>
      <c r="J1461" s="9"/>
      <c r="K1461" s="9" t="s">
        <v>4495</v>
      </c>
      <c r="L1461" s="9"/>
      <c r="M1461" s="9" t="str">
        <f>HYPERLINK("https://ceds.ed.gov/cedselementdetails.aspx?termid=14487")</f>
        <v>https://ceds.ed.gov/cedselementdetails.aspx?termid=14487</v>
      </c>
      <c r="N1461" s="9" t="str">
        <f>HYPERLINK("https://ceds.ed.gov/elementComment.aspx?elementName=Other Middle Name &amp;elementID=14487", "Click here to submit comment")</f>
        <v>Click here to submit comment</v>
      </c>
    </row>
    <row r="1462" spans="1:14" ht="409.5" x14ac:dyDescent="0.25">
      <c r="A1462" s="9" t="s">
        <v>4496</v>
      </c>
      <c r="B1462" s="9" t="s">
        <v>4497</v>
      </c>
      <c r="C1462" s="9" t="s">
        <v>12</v>
      </c>
      <c r="D1462" s="9" t="s">
        <v>11672</v>
      </c>
      <c r="E1462" s="9"/>
      <c r="F1462" s="9" t="s">
        <v>119</v>
      </c>
      <c r="G1462" s="9"/>
      <c r="H1462" s="9"/>
      <c r="I1462" s="9" t="s">
        <v>4498</v>
      </c>
      <c r="J1462" s="9"/>
      <c r="K1462" s="9" t="s">
        <v>4499</v>
      </c>
      <c r="L1462" s="9" t="s">
        <v>6212</v>
      </c>
      <c r="M1462" s="9" t="str">
        <f>HYPERLINK("https://ceds.ed.gov/cedselementdetails.aspx?termid=13206")</f>
        <v>https://ceds.ed.gov/cedselementdetails.aspx?termid=13206</v>
      </c>
      <c r="N1462" s="9" t="str">
        <f>HYPERLINK("https://ceds.ed.gov/elementComment.aspx?elementName=Other Name &amp;elementID=13206", "Click here to submit comment")</f>
        <v>Click here to submit comment</v>
      </c>
    </row>
    <row r="1463" spans="1:14" ht="409.5" x14ac:dyDescent="0.25">
      <c r="A1463" s="9" t="s">
        <v>4500</v>
      </c>
      <c r="B1463" s="9" t="s">
        <v>4501</v>
      </c>
      <c r="C1463" s="10" t="s">
        <v>6630</v>
      </c>
      <c r="D1463" s="9" t="s">
        <v>11673</v>
      </c>
      <c r="E1463" s="9"/>
      <c r="F1463" s="9" t="s">
        <v>87</v>
      </c>
      <c r="G1463" s="9"/>
      <c r="H1463" s="9"/>
      <c r="I1463" s="9" t="s">
        <v>4502</v>
      </c>
      <c r="J1463" s="9"/>
      <c r="K1463" s="9" t="s">
        <v>4503</v>
      </c>
      <c r="L1463" s="9" t="s">
        <v>6251</v>
      </c>
      <c r="M1463" s="9" t="str">
        <f>HYPERLINK("https://ceds.ed.gov/cedselementdetails.aspx?termid=13627")</f>
        <v>https://ceds.ed.gov/cedselementdetails.aspx?termid=13627</v>
      </c>
      <c r="N1463" s="9" t="str">
        <f>HYPERLINK("https://ceds.ed.gov/elementComment.aspx?elementName=Other Name Type &amp;elementID=13627", "Click here to submit comment")</f>
        <v>Click here to submit comment</v>
      </c>
    </row>
    <row r="1464" spans="1:14" ht="45" x14ac:dyDescent="0.25">
      <c r="A1464" s="9" t="s">
        <v>4504</v>
      </c>
      <c r="B1464" s="9" t="s">
        <v>4505</v>
      </c>
      <c r="C1464" s="9" t="s">
        <v>6106</v>
      </c>
      <c r="D1464" s="9" t="s">
        <v>2958</v>
      </c>
      <c r="E1464" s="9"/>
      <c r="F1464" s="9"/>
      <c r="G1464" s="9"/>
      <c r="H1464" s="9" t="s">
        <v>4506</v>
      </c>
      <c r="I1464" s="9" t="s">
        <v>4507</v>
      </c>
      <c r="J1464" s="9"/>
      <c r="K1464" s="9" t="s">
        <v>4508</v>
      </c>
      <c r="L1464" s="9"/>
      <c r="M1464" s="9" t="str">
        <f>HYPERLINK("https://ceds.ed.gov/cedselementdetails.aspx?termid=14390")</f>
        <v>https://ceds.ed.gov/cedselementdetails.aspx?termid=14390</v>
      </c>
      <c r="N1464" s="9" t="str">
        <f>HYPERLINK("https://ceds.ed.gov/elementComment.aspx?elementName=Other Race Indicator &amp;elementID=14390", "Click here to submit comment")</f>
        <v>Click here to submit comment</v>
      </c>
    </row>
    <row r="1465" spans="1:14" ht="75" x14ac:dyDescent="0.25">
      <c r="A1465" s="9" t="s">
        <v>4509</v>
      </c>
      <c r="B1465" s="9" t="s">
        <v>4510</v>
      </c>
      <c r="C1465" s="9" t="s">
        <v>12</v>
      </c>
      <c r="D1465" s="9" t="s">
        <v>213</v>
      </c>
      <c r="E1465" s="9"/>
      <c r="F1465" s="9" t="s">
        <v>1513</v>
      </c>
      <c r="G1465" s="9"/>
      <c r="H1465" s="9" t="s">
        <v>344</v>
      </c>
      <c r="I1465" s="9" t="s">
        <v>4511</v>
      </c>
      <c r="J1465" s="9"/>
      <c r="K1465" s="9" t="s">
        <v>4512</v>
      </c>
      <c r="L1465" s="9" t="s">
        <v>1552</v>
      </c>
      <c r="M1465" s="9" t="str">
        <f>HYPERLINK("https://ceds.ed.gov/cedselementdetails.aspx?termid=13731")</f>
        <v>https://ceds.ed.gov/cedselementdetails.aspx?termid=13731</v>
      </c>
      <c r="N1465" s="9" t="str">
        <f>HYPERLINK("https://ceds.ed.gov/elementComment.aspx?elementName=Other Student Expenses &amp;elementID=13731", "Click here to submit comment")</f>
        <v>Click here to submit comment</v>
      </c>
    </row>
    <row r="1466" spans="1:14" ht="75" x14ac:dyDescent="0.25">
      <c r="A1466" s="9" t="s">
        <v>4513</v>
      </c>
      <c r="B1466" s="9" t="s">
        <v>4514</v>
      </c>
      <c r="C1466" s="9" t="s">
        <v>12</v>
      </c>
      <c r="D1466" s="9" t="s">
        <v>10935</v>
      </c>
      <c r="E1466" s="9"/>
      <c r="F1466" s="9" t="s">
        <v>87</v>
      </c>
      <c r="G1466" s="9"/>
      <c r="H1466" s="9"/>
      <c r="I1466" s="9" t="s">
        <v>4515</v>
      </c>
      <c r="J1466" s="9"/>
      <c r="K1466" s="9" t="s">
        <v>4516</v>
      </c>
      <c r="L1466" s="9"/>
      <c r="M1466" s="9" t="str">
        <f>HYPERLINK("https://ceds.ed.gov/cedselementdetails.aspx?termid=14391")</f>
        <v>https://ceds.ed.gov/cedselementdetails.aspx?termid=14391</v>
      </c>
      <c r="N1466" s="9" t="str">
        <f>HYPERLINK("https://ceds.ed.gov/elementComment.aspx?elementName=Override School Course Number &amp;elementID=14391", "Click here to submit comment")</f>
        <v>Click here to submit comment</v>
      </c>
    </row>
    <row r="1467" spans="1:14" ht="60" x14ac:dyDescent="0.25">
      <c r="A1467" s="9" t="s">
        <v>4517</v>
      </c>
      <c r="B1467" s="9" t="s">
        <v>4518</v>
      </c>
      <c r="C1467" s="10" t="s">
        <v>6631</v>
      </c>
      <c r="D1467" s="9" t="s">
        <v>3137</v>
      </c>
      <c r="E1467" s="9"/>
      <c r="F1467" s="9"/>
      <c r="G1467" s="9"/>
      <c r="H1467" s="9"/>
      <c r="I1467" s="9" t="s">
        <v>4519</v>
      </c>
      <c r="J1467" s="9"/>
      <c r="K1467" s="9" t="s">
        <v>4520</v>
      </c>
      <c r="L1467" s="9" t="s">
        <v>199</v>
      </c>
      <c r="M1467" s="9" t="str">
        <f>HYPERLINK("https://ceds.ed.gov/cedselementdetails.aspx?termid=13207")</f>
        <v>https://ceds.ed.gov/cedselementdetails.aspx?termid=13207</v>
      </c>
      <c r="N1467" s="9" t="str">
        <f>HYPERLINK("https://ceds.ed.gov/elementComment.aspx?elementName=Paraprofessional Qualification Status &amp;elementID=13207", "Click here to submit comment")</f>
        <v>Click here to submit comment</v>
      </c>
    </row>
    <row r="1468" spans="1:14" ht="150" x14ac:dyDescent="0.25">
      <c r="A1468" s="9" t="s">
        <v>4521</v>
      </c>
      <c r="B1468" s="9" t="s">
        <v>4522</v>
      </c>
      <c r="C1468" s="10" t="s">
        <v>6632</v>
      </c>
      <c r="D1468" s="9" t="s">
        <v>1384</v>
      </c>
      <c r="E1468" s="9"/>
      <c r="F1468" s="9"/>
      <c r="G1468" s="9"/>
      <c r="H1468" s="9"/>
      <c r="I1468" s="9" t="s">
        <v>4523</v>
      </c>
      <c r="J1468" s="9"/>
      <c r="K1468" s="9" t="s">
        <v>4524</v>
      </c>
      <c r="L1468" s="9" t="s">
        <v>64</v>
      </c>
      <c r="M1468" s="9" t="str">
        <f>HYPERLINK("https://ceds.ed.gov/cedselementdetails.aspx?termid=13857")</f>
        <v>https://ceds.ed.gov/cedselementdetails.aspx?termid=13857</v>
      </c>
      <c r="N1468" s="9" t="str">
        <f>HYPERLINK("https://ceds.ed.gov/elementComment.aspx?elementName=Parent Communication Method &amp;elementID=13857", "Click here to submit comment")</f>
        <v>Click here to submit comment</v>
      </c>
    </row>
    <row r="1469" spans="1:14" ht="409.5" x14ac:dyDescent="0.25">
      <c r="A1469" s="9" t="s">
        <v>4525</v>
      </c>
      <c r="B1469" s="9" t="s">
        <v>4526</v>
      </c>
      <c r="C1469" s="10" t="s">
        <v>6520</v>
      </c>
      <c r="D1469" s="9" t="s">
        <v>2265</v>
      </c>
      <c r="E1469" s="9"/>
      <c r="F1469" s="9"/>
      <c r="G1469" s="9"/>
      <c r="H1469" s="9"/>
      <c r="I1469" s="9" t="s">
        <v>4527</v>
      </c>
      <c r="J1469" s="9"/>
      <c r="K1469" s="9" t="s">
        <v>4528</v>
      </c>
      <c r="L1469" s="9" t="s">
        <v>6193</v>
      </c>
      <c r="M1469" s="9" t="str">
        <f>HYPERLINK("https://ceds.ed.gov/cedselementdetails.aspx?termid=13867")</f>
        <v>https://ceds.ed.gov/cedselementdetails.aspx?termid=13867</v>
      </c>
      <c r="N1469" s="9" t="str">
        <f>HYPERLINK("https://ceds.ed.gov/elementComment.aspx?elementName=Part-Time Employee Benefits &amp;elementID=13867", "Click here to submit comment")</f>
        <v>Click here to submit comment</v>
      </c>
    </row>
    <row r="1470" spans="1:14" ht="300" x14ac:dyDescent="0.25">
      <c r="A1470" s="9" t="s">
        <v>4529</v>
      </c>
      <c r="B1470" s="9" t="s">
        <v>4530</v>
      </c>
      <c r="C1470" s="10" t="s">
        <v>6633</v>
      </c>
      <c r="D1470" s="9" t="s">
        <v>6252</v>
      </c>
      <c r="E1470" s="9"/>
      <c r="F1470" s="9"/>
      <c r="G1470" s="9"/>
      <c r="H1470" s="9"/>
      <c r="I1470" s="9" t="s">
        <v>4531</v>
      </c>
      <c r="J1470" s="9"/>
      <c r="K1470" s="9" t="s">
        <v>4532</v>
      </c>
      <c r="L1470" s="9" t="s">
        <v>6124</v>
      </c>
      <c r="M1470" s="9" t="str">
        <f>HYPERLINK("https://ceds.ed.gov/cedselementdetails.aspx?termid=13325")</f>
        <v>https://ceds.ed.gov/cedselementdetails.aspx?termid=13325</v>
      </c>
      <c r="N1470" s="9" t="str">
        <f>HYPERLINK("https://ceds.ed.gov/elementComment.aspx?elementName=Participation in School Food Service Programs &amp;elementID=13325", "Click here to submit comment")</f>
        <v>Click here to submit comment</v>
      </c>
    </row>
    <row r="1471" spans="1:14" ht="120" x14ac:dyDescent="0.25">
      <c r="A1471" s="9" t="s">
        <v>4533</v>
      </c>
      <c r="B1471" s="9" t="s">
        <v>4534</v>
      </c>
      <c r="C1471" s="10" t="s">
        <v>6634</v>
      </c>
      <c r="D1471" s="9" t="s">
        <v>6116</v>
      </c>
      <c r="E1471" s="9"/>
      <c r="F1471" s="9"/>
      <c r="G1471" s="9"/>
      <c r="H1471" s="9"/>
      <c r="I1471" s="9" t="s">
        <v>4535</v>
      </c>
      <c r="J1471" s="9"/>
      <c r="K1471" s="9" t="s">
        <v>4536</v>
      </c>
      <c r="L1471" s="9" t="s">
        <v>199</v>
      </c>
      <c r="M1471" s="9" t="str">
        <f>HYPERLINK("https://ceds.ed.gov/cedselementdetails.aspx?termid=13208")</f>
        <v>https://ceds.ed.gov/cedselementdetails.aspx?termid=13208</v>
      </c>
      <c r="N1471" s="9" t="str">
        <f>HYPERLINK("https://ceds.ed.gov/elementComment.aspx?elementName=Participation Status for Math &amp;elementID=13208", "Click here to submit comment")</f>
        <v>Click here to submit comment</v>
      </c>
    </row>
    <row r="1472" spans="1:14" ht="120" x14ac:dyDescent="0.25">
      <c r="A1472" s="9" t="s">
        <v>4537</v>
      </c>
      <c r="B1472" s="9" t="s">
        <v>4538</v>
      </c>
      <c r="C1472" s="10" t="s">
        <v>6634</v>
      </c>
      <c r="D1472" s="9" t="s">
        <v>6116</v>
      </c>
      <c r="E1472" s="9"/>
      <c r="F1472" s="9"/>
      <c r="G1472" s="9"/>
      <c r="H1472" s="9"/>
      <c r="I1472" s="9" t="s">
        <v>4539</v>
      </c>
      <c r="J1472" s="9"/>
      <c r="K1472" s="9" t="s">
        <v>4540</v>
      </c>
      <c r="L1472" s="9" t="s">
        <v>199</v>
      </c>
      <c r="M1472" s="9" t="str">
        <f>HYPERLINK("https://ceds.ed.gov/cedselementdetails.aspx?termid=13209")</f>
        <v>https://ceds.ed.gov/cedselementdetails.aspx?termid=13209</v>
      </c>
      <c r="N1472" s="9" t="str">
        <f>HYPERLINK("https://ceds.ed.gov/elementComment.aspx?elementName=Participation Status for Reading and Language Arts &amp;elementID=13209", "Click here to submit comment")</f>
        <v>Click here to submit comment</v>
      </c>
    </row>
    <row r="1473" spans="1:14" ht="165" x14ac:dyDescent="0.25">
      <c r="A1473" s="9" t="s">
        <v>4541</v>
      </c>
      <c r="B1473" s="9" t="s">
        <v>4542</v>
      </c>
      <c r="C1473" s="10" t="s">
        <v>6610</v>
      </c>
      <c r="D1473" s="9" t="s">
        <v>1587</v>
      </c>
      <c r="E1473" s="9"/>
      <c r="F1473" s="9"/>
      <c r="G1473" s="9"/>
      <c r="H1473" s="9"/>
      <c r="I1473" s="9" t="s">
        <v>4543</v>
      </c>
      <c r="J1473" s="9"/>
      <c r="K1473" s="9" t="s">
        <v>4544</v>
      </c>
      <c r="L1473" s="9"/>
      <c r="M1473" s="9" t="str">
        <f>HYPERLINK("https://ceds.ed.gov/cedselementdetails.aspx?termid=14195")</f>
        <v>https://ceds.ed.gov/cedselementdetails.aspx?termid=14195</v>
      </c>
      <c r="N1473" s="9" t="str">
        <f>HYPERLINK("https://ceds.ed.gov/elementComment.aspx?elementName=Paternal Guardian Education &amp;elementID=14195", "Click here to submit comment")</f>
        <v>Click here to submit comment</v>
      </c>
    </row>
    <row r="1474" spans="1:14" ht="45" x14ac:dyDescent="0.25">
      <c r="A1474" s="9" t="s">
        <v>4545</v>
      </c>
      <c r="B1474" s="9" t="s">
        <v>4546</v>
      </c>
      <c r="C1474" s="9" t="s">
        <v>12</v>
      </c>
      <c r="D1474" s="9" t="s">
        <v>11629</v>
      </c>
      <c r="E1474" s="9"/>
      <c r="F1474" s="9" t="s">
        <v>73</v>
      </c>
      <c r="G1474" s="9"/>
      <c r="H1474" s="9"/>
      <c r="I1474" s="9" t="s">
        <v>4547</v>
      </c>
      <c r="J1474" s="9"/>
      <c r="K1474" s="9" t="s">
        <v>4548</v>
      </c>
      <c r="L1474" s="9"/>
      <c r="M1474" s="9" t="str">
        <f>HYPERLINK("https://ceds.ed.gov/cedselementdetails.aspx?termid=14171")</f>
        <v>https://ceds.ed.gov/cedselementdetails.aspx?termid=14171</v>
      </c>
      <c r="N1474" s="9" t="str">
        <f>HYPERLINK("https://ceds.ed.gov/elementComment.aspx?elementName=Peer Rating Date &amp;elementID=14171", "Click here to submit comment")</f>
        <v>Click here to submit comment</v>
      </c>
    </row>
    <row r="1475" spans="1:14" ht="45" x14ac:dyDescent="0.25">
      <c r="A1475" s="9" t="s">
        <v>4549</v>
      </c>
      <c r="B1475" s="9" t="s">
        <v>4550</v>
      </c>
      <c r="C1475" s="9" t="s">
        <v>12</v>
      </c>
      <c r="D1475" s="9" t="s">
        <v>11674</v>
      </c>
      <c r="E1475" s="9"/>
      <c r="F1475" s="9" t="s">
        <v>3018</v>
      </c>
      <c r="G1475" s="9"/>
      <c r="H1475" s="9"/>
      <c r="I1475" s="9" t="s">
        <v>4551</v>
      </c>
      <c r="J1475" s="9"/>
      <c r="K1475" s="9" t="s">
        <v>4552</v>
      </c>
      <c r="L1475" s="9"/>
      <c r="M1475" s="9" t="str">
        <f>HYPERLINK("https://ceds.ed.gov/cedselementdetails.aspx?termid=14162")</f>
        <v>https://ceds.ed.gov/cedselementdetails.aspx?termid=14162</v>
      </c>
      <c r="N1475" s="9" t="str">
        <f>HYPERLINK("https://ceds.ed.gov/elementComment.aspx?elementName=Peer Rating System Maximum Value &amp;elementID=14162", "Click here to submit comment")</f>
        <v>Click here to submit comment</v>
      </c>
    </row>
    <row r="1476" spans="1:14" ht="45" x14ac:dyDescent="0.25">
      <c r="A1476" s="9" t="s">
        <v>4553</v>
      </c>
      <c r="B1476" s="9" t="s">
        <v>4554</v>
      </c>
      <c r="C1476" s="9" t="s">
        <v>12</v>
      </c>
      <c r="D1476" s="9" t="s">
        <v>11674</v>
      </c>
      <c r="E1476" s="9"/>
      <c r="F1476" s="9" t="s">
        <v>3018</v>
      </c>
      <c r="G1476" s="9"/>
      <c r="H1476" s="9"/>
      <c r="I1476" s="9" t="s">
        <v>4555</v>
      </c>
      <c r="J1476" s="9"/>
      <c r="K1476" s="9" t="s">
        <v>4556</v>
      </c>
      <c r="L1476" s="9"/>
      <c r="M1476" s="9" t="str">
        <f>HYPERLINK("https://ceds.ed.gov/cedselementdetails.aspx?termid=14163")</f>
        <v>https://ceds.ed.gov/cedselementdetails.aspx?termid=14163</v>
      </c>
      <c r="N1476" s="9" t="str">
        <f>HYPERLINK("https://ceds.ed.gov/elementComment.aspx?elementName=Peer Rating System Minimum Value &amp;elementID=14163", "Click here to submit comment")</f>
        <v>Click here to submit comment</v>
      </c>
    </row>
    <row r="1477" spans="1:14" ht="45" x14ac:dyDescent="0.25">
      <c r="A1477" s="9" t="s">
        <v>4557</v>
      </c>
      <c r="B1477" s="9" t="s">
        <v>4558</v>
      </c>
      <c r="C1477" s="9" t="s">
        <v>12</v>
      </c>
      <c r="D1477" s="9" t="s">
        <v>11674</v>
      </c>
      <c r="E1477" s="9"/>
      <c r="F1477" s="9" t="s">
        <v>92</v>
      </c>
      <c r="G1477" s="9"/>
      <c r="H1477" s="9"/>
      <c r="I1477" s="9" t="s">
        <v>4559</v>
      </c>
      <c r="J1477" s="9"/>
      <c r="K1477" s="9" t="s">
        <v>4560</v>
      </c>
      <c r="L1477" s="9"/>
      <c r="M1477" s="9" t="str">
        <f>HYPERLINK("https://ceds.ed.gov/cedselementdetails.aspx?termid=14160")</f>
        <v>https://ceds.ed.gov/cedselementdetails.aspx?termid=14160</v>
      </c>
      <c r="N1477" s="9" t="str">
        <f>HYPERLINK("https://ceds.ed.gov/elementComment.aspx?elementName=Peer Rating System Name &amp;elementID=14160", "Click here to submit comment")</f>
        <v>Click here to submit comment</v>
      </c>
    </row>
    <row r="1478" spans="1:14" ht="75" x14ac:dyDescent="0.25">
      <c r="A1478" s="9" t="s">
        <v>4561</v>
      </c>
      <c r="B1478" s="9" t="s">
        <v>4562</v>
      </c>
      <c r="C1478" s="9" t="s">
        <v>12</v>
      </c>
      <c r="D1478" s="9" t="s">
        <v>11674</v>
      </c>
      <c r="E1478" s="9"/>
      <c r="F1478" s="9" t="s">
        <v>3018</v>
      </c>
      <c r="G1478" s="9"/>
      <c r="H1478" s="9"/>
      <c r="I1478" s="9" t="s">
        <v>4563</v>
      </c>
      <c r="J1478" s="9"/>
      <c r="K1478" s="9" t="s">
        <v>4564</v>
      </c>
      <c r="L1478" s="9"/>
      <c r="M1478" s="9" t="str">
        <f>HYPERLINK("https://ceds.ed.gov/cedselementdetails.aspx?termid=14164")</f>
        <v>https://ceds.ed.gov/cedselementdetails.aspx?termid=14164</v>
      </c>
      <c r="N1478" s="9" t="str">
        <f>HYPERLINK("https://ceds.ed.gov/elementComment.aspx?elementName=Peer Rating System Optimum Value &amp;elementID=14164", "Click here to submit comment")</f>
        <v>Click here to submit comment</v>
      </c>
    </row>
    <row r="1479" spans="1:14" ht="210" x14ac:dyDescent="0.25">
      <c r="A1479" s="9" t="s">
        <v>4565</v>
      </c>
      <c r="B1479" s="9" t="s">
        <v>4566</v>
      </c>
      <c r="C1479" s="9" t="s">
        <v>6106</v>
      </c>
      <c r="D1479" s="9" t="s">
        <v>11144</v>
      </c>
      <c r="E1479" s="9"/>
      <c r="F1479" s="9"/>
      <c r="G1479" s="9"/>
      <c r="H1479" s="9"/>
      <c r="I1479" s="9" t="s">
        <v>4567</v>
      </c>
      <c r="J1479" s="9" t="s">
        <v>4568</v>
      </c>
      <c r="K1479" s="9" t="s">
        <v>4569</v>
      </c>
      <c r="L1479" s="9" t="s">
        <v>199</v>
      </c>
      <c r="M1479" s="9" t="str">
        <f>HYPERLINK("https://ceds.ed.gov/cedselementdetails.aspx?termid=13574")</f>
        <v>https://ceds.ed.gov/cedselementdetails.aspx?termid=13574</v>
      </c>
      <c r="N1479" s="9" t="str">
        <f>HYPERLINK("https://ceds.ed.gov/elementComment.aspx?elementName=Perkins Limited English Proficiency Status &amp;elementID=13574", "Click here to submit comment")</f>
        <v>Click here to submit comment</v>
      </c>
    </row>
    <row r="1480" spans="1:14" ht="45" x14ac:dyDescent="0.25">
      <c r="A1480" s="9" t="s">
        <v>4570</v>
      </c>
      <c r="B1480" s="9" t="s">
        <v>4571</v>
      </c>
      <c r="C1480" s="9" t="s">
        <v>6106</v>
      </c>
      <c r="D1480" s="9" t="s">
        <v>1882</v>
      </c>
      <c r="E1480" s="9"/>
      <c r="F1480" s="9"/>
      <c r="G1480" s="9"/>
      <c r="H1480" s="9"/>
      <c r="I1480" s="9" t="s">
        <v>4572</v>
      </c>
      <c r="J1480" s="9"/>
      <c r="K1480" s="9" t="s">
        <v>4573</v>
      </c>
      <c r="L1480" s="9" t="s">
        <v>199</v>
      </c>
      <c r="M1480" s="9" t="str">
        <f>HYPERLINK("https://ceds.ed.gov/cedselementdetails.aspx?termid=13210")</f>
        <v>https://ceds.ed.gov/cedselementdetails.aspx?termid=13210</v>
      </c>
      <c r="N1480" s="9" t="str">
        <f>HYPERLINK("https://ceds.ed.gov/elementComment.aspx?elementName=Persistently Dangerous Status &amp;elementID=13210", "Click here to submit comment")</f>
        <v>Click here to submit comment</v>
      </c>
    </row>
    <row r="1481" spans="1:14" ht="45" x14ac:dyDescent="0.25">
      <c r="A1481" s="9" t="s">
        <v>4574</v>
      </c>
      <c r="B1481" s="9" t="s">
        <v>4575</v>
      </c>
      <c r="C1481" s="9" t="s">
        <v>6106</v>
      </c>
      <c r="D1481" s="9" t="s">
        <v>1882</v>
      </c>
      <c r="E1481" s="9"/>
      <c r="F1481" s="9"/>
      <c r="G1481" s="9"/>
      <c r="H1481" s="9"/>
      <c r="I1481" s="9" t="s">
        <v>4576</v>
      </c>
      <c r="J1481" s="9"/>
      <c r="K1481" s="9" t="s">
        <v>4577</v>
      </c>
      <c r="L1481" s="9" t="s">
        <v>199</v>
      </c>
      <c r="M1481" s="9" t="str">
        <f>HYPERLINK("https://ceds.ed.gov/cedselementdetails.aspx?termid=13211")</f>
        <v>https://ceds.ed.gov/cedselementdetails.aspx?termid=13211</v>
      </c>
      <c r="N1481" s="9" t="str">
        <f>HYPERLINK("https://ceds.ed.gov/elementComment.aspx?elementName=Persistently Lowest Achieving School Status &amp;elementID=13211", "Click here to submit comment")</f>
        <v>Click here to submit comment</v>
      </c>
    </row>
    <row r="1482" spans="1:14" ht="225" x14ac:dyDescent="0.25">
      <c r="A1482" s="9" t="s">
        <v>4578</v>
      </c>
      <c r="B1482" s="9" t="s">
        <v>4579</v>
      </c>
      <c r="C1482" s="9" t="s">
        <v>12</v>
      </c>
      <c r="D1482" s="9" t="s">
        <v>2618</v>
      </c>
      <c r="E1482" s="9"/>
      <c r="F1482" s="9" t="s">
        <v>10489</v>
      </c>
      <c r="G1482" s="9"/>
      <c r="H1482" s="9" t="s">
        <v>4580</v>
      </c>
      <c r="I1482" s="9" t="s">
        <v>4581</v>
      </c>
      <c r="J1482" s="9"/>
      <c r="K1482" s="9" t="s">
        <v>4582</v>
      </c>
      <c r="L1482" s="9"/>
      <c r="M1482" s="9" t="str">
        <f>HYPERLINK("https://ceds.ed.gov/cedselementdetails.aspx?termid=13993")</f>
        <v>https://ceds.ed.gov/cedselementdetails.aspx?termid=13993</v>
      </c>
      <c r="N1482" s="9" t="str">
        <f>HYPERLINK("https://ceds.ed.gov/elementComment.aspx?elementName=Person Employed in Multiple Jobs Count &amp;elementID=13993", "Click here to submit comment")</f>
        <v>Click here to submit comment</v>
      </c>
    </row>
    <row r="1483" spans="1:14" ht="409.5" x14ac:dyDescent="0.25">
      <c r="A1483" s="9" t="s">
        <v>4583</v>
      </c>
      <c r="B1483" s="9" t="s">
        <v>4584</v>
      </c>
      <c r="C1483" s="10" t="s">
        <v>6635</v>
      </c>
      <c r="D1483" s="9" t="s">
        <v>11675</v>
      </c>
      <c r="E1483" s="9"/>
      <c r="F1483" s="9"/>
      <c r="G1483" s="9"/>
      <c r="H1483" s="9"/>
      <c r="I1483" s="9" t="s">
        <v>4585</v>
      </c>
      <c r="J1483" s="9"/>
      <c r="K1483" s="9" t="s">
        <v>4586</v>
      </c>
      <c r="L1483" s="9"/>
      <c r="M1483" s="9" t="str">
        <f>HYPERLINK("https://ceds.ed.gov/cedselementdetails.aspx?termid=14550")</f>
        <v>https://ceds.ed.gov/cedselementdetails.aspx?termid=14550</v>
      </c>
      <c r="N1483" s="9" t="str">
        <f>HYPERLINK("https://ceds.ed.gov/elementComment.aspx?elementName=Person Identification System &amp;elementID=14550", "Click here to submit comment")</f>
        <v>Click here to submit comment</v>
      </c>
    </row>
    <row r="1484" spans="1:14" ht="105" x14ac:dyDescent="0.25">
      <c r="A1484" s="18" t="s">
        <v>4587</v>
      </c>
      <c r="B1484" s="18" t="s">
        <v>4588</v>
      </c>
      <c r="C1484" s="18" t="s">
        <v>12</v>
      </c>
      <c r="D1484" s="18" t="s">
        <v>11675</v>
      </c>
      <c r="E1484" s="18"/>
      <c r="F1484" s="18" t="s">
        <v>119</v>
      </c>
      <c r="G1484" s="18"/>
      <c r="H1484" s="9" t="s">
        <v>120</v>
      </c>
      <c r="I1484" s="18" t="s">
        <v>4589</v>
      </c>
      <c r="J1484" s="18"/>
      <c r="K1484" s="18" t="s">
        <v>4590</v>
      </c>
      <c r="L1484" s="18"/>
      <c r="M1484" s="18" t="str">
        <f>HYPERLINK("https://ceds.ed.gov/cedselementdetails.aspx?termid=14551")</f>
        <v>https://ceds.ed.gov/cedselementdetails.aspx?termid=14551</v>
      </c>
      <c r="N1484" s="18" t="str">
        <f>HYPERLINK("https://ceds.ed.gov/elementComment.aspx?elementName=Person Identifier &amp;elementID=14551", "Click here to submit comment")</f>
        <v>Click here to submit comment</v>
      </c>
    </row>
    <row r="1485" spans="1:14" x14ac:dyDescent="0.25">
      <c r="A1485" s="18"/>
      <c r="B1485" s="18"/>
      <c r="C1485" s="18"/>
      <c r="D1485" s="18"/>
      <c r="E1485" s="18"/>
      <c r="F1485" s="18"/>
      <c r="G1485" s="18"/>
      <c r="H1485" s="9"/>
      <c r="I1485" s="18"/>
      <c r="J1485" s="18"/>
      <c r="K1485" s="18"/>
      <c r="L1485" s="18"/>
      <c r="M1485" s="18"/>
      <c r="N1485" s="18"/>
    </row>
    <row r="1486" spans="1:14" ht="90" x14ac:dyDescent="0.25">
      <c r="A1486" s="18"/>
      <c r="B1486" s="18"/>
      <c r="C1486" s="18"/>
      <c r="D1486" s="18"/>
      <c r="E1486" s="18"/>
      <c r="F1486" s="18"/>
      <c r="G1486" s="18"/>
      <c r="H1486" s="9" t="s">
        <v>121</v>
      </c>
      <c r="I1486" s="18"/>
      <c r="J1486" s="18"/>
      <c r="K1486" s="18"/>
      <c r="L1486" s="18"/>
      <c r="M1486" s="18"/>
      <c r="N1486" s="18"/>
    </row>
    <row r="1487" spans="1:14" ht="60" x14ac:dyDescent="0.25">
      <c r="A1487" s="9" t="s">
        <v>4591</v>
      </c>
      <c r="B1487" s="9" t="s">
        <v>4592</v>
      </c>
      <c r="C1487" s="9" t="s">
        <v>12</v>
      </c>
      <c r="D1487" s="9" t="s">
        <v>6194</v>
      </c>
      <c r="E1487" s="9"/>
      <c r="F1487" s="9" t="s">
        <v>10489</v>
      </c>
      <c r="G1487" s="9"/>
      <c r="H1487" s="9"/>
      <c r="I1487" s="9" t="s">
        <v>4593</v>
      </c>
      <c r="J1487" s="9"/>
      <c r="K1487" s="9" t="s">
        <v>4594</v>
      </c>
      <c r="L1487" s="9"/>
      <c r="M1487" s="9" t="str">
        <f>HYPERLINK("https://ceds.ed.gov/cedselementdetails.aspx?termid=14392")</f>
        <v>https://ceds.ed.gov/cedselementdetails.aspx?termid=14392</v>
      </c>
      <c r="N1487" s="9" t="str">
        <f>HYPERLINK("https://ceds.ed.gov/elementComment.aspx?elementName=Person Relationship to Learner Contact Priority Number &amp;elementID=14392", "Click here to submit comment")</f>
        <v>Click here to submit comment</v>
      </c>
    </row>
    <row r="1488" spans="1:14" ht="60" x14ac:dyDescent="0.25">
      <c r="A1488" s="9" t="s">
        <v>4595</v>
      </c>
      <c r="B1488" s="9" t="s">
        <v>4596</v>
      </c>
      <c r="C1488" s="9" t="s">
        <v>12</v>
      </c>
      <c r="D1488" s="9" t="s">
        <v>6194</v>
      </c>
      <c r="E1488" s="9"/>
      <c r="F1488" s="9" t="s">
        <v>303</v>
      </c>
      <c r="G1488" s="9"/>
      <c r="H1488" s="9"/>
      <c r="I1488" s="9" t="s">
        <v>4597</v>
      </c>
      <c r="J1488" s="9"/>
      <c r="K1488" s="9" t="s">
        <v>4598</v>
      </c>
      <c r="L1488" s="9"/>
      <c r="M1488" s="9" t="str">
        <f>HYPERLINK("https://ceds.ed.gov/cedselementdetails.aspx?termid=14393")</f>
        <v>https://ceds.ed.gov/cedselementdetails.aspx?termid=14393</v>
      </c>
      <c r="N1488" s="9" t="str">
        <f>HYPERLINK("https://ceds.ed.gov/elementComment.aspx?elementName=Person Relationship to Learner Contact Restrictions Description &amp;elementID=14393", "Click here to submit comment")</f>
        <v>Click here to submit comment</v>
      </c>
    </row>
    <row r="1489" spans="1:14" ht="15" customHeight="1" x14ac:dyDescent="0.25">
      <c r="A1489" s="9" t="s">
        <v>12217</v>
      </c>
      <c r="B1489" s="9" t="s">
        <v>4599</v>
      </c>
      <c r="C1489" s="9" t="s">
        <v>6106</v>
      </c>
      <c r="D1489" s="9" t="s">
        <v>6194</v>
      </c>
      <c r="E1489" s="9"/>
      <c r="F1489" s="9"/>
      <c r="G1489" s="9"/>
      <c r="H1489" s="9"/>
      <c r="I1489" s="9" t="s">
        <v>4600</v>
      </c>
      <c r="J1489" s="9"/>
      <c r="K1489" s="9" t="s">
        <v>4601</v>
      </c>
      <c r="L1489" s="9"/>
      <c r="M1489" s="9" t="str">
        <f>HYPERLINK("https://ceds.ed.gov/cedselementdetails.aspx?termid=14394")</f>
        <v>https://ceds.ed.gov/cedselementdetails.aspx?termid=14394</v>
      </c>
      <c r="N1489" s="9" t="str">
        <f>HYPERLINK("https://ceds.ed.gov/elementComment.aspx?elementName=Person Relationship to Learner Lives with Indicator &amp;elementID=14394", "Click here to submit comment")</f>
        <v>Click here to submit comment</v>
      </c>
    </row>
    <row r="1490" spans="1:14" ht="15" customHeight="1" x14ac:dyDescent="0.25">
      <c r="A1490" s="9" t="s">
        <v>4602</v>
      </c>
      <c r="B1490" s="9" t="s">
        <v>4603</v>
      </c>
      <c r="C1490" s="10" t="s">
        <v>6636</v>
      </c>
      <c r="D1490" s="9" t="s">
        <v>6253</v>
      </c>
      <c r="E1490" s="9"/>
      <c r="F1490" s="9"/>
      <c r="G1490" s="9"/>
      <c r="H1490" s="9"/>
      <c r="I1490" s="9" t="s">
        <v>4604</v>
      </c>
      <c r="J1490" s="9"/>
      <c r="K1490" s="9" t="s">
        <v>4605</v>
      </c>
      <c r="L1490" s="9" t="s">
        <v>1537</v>
      </c>
      <c r="M1490" s="9" t="str">
        <f>HYPERLINK("https://ceds.ed.gov/cedselementdetails.aspx?termid=13415")</f>
        <v>https://ceds.ed.gov/cedselementdetails.aspx?termid=13415</v>
      </c>
      <c r="N1490" s="9" t="str">
        <f>HYPERLINK("https://ceds.ed.gov/elementComment.aspx?elementName=Person Relationship to Learner Type &amp;elementID=13415", "Click here to submit comment")</f>
        <v>Click here to submit comment</v>
      </c>
    </row>
    <row r="1491" spans="1:14" ht="15" customHeight="1" x14ac:dyDescent="0.25">
      <c r="A1491" s="9" t="s">
        <v>4606</v>
      </c>
      <c r="B1491" s="9" t="s">
        <v>4607</v>
      </c>
      <c r="C1491" s="10" t="s">
        <v>6637</v>
      </c>
      <c r="D1491" s="9" t="s">
        <v>6254</v>
      </c>
      <c r="E1491" s="9"/>
      <c r="F1491" s="9"/>
      <c r="G1491" s="9"/>
      <c r="H1491" s="9"/>
      <c r="I1491" s="9" t="s">
        <v>4608</v>
      </c>
      <c r="J1491" s="9"/>
      <c r="K1491" s="9" t="s">
        <v>4609</v>
      </c>
      <c r="L1491" s="9"/>
      <c r="M1491" s="9" t="str">
        <f>HYPERLINK("https://ceds.ed.gov/cedselementdetails.aspx?termid=13611")</f>
        <v>https://ceds.ed.gov/cedselementdetails.aspx?termid=13611</v>
      </c>
      <c r="N1491" s="9" t="str">
        <f>HYPERLINK("https://ceds.ed.gov/elementComment.aspx?elementName=Personal Information Verification &amp;elementID=13611", "Click here to submit comment")</f>
        <v>Click here to submit comment</v>
      </c>
    </row>
    <row r="1492" spans="1:14" ht="409.5" x14ac:dyDescent="0.25">
      <c r="A1492" s="9" t="s">
        <v>4610</v>
      </c>
      <c r="B1492" s="9" t="s">
        <v>4611</v>
      </c>
      <c r="C1492" s="9" t="s">
        <v>12</v>
      </c>
      <c r="D1492" s="9" t="s">
        <v>11676</v>
      </c>
      <c r="E1492" s="9"/>
      <c r="F1492" s="9" t="s">
        <v>87</v>
      </c>
      <c r="G1492" s="9"/>
      <c r="H1492" s="9"/>
      <c r="I1492" s="9" t="s">
        <v>4612</v>
      </c>
      <c r="J1492" s="9" t="s">
        <v>4613</v>
      </c>
      <c r="K1492" s="9" t="s">
        <v>4614</v>
      </c>
      <c r="L1492" s="9" t="s">
        <v>6255</v>
      </c>
      <c r="M1492" s="9" t="str">
        <f>HYPERLINK("https://ceds.ed.gov/cedselementdetails.aspx?termid=13212")</f>
        <v>https://ceds.ed.gov/cedselementdetails.aspx?termid=13212</v>
      </c>
      <c r="N1492" s="9" t="str">
        <f>HYPERLINK("https://ceds.ed.gov/elementComment.aspx?elementName=Personal Title or Prefix &amp;elementID=13212", "Click here to submit comment")</f>
        <v>Click here to submit comment</v>
      </c>
    </row>
    <row r="1493" spans="1:14" ht="90" x14ac:dyDescent="0.25">
      <c r="A1493" s="9" t="s">
        <v>4615</v>
      </c>
      <c r="B1493" s="9" t="s">
        <v>4616</v>
      </c>
      <c r="C1493" s="10" t="s">
        <v>6638</v>
      </c>
      <c r="D1493" s="9" t="s">
        <v>207</v>
      </c>
      <c r="E1493" s="9"/>
      <c r="F1493" s="9"/>
      <c r="G1493" s="9"/>
      <c r="H1493" s="9"/>
      <c r="I1493" s="9" t="s">
        <v>4617</v>
      </c>
      <c r="J1493" s="9"/>
      <c r="K1493" s="9" t="s">
        <v>4618</v>
      </c>
      <c r="L1493" s="9" t="s">
        <v>64</v>
      </c>
      <c r="M1493" s="9" t="str">
        <f>HYPERLINK("https://ceds.ed.gov/cedselementdetails.aspx?termid=13842")</f>
        <v>https://ceds.ed.gov/cedselementdetails.aspx?termid=13842</v>
      </c>
      <c r="N1493" s="9" t="str">
        <f>HYPERLINK("https://ceds.ed.gov/elementComment.aspx?elementName=Personnel Policy Type &amp;elementID=13842", "Click here to submit comment")</f>
        <v>Click here to submit comment</v>
      </c>
    </row>
    <row r="1494" spans="1:14" ht="409.5" x14ac:dyDescent="0.25">
      <c r="A1494" s="9" t="s">
        <v>11677</v>
      </c>
      <c r="B1494" s="9" t="s">
        <v>17</v>
      </c>
      <c r="C1494" s="10" t="s">
        <v>11906</v>
      </c>
      <c r="D1494" s="9" t="s">
        <v>10467</v>
      </c>
      <c r="E1494" s="9"/>
      <c r="F1494" s="9"/>
      <c r="G1494" s="9"/>
      <c r="H1494" s="9"/>
      <c r="I1494" s="9" t="s">
        <v>11678</v>
      </c>
      <c r="J1494" s="9"/>
      <c r="K1494" s="9" t="s">
        <v>11679</v>
      </c>
      <c r="L1494" s="9"/>
      <c r="M1494" s="9" t="str">
        <f>HYPERLINK("https://ceds.ed.gov/cedselementdetails.aspx?termid=14649")</f>
        <v>https://ceds.ed.gov/cedselementdetails.aspx?termid=14649</v>
      </c>
      <c r="N1494" s="9" t="str">
        <f>HYPERLINK("https://ceds.ed.gov/elementComment.aspx?elementName=PESC Award Level Type &amp;elementID=14649", "Click here to submit comment")</f>
        <v>Click here to submit comment</v>
      </c>
    </row>
    <row r="1495" spans="1:14" ht="15" customHeight="1" x14ac:dyDescent="0.25">
      <c r="A1495" s="9" t="s">
        <v>4619</v>
      </c>
      <c r="B1495" s="9" t="s">
        <v>4620</v>
      </c>
      <c r="C1495" s="9" t="s">
        <v>12</v>
      </c>
      <c r="D1495" s="9" t="s">
        <v>11680</v>
      </c>
      <c r="E1495" s="9"/>
      <c r="F1495" s="9" t="s">
        <v>1347</v>
      </c>
      <c r="G1495" s="9"/>
      <c r="H1495" s="9"/>
      <c r="I1495" s="9" t="s">
        <v>4621</v>
      </c>
      <c r="J1495" s="9"/>
      <c r="K1495" s="9" t="s">
        <v>4622</v>
      </c>
      <c r="L1495" s="9" t="s">
        <v>6109</v>
      </c>
      <c r="M1495" s="9" t="str">
        <f>HYPERLINK("https://ceds.ed.gov/cedselementdetails.aspx?termid=13213")</f>
        <v>https://ceds.ed.gov/cedselementdetails.aspx?termid=13213</v>
      </c>
      <c r="N1495" s="9" t="str">
        <f>HYPERLINK("https://ceds.ed.gov/elementComment.aspx?elementName=Position Title &amp;elementID=13213", "Click here to submit comment")</f>
        <v>Click here to submit comment</v>
      </c>
    </row>
    <row r="1496" spans="1:14" ht="30" customHeight="1" x14ac:dyDescent="0.25">
      <c r="A1496" s="9" t="s">
        <v>4623</v>
      </c>
      <c r="B1496" s="9" t="s">
        <v>4624</v>
      </c>
      <c r="C1496" s="9" t="s">
        <v>6106</v>
      </c>
      <c r="D1496" s="9" t="s">
        <v>223</v>
      </c>
      <c r="E1496" s="9"/>
      <c r="F1496" s="9"/>
      <c r="G1496" s="9"/>
      <c r="H1496" s="9" t="s">
        <v>4625</v>
      </c>
      <c r="I1496" s="9" t="s">
        <v>4626</v>
      </c>
      <c r="J1496" s="9"/>
      <c r="K1496" s="9" t="s">
        <v>4627</v>
      </c>
      <c r="L1496" s="9" t="s">
        <v>227</v>
      </c>
      <c r="M1496" s="9" t="str">
        <f>HYPERLINK("https://ceds.ed.gov/cedselementdetails.aspx?termid=13735")</f>
        <v>https://ceds.ed.gov/cedselementdetails.aspx?termid=13735</v>
      </c>
      <c r="N1496" s="9" t="str">
        <f>HYPERLINK("https://ceds.ed.gov/elementComment.aspx?elementName=Postsecondary Applicant &amp;elementID=13735", "Click here to submit comment")</f>
        <v>Click here to submit comment</v>
      </c>
    </row>
    <row r="1497" spans="1:14" ht="15" customHeight="1" x14ac:dyDescent="0.25">
      <c r="A1497" s="9" t="s">
        <v>4628</v>
      </c>
      <c r="B1497" s="9" t="s">
        <v>4629</v>
      </c>
      <c r="C1497" s="9" t="s">
        <v>12</v>
      </c>
      <c r="D1497" s="9" t="s">
        <v>10490</v>
      </c>
      <c r="E1497" s="9"/>
      <c r="F1497" s="9" t="s">
        <v>92</v>
      </c>
      <c r="G1497" s="9"/>
      <c r="H1497" s="9"/>
      <c r="I1497" s="9" t="s">
        <v>4630</v>
      </c>
      <c r="J1497" s="9"/>
      <c r="K1497" s="9" t="s">
        <v>4631</v>
      </c>
      <c r="L1497" s="9" t="s">
        <v>25</v>
      </c>
      <c r="M1497" s="9" t="str">
        <f>HYPERLINK("https://ceds.ed.gov/cedselementdetails.aspx?termid=13068")</f>
        <v>https://ceds.ed.gov/cedselementdetails.aspx?termid=13068</v>
      </c>
      <c r="N1497" s="9" t="str">
        <f>HYPERLINK("https://ceds.ed.gov/elementComment.aspx?elementName=Postsecondary Course Title &amp;elementID=13068", "Click here to submit comment")</f>
        <v>Click here to submit comment</v>
      </c>
    </row>
    <row r="1498" spans="1:14" ht="264.75" customHeight="1" x14ac:dyDescent="0.25">
      <c r="A1498" s="9" t="s">
        <v>4632</v>
      </c>
      <c r="B1498" s="9" t="s">
        <v>4633</v>
      </c>
      <c r="C1498" s="10" t="s">
        <v>6330</v>
      </c>
      <c r="D1498" s="9" t="s">
        <v>28</v>
      </c>
      <c r="E1498" s="9"/>
      <c r="F1498" s="9"/>
      <c r="G1498" s="9"/>
      <c r="H1498" s="9"/>
      <c r="I1498" s="9" t="s">
        <v>4634</v>
      </c>
      <c r="J1498" s="9"/>
      <c r="K1498" s="9" t="s">
        <v>4635</v>
      </c>
      <c r="L1498" s="9" t="s">
        <v>199</v>
      </c>
      <c r="M1498" s="9" t="str">
        <f>HYPERLINK("https://ceds.ed.gov/cedselementdetails.aspx?termid=13579")</f>
        <v>https://ceds.ed.gov/cedselementdetails.aspx?termid=13579</v>
      </c>
      <c r="N1498" s="9" t="str">
        <f>HYPERLINK("https://ceds.ed.gov/elementComment.aspx?elementName=Postsecondary Enrollment Action &amp;elementID=13579", "Click here to submit comment")</f>
        <v>Click here to submit comment</v>
      </c>
    </row>
    <row r="1499" spans="1:14" ht="45" customHeight="1" x14ac:dyDescent="0.25">
      <c r="A1499" s="9" t="s">
        <v>4636</v>
      </c>
      <c r="B1499" s="9" t="s">
        <v>4637</v>
      </c>
      <c r="C1499" s="10" t="s">
        <v>6639</v>
      </c>
      <c r="D1499" s="9" t="s">
        <v>2340</v>
      </c>
      <c r="E1499" s="9"/>
      <c r="F1499" s="9"/>
      <c r="G1499" s="9"/>
      <c r="H1499" s="9" t="s">
        <v>4638</v>
      </c>
      <c r="I1499" s="9" t="s">
        <v>4639</v>
      </c>
      <c r="J1499" s="9"/>
      <c r="K1499" s="9" t="s">
        <v>4640</v>
      </c>
      <c r="L1499" s="9" t="s">
        <v>6256</v>
      </c>
      <c r="M1499" s="9" t="str">
        <f>HYPERLINK("https://ceds.ed.gov/cedselementdetails.aspx?termid=13096")</f>
        <v>https://ceds.ed.gov/cedselementdetails.aspx?termid=13096</v>
      </c>
      <c r="N1499" s="9" t="str">
        <f>HYPERLINK("https://ceds.ed.gov/elementComment.aspx?elementName=Postsecondary Enrollment Status &amp;elementID=13096", "Click here to submit comment")</f>
        <v>Click here to submit comment</v>
      </c>
    </row>
    <row r="1500" spans="1:14" ht="15" customHeight="1" x14ac:dyDescent="0.25">
      <c r="A1500" s="9" t="s">
        <v>4641</v>
      </c>
      <c r="B1500" s="9" t="s">
        <v>4642</v>
      </c>
      <c r="C1500" s="10" t="s">
        <v>6640</v>
      </c>
      <c r="D1500" s="9" t="s">
        <v>2340</v>
      </c>
      <c r="E1500" s="9"/>
      <c r="F1500" s="9"/>
      <c r="G1500" s="9"/>
      <c r="H1500" s="9"/>
      <c r="I1500" s="9" t="s">
        <v>4643</v>
      </c>
      <c r="J1500" s="9"/>
      <c r="K1500" s="9" t="s">
        <v>4644</v>
      </c>
      <c r="L1500" s="9" t="s">
        <v>6115</v>
      </c>
      <c r="M1500" s="9" t="str">
        <f>HYPERLINK("https://ceds.ed.gov/cedselementdetails.aspx?termid=13095")</f>
        <v>https://ceds.ed.gov/cedselementdetails.aspx?termid=13095</v>
      </c>
      <c r="N1500" s="9" t="str">
        <f>HYPERLINK("https://ceds.ed.gov/elementComment.aspx?elementName=Postsecondary Enrollment Type &amp;elementID=13095", "Click here to submit comment")</f>
        <v>Click here to submit comment</v>
      </c>
    </row>
    <row r="1501" spans="1:14" ht="45" customHeight="1" x14ac:dyDescent="0.25">
      <c r="A1501" s="9" t="s">
        <v>4645</v>
      </c>
      <c r="B1501" s="9" t="s">
        <v>4646</v>
      </c>
      <c r="C1501" s="9" t="s">
        <v>6106</v>
      </c>
      <c r="D1501" s="9" t="s">
        <v>4647</v>
      </c>
      <c r="E1501" s="9"/>
      <c r="F1501" s="9"/>
      <c r="G1501" s="9"/>
      <c r="H1501" s="9" t="s">
        <v>4648</v>
      </c>
      <c r="I1501" s="9" t="s">
        <v>4649</v>
      </c>
      <c r="J1501" s="9"/>
      <c r="K1501" s="9" t="s">
        <v>4650</v>
      </c>
      <c r="L1501" s="9"/>
      <c r="M1501" s="9" t="str">
        <f>HYPERLINK("https://ceds.ed.gov/cedselementdetails.aspx?termid=14395")</f>
        <v>https://ceds.ed.gov/cedselementdetails.aspx?termid=14395</v>
      </c>
      <c r="N1501" s="9" t="str">
        <f>HYPERLINK("https://ceds.ed.gov/elementComment.aspx?elementName=Postsecondary Entering Student Indicator &amp;elementID=14395", "Click here to submit comment")</f>
        <v>Click here to submit comment</v>
      </c>
    </row>
    <row r="1502" spans="1:14" ht="15" customHeight="1" x14ac:dyDescent="0.25">
      <c r="A1502" s="9" t="s">
        <v>4651</v>
      </c>
      <c r="B1502" s="9" t="s">
        <v>4652</v>
      </c>
      <c r="C1502" s="10" t="s">
        <v>6641</v>
      </c>
      <c r="D1502" s="9" t="s">
        <v>1808</v>
      </c>
      <c r="E1502" s="9"/>
      <c r="F1502" s="9"/>
      <c r="G1502" s="9"/>
      <c r="H1502" s="9"/>
      <c r="I1502" s="9" t="s">
        <v>4653</v>
      </c>
      <c r="J1502" s="9"/>
      <c r="K1502" s="9" t="s">
        <v>4654</v>
      </c>
      <c r="L1502" s="9" t="s">
        <v>1963</v>
      </c>
      <c r="M1502" s="9" t="str">
        <f>HYPERLINK("https://ceds.ed.gov/cedselementdetails.aspx?termid=14596")</f>
        <v>https://ceds.ed.gov/cedselementdetails.aspx?termid=14596</v>
      </c>
      <c r="N1502" s="9" t="str">
        <f>HYPERLINK("https://ceds.ed.gov/elementComment.aspx?elementName=Postsecondary Exit or Withdrawal Type &amp;elementID=14596", "Click here to submit comment")</f>
        <v>Click here to submit comment</v>
      </c>
    </row>
    <row r="1503" spans="1:14" ht="15" customHeight="1" x14ac:dyDescent="0.25">
      <c r="A1503" s="9" t="s">
        <v>4655</v>
      </c>
      <c r="B1503" s="9" t="s">
        <v>4656</v>
      </c>
      <c r="C1503" s="10" t="s">
        <v>6642</v>
      </c>
      <c r="D1503" s="9" t="s">
        <v>10733</v>
      </c>
      <c r="E1503" s="9"/>
      <c r="F1503" s="9"/>
      <c r="G1503" s="9"/>
      <c r="H1503" s="9"/>
      <c r="I1503" s="9" t="s">
        <v>4657</v>
      </c>
      <c r="J1503" s="9"/>
      <c r="K1503" s="9" t="s">
        <v>4658</v>
      </c>
      <c r="L1503" s="9" t="s">
        <v>6257</v>
      </c>
      <c r="M1503" s="9" t="str">
        <f>HYPERLINK("https://ceds.ed.gov/cedselementdetails.aspx?termid=14595")</f>
        <v>https://ceds.ed.gov/cedselementdetails.aspx?termid=14595</v>
      </c>
      <c r="N1503" s="9" t="str">
        <f>HYPERLINK("https://ceds.ed.gov/elementComment.aspx?elementName=Postsecondary Program Level &amp;elementID=14595", "Click here to submit comment")</f>
        <v>Click here to submit comment</v>
      </c>
    </row>
    <row r="1504" spans="1:14" ht="120" x14ac:dyDescent="0.25">
      <c r="A1504" s="9" t="s">
        <v>4659</v>
      </c>
      <c r="B1504" s="9" t="s">
        <v>4660</v>
      </c>
      <c r="C1504" s="9" t="s">
        <v>12</v>
      </c>
      <c r="D1504" s="9" t="s">
        <v>4647</v>
      </c>
      <c r="E1504" s="9"/>
      <c r="F1504" s="9" t="s">
        <v>87</v>
      </c>
      <c r="G1504" s="9"/>
      <c r="H1504" s="9" t="s">
        <v>4648</v>
      </c>
      <c r="I1504" s="9" t="s">
        <v>4661</v>
      </c>
      <c r="J1504" s="9"/>
      <c r="K1504" s="9" t="s">
        <v>4662</v>
      </c>
      <c r="L1504" s="9"/>
      <c r="M1504" s="9" t="str">
        <f>HYPERLINK("https://ceds.ed.gov/cedselementdetails.aspx?termid=14396")</f>
        <v>https://ceds.ed.gov/cedselementdetails.aspx?termid=14396</v>
      </c>
      <c r="N1504" s="9" t="str">
        <f>HYPERLINK("https://ceds.ed.gov/elementComment.aspx?elementName=Postsecondary Student Entering Term &amp;elementID=14396", "Click here to submit comment")</f>
        <v>Click here to submit comment</v>
      </c>
    </row>
    <row r="1505" spans="1:14" ht="15" customHeight="1" x14ac:dyDescent="0.25">
      <c r="A1505" s="9" t="s">
        <v>4663</v>
      </c>
      <c r="B1505" s="9" t="s">
        <v>4664</v>
      </c>
      <c r="C1505" s="9" t="s">
        <v>6106</v>
      </c>
      <c r="D1505" s="9" t="s">
        <v>2340</v>
      </c>
      <c r="E1505" s="9"/>
      <c r="F1505" s="9"/>
      <c r="G1505" s="9"/>
      <c r="H1505" s="9" t="s">
        <v>4665</v>
      </c>
      <c r="I1505" s="9" t="s">
        <v>4666</v>
      </c>
      <c r="J1505" s="9"/>
      <c r="K1505" s="9" t="s">
        <v>4667</v>
      </c>
      <c r="L1505" s="9" t="s">
        <v>227</v>
      </c>
      <c r="M1505" s="9" t="str">
        <f>HYPERLINK("https://ceds.ed.gov/cedselementdetails.aspx?termid=13741")</f>
        <v>https://ceds.ed.gov/cedselementdetails.aspx?termid=13741</v>
      </c>
      <c r="N1505" s="9" t="str">
        <f>HYPERLINK("https://ceds.ed.gov/elementComment.aspx?elementName=Postsecondary Student Housing On-Campus &amp;elementID=13741", "Click here to submit comment")</f>
        <v>Click here to submit comment</v>
      </c>
    </row>
    <row r="1506" spans="1:14" ht="15" customHeight="1" x14ac:dyDescent="0.25">
      <c r="A1506" s="9" t="s">
        <v>4668</v>
      </c>
      <c r="B1506" s="9" t="s">
        <v>4669</v>
      </c>
      <c r="C1506" s="10" t="s">
        <v>6643</v>
      </c>
      <c r="D1506" s="9" t="s">
        <v>28</v>
      </c>
      <c r="E1506" s="9"/>
      <c r="F1506" s="9"/>
      <c r="G1506" s="9"/>
      <c r="H1506" s="9"/>
      <c r="I1506" s="9" t="s">
        <v>4670</v>
      </c>
      <c r="J1506" s="9"/>
      <c r="K1506" s="9" t="s">
        <v>4671</v>
      </c>
      <c r="L1506" s="9" t="s">
        <v>6142</v>
      </c>
      <c r="M1506" s="9" t="str">
        <f>HYPERLINK("https://ceds.ed.gov/cedselementdetails.aspx?termid=13563")</f>
        <v>https://ceds.ed.gov/cedselementdetails.aspx?termid=13563</v>
      </c>
      <c r="N1506" s="9" t="str">
        <f>HYPERLINK("https://ceds.ed.gov/elementComment.aspx?elementName=Pre and Post Test Indicator &amp;elementID=13563", "Click here to submit comment")</f>
        <v>Click here to submit comment</v>
      </c>
    </row>
    <row r="1507" spans="1:14" ht="15" customHeight="1" x14ac:dyDescent="0.25">
      <c r="A1507" s="9" t="s">
        <v>4672</v>
      </c>
      <c r="B1507" s="9" t="s">
        <v>4673</v>
      </c>
      <c r="C1507" s="10" t="s">
        <v>6644</v>
      </c>
      <c r="D1507" s="9" t="s">
        <v>1664</v>
      </c>
      <c r="E1507" s="9"/>
      <c r="F1507" s="9"/>
      <c r="G1507" s="9"/>
      <c r="H1507" s="9" t="s">
        <v>4674</v>
      </c>
      <c r="I1507" s="9" t="s">
        <v>4675</v>
      </c>
      <c r="J1507" s="9"/>
      <c r="K1507" s="9" t="s">
        <v>4676</v>
      </c>
      <c r="L1507" s="9" t="s">
        <v>6258</v>
      </c>
      <c r="M1507" s="9" t="str">
        <f>HYPERLINK("https://ceds.ed.gov/cedselementdetails.aspx?termid=13705")</f>
        <v>https://ceds.ed.gov/cedselementdetails.aspx?termid=13705</v>
      </c>
      <c r="N1507" s="9" t="str">
        <f>HYPERLINK("https://ceds.ed.gov/elementComment.aspx?elementName=Predominant Calendar System &amp;elementID=13705", "Click here to submit comment")</f>
        <v>Click here to submit comment</v>
      </c>
    </row>
    <row r="1508" spans="1:14" ht="60" x14ac:dyDescent="0.25">
      <c r="A1508" s="9" t="s">
        <v>4677</v>
      </c>
      <c r="B1508" s="9" t="s">
        <v>4678</v>
      </c>
      <c r="C1508" s="10" t="s">
        <v>6571</v>
      </c>
      <c r="D1508" s="9" t="s">
        <v>3578</v>
      </c>
      <c r="E1508" s="9"/>
      <c r="F1508" s="9"/>
      <c r="G1508" s="9"/>
      <c r="H1508" s="9"/>
      <c r="I1508" s="9" t="s">
        <v>4679</v>
      </c>
      <c r="J1508" s="9"/>
      <c r="K1508" s="9" t="s">
        <v>4680</v>
      </c>
      <c r="L1508" s="9" t="s">
        <v>4</v>
      </c>
      <c r="M1508" s="9" t="str">
        <f>HYPERLINK("https://ceds.ed.gov/cedselementdetails.aspx?termid=13481")</f>
        <v>https://ceds.ed.gov/cedselementdetails.aspx?termid=13481</v>
      </c>
      <c r="N1508" s="9" t="str">
        <f>HYPERLINK("https://ceds.ed.gov/elementComment.aspx?elementName=Prekindergarten Daily Length &amp;elementID=13481", "Click here to submit comment")</f>
        <v>Click here to submit comment</v>
      </c>
    </row>
    <row r="1509" spans="1:14" ht="105" x14ac:dyDescent="0.25">
      <c r="A1509" s="9" t="s">
        <v>4681</v>
      </c>
      <c r="B1509" s="9" t="s">
        <v>4682</v>
      </c>
      <c r="C1509" s="10" t="s">
        <v>6645</v>
      </c>
      <c r="D1509" s="9" t="s">
        <v>3578</v>
      </c>
      <c r="E1509" s="9"/>
      <c r="F1509" s="9"/>
      <c r="G1509" s="9"/>
      <c r="H1509" s="9"/>
      <c r="I1509" s="9" t="s">
        <v>4683</v>
      </c>
      <c r="J1509" s="9"/>
      <c r="K1509" s="9" t="s">
        <v>4684</v>
      </c>
      <c r="L1509" s="9" t="s">
        <v>4</v>
      </c>
      <c r="M1509" s="9" t="str">
        <f>HYPERLINK("https://ceds.ed.gov/cedselementdetails.aspx?termid=13216")</f>
        <v>https://ceds.ed.gov/cedselementdetails.aspx?termid=13216</v>
      </c>
      <c r="N1509" s="9" t="str">
        <f>HYPERLINK("https://ceds.ed.gov/elementComment.aspx?elementName=Prekindergarten Eligibility &amp;elementID=13216", "Click here to submit comment")</f>
        <v>Click here to submit comment</v>
      </c>
    </row>
    <row r="1510" spans="1:14" ht="90" x14ac:dyDescent="0.25">
      <c r="A1510" s="9" t="s">
        <v>4685</v>
      </c>
      <c r="B1510" s="9" t="s">
        <v>4686</v>
      </c>
      <c r="C1510" s="10" t="s">
        <v>6646</v>
      </c>
      <c r="D1510" s="9" t="s">
        <v>3578</v>
      </c>
      <c r="E1510" s="9"/>
      <c r="F1510" s="9"/>
      <c r="G1510" s="9"/>
      <c r="H1510" s="9"/>
      <c r="I1510" s="9" t="s">
        <v>4687</v>
      </c>
      <c r="J1510" s="9"/>
      <c r="K1510" s="9" t="s">
        <v>4688</v>
      </c>
      <c r="L1510" s="9" t="s">
        <v>4</v>
      </c>
      <c r="M1510" s="9" t="str">
        <f>HYPERLINK("https://ceds.ed.gov/cedselementdetails.aspx?termid=13217")</f>
        <v>https://ceds.ed.gov/cedselementdetails.aspx?termid=13217</v>
      </c>
      <c r="N1510" s="9" t="str">
        <f>HYPERLINK("https://ceds.ed.gov/elementComment.aspx?elementName=Prekindergarten Eligible Ages for Non-IDEA Students &amp;elementID=13217", "Click here to submit comment")</f>
        <v>Click here to submit comment</v>
      </c>
    </row>
    <row r="1511" spans="1:14" ht="180" x14ac:dyDescent="0.25">
      <c r="A1511" s="9" t="s">
        <v>4689</v>
      </c>
      <c r="B1511" s="9" t="s">
        <v>4690</v>
      </c>
      <c r="C1511" s="10" t="s">
        <v>6647</v>
      </c>
      <c r="D1511" s="9" t="s">
        <v>7</v>
      </c>
      <c r="E1511" s="9" t="s">
        <v>91</v>
      </c>
      <c r="F1511" s="9"/>
      <c r="G1511" s="9"/>
      <c r="H1511" s="9"/>
      <c r="I1511" s="9" t="s">
        <v>4691</v>
      </c>
      <c r="J1511" s="9"/>
      <c r="K1511" s="9" t="s">
        <v>4692</v>
      </c>
      <c r="L1511" s="9"/>
      <c r="M1511" s="9" t="str">
        <f>HYPERLINK("https://ceds.ed.gov/cedselementdetails.aspx?termid=13593")</f>
        <v>https://ceds.ed.gov/cedselementdetails.aspx?termid=13593</v>
      </c>
      <c r="N1511" s="9" t="str">
        <f>HYPERLINK("https://ceds.ed.gov/elementComment.aspx?elementName=Present Attendance Category &amp;elementID=13593", "Click here to submit comment")</f>
        <v>Click here to submit comment</v>
      </c>
    </row>
    <row r="1512" spans="1:14" ht="180" x14ac:dyDescent="0.25">
      <c r="A1512" s="9" t="s">
        <v>4693</v>
      </c>
      <c r="B1512" s="9" t="s">
        <v>4694</v>
      </c>
      <c r="C1512" s="9" t="s">
        <v>12</v>
      </c>
      <c r="D1512" s="9" t="s">
        <v>213</v>
      </c>
      <c r="E1512" s="9"/>
      <c r="F1512" s="9" t="s">
        <v>1513</v>
      </c>
      <c r="G1512" s="9"/>
      <c r="H1512" s="9" t="s">
        <v>344</v>
      </c>
      <c r="I1512" s="9" t="s">
        <v>4695</v>
      </c>
      <c r="J1512" s="9"/>
      <c r="K1512" s="9" t="s">
        <v>4696</v>
      </c>
      <c r="L1512" s="9" t="s">
        <v>1552</v>
      </c>
      <c r="M1512" s="9" t="str">
        <f>HYPERLINK("https://ceds.ed.gov/cedselementdetails.aspx?termid=13732")</f>
        <v>https://ceds.ed.gov/cedselementdetails.aspx?termid=13732</v>
      </c>
      <c r="N1512" s="9" t="str">
        <f>HYPERLINK("https://ceds.ed.gov/elementComment.aspx?elementName=Price of Attendance &amp;elementID=13732", "Click here to submit comment")</f>
        <v>Click here to submit comment</v>
      </c>
    </row>
    <row r="1513" spans="1:14" ht="45" x14ac:dyDescent="0.25">
      <c r="A1513" s="9" t="s">
        <v>4697</v>
      </c>
      <c r="B1513" s="9" t="s">
        <v>4698</v>
      </c>
      <c r="C1513" s="9" t="s">
        <v>6106</v>
      </c>
      <c r="D1513" s="9" t="s">
        <v>3564</v>
      </c>
      <c r="E1513" s="9"/>
      <c r="F1513" s="9"/>
      <c r="G1513" s="9"/>
      <c r="H1513" s="9"/>
      <c r="I1513" s="9" t="s">
        <v>4699</v>
      </c>
      <c r="J1513" s="9"/>
      <c r="K1513" s="9" t="s">
        <v>4700</v>
      </c>
      <c r="L1513" s="9"/>
      <c r="M1513" s="9" t="str">
        <f>HYPERLINK("https://ceds.ed.gov/cedselementdetails.aspx?termid=13516")</f>
        <v>https://ceds.ed.gov/cedselementdetails.aspx?termid=13516</v>
      </c>
      <c r="N1513" s="9" t="str">
        <f>HYPERLINK("https://ceds.ed.gov/elementComment.aspx?elementName=Primary Assignment Indicator &amp;elementID=13516", "Click here to submit comment")</f>
        <v>Click here to submit comment</v>
      </c>
    </row>
    <row r="1514" spans="1:14" ht="210" x14ac:dyDescent="0.25">
      <c r="A1514" s="9" t="s">
        <v>4701</v>
      </c>
      <c r="B1514" s="9" t="s">
        <v>4702</v>
      </c>
      <c r="C1514" s="9" t="s">
        <v>6106</v>
      </c>
      <c r="D1514" s="9" t="s">
        <v>11681</v>
      </c>
      <c r="E1514" s="9"/>
      <c r="F1514" s="9"/>
      <c r="G1514" s="9"/>
      <c r="H1514" s="9"/>
      <c r="I1514" s="9" t="s">
        <v>4703</v>
      </c>
      <c r="J1514" s="9"/>
      <c r="K1514" s="9" t="s">
        <v>4704</v>
      </c>
      <c r="L1514" s="9"/>
      <c r="M1514" s="9" t="str">
        <f>HYPERLINK("https://ceds.ed.gov/cedselementdetails.aspx?termid=14397")</f>
        <v>https://ceds.ed.gov/cedselementdetails.aspx?termid=14397</v>
      </c>
      <c r="N1514" s="9" t="str">
        <f>HYPERLINK("https://ceds.ed.gov/elementComment.aspx?elementName=Primary Contact Indicator &amp;elementID=14397", "Click here to submit comment")</f>
        <v>Click here to submit comment</v>
      </c>
    </row>
    <row r="1515" spans="1:14" ht="210" x14ac:dyDescent="0.25">
      <c r="A1515" s="9" t="s">
        <v>4705</v>
      </c>
      <c r="B1515" s="9" t="s">
        <v>4706</v>
      </c>
      <c r="C1515" s="10" t="s">
        <v>6648</v>
      </c>
      <c r="D1515" s="9" t="s">
        <v>11682</v>
      </c>
      <c r="E1515" s="9"/>
      <c r="F1515" s="9"/>
      <c r="G1515" s="9"/>
      <c r="H1515" s="9" t="s">
        <v>11683</v>
      </c>
      <c r="I1515" s="9" t="s">
        <v>4707</v>
      </c>
      <c r="J1515" s="9"/>
      <c r="K1515" s="9" t="s">
        <v>4708</v>
      </c>
      <c r="L1515" s="9" t="s">
        <v>6259</v>
      </c>
      <c r="M1515" s="9" t="str">
        <f>HYPERLINK("https://ceds.ed.gov/cedselementdetails.aspx?termid=13218")</f>
        <v>https://ceds.ed.gov/cedselementdetails.aspx?termid=13218</v>
      </c>
      <c r="N1515" s="9" t="str">
        <f>HYPERLINK("https://ceds.ed.gov/elementComment.aspx?elementName=Primary Disability Type &amp;elementID=13218", "Click here to submit comment")</f>
        <v>Click here to submit comment</v>
      </c>
    </row>
    <row r="1516" spans="1:14" ht="409.5" x14ac:dyDescent="0.25">
      <c r="A1516" s="9" t="s">
        <v>4709</v>
      </c>
      <c r="B1516" s="9" t="s">
        <v>4710</v>
      </c>
      <c r="C1516" s="9" t="s">
        <v>6106</v>
      </c>
      <c r="D1516" s="9" t="s">
        <v>11684</v>
      </c>
      <c r="E1516" s="9"/>
      <c r="F1516" s="9"/>
      <c r="G1516" s="9"/>
      <c r="H1516" s="9"/>
      <c r="I1516" s="9" t="s">
        <v>4711</v>
      </c>
      <c r="J1516" s="9"/>
      <c r="K1516" s="9" t="s">
        <v>4712</v>
      </c>
      <c r="L1516" s="9" t="s">
        <v>6109</v>
      </c>
      <c r="M1516" s="9" t="str">
        <f>HYPERLINK("https://ceds.ed.gov/cedselementdetails.aspx?termid=13219")</f>
        <v>https://ceds.ed.gov/cedselementdetails.aspx?termid=13219</v>
      </c>
      <c r="N1516" s="9" t="str">
        <f>HYPERLINK("https://ceds.ed.gov/elementComment.aspx?elementName=Primary Telephone Number Indicator &amp;elementID=13219", "Click here to submit comment")</f>
        <v>Click here to submit comment</v>
      </c>
    </row>
    <row r="1517" spans="1:14" ht="45" x14ac:dyDescent="0.25">
      <c r="A1517" s="9" t="s">
        <v>4713</v>
      </c>
      <c r="B1517" s="9" t="s">
        <v>4714</v>
      </c>
      <c r="C1517" s="9" t="s">
        <v>6106</v>
      </c>
      <c r="D1517" s="9" t="s">
        <v>1592</v>
      </c>
      <c r="E1517" s="9"/>
      <c r="F1517" s="9"/>
      <c r="G1517" s="9"/>
      <c r="H1517" s="9"/>
      <c r="I1517" s="9" t="s">
        <v>4715</v>
      </c>
      <c r="J1517" s="9"/>
      <c r="K1517" s="9" t="s">
        <v>4716</v>
      </c>
      <c r="L1517" s="9" t="s">
        <v>182</v>
      </c>
      <c r="M1517" s="9" t="str">
        <f>HYPERLINK("https://ceds.ed.gov/cedselementdetails.aspx?termid=13806")</f>
        <v>https://ceds.ed.gov/cedselementdetails.aspx?termid=13806</v>
      </c>
      <c r="N1517" s="9" t="str">
        <f>HYPERLINK("https://ceds.ed.gov/elementComment.aspx?elementName=Professional Association Membership Status &amp;elementID=13806", "Click here to submit comment")</f>
        <v>Click here to submit comment</v>
      </c>
    </row>
    <row r="1518" spans="1:14" ht="45" x14ac:dyDescent="0.25">
      <c r="A1518" s="9" t="s">
        <v>4717</v>
      </c>
      <c r="B1518" s="9" t="s">
        <v>4718</v>
      </c>
      <c r="C1518" s="9" t="s">
        <v>12</v>
      </c>
      <c r="D1518" s="9" t="s">
        <v>1592</v>
      </c>
      <c r="E1518" s="9"/>
      <c r="F1518" s="9" t="s">
        <v>92</v>
      </c>
      <c r="G1518" s="9"/>
      <c r="H1518" s="9"/>
      <c r="I1518" s="9" t="s">
        <v>4719</v>
      </c>
      <c r="J1518" s="9"/>
      <c r="K1518" s="9" t="s">
        <v>4720</v>
      </c>
      <c r="L1518" s="9" t="s">
        <v>182</v>
      </c>
      <c r="M1518" s="9" t="str">
        <f>HYPERLINK("https://ceds.ed.gov/cedselementdetails.aspx?termid=13807")</f>
        <v>https://ceds.ed.gov/cedselementdetails.aspx?termid=13807</v>
      </c>
      <c r="N1518" s="9" t="str">
        <f>HYPERLINK("https://ceds.ed.gov/elementComment.aspx?elementName=Professional Association Name &amp;elementID=13807", "Click here to submit comment")</f>
        <v>Click here to submit comment</v>
      </c>
    </row>
    <row r="1519" spans="1:14" ht="45" x14ac:dyDescent="0.25">
      <c r="A1519" s="9" t="s">
        <v>4721</v>
      </c>
      <c r="B1519" s="9" t="s">
        <v>4722</v>
      </c>
      <c r="C1519" s="9" t="s">
        <v>12</v>
      </c>
      <c r="D1519" s="9" t="s">
        <v>1705</v>
      </c>
      <c r="E1519" s="9"/>
      <c r="F1519" s="9" t="s">
        <v>87</v>
      </c>
      <c r="G1519" s="9"/>
      <c r="H1519" s="9"/>
      <c r="I1519" s="9" t="s">
        <v>4723</v>
      </c>
      <c r="J1519" s="9"/>
      <c r="K1519" s="9" t="s">
        <v>4724</v>
      </c>
      <c r="L1519" s="9"/>
      <c r="M1519" s="9" t="str">
        <f>HYPERLINK("https://ceds.ed.gov/cedselementdetails.aspx?termid=14398")</f>
        <v>https://ceds.ed.gov/cedselementdetails.aspx?termid=14398</v>
      </c>
      <c r="N1519" s="9" t="str">
        <f>HYPERLINK("https://ceds.ed.gov/elementComment.aspx?elementName=Professional Certificate or License Number &amp;elementID=14398", "Click here to submit comment")</f>
        <v>Click here to submit comment</v>
      </c>
    </row>
    <row r="1520" spans="1:14" ht="75" x14ac:dyDescent="0.25">
      <c r="A1520" s="9" t="s">
        <v>4725</v>
      </c>
      <c r="B1520" s="9" t="s">
        <v>4726</v>
      </c>
      <c r="C1520" s="9" t="s">
        <v>12</v>
      </c>
      <c r="D1520" s="9" t="s">
        <v>6260</v>
      </c>
      <c r="E1520" s="9"/>
      <c r="F1520" s="9" t="s">
        <v>87</v>
      </c>
      <c r="G1520" s="9"/>
      <c r="H1520" s="9"/>
      <c r="I1520" s="9" t="s">
        <v>4727</v>
      </c>
      <c r="J1520" s="9"/>
      <c r="K1520" s="9" t="s">
        <v>4728</v>
      </c>
      <c r="L1520" s="9"/>
      <c r="M1520" s="9" t="str">
        <f>HYPERLINK("https://ceds.ed.gov/cedselementdetails.aspx?termid=14402")</f>
        <v>https://ceds.ed.gov/cedselementdetails.aspx?termid=14402</v>
      </c>
      <c r="N1520" s="9" t="str">
        <f>HYPERLINK("https://ceds.ed.gov/elementComment.aspx?elementName=Professional Development Activity Approval Code &amp;elementID=14402", "Click here to submit comment")</f>
        <v>Click here to submit comment</v>
      </c>
    </row>
    <row r="1521" spans="1:14" ht="90" x14ac:dyDescent="0.25">
      <c r="A1521" s="9" t="s">
        <v>4729</v>
      </c>
      <c r="B1521" s="9" t="s">
        <v>4730</v>
      </c>
      <c r="C1521" s="10" t="s">
        <v>6649</v>
      </c>
      <c r="D1521" s="9" t="s">
        <v>6260</v>
      </c>
      <c r="E1521" s="9"/>
      <c r="F1521" s="9"/>
      <c r="G1521" s="9"/>
      <c r="H1521" s="9"/>
      <c r="I1521" s="9" t="s">
        <v>4731</v>
      </c>
      <c r="J1521" s="9"/>
      <c r="K1521" s="9" t="s">
        <v>4732</v>
      </c>
      <c r="L1521" s="9"/>
      <c r="M1521" s="9" t="str">
        <f>HYPERLINK("https://ceds.ed.gov/cedselementdetails.aspx?termid=14403")</f>
        <v>https://ceds.ed.gov/cedselementdetails.aspx?termid=14403</v>
      </c>
      <c r="N1521" s="9" t="str">
        <f>HYPERLINK("https://ceds.ed.gov/elementComment.aspx?elementName=Professional Development Activity Approved Purpose &amp;elementID=14403", "Click here to submit comment")</f>
        <v>Click here to submit comment</v>
      </c>
    </row>
    <row r="1522" spans="1:14" ht="15" customHeight="1" x14ac:dyDescent="0.25">
      <c r="A1522" s="9" t="s">
        <v>4733</v>
      </c>
      <c r="B1522" s="9" t="s">
        <v>4734</v>
      </c>
      <c r="C1522" s="9" t="s">
        <v>12</v>
      </c>
      <c r="D1522" s="9" t="s">
        <v>6260</v>
      </c>
      <c r="E1522" s="9"/>
      <c r="F1522" s="9" t="s">
        <v>87</v>
      </c>
      <c r="G1522" s="9"/>
      <c r="H1522" s="9"/>
      <c r="I1522" s="9" t="s">
        <v>4735</v>
      </c>
      <c r="J1522" s="9"/>
      <c r="K1522" s="9" t="s">
        <v>4736</v>
      </c>
      <c r="L1522" s="9"/>
      <c r="M1522" s="9" t="str">
        <f>HYPERLINK("https://ceds.ed.gov/cedselementdetails.aspx?termid=14404")</f>
        <v>https://ceds.ed.gov/cedselementdetails.aspx?termid=14404</v>
      </c>
      <c r="N1522" s="9" t="str">
        <f>HYPERLINK("https://ceds.ed.gov/elementComment.aspx?elementName=Professional Development Activity Code &amp;elementID=14404", "Click here to submit comment")</f>
        <v>Click here to submit comment</v>
      </c>
    </row>
    <row r="1523" spans="1:14" ht="15" customHeight="1" x14ac:dyDescent="0.25">
      <c r="A1523" s="9" t="s">
        <v>4737</v>
      </c>
      <c r="B1523" s="9" t="s">
        <v>4738</v>
      </c>
      <c r="C1523" s="9" t="s">
        <v>12</v>
      </c>
      <c r="D1523" s="9" t="s">
        <v>6260</v>
      </c>
      <c r="E1523" s="9"/>
      <c r="F1523" s="9" t="s">
        <v>1513</v>
      </c>
      <c r="G1523" s="9"/>
      <c r="H1523" s="9"/>
      <c r="I1523" s="9" t="s">
        <v>4739</v>
      </c>
      <c r="J1523" s="9"/>
      <c r="K1523" s="9" t="s">
        <v>4740</v>
      </c>
      <c r="L1523" s="9"/>
      <c r="M1523" s="9" t="str">
        <f>HYPERLINK("https://ceds.ed.gov/cedselementdetails.aspx?termid=14405")</f>
        <v>https://ceds.ed.gov/cedselementdetails.aspx?termid=14405</v>
      </c>
      <c r="N1523" s="9" t="str">
        <f>HYPERLINK("https://ceds.ed.gov/elementComment.aspx?elementName=Professional Development Activity Cost &amp;elementID=14405", "Click here to submit comment")</f>
        <v>Click here to submit comment</v>
      </c>
    </row>
    <row r="1524" spans="1:14" ht="15" customHeight="1" x14ac:dyDescent="0.25">
      <c r="A1524" s="9" t="s">
        <v>4741</v>
      </c>
      <c r="B1524" s="9" t="s">
        <v>4742</v>
      </c>
      <c r="C1524" s="10" t="s">
        <v>6650</v>
      </c>
      <c r="D1524" s="9" t="s">
        <v>6260</v>
      </c>
      <c r="E1524" s="9"/>
      <c r="F1524" s="9"/>
      <c r="G1524" s="9"/>
      <c r="H1524" s="9"/>
      <c r="I1524" s="9" t="s">
        <v>4743</v>
      </c>
      <c r="J1524" s="9"/>
      <c r="K1524" s="9" t="s">
        <v>4744</v>
      </c>
      <c r="L1524" s="9"/>
      <c r="M1524" s="9" t="str">
        <f>HYPERLINK("https://ceds.ed.gov/cedselementdetails.aspx?termid=14406")</f>
        <v>https://ceds.ed.gov/cedselementdetails.aspx?termid=14406</v>
      </c>
      <c r="N1524" s="9" t="str">
        <f>HYPERLINK("https://ceds.ed.gov/elementComment.aspx?elementName=Professional Development Activity Credit Type &amp;elementID=14406", "Click here to submit comment")</f>
        <v>Click here to submit comment</v>
      </c>
    </row>
    <row r="1525" spans="1:14" ht="75" x14ac:dyDescent="0.25">
      <c r="A1525" s="9" t="s">
        <v>4745</v>
      </c>
      <c r="B1525" s="9" t="s">
        <v>4746</v>
      </c>
      <c r="C1525" s="9" t="s">
        <v>12</v>
      </c>
      <c r="D1525" s="9" t="s">
        <v>6260</v>
      </c>
      <c r="E1525" s="9"/>
      <c r="F1525" s="9" t="s">
        <v>1513</v>
      </c>
      <c r="G1525" s="9"/>
      <c r="H1525" s="9"/>
      <c r="I1525" s="9" t="s">
        <v>4747</v>
      </c>
      <c r="J1525" s="9"/>
      <c r="K1525" s="9" t="s">
        <v>4748</v>
      </c>
      <c r="L1525" s="9"/>
      <c r="M1525" s="9" t="str">
        <f>HYPERLINK("https://ceds.ed.gov/cedselementdetails.aspx?termid=14407")</f>
        <v>https://ceds.ed.gov/cedselementdetails.aspx?termid=14407</v>
      </c>
      <c r="N1525" s="9" t="str">
        <f>HYPERLINK("https://ceds.ed.gov/elementComment.aspx?elementName=Professional Development Activity Credits &amp;elementID=14407", "Click here to submit comment")</f>
        <v>Click here to submit comment</v>
      </c>
    </row>
    <row r="1526" spans="1:14" ht="75" x14ac:dyDescent="0.25">
      <c r="A1526" s="9" t="s">
        <v>4749</v>
      </c>
      <c r="B1526" s="9" t="s">
        <v>4750</v>
      </c>
      <c r="C1526" s="9" t="s">
        <v>12</v>
      </c>
      <c r="D1526" s="9" t="s">
        <v>6260</v>
      </c>
      <c r="E1526" s="9"/>
      <c r="F1526" s="9" t="s">
        <v>303</v>
      </c>
      <c r="G1526" s="9"/>
      <c r="H1526" s="9"/>
      <c r="I1526" s="9" t="s">
        <v>4751</v>
      </c>
      <c r="J1526" s="9"/>
      <c r="K1526" s="9" t="s">
        <v>4752</v>
      </c>
      <c r="L1526" s="9"/>
      <c r="M1526" s="9" t="str">
        <f>HYPERLINK("https://ceds.ed.gov/cedselementdetails.aspx?termid=14408")</f>
        <v>https://ceds.ed.gov/cedselementdetails.aspx?termid=14408</v>
      </c>
      <c r="N1526" s="9" t="str">
        <f>HYPERLINK("https://ceds.ed.gov/elementComment.aspx?elementName=Professional Development Activity Description &amp;elementID=14408", "Click here to submit comment")</f>
        <v>Click here to submit comment</v>
      </c>
    </row>
    <row r="1527" spans="1:14" ht="409.5" x14ac:dyDescent="0.25">
      <c r="A1527" s="9" t="s">
        <v>4753</v>
      </c>
      <c r="B1527" s="9" t="s">
        <v>4754</v>
      </c>
      <c r="C1527" s="10" t="s">
        <v>6651</v>
      </c>
      <c r="D1527" s="9" t="s">
        <v>6260</v>
      </c>
      <c r="E1527" s="9"/>
      <c r="F1527" s="9"/>
      <c r="G1527" s="9"/>
      <c r="H1527" s="9" t="s">
        <v>4755</v>
      </c>
      <c r="I1527" s="9" t="s">
        <v>4756</v>
      </c>
      <c r="J1527" s="9"/>
      <c r="K1527" s="9" t="s">
        <v>4757</v>
      </c>
      <c r="L1527" s="9"/>
      <c r="M1527" s="9" t="str">
        <f>HYPERLINK("https://ceds.ed.gov/cedselementdetails.aspx?termid=14245")</f>
        <v>https://ceds.ed.gov/cedselementdetails.aspx?termid=14245</v>
      </c>
      <c r="N1527" s="9" t="str">
        <f>HYPERLINK("https://ceds.ed.gov/elementComment.aspx?elementName=Professional Development Activity Education Levels Addressed &amp;elementID=14245", "Click here to submit comment")</f>
        <v>Click here to submit comment</v>
      </c>
    </row>
    <row r="1528" spans="1:14" ht="75" x14ac:dyDescent="0.25">
      <c r="A1528" s="9" t="s">
        <v>4758</v>
      </c>
      <c r="B1528" s="9" t="s">
        <v>4759</v>
      </c>
      <c r="C1528" s="9" t="s">
        <v>12</v>
      </c>
      <c r="D1528" s="9" t="s">
        <v>6260</v>
      </c>
      <c r="E1528" s="9"/>
      <c r="F1528" s="9" t="s">
        <v>73</v>
      </c>
      <c r="G1528" s="9"/>
      <c r="H1528" s="9"/>
      <c r="I1528" s="9" t="s">
        <v>4760</v>
      </c>
      <c r="J1528" s="9"/>
      <c r="K1528" s="9" t="s">
        <v>4761</v>
      </c>
      <c r="L1528" s="9"/>
      <c r="M1528" s="9" t="str">
        <f>HYPERLINK("https://ceds.ed.gov/cedselementdetails.aspx?termid=14421")</f>
        <v>https://ceds.ed.gov/cedselementdetails.aspx?termid=14421</v>
      </c>
      <c r="N1528" s="9" t="str">
        <f>HYPERLINK("https://ceds.ed.gov/elementComment.aspx?elementName=Professional Development Activity Expiration Date &amp;elementID=14421", "Click here to submit comment")</f>
        <v>Click here to submit comment</v>
      </c>
    </row>
    <row r="1529" spans="1:14" ht="162.75" customHeight="1" x14ac:dyDescent="0.25">
      <c r="A1529" s="9" t="s">
        <v>4762</v>
      </c>
      <c r="B1529" s="9" t="s">
        <v>4763</v>
      </c>
      <c r="C1529" s="9" t="s">
        <v>12</v>
      </c>
      <c r="D1529" s="9" t="s">
        <v>6260</v>
      </c>
      <c r="E1529" s="9"/>
      <c r="F1529" s="9" t="s">
        <v>119</v>
      </c>
      <c r="G1529" s="9"/>
      <c r="H1529" s="9" t="s">
        <v>120</v>
      </c>
      <c r="I1529" s="9" t="s">
        <v>4764</v>
      </c>
      <c r="J1529" s="9"/>
      <c r="K1529" s="9" t="s">
        <v>4765</v>
      </c>
      <c r="L1529" s="9" t="s">
        <v>182</v>
      </c>
      <c r="M1529" s="9" t="str">
        <f>HYPERLINK("https://ceds.ed.gov/cedselementdetails.aspx?termid=13808")</f>
        <v>https://ceds.ed.gov/cedselementdetails.aspx?termid=13808</v>
      </c>
      <c r="N1529" s="9" t="str">
        <f>HYPERLINK("https://ceds.ed.gov/elementComment.aspx?elementName=Professional Development Activity Identifier &amp;elementID=13808", "Click here to submit comment")</f>
        <v>Click here to submit comment</v>
      </c>
    </row>
    <row r="1530" spans="1:14" ht="75" x14ac:dyDescent="0.25">
      <c r="A1530" s="9" t="s">
        <v>4766</v>
      </c>
      <c r="B1530" s="9" t="s">
        <v>4767</v>
      </c>
      <c r="C1530" s="10" t="s">
        <v>6652</v>
      </c>
      <c r="D1530" s="9" t="s">
        <v>6260</v>
      </c>
      <c r="E1530" s="9"/>
      <c r="F1530" s="9"/>
      <c r="G1530" s="9"/>
      <c r="H1530" s="9"/>
      <c r="I1530" s="9" t="s">
        <v>4768</v>
      </c>
      <c r="J1530" s="9"/>
      <c r="K1530" s="9" t="s">
        <v>4769</v>
      </c>
      <c r="L1530" s="9"/>
      <c r="M1530" s="9" t="str">
        <f>HYPERLINK("https://ceds.ed.gov/cedselementdetails.aspx?termid=14409")</f>
        <v>https://ceds.ed.gov/cedselementdetails.aspx?termid=14409</v>
      </c>
      <c r="N1530" s="9" t="str">
        <f>HYPERLINK("https://ceds.ed.gov/elementComment.aspx?elementName=Professional Development Activity Level &amp;elementID=14409", "Click here to submit comment")</f>
        <v>Click here to submit comment</v>
      </c>
    </row>
    <row r="1531" spans="1:14" ht="75" x14ac:dyDescent="0.25">
      <c r="A1531" s="9" t="s">
        <v>4770</v>
      </c>
      <c r="B1531" s="9" t="s">
        <v>4771</v>
      </c>
      <c r="C1531" s="9" t="s">
        <v>12</v>
      </c>
      <c r="D1531" s="9" t="s">
        <v>6260</v>
      </c>
      <c r="E1531" s="9"/>
      <c r="F1531" s="9" t="s">
        <v>303</v>
      </c>
      <c r="G1531" s="9"/>
      <c r="H1531" s="9"/>
      <c r="I1531" s="9" t="s">
        <v>4772</v>
      </c>
      <c r="J1531" s="9"/>
      <c r="K1531" s="9" t="s">
        <v>4773</v>
      </c>
      <c r="L1531" s="9"/>
      <c r="M1531" s="9" t="str">
        <f>HYPERLINK("https://ceds.ed.gov/cedselementdetails.aspx?termid=14410")</f>
        <v>https://ceds.ed.gov/cedselementdetails.aspx?termid=14410</v>
      </c>
      <c r="N1531" s="9" t="str">
        <f>HYPERLINK("https://ceds.ed.gov/elementComment.aspx?elementName=Professional Development Activity Objective &amp;elementID=14410", "Click here to submit comment")</f>
        <v>Click here to submit comment</v>
      </c>
    </row>
    <row r="1532" spans="1:14" ht="45" x14ac:dyDescent="0.25">
      <c r="A1532" s="9" t="s">
        <v>4774</v>
      </c>
      <c r="B1532" s="9" t="s">
        <v>4775</v>
      </c>
      <c r="C1532" s="9" t="s">
        <v>6106</v>
      </c>
      <c r="D1532" s="9" t="s">
        <v>4776</v>
      </c>
      <c r="E1532" s="9"/>
      <c r="F1532" s="9"/>
      <c r="G1532" s="9"/>
      <c r="H1532" s="9"/>
      <c r="I1532" s="9" t="s">
        <v>4777</v>
      </c>
      <c r="J1532" s="9"/>
      <c r="K1532" s="9" t="s">
        <v>4778</v>
      </c>
      <c r="L1532" s="9"/>
      <c r="M1532" s="9" t="str">
        <f>HYPERLINK("https://ceds.ed.gov/cedselementdetails.aspx?termid=14598")</f>
        <v>https://ceds.ed.gov/cedselementdetails.aspx?termid=14598</v>
      </c>
      <c r="N1532" s="9" t="str">
        <f>HYPERLINK("https://ceds.ed.gov/elementComment.aspx?elementName=Professional Development Activity State Approved Status &amp;elementID=14598", "Click here to submit comment")</f>
        <v>Click here to submit comment</v>
      </c>
    </row>
    <row r="1533" spans="1:14" ht="409.5" x14ac:dyDescent="0.25">
      <c r="A1533" s="9" t="s">
        <v>4779</v>
      </c>
      <c r="B1533" s="9" t="s">
        <v>4780</v>
      </c>
      <c r="C1533" s="10" t="s">
        <v>6653</v>
      </c>
      <c r="D1533" s="9" t="s">
        <v>6260</v>
      </c>
      <c r="E1533" s="9"/>
      <c r="F1533" s="9"/>
      <c r="G1533" s="9"/>
      <c r="H1533" s="9"/>
      <c r="I1533" s="9" t="s">
        <v>4781</v>
      </c>
      <c r="J1533" s="9"/>
      <c r="K1533" s="9" t="s">
        <v>4782</v>
      </c>
      <c r="L1533" s="9"/>
      <c r="M1533" s="9" t="str">
        <f>HYPERLINK("https://ceds.ed.gov/cedselementdetails.aspx?termid=14464")</f>
        <v>https://ceds.ed.gov/cedselementdetails.aspx?termid=14464</v>
      </c>
      <c r="N1533" s="9" t="str">
        <f>HYPERLINK("https://ceds.ed.gov/elementComment.aspx?elementName=Professional Development Activity Target Audience &amp;elementID=14464", "Click here to submit comment")</f>
        <v>Click here to submit comment</v>
      </c>
    </row>
    <row r="1534" spans="1:14" ht="75" x14ac:dyDescent="0.25">
      <c r="A1534" s="9" t="s">
        <v>4783</v>
      </c>
      <c r="B1534" s="9" t="s">
        <v>4784</v>
      </c>
      <c r="C1534" s="9" t="s">
        <v>12</v>
      </c>
      <c r="D1534" s="9" t="s">
        <v>6260</v>
      </c>
      <c r="E1534" s="9"/>
      <c r="F1534" s="9" t="s">
        <v>92</v>
      </c>
      <c r="G1534" s="9"/>
      <c r="H1534" s="9"/>
      <c r="I1534" s="9" t="s">
        <v>4785</v>
      </c>
      <c r="J1534" s="9"/>
      <c r="K1534" s="9" t="s">
        <v>4786</v>
      </c>
      <c r="L1534" s="9" t="s">
        <v>182</v>
      </c>
      <c r="M1534" s="9" t="str">
        <f>HYPERLINK("https://ceds.ed.gov/cedselementdetails.aspx?termid=13809")</f>
        <v>https://ceds.ed.gov/cedselementdetails.aspx?termid=13809</v>
      </c>
      <c r="N1534" s="9" t="str">
        <f>HYPERLINK("https://ceds.ed.gov/elementComment.aspx?elementName=Professional Development Activity Title &amp;elementID=13809", "Click here to submit comment")</f>
        <v>Click here to submit comment</v>
      </c>
    </row>
    <row r="1535" spans="1:14" ht="210" x14ac:dyDescent="0.25">
      <c r="A1535" s="9" t="s">
        <v>4787</v>
      </c>
      <c r="B1535" s="9" t="s">
        <v>4788</v>
      </c>
      <c r="C1535" s="10" t="s">
        <v>6654</v>
      </c>
      <c r="D1535" s="9" t="s">
        <v>6260</v>
      </c>
      <c r="E1535" s="9"/>
      <c r="F1535" s="9"/>
      <c r="G1535" s="9"/>
      <c r="H1535" s="9" t="s">
        <v>4789</v>
      </c>
      <c r="I1535" s="9" t="s">
        <v>4790</v>
      </c>
      <c r="J1535" s="9"/>
      <c r="K1535" s="9" t="s">
        <v>4791</v>
      </c>
      <c r="L1535" s="9"/>
      <c r="M1535" s="9" t="str">
        <f>HYPERLINK("https://ceds.ed.gov/cedselementdetails.aspx?termid=14412")</f>
        <v>https://ceds.ed.gov/cedselementdetails.aspx?termid=14412</v>
      </c>
      <c r="N1535" s="9" t="str">
        <f>HYPERLINK("https://ceds.ed.gov/elementComment.aspx?elementName=Professional Development Activity Type &amp;elementID=14412", "Click here to submit comment")</f>
        <v>Click here to submit comment</v>
      </c>
    </row>
    <row r="1536" spans="1:14" ht="45" x14ac:dyDescent="0.25">
      <c r="A1536" s="9" t="s">
        <v>4792</v>
      </c>
      <c r="B1536" s="9" t="s">
        <v>4793</v>
      </c>
      <c r="C1536" s="10" t="s">
        <v>6612</v>
      </c>
      <c r="D1536" s="9" t="s">
        <v>1592</v>
      </c>
      <c r="E1536" s="9"/>
      <c r="F1536" s="9"/>
      <c r="G1536" s="9"/>
      <c r="H1536" s="9"/>
      <c r="I1536" s="9" t="s">
        <v>4794</v>
      </c>
      <c r="J1536" s="9"/>
      <c r="K1536" s="9" t="s">
        <v>4795</v>
      </c>
      <c r="L1536" s="9"/>
      <c r="M1536" s="9" t="str">
        <f>HYPERLINK("https://ceds.ed.gov/cedselementdetails.aspx?termid=14399")</f>
        <v>https://ceds.ed.gov/cedselementdetails.aspx?termid=14399</v>
      </c>
      <c r="N1536" s="9" t="str">
        <f>HYPERLINK("https://ceds.ed.gov/elementComment.aspx?elementName=Professional Development Audience Type &amp;elementID=14399", "Click here to submit comment")</f>
        <v>Click here to submit comment</v>
      </c>
    </row>
    <row r="1537" spans="1:14" ht="90" x14ac:dyDescent="0.25">
      <c r="A1537" s="9" t="s">
        <v>4796</v>
      </c>
      <c r="B1537" s="9" t="s">
        <v>4797</v>
      </c>
      <c r="C1537" s="10" t="s">
        <v>6655</v>
      </c>
      <c r="D1537" s="9" t="s">
        <v>6261</v>
      </c>
      <c r="E1537" s="9"/>
      <c r="F1537" s="9"/>
      <c r="G1537" s="9"/>
      <c r="H1537" s="9"/>
      <c r="I1537" s="9" t="s">
        <v>4798</v>
      </c>
      <c r="J1537" s="9"/>
      <c r="K1537" s="9" t="s">
        <v>4799</v>
      </c>
      <c r="L1537" s="9"/>
      <c r="M1537" s="9" t="str">
        <f>HYPERLINK("https://ceds.ed.gov/cedselementdetails.aspx?termid=14401")</f>
        <v>https://ceds.ed.gov/cedselementdetails.aspx?termid=14401</v>
      </c>
      <c r="N1537" s="9" t="str">
        <f>HYPERLINK("https://ceds.ed.gov/elementComment.aspx?elementName=Professional Development Delivery Method &amp;elementID=14401", "Click here to submit comment")</f>
        <v>Click here to submit comment</v>
      </c>
    </row>
    <row r="1538" spans="1:14" ht="180" x14ac:dyDescent="0.25">
      <c r="A1538" s="9" t="s">
        <v>4800</v>
      </c>
      <c r="B1538" s="9" t="s">
        <v>4801</v>
      </c>
      <c r="C1538" s="10" t="s">
        <v>6656</v>
      </c>
      <c r="D1538" s="9" t="s">
        <v>1592</v>
      </c>
      <c r="E1538" s="9"/>
      <c r="F1538" s="9"/>
      <c r="G1538" s="9"/>
      <c r="H1538" s="9"/>
      <c r="I1538" s="9" t="s">
        <v>4802</v>
      </c>
      <c r="J1538" s="9"/>
      <c r="K1538" s="9" t="s">
        <v>4803</v>
      </c>
      <c r="L1538" s="9" t="s">
        <v>182</v>
      </c>
      <c r="M1538" s="9" t="str">
        <f>HYPERLINK("https://ceds.ed.gov/cedselementdetails.aspx?termid=13811")</f>
        <v>https://ceds.ed.gov/cedselementdetails.aspx?termid=13811</v>
      </c>
      <c r="N1538" s="9" t="str">
        <f>HYPERLINK("https://ceds.ed.gov/elementComment.aspx?elementName=Professional Development Financial Support Type &amp;elementID=13811", "Click here to submit comment")</f>
        <v>Click here to submit comment</v>
      </c>
    </row>
    <row r="1539" spans="1:14" ht="90" x14ac:dyDescent="0.25">
      <c r="A1539" s="9" t="s">
        <v>4804</v>
      </c>
      <c r="B1539" s="9" t="s">
        <v>4805</v>
      </c>
      <c r="C1539" s="9" t="s">
        <v>12</v>
      </c>
      <c r="D1539" s="9" t="s">
        <v>6261</v>
      </c>
      <c r="E1539" s="9"/>
      <c r="F1539" s="9" t="s">
        <v>87</v>
      </c>
      <c r="G1539" s="9"/>
      <c r="H1539" s="9"/>
      <c r="I1539" s="9" t="s">
        <v>4806</v>
      </c>
      <c r="J1539" s="9"/>
      <c r="K1539" s="9" t="s">
        <v>4807</v>
      </c>
      <c r="L1539" s="9"/>
      <c r="M1539" s="9" t="str">
        <f>HYPERLINK("https://ceds.ed.gov/cedselementdetails.aspx?termid=14413")</f>
        <v>https://ceds.ed.gov/cedselementdetails.aspx?termid=14413</v>
      </c>
      <c r="N1539" s="9" t="str">
        <f>HYPERLINK("https://ceds.ed.gov/elementComment.aspx?elementName=Professional Development Funding Source &amp;elementID=14413", "Click here to submit comment")</f>
        <v>Click here to submit comment</v>
      </c>
    </row>
    <row r="1540" spans="1:14" ht="180" x14ac:dyDescent="0.25">
      <c r="A1540" s="9" t="s">
        <v>4808</v>
      </c>
      <c r="B1540" s="9" t="s">
        <v>4809</v>
      </c>
      <c r="C1540" s="10" t="s">
        <v>6657</v>
      </c>
      <c r="D1540" s="9" t="s">
        <v>6261</v>
      </c>
      <c r="E1540" s="9"/>
      <c r="F1540" s="9"/>
      <c r="G1540" s="9"/>
      <c r="H1540" s="9"/>
      <c r="I1540" s="9" t="s">
        <v>4810</v>
      </c>
      <c r="J1540" s="9"/>
      <c r="K1540" s="9" t="s">
        <v>4811</v>
      </c>
      <c r="L1540" s="9"/>
      <c r="M1540" s="9" t="str">
        <f>HYPERLINK("https://ceds.ed.gov/cedselementdetails.aspx?termid=14429")</f>
        <v>https://ceds.ed.gov/cedselementdetails.aspx?termid=14429</v>
      </c>
      <c r="N1540" s="9" t="str">
        <f>HYPERLINK("https://ceds.ed.gov/elementComment.aspx?elementName=Professional Development Instructional Delivery Mode &amp;elementID=14429", "Click here to submit comment")</f>
        <v>Click here to submit comment</v>
      </c>
    </row>
    <row r="1541" spans="1:14" ht="105" x14ac:dyDescent="0.25">
      <c r="A1541" s="18" t="s">
        <v>4812</v>
      </c>
      <c r="B1541" s="18" t="s">
        <v>4813</v>
      </c>
      <c r="C1541" s="18" t="s">
        <v>12</v>
      </c>
      <c r="D1541" s="18" t="s">
        <v>6261</v>
      </c>
      <c r="E1541" s="18"/>
      <c r="F1541" s="18" t="s">
        <v>119</v>
      </c>
      <c r="G1541" s="18"/>
      <c r="H1541" s="9" t="s">
        <v>120</v>
      </c>
      <c r="I1541" s="18" t="s">
        <v>4814</v>
      </c>
      <c r="J1541" s="18"/>
      <c r="K1541" s="18" t="s">
        <v>4815</v>
      </c>
      <c r="L1541" s="18"/>
      <c r="M1541" s="18" t="str">
        <f>HYPERLINK("https://ceds.ed.gov/cedselementdetails.aspx?termid=14414")</f>
        <v>https://ceds.ed.gov/cedselementdetails.aspx?termid=14414</v>
      </c>
      <c r="N1541" s="18" t="str">
        <f>HYPERLINK("https://ceds.ed.gov/elementComment.aspx?elementName=Professional Development Instructor Identifier &amp;elementID=14414", "Click here to submit comment")</f>
        <v>Click here to submit comment</v>
      </c>
    </row>
    <row r="1542" spans="1:14" x14ac:dyDescent="0.25">
      <c r="A1542" s="18"/>
      <c r="B1542" s="18"/>
      <c r="C1542" s="18"/>
      <c r="D1542" s="18"/>
      <c r="E1542" s="18"/>
      <c r="F1542" s="18"/>
      <c r="G1542" s="18"/>
      <c r="H1542" s="9"/>
      <c r="I1542" s="18"/>
      <c r="J1542" s="18"/>
      <c r="K1542" s="18"/>
      <c r="L1542" s="18"/>
      <c r="M1542" s="18"/>
      <c r="N1542" s="18"/>
    </row>
    <row r="1543" spans="1:14" ht="90" x14ac:dyDescent="0.25">
      <c r="A1543" s="18"/>
      <c r="B1543" s="18"/>
      <c r="C1543" s="18"/>
      <c r="D1543" s="18"/>
      <c r="E1543" s="18"/>
      <c r="F1543" s="18"/>
      <c r="G1543" s="18"/>
      <c r="H1543" s="9" t="s">
        <v>121</v>
      </c>
      <c r="I1543" s="18"/>
      <c r="J1543" s="18"/>
      <c r="K1543" s="18"/>
      <c r="L1543" s="18"/>
      <c r="M1543" s="18"/>
      <c r="N1543" s="18"/>
    </row>
    <row r="1544" spans="1:14" ht="45" x14ac:dyDescent="0.25">
      <c r="A1544" s="9" t="s">
        <v>12218</v>
      </c>
      <c r="B1544" s="9" t="s">
        <v>4816</v>
      </c>
      <c r="C1544" s="9" t="s">
        <v>6106</v>
      </c>
      <c r="D1544" s="9" t="s">
        <v>1592</v>
      </c>
      <c r="E1544" s="9"/>
      <c r="F1544" s="9"/>
      <c r="G1544" s="9"/>
      <c r="H1544" s="9"/>
      <c r="I1544" s="9" t="s">
        <v>4817</v>
      </c>
      <c r="J1544" s="9"/>
      <c r="K1544" s="9" t="s">
        <v>4818</v>
      </c>
      <c r="L1544" s="9"/>
      <c r="M1544" s="9" t="str">
        <f>HYPERLINK("https://ceds.ed.gov/cedselementdetails.aspx?termid=14599")</f>
        <v>https://ceds.ed.gov/cedselementdetails.aspx?termid=14599</v>
      </c>
      <c r="N1544" s="9" t="str">
        <f>HYPERLINK("https://ceds.ed.gov/elementComment.aspx?elementName=Professional Development Plan Approved by Supervisor &amp;elementID=14599", "Click here to submit comment")</f>
        <v>Click here to submit comment</v>
      </c>
    </row>
    <row r="1545" spans="1:14" ht="45" x14ac:dyDescent="0.25">
      <c r="A1545" s="9" t="s">
        <v>4819</v>
      </c>
      <c r="B1545" s="9" t="s">
        <v>4820</v>
      </c>
      <c r="C1545" s="9" t="s">
        <v>12</v>
      </c>
      <c r="D1545" s="9" t="s">
        <v>1592</v>
      </c>
      <c r="E1545" s="9"/>
      <c r="F1545" s="9" t="s">
        <v>73</v>
      </c>
      <c r="G1545" s="9"/>
      <c r="H1545" s="9"/>
      <c r="I1545" s="9" t="s">
        <v>4821</v>
      </c>
      <c r="J1545" s="9"/>
      <c r="K1545" s="9" t="s">
        <v>4822</v>
      </c>
      <c r="L1545" s="9"/>
      <c r="M1545" s="9" t="str">
        <f>HYPERLINK("https://ceds.ed.gov/cedselementdetails.aspx?termid=14600")</f>
        <v>https://ceds.ed.gov/cedselementdetails.aspx?termid=14600</v>
      </c>
      <c r="N1545" s="9" t="str">
        <f>HYPERLINK("https://ceds.ed.gov/elementComment.aspx?elementName=Professional Development Plan Completion &amp;elementID=14600", "Click here to submit comment")</f>
        <v>Click here to submit comment</v>
      </c>
    </row>
    <row r="1546" spans="1:14" ht="45" x14ac:dyDescent="0.25">
      <c r="A1546" s="9" t="s">
        <v>4823</v>
      </c>
      <c r="B1546" s="9" t="s">
        <v>4824</v>
      </c>
      <c r="C1546" s="9" t="s">
        <v>6106</v>
      </c>
      <c r="D1546" s="9" t="s">
        <v>1592</v>
      </c>
      <c r="E1546" s="9"/>
      <c r="F1546" s="9"/>
      <c r="G1546" s="9"/>
      <c r="H1546" s="9"/>
      <c r="I1546" s="9" t="s">
        <v>4825</v>
      </c>
      <c r="J1546" s="9"/>
      <c r="K1546" s="9" t="s">
        <v>4826</v>
      </c>
      <c r="L1546" s="9"/>
      <c r="M1546" s="9" t="str">
        <f>HYPERLINK("https://ceds.ed.gov/cedselementdetails.aspx?termid=14415")</f>
        <v>https://ceds.ed.gov/cedselementdetails.aspx?termid=14415</v>
      </c>
      <c r="N1546" s="9" t="str">
        <f>HYPERLINK("https://ceds.ed.gov/elementComment.aspx?elementName=Professional Development Publish Activity Indicator &amp;elementID=14415", "Click here to submit comment")</f>
        <v>Click here to submit comment</v>
      </c>
    </row>
    <row r="1547" spans="1:14" ht="60" x14ac:dyDescent="0.25">
      <c r="A1547" s="9" t="s">
        <v>4827</v>
      </c>
      <c r="B1547" s="9" t="s">
        <v>4828</v>
      </c>
      <c r="C1547" s="9" t="s">
        <v>6106</v>
      </c>
      <c r="D1547" s="9" t="s">
        <v>1592</v>
      </c>
      <c r="E1547" s="9"/>
      <c r="F1547" s="9"/>
      <c r="G1547" s="9"/>
      <c r="H1547" s="9"/>
      <c r="I1547" s="9" t="s">
        <v>4829</v>
      </c>
      <c r="J1547" s="9"/>
      <c r="K1547" s="9" t="s">
        <v>4830</v>
      </c>
      <c r="L1547" s="9" t="s">
        <v>182</v>
      </c>
      <c r="M1547" s="9" t="str">
        <f>HYPERLINK("https://ceds.ed.gov/cedselementdetails.aspx?termid=13810")</f>
        <v>https://ceds.ed.gov/cedselementdetails.aspx?termid=13810</v>
      </c>
      <c r="N1547" s="9" t="str">
        <f>HYPERLINK("https://ceds.ed.gov/elementComment.aspx?elementName=Professional Development Scholarship Status &amp;elementID=13810", "Click here to submit comment")</f>
        <v>Click here to submit comment</v>
      </c>
    </row>
    <row r="1548" spans="1:14" ht="90" x14ac:dyDescent="0.25">
      <c r="A1548" s="9" t="s">
        <v>4831</v>
      </c>
      <c r="B1548" s="9" t="s">
        <v>4832</v>
      </c>
      <c r="C1548" s="9" t="s">
        <v>12</v>
      </c>
      <c r="D1548" s="9" t="s">
        <v>6261</v>
      </c>
      <c r="E1548" s="9"/>
      <c r="F1548" s="9" t="s">
        <v>10489</v>
      </c>
      <c r="G1548" s="9"/>
      <c r="H1548" s="9"/>
      <c r="I1548" s="9" t="s">
        <v>4833</v>
      </c>
      <c r="J1548" s="9"/>
      <c r="K1548" s="9" t="s">
        <v>4834</v>
      </c>
      <c r="L1548" s="9"/>
      <c r="M1548" s="9" t="str">
        <f>HYPERLINK("https://ceds.ed.gov/cedselementdetails.aspx?termid=14416")</f>
        <v>https://ceds.ed.gov/cedselementdetails.aspx?termid=14416</v>
      </c>
      <c r="N1548" s="9" t="str">
        <f>HYPERLINK("https://ceds.ed.gov/elementComment.aspx?elementName=Professional Development Session Capacity &amp;elementID=14416", "Click here to submit comment")</f>
        <v>Click here to submit comment</v>
      </c>
    </row>
    <row r="1549" spans="1:14" ht="15" customHeight="1" x14ac:dyDescent="0.25">
      <c r="A1549" s="9" t="s">
        <v>4835</v>
      </c>
      <c r="B1549" s="9" t="s">
        <v>4836</v>
      </c>
      <c r="C1549" s="9" t="s">
        <v>12</v>
      </c>
      <c r="D1549" s="9" t="s">
        <v>6261</v>
      </c>
      <c r="E1549" s="9"/>
      <c r="F1549" s="9" t="s">
        <v>73</v>
      </c>
      <c r="G1549" s="9"/>
      <c r="H1549" s="9"/>
      <c r="I1549" s="9" t="s">
        <v>4837</v>
      </c>
      <c r="J1549" s="9"/>
      <c r="K1549" s="9" t="s">
        <v>4838</v>
      </c>
      <c r="L1549" s="9"/>
      <c r="M1549" s="9" t="str">
        <f>HYPERLINK("https://ceds.ed.gov/cedselementdetails.aspx?termid=14417")</f>
        <v>https://ceds.ed.gov/cedselementdetails.aspx?termid=14417</v>
      </c>
      <c r="N1549" s="9" t="str">
        <f>HYPERLINK("https://ceds.ed.gov/elementComment.aspx?elementName=Professional Development Session End Date &amp;elementID=14417", "Click here to submit comment")</f>
        <v>Click here to submit comment</v>
      </c>
    </row>
    <row r="1550" spans="1:14" ht="15" customHeight="1" x14ac:dyDescent="0.25">
      <c r="A1550" s="9" t="s">
        <v>4839</v>
      </c>
      <c r="B1550" s="9" t="s">
        <v>4840</v>
      </c>
      <c r="C1550" s="9" t="s">
        <v>12</v>
      </c>
      <c r="D1550" s="9" t="s">
        <v>6261</v>
      </c>
      <c r="E1550" s="9"/>
      <c r="F1550" s="9" t="s">
        <v>4841</v>
      </c>
      <c r="G1550" s="9"/>
      <c r="H1550" s="9"/>
      <c r="I1550" s="9" t="s">
        <v>4842</v>
      </c>
      <c r="J1550" s="9"/>
      <c r="K1550" s="9" t="s">
        <v>4843</v>
      </c>
      <c r="L1550" s="9"/>
      <c r="M1550" s="9" t="str">
        <f>HYPERLINK("https://ceds.ed.gov/cedselementdetails.aspx?termid=14418")</f>
        <v>https://ceds.ed.gov/cedselementdetails.aspx?termid=14418</v>
      </c>
      <c r="N1550" s="9" t="str">
        <f>HYPERLINK("https://ceds.ed.gov/elementComment.aspx?elementName=Professional Development Session End Time &amp;elementID=14418", "Click here to submit comment")</f>
        <v>Click here to submit comment</v>
      </c>
    </row>
    <row r="1551" spans="1:14" ht="15" customHeight="1" x14ac:dyDescent="0.25">
      <c r="A1551" s="9" t="s">
        <v>4844</v>
      </c>
      <c r="B1551" s="9" t="s">
        <v>4845</v>
      </c>
      <c r="C1551" s="9" t="s">
        <v>12</v>
      </c>
      <c r="D1551" s="9" t="s">
        <v>6261</v>
      </c>
      <c r="E1551" s="9"/>
      <c r="F1551" s="9" t="s">
        <v>87</v>
      </c>
      <c r="G1551" s="9"/>
      <c r="H1551" s="9"/>
      <c r="I1551" s="9" t="s">
        <v>4846</v>
      </c>
      <c r="J1551" s="9"/>
      <c r="K1551" s="9" t="s">
        <v>4847</v>
      </c>
      <c r="L1551" s="9"/>
      <c r="M1551" s="9" t="str">
        <f>HYPERLINK("https://ceds.ed.gov/cedselementdetails.aspx?termid=14419")</f>
        <v>https://ceds.ed.gov/cedselementdetails.aspx?termid=14419</v>
      </c>
      <c r="N1551" s="9" t="str">
        <f>HYPERLINK("https://ceds.ed.gov/elementComment.aspx?elementName=Professional Development Session Evaluation Method &amp;elementID=14419", "Click here to submit comment")</f>
        <v>Click here to submit comment</v>
      </c>
    </row>
    <row r="1552" spans="1:14" ht="90" x14ac:dyDescent="0.25">
      <c r="A1552" s="9" t="s">
        <v>4848</v>
      </c>
      <c r="B1552" s="9" t="s">
        <v>4849</v>
      </c>
      <c r="C1552" s="9" t="s">
        <v>12</v>
      </c>
      <c r="D1552" s="9" t="s">
        <v>6261</v>
      </c>
      <c r="E1552" s="9"/>
      <c r="F1552" s="9" t="s">
        <v>87</v>
      </c>
      <c r="G1552" s="9"/>
      <c r="H1552" s="9"/>
      <c r="I1552" s="9" t="s">
        <v>4850</v>
      </c>
      <c r="J1552" s="9"/>
      <c r="K1552" s="9" t="s">
        <v>4851</v>
      </c>
      <c r="L1552" s="9"/>
      <c r="M1552" s="9" t="str">
        <f>HYPERLINK("https://ceds.ed.gov/cedselementdetails.aspx?termid=14420")</f>
        <v>https://ceds.ed.gov/cedselementdetails.aspx?termid=14420</v>
      </c>
      <c r="N1552" s="9" t="str">
        <f>HYPERLINK("https://ceds.ed.gov/elementComment.aspx?elementName=Professional Development Session Evaluation Score &amp;elementID=14420", "Click here to submit comment")</f>
        <v>Click here to submit comment</v>
      </c>
    </row>
    <row r="1553" spans="1:14" ht="105" x14ac:dyDescent="0.25">
      <c r="A1553" s="18" t="s">
        <v>4852</v>
      </c>
      <c r="B1553" s="18" t="s">
        <v>4853</v>
      </c>
      <c r="C1553" s="18" t="s">
        <v>12</v>
      </c>
      <c r="D1553" s="18" t="s">
        <v>6261</v>
      </c>
      <c r="E1553" s="18"/>
      <c r="F1553" s="18" t="s">
        <v>119</v>
      </c>
      <c r="G1553" s="18"/>
      <c r="H1553" s="9" t="s">
        <v>120</v>
      </c>
      <c r="I1553" s="18" t="s">
        <v>4854</v>
      </c>
      <c r="J1553" s="18"/>
      <c r="K1553" s="18" t="s">
        <v>4855</v>
      </c>
      <c r="L1553" s="18"/>
      <c r="M1553" s="18" t="str">
        <f>HYPERLINK("https://ceds.ed.gov/cedselementdetails.aspx?termid=14422")</f>
        <v>https://ceds.ed.gov/cedselementdetails.aspx?termid=14422</v>
      </c>
      <c r="N1553" s="18" t="str">
        <f>HYPERLINK("https://ceds.ed.gov/elementComment.aspx?elementName=Professional Development Session Identifier &amp;elementID=14422", "Click here to submit comment")</f>
        <v>Click here to submit comment</v>
      </c>
    </row>
    <row r="1554" spans="1:14" x14ac:dyDescent="0.25">
      <c r="A1554" s="18"/>
      <c r="B1554" s="18"/>
      <c r="C1554" s="18"/>
      <c r="D1554" s="18"/>
      <c r="E1554" s="18"/>
      <c r="F1554" s="18"/>
      <c r="G1554" s="18"/>
      <c r="H1554" s="9"/>
      <c r="I1554" s="18"/>
      <c r="J1554" s="18"/>
      <c r="K1554" s="18"/>
      <c r="L1554" s="18"/>
      <c r="M1554" s="18"/>
      <c r="N1554" s="18"/>
    </row>
    <row r="1555" spans="1:14" ht="90" x14ac:dyDescent="0.25">
      <c r="A1555" s="18"/>
      <c r="B1555" s="18"/>
      <c r="C1555" s="18"/>
      <c r="D1555" s="18"/>
      <c r="E1555" s="18"/>
      <c r="F1555" s="18"/>
      <c r="G1555" s="18"/>
      <c r="H1555" s="9" t="s">
        <v>121</v>
      </c>
      <c r="I1555" s="18"/>
      <c r="J1555" s="18"/>
      <c r="K1555" s="18"/>
      <c r="L1555" s="18"/>
      <c r="M1555" s="18"/>
      <c r="N1555" s="18"/>
    </row>
    <row r="1556" spans="1:14" ht="90" x14ac:dyDescent="0.25">
      <c r="A1556" s="9" t="s">
        <v>4856</v>
      </c>
      <c r="B1556" s="9" t="s">
        <v>4857</v>
      </c>
      <c r="C1556" s="11" t="s">
        <v>966</v>
      </c>
      <c r="D1556" s="9" t="s">
        <v>6260</v>
      </c>
      <c r="E1556" s="9"/>
      <c r="F1556" s="9"/>
      <c r="G1556" s="9"/>
      <c r="H1556" s="11" t="s">
        <v>967</v>
      </c>
      <c r="I1556" s="9" t="s">
        <v>4858</v>
      </c>
      <c r="J1556" s="9"/>
      <c r="K1556" s="9" t="s">
        <v>4859</v>
      </c>
      <c r="L1556" s="9"/>
      <c r="M1556" s="9" t="str">
        <f>HYPERLINK("https://ceds.ed.gov/cedselementdetails.aspx?termid=14357")</f>
        <v>https://ceds.ed.gov/cedselementdetails.aspx?termid=14357</v>
      </c>
      <c r="N1556" s="9" t="str">
        <f>HYPERLINK("https://ceds.ed.gov/elementComment.aspx?elementName=Professional Development Session Language &amp;elementID=14357", "Click here to submit comment")</f>
        <v>Click here to submit comment</v>
      </c>
    </row>
    <row r="1557" spans="1:14" ht="105" x14ac:dyDescent="0.25">
      <c r="A1557" s="9" t="s">
        <v>4860</v>
      </c>
      <c r="B1557" s="9" t="s">
        <v>4861</v>
      </c>
      <c r="C1557" s="9" t="s">
        <v>12</v>
      </c>
      <c r="D1557" s="9" t="s">
        <v>6262</v>
      </c>
      <c r="E1557" s="9"/>
      <c r="F1557" s="9" t="s">
        <v>92</v>
      </c>
      <c r="G1557" s="9"/>
      <c r="H1557" s="9"/>
      <c r="I1557" s="9" t="s">
        <v>4862</v>
      </c>
      <c r="J1557" s="9"/>
      <c r="K1557" s="9" t="s">
        <v>4863</v>
      </c>
      <c r="L1557" s="9"/>
      <c r="M1557" s="9" t="str">
        <f>HYPERLINK("https://ceds.ed.gov/cedselementdetails.aspx?termid=14424")</f>
        <v>https://ceds.ed.gov/cedselementdetails.aspx?termid=14424</v>
      </c>
      <c r="N1557" s="9" t="str">
        <f>HYPERLINK("https://ceds.ed.gov/elementComment.aspx?elementName=Professional Development Session Location Name &amp;elementID=14424", "Click here to submit comment")</f>
        <v>Click here to submit comment</v>
      </c>
    </row>
    <row r="1558" spans="1:14" ht="90" x14ac:dyDescent="0.25">
      <c r="A1558" s="9" t="s">
        <v>4864</v>
      </c>
      <c r="B1558" s="9" t="s">
        <v>4865</v>
      </c>
      <c r="C1558" s="9" t="s">
        <v>12</v>
      </c>
      <c r="D1558" s="9" t="s">
        <v>6261</v>
      </c>
      <c r="E1558" s="9"/>
      <c r="F1558" s="9" t="s">
        <v>73</v>
      </c>
      <c r="G1558" s="9"/>
      <c r="H1558" s="9"/>
      <c r="I1558" s="9" t="s">
        <v>4866</v>
      </c>
      <c r="J1558" s="9"/>
      <c r="K1558" s="9" t="s">
        <v>4867</v>
      </c>
      <c r="L1558" s="9"/>
      <c r="M1558" s="9" t="str">
        <f>HYPERLINK("https://ceds.ed.gov/cedselementdetails.aspx?termid=14426")</f>
        <v>https://ceds.ed.gov/cedselementdetails.aspx?termid=14426</v>
      </c>
      <c r="N1558" s="9" t="str">
        <f>HYPERLINK("https://ceds.ed.gov/elementComment.aspx?elementName=Professional Development Session Start Date &amp;elementID=14426", "Click here to submit comment")</f>
        <v>Click here to submit comment</v>
      </c>
    </row>
    <row r="1559" spans="1:14" ht="90" x14ac:dyDescent="0.25">
      <c r="A1559" s="9" t="s">
        <v>4868</v>
      </c>
      <c r="B1559" s="9" t="s">
        <v>4869</v>
      </c>
      <c r="C1559" s="9" t="s">
        <v>12</v>
      </c>
      <c r="D1559" s="9" t="s">
        <v>6261</v>
      </c>
      <c r="E1559" s="9"/>
      <c r="F1559" s="9" t="s">
        <v>4841</v>
      </c>
      <c r="G1559" s="9"/>
      <c r="H1559" s="9"/>
      <c r="I1559" s="9" t="s">
        <v>4870</v>
      </c>
      <c r="J1559" s="9"/>
      <c r="K1559" s="9" t="s">
        <v>4871</v>
      </c>
      <c r="L1559" s="9"/>
      <c r="M1559" s="9" t="str">
        <f>HYPERLINK("https://ceds.ed.gov/cedselementdetails.aspx?termid=14427")</f>
        <v>https://ceds.ed.gov/cedselementdetails.aspx?termid=14427</v>
      </c>
      <c r="N1559" s="9" t="str">
        <f>HYPERLINK("https://ceds.ed.gov/elementComment.aspx?elementName=Professional Development Session Start Time &amp;elementID=14427", "Click here to submit comment")</f>
        <v>Click here to submit comment</v>
      </c>
    </row>
    <row r="1560" spans="1:14" ht="150" customHeight="1" x14ac:dyDescent="0.25">
      <c r="A1560" s="9" t="s">
        <v>4872</v>
      </c>
      <c r="B1560" s="9" t="s">
        <v>4873</v>
      </c>
      <c r="C1560" s="10" t="s">
        <v>6658</v>
      </c>
      <c r="D1560" s="9" t="s">
        <v>6261</v>
      </c>
      <c r="E1560" s="9"/>
      <c r="F1560" s="9"/>
      <c r="G1560" s="9"/>
      <c r="H1560" s="9"/>
      <c r="I1560" s="9" t="s">
        <v>4874</v>
      </c>
      <c r="J1560" s="9"/>
      <c r="K1560" s="9" t="s">
        <v>4875</v>
      </c>
      <c r="L1560" s="9"/>
      <c r="M1560" s="9" t="str">
        <f>HYPERLINK("https://ceds.ed.gov/cedselementdetails.aspx?termid=14428")</f>
        <v>https://ceds.ed.gov/cedselementdetails.aspx?termid=14428</v>
      </c>
      <c r="N1560" s="9" t="str">
        <f>HYPERLINK("https://ceds.ed.gov/elementComment.aspx?elementName=Professional Development Session Status &amp;elementID=14428", "Click here to submit comment")</f>
        <v>Click here to submit comment</v>
      </c>
    </row>
    <row r="1561" spans="1:14" ht="255" x14ac:dyDescent="0.25">
      <c r="A1561" s="9" t="s">
        <v>4876</v>
      </c>
      <c r="B1561" s="9" t="s">
        <v>4877</v>
      </c>
      <c r="C1561" s="10" t="s">
        <v>6659</v>
      </c>
      <c r="D1561" s="9" t="s">
        <v>3564</v>
      </c>
      <c r="E1561" s="9"/>
      <c r="F1561" s="9"/>
      <c r="G1561" s="9"/>
      <c r="H1561" s="9"/>
      <c r="I1561" s="9" t="s">
        <v>4878</v>
      </c>
      <c r="J1561" s="9"/>
      <c r="K1561" s="9" t="s">
        <v>4879</v>
      </c>
      <c r="L1561" s="9"/>
      <c r="M1561" s="9" t="str">
        <f>HYPERLINK("https://ceds.ed.gov/cedselementdetails.aspx?termid=13220")</f>
        <v>https://ceds.ed.gov/cedselementdetails.aspx?termid=13220</v>
      </c>
      <c r="N1561" s="9" t="str">
        <f>HYPERLINK("https://ceds.ed.gov/elementComment.aspx?elementName=Professional Educational Job Classification &amp;elementID=13220", "Click here to submit comment")</f>
        <v>Click here to submit comment</v>
      </c>
    </row>
    <row r="1562" spans="1:14" ht="330" x14ac:dyDescent="0.25">
      <c r="A1562" s="9" t="s">
        <v>4880</v>
      </c>
      <c r="B1562" s="9" t="s">
        <v>4881</v>
      </c>
      <c r="C1562" s="10" t="s">
        <v>6660</v>
      </c>
      <c r="D1562" s="9" t="s">
        <v>11685</v>
      </c>
      <c r="E1562" s="9"/>
      <c r="F1562" s="9"/>
      <c r="G1562" s="9"/>
      <c r="H1562" s="9"/>
      <c r="I1562" s="9" t="s">
        <v>4882</v>
      </c>
      <c r="J1562" s="9"/>
      <c r="K1562" s="9" t="s">
        <v>4883</v>
      </c>
      <c r="L1562" s="9"/>
      <c r="M1562" s="9" t="str">
        <f>HYPERLINK("https://ceds.ed.gov/cedselementdetails.aspx?termid=13780")</f>
        <v>https://ceds.ed.gov/cedselementdetails.aspx?termid=13780</v>
      </c>
      <c r="N1562" s="9" t="str">
        <f>HYPERLINK("https://ceds.ed.gov/elementComment.aspx?elementName=Professional or Technical Credential Conferred &amp;elementID=13780", "Click here to submit comment")</f>
        <v>Click here to submit comment</v>
      </c>
    </row>
    <row r="1563" spans="1:14" ht="60" x14ac:dyDescent="0.25">
      <c r="A1563" s="9" t="s">
        <v>4884</v>
      </c>
      <c r="B1563" s="9" t="s">
        <v>4885</v>
      </c>
      <c r="C1563" s="10" t="s">
        <v>6661</v>
      </c>
      <c r="D1563" s="9" t="s">
        <v>6263</v>
      </c>
      <c r="E1563" s="9"/>
      <c r="F1563" s="9"/>
      <c r="G1563" s="9"/>
      <c r="H1563" s="9"/>
      <c r="I1563" s="9" t="s">
        <v>4886</v>
      </c>
      <c r="J1563" s="9"/>
      <c r="K1563" s="9" t="s">
        <v>4887</v>
      </c>
      <c r="L1563" s="9" t="s">
        <v>199</v>
      </c>
      <c r="M1563" s="9" t="str">
        <f>HYPERLINK("https://ceds.ed.gov/cedselementdetails.aspx?termid=13565")</f>
        <v>https://ceds.ed.gov/cedselementdetails.aspx?termid=13565</v>
      </c>
      <c r="N1563" s="9" t="str">
        <f>HYPERLINK("https://ceds.ed.gov/elementComment.aspx?elementName=Proficiency Status &amp;elementID=13565", "Click here to submit comment")</f>
        <v>Click here to submit comment</v>
      </c>
    </row>
    <row r="1564" spans="1:14" ht="195" x14ac:dyDescent="0.25">
      <c r="A1564" s="9" t="s">
        <v>4888</v>
      </c>
      <c r="B1564" s="9" t="s">
        <v>4889</v>
      </c>
      <c r="C1564" s="10" t="s">
        <v>6662</v>
      </c>
      <c r="D1564" s="9" t="s">
        <v>6116</v>
      </c>
      <c r="E1564" s="9"/>
      <c r="F1564" s="9"/>
      <c r="G1564" s="9"/>
      <c r="H1564" s="9"/>
      <c r="I1564" s="9" t="s">
        <v>4890</v>
      </c>
      <c r="J1564" s="9"/>
      <c r="K1564" s="9" t="s">
        <v>4891</v>
      </c>
      <c r="L1564" s="9" t="s">
        <v>199</v>
      </c>
      <c r="M1564" s="9" t="str">
        <f>HYPERLINK("https://ceds.ed.gov/cedselementdetails.aspx?termid=13221")</f>
        <v>https://ceds.ed.gov/cedselementdetails.aspx?termid=13221</v>
      </c>
      <c r="N1564" s="9" t="str">
        <f>HYPERLINK("https://ceds.ed.gov/elementComment.aspx?elementName=Proficiency Target Status for Math &amp;elementID=13221", "Click here to submit comment")</f>
        <v>Click here to submit comment</v>
      </c>
    </row>
    <row r="1565" spans="1:14" ht="195" x14ac:dyDescent="0.25">
      <c r="A1565" s="9" t="s">
        <v>4892</v>
      </c>
      <c r="B1565" s="9" t="s">
        <v>4893</v>
      </c>
      <c r="C1565" s="10" t="s">
        <v>6662</v>
      </c>
      <c r="D1565" s="9" t="s">
        <v>6116</v>
      </c>
      <c r="E1565" s="9"/>
      <c r="F1565" s="9"/>
      <c r="G1565" s="9"/>
      <c r="H1565" s="9"/>
      <c r="I1565" s="9" t="s">
        <v>4894</v>
      </c>
      <c r="J1565" s="9"/>
      <c r="K1565" s="9" t="s">
        <v>4895</v>
      </c>
      <c r="L1565" s="9" t="s">
        <v>199</v>
      </c>
      <c r="M1565" s="9" t="str">
        <f>HYPERLINK("https://ceds.ed.gov/cedselementdetails.aspx?termid=13544")</f>
        <v>https://ceds.ed.gov/cedselementdetails.aspx?termid=13544</v>
      </c>
      <c r="N1565" s="9" t="str">
        <f>HYPERLINK("https://ceds.ed.gov/elementComment.aspx?elementName=Proficiency Target Status for Reading and Language Arts &amp;elementID=13544", "Click here to submit comment")</f>
        <v>Click here to submit comment</v>
      </c>
    </row>
    <row r="1566" spans="1:14" ht="60" x14ac:dyDescent="0.25">
      <c r="A1566" s="9" t="s">
        <v>4896</v>
      </c>
      <c r="B1566" s="9" t="s">
        <v>4897</v>
      </c>
      <c r="C1566" s="9" t="s">
        <v>6106</v>
      </c>
      <c r="D1566" s="9" t="s">
        <v>1384</v>
      </c>
      <c r="E1566" s="9"/>
      <c r="F1566" s="9"/>
      <c r="G1566" s="9"/>
      <c r="H1566" s="9"/>
      <c r="I1566" s="9" t="s">
        <v>4898</v>
      </c>
      <c r="J1566" s="9"/>
      <c r="K1566" s="9" t="s">
        <v>4899</v>
      </c>
      <c r="L1566" s="9" t="s">
        <v>6264</v>
      </c>
      <c r="M1566" s="9" t="str">
        <f>HYPERLINK("https://ceds.ed.gov/cedselementdetails.aspx?termid=13854")</f>
        <v>https://ceds.ed.gov/cedselementdetails.aspx?termid=13854</v>
      </c>
      <c r="N1566" s="9" t="str">
        <f>HYPERLINK("https://ceds.ed.gov/elementComment.aspx?elementName=Program Collects Parental Feedback &amp;elementID=13854", "Click here to submit comment")</f>
        <v>Click here to submit comment</v>
      </c>
    </row>
    <row r="1567" spans="1:14" ht="45" x14ac:dyDescent="0.25">
      <c r="A1567" s="9" t="s">
        <v>4900</v>
      </c>
      <c r="B1567" s="9" t="s">
        <v>4901</v>
      </c>
      <c r="C1567" s="9" t="s">
        <v>6106</v>
      </c>
      <c r="D1567" s="9" t="s">
        <v>4902</v>
      </c>
      <c r="E1567" s="9"/>
      <c r="F1567" s="9"/>
      <c r="G1567" s="9"/>
      <c r="H1567" s="9"/>
      <c r="I1567" s="9" t="s">
        <v>4903</v>
      </c>
      <c r="J1567" s="9"/>
      <c r="K1567" s="9" t="s">
        <v>4904</v>
      </c>
      <c r="L1567" s="9" t="s">
        <v>6193</v>
      </c>
      <c r="M1567" s="9" t="str">
        <f>HYPERLINK("https://ceds.ed.gov/cedselementdetails.aspx?termid=13863")</f>
        <v>https://ceds.ed.gov/cedselementdetails.aspx?termid=13863</v>
      </c>
      <c r="N1567" s="9" t="str">
        <f>HYPERLINK("https://ceds.ed.gov/elementComment.aspx?elementName=Program Follows Salary Scale &amp;elementID=13863", "Click here to submit comment")</f>
        <v>Click here to submit comment</v>
      </c>
    </row>
    <row r="1568" spans="1:14" ht="409.5" x14ac:dyDescent="0.25">
      <c r="A1568" s="9" t="s">
        <v>4905</v>
      </c>
      <c r="B1568" s="9" t="s">
        <v>4906</v>
      </c>
      <c r="C1568" s="10" t="s">
        <v>6663</v>
      </c>
      <c r="D1568" s="9" t="s">
        <v>6265</v>
      </c>
      <c r="E1568" s="9"/>
      <c r="F1568" s="9"/>
      <c r="G1568" s="9"/>
      <c r="H1568" s="9"/>
      <c r="I1568" s="9" t="s">
        <v>4907</v>
      </c>
      <c r="J1568" s="9"/>
      <c r="K1568" s="9" t="s">
        <v>4908</v>
      </c>
      <c r="L1568" s="9"/>
      <c r="M1568" s="9" t="str">
        <f>HYPERLINK("https://ceds.ed.gov/cedselementdetails.aspx?termid=14210")</f>
        <v>https://ceds.ed.gov/cedselementdetails.aspx?termid=14210</v>
      </c>
      <c r="N1568" s="9" t="str">
        <f>HYPERLINK("https://ceds.ed.gov/elementComment.aspx?elementName=Program Gifted Eligibility Criteria &amp;elementID=14210", "Click here to submit comment")</f>
        <v>Click here to submit comment</v>
      </c>
    </row>
    <row r="1569" spans="1:14" ht="45" x14ac:dyDescent="0.25">
      <c r="A1569" s="9" t="s">
        <v>11686</v>
      </c>
      <c r="B1569" s="9" t="s">
        <v>4909</v>
      </c>
      <c r="C1569" s="9" t="s">
        <v>6106</v>
      </c>
      <c r="D1569" s="9" t="s">
        <v>4910</v>
      </c>
      <c r="E1569" s="9"/>
      <c r="F1569" s="9"/>
      <c r="G1569" s="9"/>
      <c r="H1569" s="9"/>
      <c r="I1569" s="9" t="s">
        <v>4911</v>
      </c>
      <c r="J1569" s="9"/>
      <c r="K1569" s="9" t="s">
        <v>4912</v>
      </c>
      <c r="L1569" s="9" t="s">
        <v>64</v>
      </c>
      <c r="M1569" s="9" t="str">
        <f>HYPERLINK("https://ceds.ed.gov/cedselementdetails.aspx?termid=13851")</f>
        <v>https://ceds.ed.gov/cedselementdetails.aspx?termid=13851</v>
      </c>
      <c r="N1569" s="9" t="str">
        <f>HYPERLINK("https://ceds.ed.gov/elementComment.aspx?elementName=Program Health Safety Checklist Use Status &amp;elementID=13851", "Click here to submit comment")</f>
        <v>Click here to submit comment</v>
      </c>
    </row>
    <row r="1570" spans="1:14" ht="105" x14ac:dyDescent="0.25">
      <c r="A1570" s="18" t="s">
        <v>4913</v>
      </c>
      <c r="B1570" s="18" t="s">
        <v>4914</v>
      </c>
      <c r="C1570" s="18" t="s">
        <v>12</v>
      </c>
      <c r="D1570" s="18" t="s">
        <v>11687</v>
      </c>
      <c r="E1570" s="18"/>
      <c r="F1570" s="18" t="s">
        <v>119</v>
      </c>
      <c r="G1570" s="18"/>
      <c r="H1570" s="9" t="s">
        <v>120</v>
      </c>
      <c r="I1570" s="18" t="s">
        <v>4915</v>
      </c>
      <c r="J1570" s="18"/>
      <c r="K1570" s="18" t="s">
        <v>4916</v>
      </c>
      <c r="L1570" s="18" t="s">
        <v>1963</v>
      </c>
      <c r="M1570" s="18" t="str">
        <f>HYPERLINK("https://ceds.ed.gov/cedselementdetails.aspx?termid=13618")</f>
        <v>https://ceds.ed.gov/cedselementdetails.aspx?termid=13618</v>
      </c>
      <c r="N1570" s="18" t="str">
        <f>HYPERLINK("https://ceds.ed.gov/elementComment.aspx?elementName=Program Identifier &amp;elementID=13618", "Click here to submit comment")</f>
        <v>Click here to submit comment</v>
      </c>
    </row>
    <row r="1571" spans="1:14" x14ac:dyDescent="0.25">
      <c r="A1571" s="18"/>
      <c r="B1571" s="18"/>
      <c r="C1571" s="18"/>
      <c r="D1571" s="18"/>
      <c r="E1571" s="18"/>
      <c r="F1571" s="18"/>
      <c r="G1571" s="18"/>
      <c r="H1571" s="9"/>
      <c r="I1571" s="18"/>
      <c r="J1571" s="18"/>
      <c r="K1571" s="18"/>
      <c r="L1571" s="18"/>
      <c r="M1571" s="18"/>
      <c r="N1571" s="18"/>
    </row>
    <row r="1572" spans="1:14" ht="90" x14ac:dyDescent="0.25">
      <c r="A1572" s="18"/>
      <c r="B1572" s="18"/>
      <c r="C1572" s="18"/>
      <c r="D1572" s="18"/>
      <c r="E1572" s="18"/>
      <c r="F1572" s="18"/>
      <c r="G1572" s="18"/>
      <c r="H1572" s="9" t="s">
        <v>121</v>
      </c>
      <c r="I1572" s="18"/>
      <c r="J1572" s="18"/>
      <c r="K1572" s="18"/>
      <c r="L1572" s="18"/>
      <c r="M1572" s="18"/>
      <c r="N1572" s="18"/>
    </row>
    <row r="1573" spans="1:14" ht="90" x14ac:dyDescent="0.25">
      <c r="A1573" s="9" t="s">
        <v>4917</v>
      </c>
      <c r="B1573" s="9" t="s">
        <v>4918</v>
      </c>
      <c r="C1573" s="9" t="s">
        <v>6106</v>
      </c>
      <c r="D1573" s="9" t="s">
        <v>3578</v>
      </c>
      <c r="E1573" s="9"/>
      <c r="F1573" s="9"/>
      <c r="G1573" s="9"/>
      <c r="H1573" s="9"/>
      <c r="I1573" s="9" t="s">
        <v>4919</v>
      </c>
      <c r="J1573" s="9"/>
      <c r="K1573" s="9" t="s">
        <v>4920</v>
      </c>
      <c r="L1573" s="9" t="s">
        <v>188</v>
      </c>
      <c r="M1573" s="9" t="str">
        <f>HYPERLINK("https://ceds.ed.gov/cedselementdetails.aspx?termid=13476")</f>
        <v>https://ceds.ed.gov/cedselementdetails.aspx?termid=13476</v>
      </c>
      <c r="N1573" s="9" t="str">
        <f>HYPERLINK("https://ceds.ed.gov/elementComment.aspx?elementName=Program in Multiple Purpose Facility &amp;elementID=13476", "Click here to submit comment")</f>
        <v>Click here to submit comment</v>
      </c>
    </row>
    <row r="1574" spans="1:14" ht="75" x14ac:dyDescent="0.25">
      <c r="A1574" s="9" t="s">
        <v>4921</v>
      </c>
      <c r="B1574" s="9" t="s">
        <v>4922</v>
      </c>
      <c r="C1574" s="9" t="s">
        <v>12</v>
      </c>
      <c r="D1574" s="9" t="s">
        <v>6190</v>
      </c>
      <c r="E1574" s="9"/>
      <c r="F1574" s="9" t="s">
        <v>1513</v>
      </c>
      <c r="G1574" s="9"/>
      <c r="H1574" s="9"/>
      <c r="I1574" s="9" t="s">
        <v>4923</v>
      </c>
      <c r="J1574" s="9"/>
      <c r="K1574" s="9" t="s">
        <v>4924</v>
      </c>
      <c r="L1574" s="9" t="s">
        <v>216</v>
      </c>
      <c r="M1574" s="9" t="str">
        <f>HYPERLINK("https://ceds.ed.gov/cedselementdetails.aspx?termid=13223")</f>
        <v>https://ceds.ed.gov/cedselementdetails.aspx?termid=13223</v>
      </c>
      <c r="N1574" s="9" t="str">
        <f>HYPERLINK("https://ceds.ed.gov/elementComment.aspx?elementName=Program Length Hours &amp;elementID=13223", "Click here to submit comment")</f>
        <v>Click here to submit comment</v>
      </c>
    </row>
    <row r="1575" spans="1:14" ht="75" x14ac:dyDescent="0.25">
      <c r="A1575" s="9" t="s">
        <v>4925</v>
      </c>
      <c r="B1575" s="9" t="s">
        <v>4926</v>
      </c>
      <c r="C1575" s="10" t="s">
        <v>6562</v>
      </c>
      <c r="D1575" s="9" t="s">
        <v>6190</v>
      </c>
      <c r="E1575" s="9"/>
      <c r="F1575" s="9"/>
      <c r="G1575" s="9"/>
      <c r="H1575" s="9"/>
      <c r="I1575" s="9" t="s">
        <v>4927</v>
      </c>
      <c r="J1575" s="9"/>
      <c r="K1575" s="9" t="s">
        <v>4928</v>
      </c>
      <c r="L1575" s="9" t="s">
        <v>216</v>
      </c>
      <c r="M1575" s="9" t="str">
        <f>HYPERLINK("https://ceds.ed.gov/cedselementdetails.aspx?termid=13224")</f>
        <v>https://ceds.ed.gov/cedselementdetails.aspx?termid=13224</v>
      </c>
      <c r="N1575" s="9" t="str">
        <f>HYPERLINK("https://ceds.ed.gov/elementComment.aspx?elementName=Program Length Hours Type &amp;elementID=13224", "Click here to submit comment")</f>
        <v>Click here to submit comment</v>
      </c>
    </row>
    <row r="1576" spans="1:14" ht="195" x14ac:dyDescent="0.25">
      <c r="A1576" s="9" t="s">
        <v>4929</v>
      </c>
      <c r="B1576" s="9" t="s">
        <v>4930</v>
      </c>
      <c r="C1576" s="9" t="s">
        <v>12</v>
      </c>
      <c r="D1576" s="9" t="s">
        <v>11688</v>
      </c>
      <c r="E1576" s="9"/>
      <c r="F1576" s="9" t="s">
        <v>92</v>
      </c>
      <c r="G1576" s="9"/>
      <c r="H1576" s="9"/>
      <c r="I1576" s="9" t="s">
        <v>4931</v>
      </c>
      <c r="J1576" s="9"/>
      <c r="K1576" s="9" t="s">
        <v>4932</v>
      </c>
      <c r="L1576" s="9" t="s">
        <v>1963</v>
      </c>
      <c r="M1576" s="9" t="str">
        <f>HYPERLINK("https://ceds.ed.gov/cedselementdetails.aspx?termid=13619")</f>
        <v>https://ceds.ed.gov/cedselementdetails.aspx?termid=13619</v>
      </c>
      <c r="N1576" s="9" t="str">
        <f>HYPERLINK("https://ceds.ed.gov/elementComment.aspx?elementName=Program Name &amp;elementID=13619", "Click here to submit comment")</f>
        <v>Click here to submit comment</v>
      </c>
    </row>
    <row r="1577" spans="1:14" ht="330" x14ac:dyDescent="0.25">
      <c r="A1577" s="9" t="s">
        <v>4933</v>
      </c>
      <c r="B1577" s="9" t="s">
        <v>1641</v>
      </c>
      <c r="C1577" s="9" t="s">
        <v>12</v>
      </c>
      <c r="D1577" s="9" t="s">
        <v>11689</v>
      </c>
      <c r="E1577" s="9"/>
      <c r="F1577" s="9" t="s">
        <v>73</v>
      </c>
      <c r="G1577" s="9"/>
      <c r="H1577" s="9"/>
      <c r="I1577" s="9" t="s">
        <v>4934</v>
      </c>
      <c r="J1577" s="9"/>
      <c r="K1577" s="9" t="s">
        <v>4935</v>
      </c>
      <c r="L1577" s="9" t="s">
        <v>6266</v>
      </c>
      <c r="M1577" s="9" t="str">
        <f>HYPERLINK("https://ceds.ed.gov/cedselementdetails.aspx?termid=13584")</f>
        <v>https://ceds.ed.gov/cedselementdetails.aspx?termid=13584</v>
      </c>
      <c r="N1577" s="9" t="str">
        <f>HYPERLINK("https://ceds.ed.gov/elementComment.aspx?elementName=Program Participation Exit Date &amp;elementID=13584", "Click here to submit comment")</f>
        <v>Click here to submit comment</v>
      </c>
    </row>
    <row r="1578" spans="1:14" ht="330" x14ac:dyDescent="0.25">
      <c r="A1578" s="9" t="s">
        <v>4936</v>
      </c>
      <c r="B1578" s="9" t="s">
        <v>4937</v>
      </c>
      <c r="C1578" s="9" t="s">
        <v>12</v>
      </c>
      <c r="D1578" s="9" t="s">
        <v>11689</v>
      </c>
      <c r="E1578" s="9"/>
      <c r="F1578" s="9" t="s">
        <v>73</v>
      </c>
      <c r="G1578" s="9"/>
      <c r="H1578" s="9"/>
      <c r="I1578" s="9" t="s">
        <v>4938</v>
      </c>
      <c r="J1578" s="9"/>
      <c r="K1578" s="9" t="s">
        <v>4939</v>
      </c>
      <c r="L1578" s="9" t="s">
        <v>6267</v>
      </c>
      <c r="M1578" s="9" t="str">
        <f>HYPERLINK("https://ceds.ed.gov/cedselementdetails.aspx?termid=13583")</f>
        <v>https://ceds.ed.gov/cedselementdetails.aspx?termid=13583</v>
      </c>
      <c r="N1578" s="9" t="str">
        <f>HYPERLINK("https://ceds.ed.gov/elementComment.aspx?elementName=Program Participation Start Date &amp;elementID=13583", "Click here to submit comment")</f>
        <v>Click here to submit comment</v>
      </c>
    </row>
    <row r="1579" spans="1:14" ht="135" x14ac:dyDescent="0.25">
      <c r="A1579" s="9" t="s">
        <v>4940</v>
      </c>
      <c r="B1579" s="9" t="s">
        <v>4941</v>
      </c>
      <c r="C1579" s="10" t="s">
        <v>6664</v>
      </c>
      <c r="D1579" s="9" t="s">
        <v>11690</v>
      </c>
      <c r="E1579" s="9"/>
      <c r="F1579" s="9"/>
      <c r="G1579" s="9"/>
      <c r="H1579" s="9"/>
      <c r="I1579" s="9" t="s">
        <v>4942</v>
      </c>
      <c r="J1579" s="9"/>
      <c r="K1579" s="9" t="s">
        <v>4943</v>
      </c>
      <c r="L1579" s="9" t="s">
        <v>1963</v>
      </c>
      <c r="M1579" s="9" t="str">
        <f>HYPERLINK("https://ceds.ed.gov/cedselementdetails.aspx?termid=14209")</f>
        <v>https://ceds.ed.gov/cedselementdetails.aspx?termid=14209</v>
      </c>
      <c r="N1579" s="9" t="str">
        <f>HYPERLINK("https://ceds.ed.gov/elementComment.aspx?elementName=Program Participation Status &amp;elementID=14209", "Click here to submit comment")</f>
        <v>Click here to submit comment</v>
      </c>
    </row>
    <row r="1580" spans="1:14" ht="45" x14ac:dyDescent="0.25">
      <c r="A1580" s="9" t="s">
        <v>4944</v>
      </c>
      <c r="B1580" s="9" t="s">
        <v>4945</v>
      </c>
      <c r="C1580" s="9" t="s">
        <v>6106</v>
      </c>
      <c r="D1580" s="9" t="s">
        <v>1384</v>
      </c>
      <c r="E1580" s="9"/>
      <c r="F1580" s="9"/>
      <c r="G1580" s="9"/>
      <c r="H1580" s="9"/>
      <c r="I1580" s="9" t="s">
        <v>4946</v>
      </c>
      <c r="J1580" s="9"/>
      <c r="K1580" s="9" t="s">
        <v>4947</v>
      </c>
      <c r="L1580" s="9" t="s">
        <v>64</v>
      </c>
      <c r="M1580" s="9" t="str">
        <f>HYPERLINK("https://ceds.ed.gov/cedselementdetails.aspx?termid=13856")</f>
        <v>https://ceds.ed.gov/cedselementdetails.aspx?termid=13856</v>
      </c>
      <c r="N1580" s="9" t="str">
        <f>HYPERLINK("https://ceds.ed.gov/elementComment.aspx?elementName=Program Provides Parent Education &amp;elementID=13856", "Click here to submit comment")</f>
        <v>Click here to submit comment</v>
      </c>
    </row>
    <row r="1581" spans="1:14" ht="60" x14ac:dyDescent="0.25">
      <c r="A1581" s="9" t="s">
        <v>4948</v>
      </c>
      <c r="B1581" s="9" t="s">
        <v>4949</v>
      </c>
      <c r="C1581" s="9" t="s">
        <v>6106</v>
      </c>
      <c r="D1581" s="9" t="s">
        <v>1384</v>
      </c>
      <c r="E1581" s="9"/>
      <c r="F1581" s="9"/>
      <c r="G1581" s="9"/>
      <c r="H1581" s="9"/>
      <c r="I1581" s="9" t="s">
        <v>4950</v>
      </c>
      <c r="J1581" s="9"/>
      <c r="K1581" s="9" t="s">
        <v>4951</v>
      </c>
      <c r="L1581" s="9" t="s">
        <v>64</v>
      </c>
      <c r="M1581" s="9" t="str">
        <f>HYPERLINK("https://ceds.ed.gov/cedselementdetails.aspx?termid=13855")</f>
        <v>https://ceds.ed.gov/cedselementdetails.aspx?termid=13855</v>
      </c>
      <c r="N1581" s="9" t="str">
        <f>HYPERLINK("https://ceds.ed.gov/elementComment.aspx?elementName=Program Provides Parent Involvement Opportunity &amp;elementID=13855", "Click here to submit comment")</f>
        <v>Click here to submit comment</v>
      </c>
    </row>
    <row r="1582" spans="1:14" ht="45" x14ac:dyDescent="0.25">
      <c r="A1582" s="9" t="s">
        <v>4952</v>
      </c>
      <c r="B1582" s="9" t="s">
        <v>4953</v>
      </c>
      <c r="C1582" s="9" t="s">
        <v>6106</v>
      </c>
      <c r="D1582" s="9" t="s">
        <v>4954</v>
      </c>
      <c r="E1582" s="9"/>
      <c r="F1582" s="9"/>
      <c r="G1582" s="9"/>
      <c r="H1582" s="9"/>
      <c r="I1582" s="9" t="s">
        <v>4955</v>
      </c>
      <c r="J1582" s="9"/>
      <c r="K1582" s="9" t="s">
        <v>4956</v>
      </c>
      <c r="L1582" s="9" t="s">
        <v>64</v>
      </c>
      <c r="M1582" s="9" t="str">
        <f>HYPERLINK("https://ceds.ed.gov/cedselementdetails.aspx?termid=13845")</f>
        <v>https://ceds.ed.gov/cedselementdetails.aspx?termid=13845</v>
      </c>
      <c r="N1582" s="9" t="str">
        <f>HYPERLINK("https://ceds.ed.gov/elementComment.aspx?elementName=Program Provides Translated Materials &amp;elementID=13845", "Click here to submit comment")</f>
        <v>Click here to submit comment</v>
      </c>
    </row>
    <row r="1583" spans="1:14" ht="45" x14ac:dyDescent="0.25">
      <c r="A1583" s="9" t="s">
        <v>4957</v>
      </c>
      <c r="B1583" s="9" t="s">
        <v>4958</v>
      </c>
      <c r="C1583" s="9" t="s">
        <v>6106</v>
      </c>
      <c r="D1583" s="9" t="s">
        <v>1384</v>
      </c>
      <c r="E1583" s="9"/>
      <c r="F1583" s="9"/>
      <c r="G1583" s="9"/>
      <c r="H1583" s="9"/>
      <c r="I1583" s="9" t="s">
        <v>4959</v>
      </c>
      <c r="J1583" s="9"/>
      <c r="K1583" s="9" t="s">
        <v>4960</v>
      </c>
      <c r="L1583" s="9" t="s">
        <v>64</v>
      </c>
      <c r="M1583" s="9" t="str">
        <f>HYPERLINK("https://ceds.ed.gov/cedselementdetails.aspx?termid=13853")</f>
        <v>https://ceds.ed.gov/cedselementdetails.aspx?termid=13853</v>
      </c>
      <c r="N1583" s="9" t="str">
        <f>HYPERLINK("https://ceds.ed.gov/elementComment.aspx?elementName=Program Provides Written Handbook &amp;elementID=13853", "Click here to submit comment")</f>
        <v>Click here to submit comment</v>
      </c>
    </row>
    <row r="1584" spans="1:14" ht="270" x14ac:dyDescent="0.25">
      <c r="A1584" s="9" t="s">
        <v>4961</v>
      </c>
      <c r="B1584" s="9" t="s">
        <v>4962</v>
      </c>
      <c r="C1584" s="10" t="s">
        <v>6665</v>
      </c>
      <c r="D1584" s="9" t="s">
        <v>6268</v>
      </c>
      <c r="E1584" s="9"/>
      <c r="F1584" s="9"/>
      <c r="G1584" s="9"/>
      <c r="H1584" s="9"/>
      <c r="I1584" s="9" t="s">
        <v>4963</v>
      </c>
      <c r="J1584" s="9"/>
      <c r="K1584" s="9" t="s">
        <v>4964</v>
      </c>
      <c r="L1584" s="9"/>
      <c r="M1584" s="9" t="str">
        <f>HYPERLINK("https://ceds.ed.gov/cedselementdetails.aspx?termid=13692")</f>
        <v>https://ceds.ed.gov/cedselementdetails.aspx?termid=13692</v>
      </c>
      <c r="N1584" s="9" t="str">
        <f>HYPERLINK("https://ceds.ed.gov/elementComment.aspx?elementName=Program Sponsor Type &amp;elementID=13692", "Click here to submit comment")</f>
        <v>Click here to submit comment</v>
      </c>
    </row>
    <row r="1585" spans="1:14" ht="45" x14ac:dyDescent="0.25">
      <c r="A1585" s="9" t="s">
        <v>4965</v>
      </c>
      <c r="B1585" s="9" t="s">
        <v>4966</v>
      </c>
      <c r="C1585" s="9" t="s">
        <v>6106</v>
      </c>
      <c r="D1585" s="9" t="s">
        <v>207</v>
      </c>
      <c r="E1585" s="9"/>
      <c r="F1585" s="9"/>
      <c r="G1585" s="9"/>
      <c r="H1585" s="9"/>
      <c r="I1585" s="9" t="s">
        <v>4967</v>
      </c>
      <c r="J1585" s="9"/>
      <c r="K1585" s="9" t="s">
        <v>4968</v>
      </c>
      <c r="L1585" s="9" t="s">
        <v>64</v>
      </c>
      <c r="M1585" s="9" t="str">
        <f>HYPERLINK("https://ceds.ed.gov/cedselementdetails.aspx?termid=13859")</f>
        <v>https://ceds.ed.gov/cedselementdetails.aspx?termid=13859</v>
      </c>
      <c r="N1585" s="9" t="str">
        <f>HYPERLINK("https://ceds.ed.gov/elementComment.aspx?elementName=Program Transition Planning Policy &amp;elementID=13859", "Click here to submit comment")</f>
        <v>Click here to submit comment</v>
      </c>
    </row>
    <row r="1586" spans="1:14" ht="409.5" x14ac:dyDescent="0.25">
      <c r="A1586" s="9" t="s">
        <v>4969</v>
      </c>
      <c r="B1586" s="9" t="s">
        <v>4970</v>
      </c>
      <c r="C1586" s="10" t="s">
        <v>11907</v>
      </c>
      <c r="D1586" s="9" t="s">
        <v>11691</v>
      </c>
      <c r="E1586" s="9"/>
      <c r="F1586" s="9"/>
      <c r="G1586" s="9"/>
      <c r="H1586" s="9"/>
      <c r="I1586" s="9" t="s">
        <v>4971</v>
      </c>
      <c r="J1586" s="9"/>
      <c r="K1586" s="9" t="s">
        <v>4972</v>
      </c>
      <c r="L1586" s="9" t="s">
        <v>6109</v>
      </c>
      <c r="M1586" s="9" t="str">
        <f>HYPERLINK("https://ceds.ed.gov/cedselementdetails.aspx?termid=13225")</f>
        <v>https://ceds.ed.gov/cedselementdetails.aspx?termid=13225</v>
      </c>
      <c r="N1586" s="9" t="str">
        <f>HYPERLINK("https://ceds.ed.gov/elementComment.aspx?elementName=Program Type &amp;elementID=13225", "Click here to submit comment")</f>
        <v>Click here to submit comment</v>
      </c>
    </row>
    <row r="1587" spans="1:14" ht="165" x14ac:dyDescent="0.25">
      <c r="A1587" s="9" t="s">
        <v>4973</v>
      </c>
      <c r="B1587" s="9" t="s">
        <v>4974</v>
      </c>
      <c r="C1587" s="10" t="s">
        <v>6666</v>
      </c>
      <c r="D1587" s="9" t="s">
        <v>28</v>
      </c>
      <c r="E1587" s="9"/>
      <c r="F1587" s="9"/>
      <c r="G1587" s="9"/>
      <c r="H1587" s="9"/>
      <c r="I1587" s="9" t="s">
        <v>4975</v>
      </c>
      <c r="J1587" s="9"/>
      <c r="K1587" s="9" t="s">
        <v>4976</v>
      </c>
      <c r="L1587" s="9" t="s">
        <v>199</v>
      </c>
      <c r="M1587" s="9" t="str">
        <f>HYPERLINK("https://ceds.ed.gov/cedselementdetails.aspx?termid=13553")</f>
        <v>https://ceds.ed.gov/cedselementdetails.aspx?termid=13553</v>
      </c>
      <c r="N1587" s="9" t="str">
        <f>HYPERLINK("https://ceds.ed.gov/elementComment.aspx?elementName=Progress Level &amp;elementID=13553", "Click here to submit comment")</f>
        <v>Click here to submit comment</v>
      </c>
    </row>
    <row r="1588" spans="1:14" ht="90" x14ac:dyDescent="0.25">
      <c r="A1588" s="9" t="s">
        <v>4977</v>
      </c>
      <c r="B1588" s="9" t="s">
        <v>4978</v>
      </c>
      <c r="C1588" s="9" t="s">
        <v>12</v>
      </c>
      <c r="D1588" s="9" t="s">
        <v>28</v>
      </c>
      <c r="E1588" s="9"/>
      <c r="F1588" s="9" t="s">
        <v>2270</v>
      </c>
      <c r="G1588" s="9"/>
      <c r="H1588" s="9"/>
      <c r="I1588" s="9" t="s">
        <v>4979</v>
      </c>
      <c r="J1588" s="9"/>
      <c r="K1588" s="9" t="s">
        <v>4980</v>
      </c>
      <c r="L1588" s="9" t="s">
        <v>6109</v>
      </c>
      <c r="M1588" s="9" t="str">
        <f>HYPERLINK("https://ceds.ed.gov/cedselementdetails.aspx?termid=13226")</f>
        <v>https://ceds.ed.gov/cedselementdetails.aspx?termid=13226</v>
      </c>
      <c r="N1588" s="9" t="str">
        <f>HYPERLINK("https://ceds.ed.gov/elementComment.aspx?elementName=Projected Graduation Date &amp;elementID=13226", "Click here to submit comment")</f>
        <v>Click here to submit comment</v>
      </c>
    </row>
    <row r="1589" spans="1:14" ht="150" x14ac:dyDescent="0.25">
      <c r="A1589" s="9" t="s">
        <v>4981</v>
      </c>
      <c r="B1589" s="9" t="s">
        <v>4982</v>
      </c>
      <c r="C1589" s="10" t="s">
        <v>6667</v>
      </c>
      <c r="D1589" s="9" t="s">
        <v>28</v>
      </c>
      <c r="E1589" s="9"/>
      <c r="F1589" s="9"/>
      <c r="G1589" s="9"/>
      <c r="H1589" s="9"/>
      <c r="I1589" s="9" t="s">
        <v>4983</v>
      </c>
      <c r="J1589" s="9"/>
      <c r="K1589" s="9" t="s">
        <v>4984</v>
      </c>
      <c r="L1589" s="9"/>
      <c r="M1589" s="9" t="str">
        <f>HYPERLINK("https://ceds.ed.gov/cedselementdetails.aspx?termid=13521")</f>
        <v>https://ceds.ed.gov/cedselementdetails.aspx?termid=13521</v>
      </c>
      <c r="N1589" s="9" t="str">
        <f>HYPERLINK("https://ceds.ed.gov/elementComment.aspx?elementName=Promotion Reason &amp;elementID=13521", "Click here to submit comment")</f>
        <v>Click here to submit comment</v>
      </c>
    </row>
    <row r="1590" spans="1:14" ht="75" x14ac:dyDescent="0.25">
      <c r="A1590" s="9" t="s">
        <v>4985</v>
      </c>
      <c r="B1590" s="9" t="s">
        <v>4986</v>
      </c>
      <c r="C1590" s="10" t="s">
        <v>6668</v>
      </c>
      <c r="D1590" s="9" t="s">
        <v>2772</v>
      </c>
      <c r="E1590" s="9"/>
      <c r="F1590" s="9"/>
      <c r="G1590" s="9"/>
      <c r="H1590" s="9"/>
      <c r="I1590" s="9" t="s">
        <v>4987</v>
      </c>
      <c r="J1590" s="9"/>
      <c r="K1590" s="9" t="s">
        <v>4988</v>
      </c>
      <c r="L1590" s="9" t="s">
        <v>2225</v>
      </c>
      <c r="M1590" s="9" t="str">
        <f>HYPERLINK("https://ceds.ed.gov/cedselementdetails.aspx?termid=13305")</f>
        <v>https://ceds.ed.gov/cedselementdetails.aspx?termid=13305</v>
      </c>
      <c r="N1590" s="9" t="str">
        <f>HYPERLINK("https://ceds.ed.gov/elementComment.aspx?elementName=Proof of Residency Type &amp;elementID=13305", "Click here to submit comment")</f>
        <v>Click here to submit comment</v>
      </c>
    </row>
    <row r="1591" spans="1:14" ht="45" x14ac:dyDescent="0.25">
      <c r="A1591" s="9" t="s">
        <v>4989</v>
      </c>
      <c r="B1591" s="9" t="s">
        <v>4990</v>
      </c>
      <c r="C1591" s="9" t="s">
        <v>12</v>
      </c>
      <c r="D1591" s="9" t="s">
        <v>235</v>
      </c>
      <c r="E1591" s="9"/>
      <c r="F1591" s="9" t="s">
        <v>4991</v>
      </c>
      <c r="G1591" s="9"/>
      <c r="H1591" s="9"/>
      <c r="I1591" s="9" t="s">
        <v>4992</v>
      </c>
      <c r="J1591" s="9"/>
      <c r="K1591" s="9" t="s">
        <v>4993</v>
      </c>
      <c r="L1591" s="9"/>
      <c r="M1591" s="9" t="str">
        <f>HYPERLINK("https://ceds.ed.gov/cedselementdetails.aspx?termid=13776")</f>
        <v>https://ceds.ed.gov/cedselementdetails.aspx?termid=13776</v>
      </c>
      <c r="N1591" s="9" t="str">
        <f>HYPERLINK("https://ceds.ed.gov/elementComment.aspx?elementName=Proxy Contact Hours &amp;elementID=13776", "Click here to submit comment")</f>
        <v>Click here to submit comment</v>
      </c>
    </row>
    <row r="1592" spans="1:14" ht="75" x14ac:dyDescent="0.25">
      <c r="A1592" s="9" t="s">
        <v>4994</v>
      </c>
      <c r="B1592" s="9" t="s">
        <v>4995</v>
      </c>
      <c r="C1592" s="9" t="s">
        <v>6106</v>
      </c>
      <c r="D1592" s="9" t="s">
        <v>2330</v>
      </c>
      <c r="E1592" s="9"/>
      <c r="F1592" s="9"/>
      <c r="G1592" s="9"/>
      <c r="H1592" s="9"/>
      <c r="I1592" s="9" t="s">
        <v>4996</v>
      </c>
      <c r="J1592" s="9"/>
      <c r="K1592" s="9" t="s">
        <v>4997</v>
      </c>
      <c r="L1592" s="9"/>
      <c r="M1592" s="9" t="str">
        <f>HYPERLINK("https://ceds.ed.gov/cedselementdetails.aspx?termid=13760")</f>
        <v>https://ceds.ed.gov/cedselementdetails.aspx?termid=13760</v>
      </c>
      <c r="N1592" s="9" t="str">
        <f>HYPERLINK("https://ceds.ed.gov/elementComment.aspx?elementName=Public Assistance Status &amp;elementID=13760", "Click here to submit comment")</f>
        <v>Click here to submit comment</v>
      </c>
    </row>
    <row r="1593" spans="1:14" ht="15" customHeight="1" x14ac:dyDescent="0.25">
      <c r="A1593" s="9" t="s">
        <v>8934</v>
      </c>
      <c r="B1593" s="9" t="s">
        <v>8935</v>
      </c>
      <c r="C1593" s="9" t="s">
        <v>12</v>
      </c>
      <c r="D1593" s="9" t="s">
        <v>11513</v>
      </c>
      <c r="E1593" s="9" t="s">
        <v>1457</v>
      </c>
      <c r="F1593" s="9" t="s">
        <v>11692</v>
      </c>
      <c r="G1593" s="9"/>
      <c r="H1593" s="9"/>
      <c r="I1593" s="9" t="s">
        <v>11693</v>
      </c>
      <c r="J1593" s="9"/>
      <c r="K1593" s="9" t="s">
        <v>11694</v>
      </c>
      <c r="L1593" s="9"/>
      <c r="M1593" s="9" t="str">
        <f>HYPERLINK("https://ceds.ed.gov/cedselementdetails.aspx?termid=14876")</f>
        <v>https://ceds.ed.gov/cedselementdetails.aspx?termid=14876</v>
      </c>
      <c r="N1593" s="9" t="str">
        <f>HYPERLINK("https://ceds.ed.gov/elementComment.aspx?elementName=Public Education Mill Rate &amp;elementID=14876", "Click here to submit comment")</f>
        <v>Click here to submit comment</v>
      </c>
    </row>
    <row r="1594" spans="1:14" ht="15" customHeight="1" x14ac:dyDescent="0.25">
      <c r="A1594" s="9" t="s">
        <v>4998</v>
      </c>
      <c r="B1594" s="9" t="s">
        <v>4999</v>
      </c>
      <c r="C1594" s="9" t="s">
        <v>12</v>
      </c>
      <c r="D1594" s="9" t="s">
        <v>11363</v>
      </c>
      <c r="E1594" s="9"/>
      <c r="F1594" s="9" t="s">
        <v>1513</v>
      </c>
      <c r="G1594" s="9"/>
      <c r="H1594" s="9"/>
      <c r="I1594" s="9" t="s">
        <v>5000</v>
      </c>
      <c r="J1594" s="9"/>
      <c r="K1594" s="9" t="s">
        <v>5001</v>
      </c>
      <c r="L1594" s="9" t="s">
        <v>199</v>
      </c>
      <c r="M1594" s="9" t="str">
        <f>HYPERLINK("https://ceds.ed.gov/cedselementdetails.aspx?termid=13560")</f>
        <v>https://ceds.ed.gov/cedselementdetails.aspx?termid=13560</v>
      </c>
      <c r="N1594" s="9" t="str">
        <f>HYPERLINK("https://ceds.ed.gov/elementComment.aspx?elementName=Public School Choice Funds Spent &amp;elementID=13560", "Click here to submit comment")</f>
        <v>Click here to submit comment</v>
      </c>
    </row>
    <row r="1595" spans="1:14" ht="15" customHeight="1" x14ac:dyDescent="0.25">
      <c r="A1595" s="9" t="s">
        <v>5002</v>
      </c>
      <c r="B1595" s="9" t="s">
        <v>5003</v>
      </c>
      <c r="C1595" s="10" t="s">
        <v>6669</v>
      </c>
      <c r="D1595" s="9" t="s">
        <v>55</v>
      </c>
      <c r="E1595" s="9"/>
      <c r="F1595" s="9"/>
      <c r="G1595" s="9"/>
      <c r="H1595" s="9"/>
      <c r="I1595" s="9" t="s">
        <v>5004</v>
      </c>
      <c r="J1595" s="9"/>
      <c r="K1595" s="9" t="s">
        <v>5005</v>
      </c>
      <c r="L1595" s="9" t="s">
        <v>199</v>
      </c>
      <c r="M1595" s="9" t="str">
        <f>HYPERLINK("https://ceds.ed.gov/cedselementdetails.aspx?termid=13227")</f>
        <v>https://ceds.ed.gov/cedselementdetails.aspx?termid=13227</v>
      </c>
      <c r="N1595" s="9" t="str">
        <f>HYPERLINK("https://ceds.ed.gov/elementComment.aspx?elementName=Public School Choice Implementation Status &amp;elementID=13227", "Click here to submit comment")</f>
        <v>Click here to submit comment</v>
      </c>
    </row>
    <row r="1596" spans="1:14" ht="150" x14ac:dyDescent="0.25">
      <c r="A1596" s="9" t="s">
        <v>5006</v>
      </c>
      <c r="B1596" s="9" t="s">
        <v>5007</v>
      </c>
      <c r="C1596" s="10" t="s">
        <v>6670</v>
      </c>
      <c r="D1596" s="9" t="s">
        <v>1754</v>
      </c>
      <c r="E1596" s="9"/>
      <c r="F1596" s="9"/>
      <c r="G1596" s="9"/>
      <c r="H1596" s="9"/>
      <c r="I1596" s="9" t="s">
        <v>5008</v>
      </c>
      <c r="J1596" s="9"/>
      <c r="K1596" s="9" t="s">
        <v>5009</v>
      </c>
      <c r="L1596" s="9"/>
      <c r="M1596" s="9" t="str">
        <f>HYPERLINK("https://ceds.ed.gov/cedselementdetails.aspx?termid=13523")</f>
        <v>https://ceds.ed.gov/cedselementdetails.aspx?termid=13523</v>
      </c>
      <c r="N1596" s="9" t="str">
        <f>HYPERLINK("https://ceds.ed.gov/elementComment.aspx?elementName=Public School Residence Status &amp;elementID=13523", "Click here to submit comment")</f>
        <v>Click here to submit comment</v>
      </c>
    </row>
    <row r="1597" spans="1:14" ht="90" x14ac:dyDescent="0.25">
      <c r="A1597" s="9" t="s">
        <v>5010</v>
      </c>
      <c r="B1597" s="9" t="s">
        <v>5011</v>
      </c>
      <c r="C1597" s="10" t="s">
        <v>6671</v>
      </c>
      <c r="D1597" s="9" t="s">
        <v>4277</v>
      </c>
      <c r="E1597" s="9"/>
      <c r="F1597" s="9"/>
      <c r="G1597" s="9"/>
      <c r="H1597" s="9"/>
      <c r="I1597" s="9" t="s">
        <v>5012</v>
      </c>
      <c r="J1597" s="9"/>
      <c r="K1597" s="9" t="s">
        <v>5013</v>
      </c>
      <c r="L1597" s="9"/>
      <c r="M1597" s="9" t="str">
        <f>HYPERLINK("https://ceds.ed.gov/cedselementdetails.aspx?termid=14299")</f>
        <v>https://ceds.ed.gov/cedselementdetails.aspx?termid=14299</v>
      </c>
      <c r="N1597" s="9" t="str">
        <f>HYPERLINK("https://ceds.ed.gov/elementComment.aspx?elementName=Purpose of Monitoring Visit &amp;elementID=14299", "Click here to submit comment")</f>
        <v>Click here to submit comment</v>
      </c>
    </row>
    <row r="1598" spans="1:14" ht="45" x14ac:dyDescent="0.25">
      <c r="A1598" s="9" t="s">
        <v>5014</v>
      </c>
      <c r="B1598" s="9" t="s">
        <v>5015</v>
      </c>
      <c r="C1598" s="9" t="s">
        <v>12</v>
      </c>
      <c r="D1598" s="9" t="s">
        <v>1846</v>
      </c>
      <c r="E1598" s="9"/>
      <c r="F1598" s="9" t="s">
        <v>87</v>
      </c>
      <c r="G1598" s="9"/>
      <c r="H1598" s="9"/>
      <c r="I1598" s="9" t="s">
        <v>5016</v>
      </c>
      <c r="J1598" s="9"/>
      <c r="K1598" s="9" t="s">
        <v>5017</v>
      </c>
      <c r="L1598" s="9" t="s">
        <v>1537</v>
      </c>
      <c r="M1598" s="9" t="str">
        <f>HYPERLINK("https://ceds.ed.gov/cedselementdetails.aspx?termid=13423")</f>
        <v>https://ceds.ed.gov/cedselementdetails.aspx?termid=13423</v>
      </c>
      <c r="N1598" s="9" t="str">
        <f>HYPERLINK("https://ceds.ed.gov/elementComment.aspx?elementName=Qualifying Move From City &amp;elementID=13423", "Click here to submit comment")</f>
        <v>Click here to submit comment</v>
      </c>
    </row>
    <row r="1599" spans="1:14" ht="409.5" x14ac:dyDescent="0.25">
      <c r="A1599" s="9" t="s">
        <v>5018</v>
      </c>
      <c r="B1599" s="9" t="s">
        <v>5019</v>
      </c>
      <c r="C1599" s="10" t="s">
        <v>6418</v>
      </c>
      <c r="D1599" s="9" t="s">
        <v>1846</v>
      </c>
      <c r="E1599" s="9"/>
      <c r="F1599" s="9"/>
      <c r="G1599" s="9"/>
      <c r="H1599" s="11" t="s">
        <v>1887</v>
      </c>
      <c r="I1599" s="9" t="s">
        <v>5020</v>
      </c>
      <c r="J1599" s="9"/>
      <c r="K1599" s="9" t="s">
        <v>5021</v>
      </c>
      <c r="L1599" s="9" t="s">
        <v>1537</v>
      </c>
      <c r="M1599" s="9" t="str">
        <f>HYPERLINK("https://ceds.ed.gov/cedselementdetails.aspx?termid=13424")</f>
        <v>https://ceds.ed.gov/cedselementdetails.aspx?termid=13424</v>
      </c>
      <c r="N1599" s="9" t="str">
        <f>HYPERLINK("https://ceds.ed.gov/elementComment.aspx?elementName=Qualifying Move From Country &amp;elementID=13424", "Click here to submit comment")</f>
        <v>Click here to submit comment</v>
      </c>
    </row>
    <row r="1600" spans="1:14" ht="409.5" x14ac:dyDescent="0.25">
      <c r="A1600" s="9" t="s">
        <v>5022</v>
      </c>
      <c r="B1600" s="9" t="s">
        <v>5023</v>
      </c>
      <c r="C1600" s="10" t="s">
        <v>6702</v>
      </c>
      <c r="D1600" s="9" t="s">
        <v>1846</v>
      </c>
      <c r="E1600" s="9"/>
      <c r="F1600" s="9"/>
      <c r="G1600" s="9"/>
      <c r="H1600" s="9"/>
      <c r="I1600" s="9" t="s">
        <v>5024</v>
      </c>
      <c r="J1600" s="9"/>
      <c r="K1600" s="9" t="s">
        <v>5025</v>
      </c>
      <c r="L1600" s="9" t="s">
        <v>1537</v>
      </c>
      <c r="M1600" s="9" t="str">
        <f>HYPERLINK("https://ceds.ed.gov/cedselementdetails.aspx?termid=13425")</f>
        <v>https://ceds.ed.gov/cedselementdetails.aspx?termid=13425</v>
      </c>
      <c r="N1600" s="9" t="str">
        <f>HYPERLINK("https://ceds.ed.gov/elementComment.aspx?elementName=Qualifying Move From State &amp;elementID=13425", "Click here to submit comment")</f>
        <v>Click here to submit comment</v>
      </c>
    </row>
    <row r="1601" spans="1:14" ht="45" x14ac:dyDescent="0.25">
      <c r="A1601" s="9" t="s">
        <v>5026</v>
      </c>
      <c r="B1601" s="9" t="s">
        <v>5027</v>
      </c>
      <c r="C1601" s="9" t="s">
        <v>12</v>
      </c>
      <c r="D1601" s="9" t="s">
        <v>5028</v>
      </c>
      <c r="E1601" s="9"/>
      <c r="F1601" s="9" t="s">
        <v>87</v>
      </c>
      <c r="G1601" s="9"/>
      <c r="H1601" s="9"/>
      <c r="I1601" s="9" t="s">
        <v>5029</v>
      </c>
      <c r="J1601" s="9"/>
      <c r="K1601" s="9" t="s">
        <v>5030</v>
      </c>
      <c r="L1601" s="9"/>
      <c r="M1601" s="9" t="str">
        <f>HYPERLINK("https://ceds.ed.gov/cedselementdetails.aspx?termid=14432")</f>
        <v>https://ceds.ed.gov/cedselementdetails.aspx?termid=14432</v>
      </c>
      <c r="N1601" s="9" t="str">
        <f>HYPERLINK("https://ceds.ed.gov/elementComment.aspx?elementName=Quality Initiative Maximum Score &amp;elementID=14432", "Click here to submit comment")</f>
        <v>Click here to submit comment</v>
      </c>
    </row>
    <row r="1602" spans="1:14" ht="45" x14ac:dyDescent="0.25">
      <c r="A1602" s="9" t="s">
        <v>5031</v>
      </c>
      <c r="B1602" s="9" t="s">
        <v>5032</v>
      </c>
      <c r="C1602" s="9" t="s">
        <v>12</v>
      </c>
      <c r="D1602" s="9" t="s">
        <v>5028</v>
      </c>
      <c r="E1602" s="9"/>
      <c r="F1602" s="9" t="s">
        <v>87</v>
      </c>
      <c r="G1602" s="9"/>
      <c r="H1602" s="9"/>
      <c r="I1602" s="9" t="s">
        <v>5033</v>
      </c>
      <c r="J1602" s="9"/>
      <c r="K1602" s="9" t="s">
        <v>5034</v>
      </c>
      <c r="L1602" s="9"/>
      <c r="M1602" s="9" t="str">
        <f>HYPERLINK("https://ceds.ed.gov/cedselementdetails.aspx?termid=14433")</f>
        <v>https://ceds.ed.gov/cedselementdetails.aspx?termid=14433</v>
      </c>
      <c r="N1602" s="9" t="str">
        <f>HYPERLINK("https://ceds.ed.gov/elementComment.aspx?elementName=Quality Initiative Minimum Score &amp;elementID=14433", "Click here to submit comment")</f>
        <v>Click here to submit comment</v>
      </c>
    </row>
    <row r="1603" spans="1:14" ht="45" x14ac:dyDescent="0.25">
      <c r="A1603" s="9" t="s">
        <v>5035</v>
      </c>
      <c r="B1603" s="9" t="s">
        <v>5036</v>
      </c>
      <c r="C1603" s="9" t="s">
        <v>12</v>
      </c>
      <c r="D1603" s="9" t="s">
        <v>5028</v>
      </c>
      <c r="E1603" s="9"/>
      <c r="F1603" s="9" t="s">
        <v>73</v>
      </c>
      <c r="G1603" s="9"/>
      <c r="H1603" s="9"/>
      <c r="I1603" s="9" t="s">
        <v>5037</v>
      </c>
      <c r="J1603" s="9"/>
      <c r="K1603" s="9" t="s">
        <v>5038</v>
      </c>
      <c r="L1603" s="9"/>
      <c r="M1603" s="9" t="str">
        <f>HYPERLINK("https://ceds.ed.gov/cedselementdetails.aspx?termid=14436")</f>
        <v>https://ceds.ed.gov/cedselementdetails.aspx?termid=14436</v>
      </c>
      <c r="N1603" s="9" t="str">
        <f>HYPERLINK("https://ceds.ed.gov/elementComment.aspx?elementName=Quality Initiative Participation End Date &amp;elementID=14436", "Click here to submit comment")</f>
        <v>Click here to submit comment</v>
      </c>
    </row>
    <row r="1604" spans="1:14" ht="45" x14ac:dyDescent="0.25">
      <c r="A1604" s="9" t="s">
        <v>5039</v>
      </c>
      <c r="B1604" s="9" t="s">
        <v>5040</v>
      </c>
      <c r="C1604" s="9" t="s">
        <v>6106</v>
      </c>
      <c r="D1604" s="9" t="s">
        <v>5028</v>
      </c>
      <c r="E1604" s="9"/>
      <c r="F1604" s="9"/>
      <c r="G1604" s="9"/>
      <c r="H1604" s="9"/>
      <c r="I1604" s="9" t="s">
        <v>5041</v>
      </c>
      <c r="J1604" s="9"/>
      <c r="K1604" s="9" t="s">
        <v>5042</v>
      </c>
      <c r="L1604" s="9"/>
      <c r="M1604" s="9" t="str">
        <f>HYPERLINK("https://ceds.ed.gov/cedselementdetails.aspx?termid=14435")</f>
        <v>https://ceds.ed.gov/cedselementdetails.aspx?termid=14435</v>
      </c>
      <c r="N1604" s="9" t="str">
        <f>HYPERLINK("https://ceds.ed.gov/elementComment.aspx?elementName=Quality Initiative Participation Indicator &amp;elementID=14435", "Click here to submit comment")</f>
        <v>Click here to submit comment</v>
      </c>
    </row>
    <row r="1605" spans="1:14" ht="45" x14ac:dyDescent="0.25">
      <c r="A1605" s="9" t="s">
        <v>5043</v>
      </c>
      <c r="B1605" s="9" t="s">
        <v>5044</v>
      </c>
      <c r="C1605" s="9" t="s">
        <v>12</v>
      </c>
      <c r="D1605" s="9" t="s">
        <v>5028</v>
      </c>
      <c r="E1605" s="9"/>
      <c r="F1605" s="9" t="s">
        <v>73</v>
      </c>
      <c r="G1605" s="9"/>
      <c r="H1605" s="9"/>
      <c r="I1605" s="9" t="s">
        <v>5045</v>
      </c>
      <c r="J1605" s="9"/>
      <c r="K1605" s="9" t="s">
        <v>5046</v>
      </c>
      <c r="L1605" s="9"/>
      <c r="M1605" s="9" t="str">
        <f>HYPERLINK("https://ceds.ed.gov/cedselementdetails.aspx?termid=14437")</f>
        <v>https://ceds.ed.gov/cedselementdetails.aspx?termid=14437</v>
      </c>
      <c r="N1605" s="9" t="str">
        <f>HYPERLINK("https://ceds.ed.gov/elementComment.aspx?elementName=Quality Initiative Participation Start Date &amp;elementID=14437", "Click here to submit comment")</f>
        <v>Click here to submit comment</v>
      </c>
    </row>
    <row r="1606" spans="1:14" ht="60" x14ac:dyDescent="0.25">
      <c r="A1606" s="9" t="s">
        <v>5047</v>
      </c>
      <c r="B1606" s="9" t="s">
        <v>5048</v>
      </c>
      <c r="C1606" s="9" t="s">
        <v>12</v>
      </c>
      <c r="D1606" s="9" t="s">
        <v>5028</v>
      </c>
      <c r="E1606" s="9"/>
      <c r="F1606" s="9" t="s">
        <v>87</v>
      </c>
      <c r="G1606" s="9"/>
      <c r="H1606" s="9"/>
      <c r="I1606" s="9" t="s">
        <v>5049</v>
      </c>
      <c r="J1606" s="9"/>
      <c r="K1606" s="9" t="s">
        <v>5050</v>
      </c>
      <c r="L1606" s="9"/>
      <c r="M1606" s="9" t="str">
        <f>HYPERLINK("https://ceds.ed.gov/cedselementdetails.aspx?termid=14434")</f>
        <v>https://ceds.ed.gov/cedselementdetails.aspx?termid=14434</v>
      </c>
      <c r="N1606" s="9" t="str">
        <f>HYPERLINK("https://ceds.ed.gov/elementComment.aspx?elementName=Quality Initiative Score Level &amp;elementID=14434", "Click here to submit comment")</f>
        <v>Click here to submit comment</v>
      </c>
    </row>
    <row r="1607" spans="1:14" ht="45" x14ac:dyDescent="0.25">
      <c r="A1607" s="9" t="s">
        <v>5051</v>
      </c>
      <c r="B1607" s="9" t="s">
        <v>5052</v>
      </c>
      <c r="C1607" s="9" t="s">
        <v>12</v>
      </c>
      <c r="D1607" s="9" t="s">
        <v>4412</v>
      </c>
      <c r="E1607" s="9"/>
      <c r="F1607" s="9" t="s">
        <v>73</v>
      </c>
      <c r="G1607" s="9"/>
      <c r="H1607" s="9"/>
      <c r="I1607" s="9" t="s">
        <v>5053</v>
      </c>
      <c r="J1607" s="9" t="s">
        <v>5054</v>
      </c>
      <c r="K1607" s="9" t="s">
        <v>5055</v>
      </c>
      <c r="L1607" s="9" t="s">
        <v>64</v>
      </c>
      <c r="M1607" s="9" t="str">
        <f>HYPERLINK("https://ceds.ed.gov/cedselementdetails.aspx?termid=13830")</f>
        <v>https://ceds.ed.gov/cedselementdetails.aspx?termid=13830</v>
      </c>
      <c r="N1607" s="9" t="str">
        <f>HYPERLINK("https://ceds.ed.gov/elementComment.aspx?elementName=Quality Rating and Improvement System Award Date &amp;elementID=13830", "Click here to submit comment")</f>
        <v>Click here to submit comment</v>
      </c>
    </row>
    <row r="1608" spans="1:14" ht="45" x14ac:dyDescent="0.25">
      <c r="A1608" s="9" t="s">
        <v>5056</v>
      </c>
      <c r="B1608" s="9" t="s">
        <v>5057</v>
      </c>
      <c r="C1608" s="9" t="s">
        <v>12</v>
      </c>
      <c r="D1608" s="9" t="s">
        <v>4412</v>
      </c>
      <c r="E1608" s="9"/>
      <c r="F1608" s="9" t="s">
        <v>73</v>
      </c>
      <c r="G1608" s="9"/>
      <c r="H1608" s="9"/>
      <c r="I1608" s="9" t="s">
        <v>5058</v>
      </c>
      <c r="J1608" s="9" t="s">
        <v>5059</v>
      </c>
      <c r="K1608" s="9" t="s">
        <v>5060</v>
      </c>
      <c r="L1608" s="9" t="s">
        <v>64</v>
      </c>
      <c r="M1608" s="9" t="str">
        <f>HYPERLINK("https://ceds.ed.gov/cedselementdetails.aspx?termid=13831")</f>
        <v>https://ceds.ed.gov/cedselementdetails.aspx?termid=13831</v>
      </c>
      <c r="N1608" s="9" t="str">
        <f>HYPERLINK("https://ceds.ed.gov/elementComment.aspx?elementName=Quality Rating and Improvement System Expiration Date &amp;elementID=13831", "Click here to submit comment")</f>
        <v>Click here to submit comment</v>
      </c>
    </row>
    <row r="1609" spans="1:14" ht="105" x14ac:dyDescent="0.25">
      <c r="A1609" s="9" t="s">
        <v>5061</v>
      </c>
      <c r="B1609" s="9" t="s">
        <v>5062</v>
      </c>
      <c r="C1609" s="10" t="s">
        <v>6673</v>
      </c>
      <c r="D1609" s="9" t="s">
        <v>4412</v>
      </c>
      <c r="E1609" s="9"/>
      <c r="F1609" s="9"/>
      <c r="G1609" s="9"/>
      <c r="H1609" s="9"/>
      <c r="I1609" s="9" t="s">
        <v>5063</v>
      </c>
      <c r="J1609" s="9" t="s">
        <v>5064</v>
      </c>
      <c r="K1609" s="9" t="s">
        <v>5065</v>
      </c>
      <c r="L1609" s="9" t="s">
        <v>5066</v>
      </c>
      <c r="M1609" s="9" t="str">
        <f>HYPERLINK("https://ceds.ed.gov/cedselementdetails.aspx?termid=13356")</f>
        <v>https://ceds.ed.gov/cedselementdetails.aspx?termid=13356</v>
      </c>
      <c r="N1609" s="9" t="str">
        <f>HYPERLINK("https://ceds.ed.gov/elementComment.aspx?elementName=Quality Rating and Improvement System Participation &amp;elementID=13356", "Click here to submit comment")</f>
        <v>Click here to submit comment</v>
      </c>
    </row>
    <row r="1610" spans="1:14" ht="45" x14ac:dyDescent="0.25">
      <c r="A1610" s="9" t="s">
        <v>5067</v>
      </c>
      <c r="B1610" s="9" t="s">
        <v>5068</v>
      </c>
      <c r="C1610" s="9" t="s">
        <v>12</v>
      </c>
      <c r="D1610" s="9" t="s">
        <v>4412</v>
      </c>
      <c r="E1610" s="9"/>
      <c r="F1610" s="9" t="s">
        <v>1347</v>
      </c>
      <c r="G1610" s="9"/>
      <c r="H1610" s="9"/>
      <c r="I1610" s="9" t="s">
        <v>5069</v>
      </c>
      <c r="J1610" s="9" t="s">
        <v>5070</v>
      </c>
      <c r="K1610" s="9" t="s">
        <v>5071</v>
      </c>
      <c r="L1610" s="9" t="s">
        <v>5066</v>
      </c>
      <c r="M1610" s="9" t="str">
        <f>HYPERLINK("https://ceds.ed.gov/cedselementdetails.aspx?termid=13357")</f>
        <v>https://ceds.ed.gov/cedselementdetails.aspx?termid=13357</v>
      </c>
      <c r="N1610" s="9" t="str">
        <f>HYPERLINK("https://ceds.ed.gov/elementComment.aspx?elementName=Quality Rating and Improvement System Score &amp;elementID=13357", "Click here to submit comment")</f>
        <v>Click here to submit comment</v>
      </c>
    </row>
    <row r="1611" spans="1:14" ht="210" x14ac:dyDescent="0.25">
      <c r="A1611" s="9" t="s">
        <v>5072</v>
      </c>
      <c r="B1611" s="9" t="s">
        <v>5073</v>
      </c>
      <c r="C1611" s="9" t="s">
        <v>12</v>
      </c>
      <c r="D1611" s="9" t="s">
        <v>2618</v>
      </c>
      <c r="E1611" s="9"/>
      <c r="F1611" s="9" t="s">
        <v>1513</v>
      </c>
      <c r="G1611" s="9"/>
      <c r="H1611" s="9" t="s">
        <v>5074</v>
      </c>
      <c r="I1611" s="9" t="s">
        <v>5075</v>
      </c>
      <c r="J1611" s="9"/>
      <c r="K1611" s="9" t="s">
        <v>5076</v>
      </c>
      <c r="L1611" s="9"/>
      <c r="M1611" s="9" t="str">
        <f>HYPERLINK("https://ceds.ed.gov/cedselementdetails.aspx?termid=13991")</f>
        <v>https://ceds.ed.gov/cedselementdetails.aspx?termid=13991</v>
      </c>
      <c r="N1611" s="9" t="str">
        <f>HYPERLINK("https://ceds.ed.gov/elementComment.aspx?elementName=Quarterly Earnings &amp;elementID=13991", "Click here to submit comment")</f>
        <v>Click here to submit comment</v>
      </c>
    </row>
    <row r="1612" spans="1:14" ht="60" x14ac:dyDescent="0.25">
      <c r="A1612" s="9" t="s">
        <v>5077</v>
      </c>
      <c r="B1612" s="9" t="s">
        <v>5078</v>
      </c>
      <c r="C1612" s="9" t="s">
        <v>12</v>
      </c>
      <c r="D1612" s="9" t="s">
        <v>11695</v>
      </c>
      <c r="E1612" s="9"/>
      <c r="F1612" s="9" t="s">
        <v>303</v>
      </c>
      <c r="G1612" s="9"/>
      <c r="H1612" s="9"/>
      <c r="I1612" s="9" t="s">
        <v>5079</v>
      </c>
      <c r="J1612" s="9"/>
      <c r="K1612" s="9" t="s">
        <v>5080</v>
      </c>
      <c r="L1612" s="9"/>
      <c r="M1612" s="9" t="str">
        <f>HYPERLINK("https://ceds.ed.gov/cedselementdetails.aspx?termid=14460")</f>
        <v>https://ceds.ed.gov/cedselementdetails.aspx?termid=14460</v>
      </c>
      <c r="N1612" s="9" t="str">
        <f>HYPERLINK("https://ceds.ed.gov/elementComment.aspx?elementName=Reason for Declined Services &amp;elementID=14460", "Click here to submit comment")</f>
        <v>Click here to submit comment</v>
      </c>
    </row>
    <row r="1613" spans="1:14" ht="105" x14ac:dyDescent="0.25">
      <c r="A1613" s="9" t="s">
        <v>5081</v>
      </c>
      <c r="B1613" s="9" t="s">
        <v>5082</v>
      </c>
      <c r="C1613" s="10" t="s">
        <v>6674</v>
      </c>
      <c r="D1613" s="9" t="s">
        <v>2175</v>
      </c>
      <c r="E1613" s="9"/>
      <c r="F1613" s="9"/>
      <c r="G1613" s="9"/>
      <c r="H1613" s="9"/>
      <c r="I1613" s="9" t="s">
        <v>5083</v>
      </c>
      <c r="J1613" s="9"/>
      <c r="K1613" s="9" t="s">
        <v>5084</v>
      </c>
      <c r="L1613" s="9"/>
      <c r="M1613" s="9" t="str">
        <f>HYPERLINK("https://ceds.ed.gov/cedselementdetails.aspx?termid=14494")</f>
        <v>https://ceds.ed.gov/cedselementdetails.aspx?termid=14494</v>
      </c>
      <c r="N1613" s="9" t="str">
        <f>HYPERLINK("https://ceds.ed.gov/elementComment.aspx?elementName=Reason for Delay of Transition Conference &amp;elementID=14494", "Click here to submit comment")</f>
        <v>Click here to submit comment</v>
      </c>
    </row>
    <row r="1614" spans="1:14" ht="135" x14ac:dyDescent="0.25">
      <c r="A1614" s="9" t="s">
        <v>5085</v>
      </c>
      <c r="B1614" s="9" t="s">
        <v>5086</v>
      </c>
      <c r="C1614" s="10" t="s">
        <v>6675</v>
      </c>
      <c r="D1614" s="9" t="s">
        <v>1200</v>
      </c>
      <c r="E1614" s="9"/>
      <c r="F1614" s="9"/>
      <c r="G1614" s="9"/>
      <c r="H1614" s="9"/>
      <c r="I1614" s="9" t="s">
        <v>5087</v>
      </c>
      <c r="J1614" s="9"/>
      <c r="K1614" s="9" t="s">
        <v>5088</v>
      </c>
      <c r="L1614" s="9"/>
      <c r="M1614" s="9" t="str">
        <f>HYPERLINK("https://ceds.ed.gov/cedselementdetails.aspx?termid=13228")</f>
        <v>https://ceds.ed.gov/cedselementdetails.aspx?termid=13228</v>
      </c>
      <c r="N1614" s="9" t="str">
        <f>HYPERLINK("https://ceds.ed.gov/elementComment.aspx?elementName=Reason Not Tested &amp;elementID=13228", "Click here to submit comment")</f>
        <v>Click here to submit comment</v>
      </c>
    </row>
    <row r="1615" spans="1:14" ht="180" x14ac:dyDescent="0.25">
      <c r="A1615" s="9" t="s">
        <v>5089</v>
      </c>
      <c r="B1615" s="9" t="s">
        <v>5090</v>
      </c>
      <c r="C1615" s="10" t="s">
        <v>6676</v>
      </c>
      <c r="D1615" s="9" t="s">
        <v>11696</v>
      </c>
      <c r="E1615" s="9"/>
      <c r="F1615" s="9"/>
      <c r="G1615" s="9"/>
      <c r="H1615" s="9"/>
      <c r="I1615" s="9" t="s">
        <v>5091</v>
      </c>
      <c r="J1615" s="9"/>
      <c r="K1615" s="9" t="s">
        <v>5092</v>
      </c>
      <c r="L1615" s="9"/>
      <c r="M1615" s="9" t="str">
        <f>HYPERLINK("https://ceds.ed.gov/cedselementdetails.aspx?termid=13515")</f>
        <v>https://ceds.ed.gov/cedselementdetails.aspx?termid=13515</v>
      </c>
      <c r="N1615" s="9" t="str">
        <f>HYPERLINK("https://ceds.ed.gov/elementComment.aspx?elementName=Receiving Location of Instruction &amp;elementID=13515", "Click here to submit comment")</f>
        <v>Click here to submit comment</v>
      </c>
    </row>
    <row r="1616" spans="1:14" ht="210" x14ac:dyDescent="0.25">
      <c r="A1616" s="9" t="s">
        <v>5093</v>
      </c>
      <c r="B1616" s="9" t="s">
        <v>5094</v>
      </c>
      <c r="C1616" s="10" t="s">
        <v>6677</v>
      </c>
      <c r="D1616" s="9" t="s">
        <v>28</v>
      </c>
      <c r="E1616" s="9"/>
      <c r="F1616" s="9"/>
      <c r="G1616" s="9"/>
      <c r="H1616" s="9"/>
      <c r="I1616" s="9" t="s">
        <v>5095</v>
      </c>
      <c r="J1616" s="9"/>
      <c r="K1616" s="9" t="s">
        <v>5096</v>
      </c>
      <c r="L1616" s="9" t="s">
        <v>6109</v>
      </c>
      <c r="M1616" s="9" t="str">
        <f>HYPERLINK("https://ceds.ed.gov/cedselementdetails.aspx?termid=13229")</f>
        <v>https://ceds.ed.gov/cedselementdetails.aspx?termid=13229</v>
      </c>
      <c r="N1616" s="9" t="str">
        <f>HYPERLINK("https://ceds.ed.gov/elementComment.aspx?elementName=Recognition for Participation or Performance in an Activity &amp;elementID=13229", "Click here to submit comment")</f>
        <v>Click here to submit comment</v>
      </c>
    </row>
    <row r="1617" spans="1:14" ht="90" x14ac:dyDescent="0.25">
      <c r="A1617" s="9" t="s">
        <v>5097</v>
      </c>
      <c r="B1617" s="9" t="s">
        <v>5098</v>
      </c>
      <c r="C1617" s="10" t="s">
        <v>6678</v>
      </c>
      <c r="D1617" s="9" t="s">
        <v>1882</v>
      </c>
      <c r="E1617" s="9"/>
      <c r="F1617" s="9"/>
      <c r="G1617" s="9"/>
      <c r="H1617" s="9"/>
      <c r="I1617" s="9" t="s">
        <v>5099</v>
      </c>
      <c r="J1617" s="9"/>
      <c r="K1617" s="9" t="s">
        <v>5100</v>
      </c>
      <c r="L1617" s="9" t="s">
        <v>199</v>
      </c>
      <c r="M1617" s="9" t="str">
        <f>HYPERLINK("https://ceds.ed.gov/cedselementdetails.aspx?termid=13230")</f>
        <v>https://ceds.ed.gov/cedselementdetails.aspx?termid=13230</v>
      </c>
      <c r="N1617" s="9" t="str">
        <f>HYPERLINK("https://ceds.ed.gov/elementComment.aspx?elementName=Reconstituted Status &amp;elementID=13230", "Click here to submit comment")</f>
        <v>Click here to submit comment</v>
      </c>
    </row>
    <row r="1618" spans="1:14" ht="90" x14ac:dyDescent="0.25">
      <c r="A1618" s="9" t="s">
        <v>5101</v>
      </c>
      <c r="B1618" s="9" t="s">
        <v>5102</v>
      </c>
      <c r="C1618" s="9" t="s">
        <v>12</v>
      </c>
      <c r="D1618" s="9" t="s">
        <v>11697</v>
      </c>
      <c r="E1618" s="9"/>
      <c r="F1618" s="9" t="s">
        <v>73</v>
      </c>
      <c r="G1618" s="9"/>
      <c r="H1618" s="9"/>
      <c r="I1618" s="9" t="s">
        <v>5104</v>
      </c>
      <c r="J1618" s="9"/>
      <c r="K1618" s="9" t="s">
        <v>5105</v>
      </c>
      <c r="L1618" s="9"/>
      <c r="M1618" s="9" t="str">
        <f>HYPERLINK("https://ceds.ed.gov/cedselementdetails.aspx?termid=14453")</f>
        <v>https://ceds.ed.gov/cedselementdetails.aspx?termid=14453</v>
      </c>
      <c r="N1618" s="9" t="str">
        <f>HYPERLINK("https://ceds.ed.gov/elementComment.aspx?elementName=Referral Date &amp;elementID=14453", "Click here to submit comment")</f>
        <v>Click here to submit comment</v>
      </c>
    </row>
    <row r="1619" spans="1:14" ht="135" x14ac:dyDescent="0.25">
      <c r="A1619" s="9" t="s">
        <v>5106</v>
      </c>
      <c r="B1619" s="9" t="s">
        <v>5107</v>
      </c>
      <c r="C1619" s="10" t="s">
        <v>6679</v>
      </c>
      <c r="D1619" s="9" t="s">
        <v>5103</v>
      </c>
      <c r="E1619" s="9"/>
      <c r="F1619" s="9"/>
      <c r="G1619" s="9"/>
      <c r="H1619" s="9"/>
      <c r="I1619" s="9" t="s">
        <v>5108</v>
      </c>
      <c r="J1619" s="9"/>
      <c r="K1619" s="9" t="s">
        <v>5109</v>
      </c>
      <c r="L1619" s="9"/>
      <c r="M1619" s="9" t="str">
        <f>HYPERLINK("https://ceds.ed.gov/cedselementdetails.aspx?termid=14454")</f>
        <v>https://ceds.ed.gov/cedselementdetails.aspx?termid=14454</v>
      </c>
      <c r="N1619" s="9" t="str">
        <f>HYPERLINK("https://ceds.ed.gov/elementComment.aspx?elementName=Referral Outcome &amp;elementID=14454", "Click here to submit comment")</f>
        <v>Click here to submit comment</v>
      </c>
    </row>
    <row r="1620" spans="1:14" ht="45" x14ac:dyDescent="0.25">
      <c r="A1620" s="9" t="s">
        <v>5110</v>
      </c>
      <c r="B1620" s="9" t="s">
        <v>5111</v>
      </c>
      <c r="C1620" s="9" t="s">
        <v>6106</v>
      </c>
      <c r="D1620" s="9" t="s">
        <v>2505</v>
      </c>
      <c r="E1620" s="9"/>
      <c r="F1620" s="9"/>
      <c r="G1620" s="9"/>
      <c r="H1620" s="9"/>
      <c r="I1620" s="9" t="s">
        <v>5112</v>
      </c>
      <c r="J1620" s="9"/>
      <c r="K1620" s="9" t="s">
        <v>5113</v>
      </c>
      <c r="L1620" s="9" t="s">
        <v>64</v>
      </c>
      <c r="M1620" s="9" t="str">
        <f>HYPERLINK("https://ceds.ed.gov/cedselementdetails.aspx?termid=13850")</f>
        <v>https://ceds.ed.gov/cedselementdetails.aspx?termid=13850</v>
      </c>
      <c r="N1620" s="9" t="str">
        <f>HYPERLINK("https://ceds.ed.gov/elementComment.aspx?elementName=Referral Policy &amp;elementID=13850", "Click here to submit comment")</f>
        <v>Click here to submit comment</v>
      </c>
    </row>
    <row r="1621" spans="1:14" ht="90" x14ac:dyDescent="0.25">
      <c r="A1621" s="9" t="s">
        <v>5114</v>
      </c>
      <c r="B1621" s="9" t="s">
        <v>5115</v>
      </c>
      <c r="C1621" s="9" t="s">
        <v>12</v>
      </c>
      <c r="D1621" s="9" t="s">
        <v>11697</v>
      </c>
      <c r="E1621" s="9"/>
      <c r="F1621" s="9" t="s">
        <v>303</v>
      </c>
      <c r="G1621" s="9"/>
      <c r="H1621" s="9"/>
      <c r="I1621" s="9" t="s">
        <v>5116</v>
      </c>
      <c r="J1621" s="9"/>
      <c r="K1621" s="9" t="s">
        <v>5117</v>
      </c>
      <c r="L1621" s="9"/>
      <c r="M1621" s="9" t="str">
        <f>HYPERLINK("https://ceds.ed.gov/cedselementdetails.aspx?termid=14455")</f>
        <v>https://ceds.ed.gov/cedselementdetails.aspx?termid=14455</v>
      </c>
      <c r="N1621" s="9" t="str">
        <f>HYPERLINK("https://ceds.ed.gov/elementComment.aspx?elementName=Referral Reason &amp;elementID=14455", "Click here to submit comment")</f>
        <v>Click here to submit comment</v>
      </c>
    </row>
    <row r="1622" spans="1:14" ht="90" x14ac:dyDescent="0.25">
      <c r="A1622" s="9" t="s">
        <v>5118</v>
      </c>
      <c r="B1622" s="9" t="s">
        <v>11698</v>
      </c>
      <c r="C1622" s="9" t="s">
        <v>12</v>
      </c>
      <c r="D1622" s="9" t="s">
        <v>11697</v>
      </c>
      <c r="E1622" s="9"/>
      <c r="F1622" s="9" t="s">
        <v>92</v>
      </c>
      <c r="G1622" s="9"/>
      <c r="H1622" s="9"/>
      <c r="I1622" s="9" t="s">
        <v>5119</v>
      </c>
      <c r="J1622" s="9"/>
      <c r="K1622" s="9" t="s">
        <v>5120</v>
      </c>
      <c r="L1622" s="9"/>
      <c r="M1622" s="9" t="str">
        <f>HYPERLINK("https://ceds.ed.gov/cedselementdetails.aspx?termid=14456")</f>
        <v>https://ceds.ed.gov/cedselementdetails.aspx?termid=14456</v>
      </c>
      <c r="N1622" s="9" t="str">
        <f>HYPERLINK("https://ceds.ed.gov/elementComment.aspx?elementName=Referral Source &amp;elementID=14456", "Click here to submit comment")</f>
        <v>Click here to submit comment</v>
      </c>
    </row>
    <row r="1623" spans="1:14" ht="45" x14ac:dyDescent="0.25">
      <c r="A1623" s="9" t="s">
        <v>5121</v>
      </c>
      <c r="B1623" s="9" t="s">
        <v>5122</v>
      </c>
      <c r="C1623" s="9" t="s">
        <v>12</v>
      </c>
      <c r="D1623" s="9" t="s">
        <v>5103</v>
      </c>
      <c r="E1623" s="9"/>
      <c r="F1623" s="9" t="s">
        <v>92</v>
      </c>
      <c r="G1623" s="9"/>
      <c r="H1623" s="9"/>
      <c r="I1623" s="9" t="s">
        <v>5123</v>
      </c>
      <c r="J1623" s="9"/>
      <c r="K1623" s="9" t="s">
        <v>5124</v>
      </c>
      <c r="L1623" s="9"/>
      <c r="M1623" s="9" t="str">
        <f>HYPERLINK("https://ceds.ed.gov/cedselementdetails.aspx?termid=14457")</f>
        <v>https://ceds.ed.gov/cedselementdetails.aspx?termid=14457</v>
      </c>
      <c r="N1623" s="9" t="str">
        <f>HYPERLINK("https://ceds.ed.gov/elementComment.aspx?elementName=Referral Type Received &amp;elementID=14457", "Click here to submit comment")</f>
        <v>Click here to submit comment</v>
      </c>
    </row>
    <row r="1624" spans="1:14" ht="15" customHeight="1" x14ac:dyDescent="0.25">
      <c r="A1624" s="9" t="s">
        <v>5125</v>
      </c>
      <c r="B1624" s="9" t="s">
        <v>5126</v>
      </c>
      <c r="C1624" s="9" t="s">
        <v>12</v>
      </c>
      <c r="D1624" s="9" t="s">
        <v>5103</v>
      </c>
      <c r="E1624" s="9"/>
      <c r="F1624" s="9" t="s">
        <v>92</v>
      </c>
      <c r="G1624" s="9"/>
      <c r="H1624" s="9"/>
      <c r="I1624" s="9" t="s">
        <v>5127</v>
      </c>
      <c r="J1624" s="9"/>
      <c r="K1624" s="9" t="s">
        <v>5128</v>
      </c>
      <c r="L1624" s="9"/>
      <c r="M1624" s="9" t="str">
        <f>HYPERLINK("https://ceds.ed.gov/cedselementdetails.aspx?termid=14458")</f>
        <v>https://ceds.ed.gov/cedselementdetails.aspx?termid=14458</v>
      </c>
      <c r="N1624" s="9" t="str">
        <f>HYPERLINK("https://ceds.ed.gov/elementComment.aspx?elementName=Referred To &amp;elementID=14458", "Click here to submit comment")</f>
        <v>Click here to submit comment</v>
      </c>
    </row>
    <row r="1625" spans="1:14" ht="15" customHeight="1" x14ac:dyDescent="0.25">
      <c r="A1625" s="9" t="s">
        <v>5129</v>
      </c>
      <c r="B1625" s="9" t="s">
        <v>5130</v>
      </c>
      <c r="C1625" s="10" t="s">
        <v>6680</v>
      </c>
      <c r="D1625" s="9" t="s">
        <v>1527</v>
      </c>
      <c r="E1625" s="9"/>
      <c r="F1625" s="9"/>
      <c r="G1625" s="9"/>
      <c r="H1625" s="9"/>
      <c r="I1625" s="9" t="s">
        <v>5131</v>
      </c>
      <c r="J1625" s="9"/>
      <c r="K1625" s="9" t="s">
        <v>5132</v>
      </c>
      <c r="L1625" s="9"/>
      <c r="M1625" s="9" t="str">
        <f>HYPERLINK("https://ceds.ed.gov/cedselementdetails.aspx?termid=14601")</f>
        <v>https://ceds.ed.gov/cedselementdetails.aspx?termid=14601</v>
      </c>
      <c r="N1625" s="9" t="str">
        <f>HYPERLINK("https://ceds.ed.gov/elementComment.aspx?elementName=Reimbursement Type &amp;elementID=14601", "Click here to submit comment")</f>
        <v>Click here to submit comment</v>
      </c>
    </row>
    <row r="1626" spans="1:14" ht="15" customHeight="1" x14ac:dyDescent="0.25">
      <c r="A1626" s="9" t="s">
        <v>11699</v>
      </c>
      <c r="B1626" s="9" t="s">
        <v>11700</v>
      </c>
      <c r="C1626" s="9" t="s">
        <v>12</v>
      </c>
      <c r="D1626" s="9" t="s">
        <v>10949</v>
      </c>
      <c r="E1626" s="9" t="s">
        <v>91</v>
      </c>
      <c r="F1626" s="9" t="s">
        <v>92</v>
      </c>
      <c r="G1626" s="9" t="s">
        <v>10738</v>
      </c>
      <c r="H1626" s="9"/>
      <c r="I1626" s="9" t="s">
        <v>5133</v>
      </c>
      <c r="J1626" s="9" t="s">
        <v>11701</v>
      </c>
      <c r="K1626" s="9" t="s">
        <v>11702</v>
      </c>
      <c r="L1626" s="9"/>
      <c r="M1626" s="9" t="str">
        <f>HYPERLINK("https://ceds.ed.gov/cedselementdetails.aspx?termid=13231")</f>
        <v>https://ceds.ed.gov/cedselementdetails.aspx?termid=13231</v>
      </c>
      <c r="N1626" s="9" t="str">
        <f>HYPERLINK("https://ceds.ed.gov/elementComment.aspx?elementName=Related Competency Items &amp;elementID=13231", "Click here to submit comment")</f>
        <v>Click here to submit comment</v>
      </c>
    </row>
    <row r="1627" spans="1:14" ht="75" x14ac:dyDescent="0.25">
      <c r="A1627" s="9" t="s">
        <v>5134</v>
      </c>
      <c r="B1627" s="9" t="s">
        <v>5135</v>
      </c>
      <c r="C1627" s="9" t="s">
        <v>6106</v>
      </c>
      <c r="D1627" s="9" t="s">
        <v>6189</v>
      </c>
      <c r="E1627" s="9"/>
      <c r="F1627" s="9"/>
      <c r="G1627" s="9"/>
      <c r="H1627" s="9"/>
      <c r="I1627" s="9" t="s">
        <v>5136</v>
      </c>
      <c r="J1627" s="9"/>
      <c r="K1627" s="9" t="s">
        <v>5137</v>
      </c>
      <c r="L1627" s="9"/>
      <c r="M1627" s="9" t="str">
        <f>HYPERLINK("https://ceds.ed.gov/cedselementdetails.aspx?termid=13503")</f>
        <v>https://ceds.ed.gov/cedselementdetails.aspx?termid=13503</v>
      </c>
      <c r="N1627" s="9" t="str">
        <f>HYPERLINK("https://ceds.ed.gov/elementComment.aspx?elementName=Related to Zero Tolerance Policy &amp;elementID=13503", "Click here to submit comment")</f>
        <v>Click here to submit comment</v>
      </c>
    </row>
    <row r="1628" spans="1:14" ht="105" x14ac:dyDescent="0.25">
      <c r="A1628" s="9" t="s">
        <v>9032</v>
      </c>
      <c r="B1628" s="9" t="s">
        <v>11703</v>
      </c>
      <c r="C1628" s="9" t="s">
        <v>12</v>
      </c>
      <c r="D1628" s="9" t="s">
        <v>10927</v>
      </c>
      <c r="E1628" s="9"/>
      <c r="F1628" s="9" t="s">
        <v>73</v>
      </c>
      <c r="G1628" s="9"/>
      <c r="H1628" s="9" t="s">
        <v>10928</v>
      </c>
      <c r="I1628" s="9" t="s">
        <v>11704</v>
      </c>
      <c r="J1628" s="9"/>
      <c r="K1628" s="9" t="s">
        <v>11705</v>
      </c>
      <c r="L1628" s="9"/>
      <c r="M1628" s="9" t="str">
        <f>HYPERLINK("https://ceds.ed.gov/cedselementdetails.aspx?termid=14740")</f>
        <v>https://ceds.ed.gov/cedselementdetails.aspx?termid=14740</v>
      </c>
      <c r="N1628" s="9" t="str">
        <f>HYPERLINK("https://ceds.ed.gov/elementComment.aspx?elementName=Report Date &amp;elementID=14740", "Click here to submit comment")</f>
        <v>Click here to submit comment</v>
      </c>
    </row>
    <row r="1629" spans="1:14" ht="105" x14ac:dyDescent="0.25">
      <c r="A1629" s="18" t="s">
        <v>5138</v>
      </c>
      <c r="B1629" s="18" t="s">
        <v>5139</v>
      </c>
      <c r="C1629" s="18" t="s">
        <v>12</v>
      </c>
      <c r="D1629" s="18" t="s">
        <v>2919</v>
      </c>
      <c r="E1629" s="18"/>
      <c r="F1629" s="18" t="s">
        <v>119</v>
      </c>
      <c r="G1629" s="18"/>
      <c r="H1629" s="9" t="s">
        <v>120</v>
      </c>
      <c r="I1629" s="18" t="s">
        <v>5140</v>
      </c>
      <c r="J1629" s="18"/>
      <c r="K1629" s="18" t="s">
        <v>5141</v>
      </c>
      <c r="L1629" s="18"/>
      <c r="M1629" s="18" t="str">
        <f>HYPERLINK("https://ceds.ed.gov/cedselementdetails.aspx?termid=13498")</f>
        <v>https://ceds.ed.gov/cedselementdetails.aspx?termid=13498</v>
      </c>
      <c r="N1629" s="18" t="str">
        <f>HYPERLINK("https://ceds.ed.gov/elementComment.aspx?elementName=Reporter Identifier &amp;elementID=13498", "Click here to submit comment")</f>
        <v>Click here to submit comment</v>
      </c>
    </row>
    <row r="1630" spans="1:14" x14ac:dyDescent="0.25">
      <c r="A1630" s="18"/>
      <c r="B1630" s="18"/>
      <c r="C1630" s="18"/>
      <c r="D1630" s="18"/>
      <c r="E1630" s="18"/>
      <c r="F1630" s="18"/>
      <c r="G1630" s="18"/>
      <c r="H1630" s="9"/>
      <c r="I1630" s="18"/>
      <c r="J1630" s="18"/>
      <c r="K1630" s="18"/>
      <c r="L1630" s="18"/>
      <c r="M1630" s="18"/>
      <c r="N1630" s="18"/>
    </row>
    <row r="1631" spans="1:14" ht="90" x14ac:dyDescent="0.25">
      <c r="A1631" s="18"/>
      <c r="B1631" s="18"/>
      <c r="C1631" s="18"/>
      <c r="D1631" s="18"/>
      <c r="E1631" s="18"/>
      <c r="F1631" s="18"/>
      <c r="G1631" s="18"/>
      <c r="H1631" s="9" t="s">
        <v>121</v>
      </c>
      <c r="I1631" s="18"/>
      <c r="J1631" s="18"/>
      <c r="K1631" s="18"/>
      <c r="L1631" s="18"/>
      <c r="M1631" s="18"/>
      <c r="N1631" s="18"/>
    </row>
    <row r="1632" spans="1:14" ht="345" x14ac:dyDescent="0.25">
      <c r="A1632" s="9" t="s">
        <v>5142</v>
      </c>
      <c r="B1632" s="9" t="s">
        <v>5143</v>
      </c>
      <c r="C1632" s="10" t="s">
        <v>6544</v>
      </c>
      <c r="D1632" s="9" t="s">
        <v>2505</v>
      </c>
      <c r="E1632" s="9"/>
      <c r="F1632" s="9"/>
      <c r="G1632" s="9"/>
      <c r="H1632" s="9"/>
      <c r="I1632" s="9" t="s">
        <v>5144</v>
      </c>
      <c r="J1632" s="9"/>
      <c r="K1632" s="9" t="s">
        <v>5145</v>
      </c>
      <c r="L1632" s="9" t="s">
        <v>1714</v>
      </c>
      <c r="M1632" s="9" t="str">
        <f>HYPERLINK("https://ceds.ed.gov/cedselementdetails.aspx?termid=13307")</f>
        <v>https://ceds.ed.gov/cedselementdetails.aspx?termid=13307</v>
      </c>
      <c r="N1632" s="9" t="str">
        <f>HYPERLINK("https://ceds.ed.gov/elementComment.aspx?elementName=Required Immunization &amp;elementID=13307", "Click here to submit comment")</f>
        <v>Click here to submit comment</v>
      </c>
    </row>
    <row r="1633" spans="1:14" ht="75" x14ac:dyDescent="0.25">
      <c r="A1633" s="9" t="s">
        <v>5146</v>
      </c>
      <c r="B1633" s="9" t="s">
        <v>5147</v>
      </c>
      <c r="C1633" s="9" t="s">
        <v>12</v>
      </c>
      <c r="D1633" s="9" t="s">
        <v>213</v>
      </c>
      <c r="E1633" s="9"/>
      <c r="F1633" s="9" t="s">
        <v>1513</v>
      </c>
      <c r="G1633" s="9"/>
      <c r="H1633" s="9" t="s">
        <v>344</v>
      </c>
      <c r="I1633" s="9" t="s">
        <v>5148</v>
      </c>
      <c r="J1633" s="9"/>
      <c r="K1633" s="9" t="s">
        <v>5149</v>
      </c>
      <c r="L1633" s="9" t="s">
        <v>1552</v>
      </c>
      <c r="M1633" s="9" t="str">
        <f>HYPERLINK("https://ceds.ed.gov/cedselementdetails.aspx?termid=13726")</f>
        <v>https://ceds.ed.gov/cedselementdetails.aspx?termid=13726</v>
      </c>
      <c r="N1633" s="9" t="str">
        <f>HYPERLINK("https://ceds.ed.gov/elementComment.aspx?elementName=Required Student Fees &amp;elementID=13726", "Click here to submit comment")</f>
        <v>Click here to submit comment</v>
      </c>
    </row>
    <row r="1634" spans="1:14" ht="15" customHeight="1" x14ac:dyDescent="0.25">
      <c r="A1634" s="9" t="s">
        <v>5150</v>
      </c>
      <c r="B1634" s="9" t="s">
        <v>5151</v>
      </c>
      <c r="C1634" s="9" t="s">
        <v>12</v>
      </c>
      <c r="D1634" s="9" t="s">
        <v>1592</v>
      </c>
      <c r="E1634" s="9"/>
      <c r="F1634" s="9" t="s">
        <v>1513</v>
      </c>
      <c r="G1634" s="9"/>
      <c r="H1634" s="9"/>
      <c r="I1634" s="9" t="s">
        <v>5152</v>
      </c>
      <c r="J1634" s="9"/>
      <c r="K1634" s="9" t="s">
        <v>5153</v>
      </c>
      <c r="L1634" s="9" t="s">
        <v>182</v>
      </c>
      <c r="M1634" s="9" t="str">
        <f>HYPERLINK("https://ceds.ed.gov/cedselementdetails.aspx?termid=13803")</f>
        <v>https://ceds.ed.gov/cedselementdetails.aspx?termid=13803</v>
      </c>
      <c r="N1634" s="9" t="str">
        <f>HYPERLINK("https://ceds.ed.gov/elementComment.aspx?elementName=Required Training Clock Hours &amp;elementID=13803", "Click here to submit comment")</f>
        <v>Click here to submit comment</v>
      </c>
    </row>
    <row r="1635" spans="1:14" ht="105" customHeight="1" x14ac:dyDescent="0.25">
      <c r="A1635" s="18" t="s">
        <v>5154</v>
      </c>
      <c r="B1635" s="18" t="s">
        <v>5155</v>
      </c>
      <c r="C1635" s="18" t="s">
        <v>12</v>
      </c>
      <c r="D1635" s="18" t="s">
        <v>2335</v>
      </c>
      <c r="E1635" s="18"/>
      <c r="F1635" s="18" t="s">
        <v>119</v>
      </c>
      <c r="G1635" s="18"/>
      <c r="H1635" s="9" t="s">
        <v>120</v>
      </c>
      <c r="I1635" s="18" t="s">
        <v>5156</v>
      </c>
      <c r="J1635" s="18"/>
      <c r="K1635" s="18" t="s">
        <v>5157</v>
      </c>
      <c r="L1635" s="18" t="s">
        <v>199</v>
      </c>
      <c r="M1635" s="18" t="str">
        <f>HYPERLINK("https://ceds.ed.gov/cedselementdetails.aspx?termid=13639")</f>
        <v>https://ceds.ed.gov/cedselementdetails.aspx?termid=13639</v>
      </c>
      <c r="N1635" s="18" t="str">
        <f>HYPERLINK("https://ceds.ed.gov/elementComment.aspx?elementName=Responsible District Identifier &amp;elementID=13639", "Click here to submit comment")</f>
        <v>Click here to submit comment</v>
      </c>
    </row>
    <row r="1636" spans="1:14" x14ac:dyDescent="0.25">
      <c r="A1636" s="18"/>
      <c r="B1636" s="18"/>
      <c r="C1636" s="18"/>
      <c r="D1636" s="18"/>
      <c r="E1636" s="18"/>
      <c r="F1636" s="18"/>
      <c r="G1636" s="18"/>
      <c r="H1636" s="9"/>
      <c r="I1636" s="18"/>
      <c r="J1636" s="18"/>
      <c r="K1636" s="18"/>
      <c r="L1636" s="18"/>
      <c r="M1636" s="18"/>
      <c r="N1636" s="18"/>
    </row>
    <row r="1637" spans="1:14" ht="90" x14ac:dyDescent="0.25">
      <c r="A1637" s="18"/>
      <c r="B1637" s="18"/>
      <c r="C1637" s="18"/>
      <c r="D1637" s="18"/>
      <c r="E1637" s="18"/>
      <c r="F1637" s="18"/>
      <c r="G1637" s="18"/>
      <c r="H1637" s="9" t="s">
        <v>121</v>
      </c>
      <c r="I1637" s="18"/>
      <c r="J1637" s="18"/>
      <c r="K1637" s="18"/>
      <c r="L1637" s="18"/>
      <c r="M1637" s="18"/>
      <c r="N1637" s="18"/>
    </row>
    <row r="1638" spans="1:14" ht="120" x14ac:dyDescent="0.25">
      <c r="A1638" s="9" t="s">
        <v>5158</v>
      </c>
      <c r="B1638" s="9" t="s">
        <v>5159</v>
      </c>
      <c r="C1638" s="10" t="s">
        <v>6681</v>
      </c>
      <c r="D1638" s="9" t="s">
        <v>6206</v>
      </c>
      <c r="E1638" s="9"/>
      <c r="F1638" s="9"/>
      <c r="G1638" s="9"/>
      <c r="H1638" s="9"/>
      <c r="I1638" s="9" t="s">
        <v>5160</v>
      </c>
      <c r="J1638" s="9"/>
      <c r="K1638" s="9" t="s">
        <v>5161</v>
      </c>
      <c r="L1638" s="9" t="s">
        <v>199</v>
      </c>
      <c r="M1638" s="9" t="str">
        <f>HYPERLINK("https://ceds.ed.gov/cedselementdetails.aspx?termid=13587")</f>
        <v>https://ceds.ed.gov/cedselementdetails.aspx?termid=13587</v>
      </c>
      <c r="N1638" s="9" t="str">
        <f>HYPERLINK("https://ceds.ed.gov/elementComment.aspx?elementName=Responsible District Type &amp;elementID=13587", "Click here to submit comment")</f>
        <v>Click here to submit comment</v>
      </c>
    </row>
    <row r="1639" spans="1:14" ht="60" x14ac:dyDescent="0.25">
      <c r="A1639" s="18" t="s">
        <v>5162</v>
      </c>
      <c r="B1639" s="18" t="s">
        <v>5163</v>
      </c>
      <c r="C1639" s="18" t="s">
        <v>12</v>
      </c>
      <c r="D1639" s="18" t="s">
        <v>11706</v>
      </c>
      <c r="E1639" s="18"/>
      <c r="F1639" s="18" t="s">
        <v>119</v>
      </c>
      <c r="G1639" s="18"/>
      <c r="H1639" s="9" t="s">
        <v>5164</v>
      </c>
      <c r="I1639" s="18" t="s">
        <v>5165</v>
      </c>
      <c r="J1639" s="18"/>
      <c r="K1639" s="18" t="s">
        <v>5166</v>
      </c>
      <c r="L1639" s="18"/>
      <c r="M1639" s="18" t="str">
        <f>HYPERLINK("https://ceds.ed.gov/cedselementdetails.aspx?termid=14438")</f>
        <v>https://ceds.ed.gov/cedselementdetails.aspx?termid=14438</v>
      </c>
      <c r="N1639" s="18" t="str">
        <f>HYPERLINK("https://ceds.ed.gov/elementComment.aspx?elementName=Responsible Organization Identifier &amp;elementID=14438", "Click here to submit comment")</f>
        <v>Click here to submit comment</v>
      </c>
    </row>
    <row r="1640" spans="1:14" x14ac:dyDescent="0.25">
      <c r="A1640" s="18"/>
      <c r="B1640" s="18"/>
      <c r="C1640" s="18"/>
      <c r="D1640" s="18"/>
      <c r="E1640" s="18"/>
      <c r="F1640" s="18"/>
      <c r="G1640" s="18"/>
      <c r="H1640" s="9"/>
      <c r="I1640" s="18"/>
      <c r="J1640" s="18"/>
      <c r="K1640" s="18"/>
      <c r="L1640" s="18"/>
      <c r="M1640" s="18"/>
      <c r="N1640" s="18"/>
    </row>
    <row r="1641" spans="1:14" ht="105" x14ac:dyDescent="0.25">
      <c r="A1641" s="18"/>
      <c r="B1641" s="18"/>
      <c r="C1641" s="18"/>
      <c r="D1641" s="18"/>
      <c r="E1641" s="18"/>
      <c r="F1641" s="18"/>
      <c r="G1641" s="18"/>
      <c r="H1641" s="9" t="s">
        <v>120</v>
      </c>
      <c r="I1641" s="18"/>
      <c r="J1641" s="18"/>
      <c r="K1641" s="18"/>
      <c r="L1641" s="18"/>
      <c r="M1641" s="18"/>
      <c r="N1641" s="18"/>
    </row>
    <row r="1642" spans="1:14" x14ac:dyDescent="0.25">
      <c r="A1642" s="18"/>
      <c r="B1642" s="18"/>
      <c r="C1642" s="18"/>
      <c r="D1642" s="18"/>
      <c r="E1642" s="18"/>
      <c r="F1642" s="18"/>
      <c r="G1642" s="18"/>
      <c r="H1642" s="9"/>
      <c r="I1642" s="18"/>
      <c r="J1642" s="18"/>
      <c r="K1642" s="18"/>
      <c r="L1642" s="18"/>
      <c r="M1642" s="18"/>
      <c r="N1642" s="18"/>
    </row>
    <row r="1643" spans="1:14" ht="90" x14ac:dyDescent="0.25">
      <c r="A1643" s="18"/>
      <c r="B1643" s="18"/>
      <c r="C1643" s="18"/>
      <c r="D1643" s="18"/>
      <c r="E1643" s="18"/>
      <c r="F1643" s="18"/>
      <c r="G1643" s="18"/>
      <c r="H1643" s="9" t="s">
        <v>121</v>
      </c>
      <c r="I1643" s="18"/>
      <c r="J1643" s="18"/>
      <c r="K1643" s="18"/>
      <c r="L1643" s="18"/>
      <c r="M1643" s="18"/>
      <c r="N1643" s="18"/>
    </row>
    <row r="1644" spans="1:14" ht="120" x14ac:dyDescent="0.25">
      <c r="A1644" s="9" t="s">
        <v>5168</v>
      </c>
      <c r="B1644" s="9" t="s">
        <v>5169</v>
      </c>
      <c r="C1644" s="10" t="s">
        <v>6681</v>
      </c>
      <c r="D1644" s="9" t="s">
        <v>11706</v>
      </c>
      <c r="E1644" s="9"/>
      <c r="F1644" s="9"/>
      <c r="G1644" s="9"/>
      <c r="H1644" s="9" t="s">
        <v>5164</v>
      </c>
      <c r="I1644" s="9" t="s">
        <v>5170</v>
      </c>
      <c r="J1644" s="9"/>
      <c r="K1644" s="9" t="s">
        <v>5171</v>
      </c>
      <c r="L1644" s="9"/>
      <c r="M1644" s="9" t="str">
        <f>HYPERLINK("https://ceds.ed.gov/cedselementdetails.aspx?termid=14439")</f>
        <v>https://ceds.ed.gov/cedselementdetails.aspx?termid=14439</v>
      </c>
      <c r="N1644" s="9" t="str">
        <f>HYPERLINK("https://ceds.ed.gov/elementComment.aspx?elementName=Responsible Organization Type &amp;elementID=14439", "Click here to submit comment")</f>
        <v>Click here to submit comment</v>
      </c>
    </row>
    <row r="1645" spans="1:14" ht="105" x14ac:dyDescent="0.25">
      <c r="A1645" s="18" t="s">
        <v>5172</v>
      </c>
      <c r="B1645" s="18" t="s">
        <v>5173</v>
      </c>
      <c r="C1645" s="18" t="s">
        <v>12</v>
      </c>
      <c r="D1645" s="18" t="s">
        <v>2335</v>
      </c>
      <c r="E1645" s="18"/>
      <c r="F1645" s="18" t="s">
        <v>119</v>
      </c>
      <c r="G1645" s="18"/>
      <c r="H1645" s="9" t="s">
        <v>120</v>
      </c>
      <c r="I1645" s="18" t="s">
        <v>5174</v>
      </c>
      <c r="J1645" s="18"/>
      <c r="K1645" s="18" t="s">
        <v>5175</v>
      </c>
      <c r="L1645" s="18" t="s">
        <v>199</v>
      </c>
      <c r="M1645" s="18" t="str">
        <f>HYPERLINK("https://ceds.ed.gov/cedselementdetails.aspx?termid=13640")</f>
        <v>https://ceds.ed.gov/cedselementdetails.aspx?termid=13640</v>
      </c>
      <c r="N1645" s="18" t="str">
        <f>HYPERLINK("https://ceds.ed.gov/elementComment.aspx?elementName=Responsible School Identifier &amp;elementID=13640", "Click here to submit comment")</f>
        <v>Click here to submit comment</v>
      </c>
    </row>
    <row r="1646" spans="1:14" x14ac:dyDescent="0.25">
      <c r="A1646" s="18"/>
      <c r="B1646" s="18"/>
      <c r="C1646" s="18"/>
      <c r="D1646" s="18"/>
      <c r="E1646" s="18"/>
      <c r="F1646" s="18"/>
      <c r="G1646" s="18"/>
      <c r="H1646" s="9"/>
      <c r="I1646" s="18"/>
      <c r="J1646" s="18"/>
      <c r="K1646" s="18"/>
      <c r="L1646" s="18"/>
      <c r="M1646" s="18"/>
      <c r="N1646" s="18"/>
    </row>
    <row r="1647" spans="1:14" ht="90" x14ac:dyDescent="0.25">
      <c r="A1647" s="18"/>
      <c r="B1647" s="18"/>
      <c r="C1647" s="18"/>
      <c r="D1647" s="18"/>
      <c r="E1647" s="18"/>
      <c r="F1647" s="18"/>
      <c r="G1647" s="18"/>
      <c r="H1647" s="9" t="s">
        <v>121</v>
      </c>
      <c r="I1647" s="18"/>
      <c r="J1647" s="18"/>
      <c r="K1647" s="18"/>
      <c r="L1647" s="18"/>
      <c r="M1647" s="18"/>
      <c r="N1647" s="18"/>
    </row>
    <row r="1648" spans="1:14" ht="120" x14ac:dyDescent="0.25">
      <c r="A1648" s="9" t="s">
        <v>5176</v>
      </c>
      <c r="B1648" s="9" t="s">
        <v>5177</v>
      </c>
      <c r="C1648" s="10" t="s">
        <v>6681</v>
      </c>
      <c r="D1648" s="9" t="s">
        <v>6206</v>
      </c>
      <c r="E1648" s="9"/>
      <c r="F1648" s="9"/>
      <c r="G1648" s="9"/>
      <c r="H1648" s="9"/>
      <c r="I1648" s="9" t="s">
        <v>5178</v>
      </c>
      <c r="J1648" s="9"/>
      <c r="K1648" s="9" t="s">
        <v>5179</v>
      </c>
      <c r="L1648" s="9" t="s">
        <v>199</v>
      </c>
      <c r="M1648" s="9" t="str">
        <f>HYPERLINK("https://ceds.ed.gov/cedselementdetails.aspx?termid=13588")</f>
        <v>https://ceds.ed.gov/cedselementdetails.aspx?termid=13588</v>
      </c>
      <c r="N1648" s="9" t="str">
        <f>HYPERLINK("https://ceds.ed.gov/elementComment.aspx?elementName=Responsible School Type &amp;elementID=13588", "Click here to submit comment")</f>
        <v>Click here to submit comment</v>
      </c>
    </row>
    <row r="1649" spans="1:14" ht="165" x14ac:dyDescent="0.25">
      <c r="A1649" s="9" t="s">
        <v>5180</v>
      </c>
      <c r="B1649" s="9" t="s">
        <v>5181</v>
      </c>
      <c r="C1649" s="10" t="s">
        <v>6682</v>
      </c>
      <c r="D1649" s="9" t="s">
        <v>1882</v>
      </c>
      <c r="E1649" s="9"/>
      <c r="F1649" s="9"/>
      <c r="G1649" s="9"/>
      <c r="H1649" s="9"/>
      <c r="I1649" s="9" t="s">
        <v>5182</v>
      </c>
      <c r="J1649" s="9"/>
      <c r="K1649" s="9" t="s">
        <v>5183</v>
      </c>
      <c r="L1649" s="9" t="s">
        <v>199</v>
      </c>
      <c r="M1649" s="9" t="str">
        <f>HYPERLINK("https://ceds.ed.gov/cedselementdetails.aspx?termid=13232")</f>
        <v>https://ceds.ed.gov/cedselementdetails.aspx?termid=13232</v>
      </c>
      <c r="N1649" s="9" t="str">
        <f>HYPERLINK("https://ceds.ed.gov/elementComment.aspx?elementName=Restructuring Action &amp;elementID=13232", "Click here to submit comment")</f>
        <v>Click here to submit comment</v>
      </c>
    </row>
    <row r="1650" spans="1:14" ht="60" x14ac:dyDescent="0.25">
      <c r="A1650" s="9" t="s">
        <v>5184</v>
      </c>
      <c r="B1650" s="9" t="s">
        <v>5185</v>
      </c>
      <c r="C1650" s="9" t="s">
        <v>12</v>
      </c>
      <c r="D1650" s="9" t="s">
        <v>213</v>
      </c>
      <c r="E1650" s="9"/>
      <c r="F1650" s="9" t="s">
        <v>1513</v>
      </c>
      <c r="G1650" s="9"/>
      <c r="H1650" s="9" t="s">
        <v>344</v>
      </c>
      <c r="I1650" s="9" t="s">
        <v>5186</v>
      </c>
      <c r="J1650" s="9"/>
      <c r="K1650" s="9" t="s">
        <v>5187</v>
      </c>
      <c r="L1650" s="9" t="s">
        <v>1552</v>
      </c>
      <c r="M1650" s="9" t="str">
        <f>HYPERLINK("https://ceds.ed.gov/cedselementdetails.aspx?termid=13728")</f>
        <v>https://ceds.ed.gov/cedselementdetails.aspx?termid=13728</v>
      </c>
      <c r="N1650" s="9" t="str">
        <f>HYPERLINK("https://ceds.ed.gov/elementComment.aspx?elementName=Room Charges &amp;elementID=13728", "Click here to submit comment")</f>
        <v>Click here to submit comment</v>
      </c>
    </row>
    <row r="1651" spans="1:14" ht="60" x14ac:dyDescent="0.25">
      <c r="A1651" s="9" t="s">
        <v>5188</v>
      </c>
      <c r="B1651" s="9" t="s">
        <v>5189</v>
      </c>
      <c r="C1651" s="9" t="s">
        <v>12</v>
      </c>
      <c r="D1651" s="9" t="s">
        <v>6269</v>
      </c>
      <c r="E1651" s="9"/>
      <c r="F1651" s="9" t="s">
        <v>87</v>
      </c>
      <c r="G1651" s="9"/>
      <c r="H1651" s="9"/>
      <c r="I1651" s="9" t="s">
        <v>5190</v>
      </c>
      <c r="J1651" s="9"/>
      <c r="K1651" s="9" t="s">
        <v>5191</v>
      </c>
      <c r="L1651" s="9"/>
      <c r="M1651" s="9" t="str">
        <f>HYPERLINK("https://ceds.ed.gov/cedselementdetails.aspx?termid=14441")</f>
        <v>https://ceds.ed.gov/cedselementdetails.aspx?termid=14441</v>
      </c>
      <c r="N1651" s="9" t="str">
        <f>HYPERLINK("https://ceds.ed.gov/elementComment.aspx?elementName=Rubric Criterion Category &amp;elementID=14441", "Click here to submit comment")</f>
        <v>Click here to submit comment</v>
      </c>
    </row>
    <row r="1652" spans="1:14" ht="60" x14ac:dyDescent="0.25">
      <c r="A1652" s="9" t="s">
        <v>5192</v>
      </c>
      <c r="B1652" s="9" t="s">
        <v>5193</v>
      </c>
      <c r="C1652" s="9" t="s">
        <v>12</v>
      </c>
      <c r="D1652" s="9" t="s">
        <v>6269</v>
      </c>
      <c r="E1652" s="9"/>
      <c r="F1652" s="9" t="s">
        <v>303</v>
      </c>
      <c r="G1652" s="9"/>
      <c r="H1652" s="9"/>
      <c r="I1652" s="9" t="s">
        <v>5194</v>
      </c>
      <c r="J1652" s="9"/>
      <c r="K1652" s="9" t="s">
        <v>5195</v>
      </c>
      <c r="L1652" s="9"/>
      <c r="M1652" s="9" t="str">
        <f>HYPERLINK("https://ceds.ed.gov/cedselementdetails.aspx?termid=14442")</f>
        <v>https://ceds.ed.gov/cedselementdetails.aspx?termid=14442</v>
      </c>
      <c r="N1652" s="9" t="str">
        <f>HYPERLINK("https://ceds.ed.gov/elementComment.aspx?elementName=Rubric Criterion Description &amp;elementID=14442", "Click here to submit comment")</f>
        <v>Click here to submit comment</v>
      </c>
    </row>
    <row r="1653" spans="1:14" ht="60" x14ac:dyDescent="0.25">
      <c r="A1653" s="9" t="s">
        <v>5196</v>
      </c>
      <c r="B1653" s="9" t="s">
        <v>5197</v>
      </c>
      <c r="C1653" s="9" t="s">
        <v>12</v>
      </c>
      <c r="D1653" s="9" t="s">
        <v>6269</v>
      </c>
      <c r="E1653" s="9"/>
      <c r="F1653" s="9" t="s">
        <v>303</v>
      </c>
      <c r="G1653" s="9"/>
      <c r="H1653" s="9"/>
      <c r="I1653" s="9" t="s">
        <v>5198</v>
      </c>
      <c r="J1653" s="9"/>
      <c r="K1653" s="9" t="s">
        <v>5199</v>
      </c>
      <c r="L1653" s="9"/>
      <c r="M1653" s="9" t="str">
        <f>HYPERLINK("https://ceds.ed.gov/cedselementdetails.aspx?termid=14443")</f>
        <v>https://ceds.ed.gov/cedselementdetails.aspx?termid=14443</v>
      </c>
      <c r="N1653" s="9" t="str">
        <f>HYPERLINK("https://ceds.ed.gov/elementComment.aspx?elementName=Rubric Criterion Level Description &amp;elementID=14443", "Click here to submit comment")</f>
        <v>Click here to submit comment</v>
      </c>
    </row>
    <row r="1654" spans="1:14" ht="75" x14ac:dyDescent="0.25">
      <c r="A1654" s="9" t="s">
        <v>5200</v>
      </c>
      <c r="B1654" s="9" t="s">
        <v>5201</v>
      </c>
      <c r="C1654" s="9" t="s">
        <v>12</v>
      </c>
      <c r="D1654" s="9" t="s">
        <v>6269</v>
      </c>
      <c r="E1654" s="9"/>
      <c r="F1654" s="9" t="s">
        <v>303</v>
      </c>
      <c r="G1654" s="9"/>
      <c r="H1654" s="9"/>
      <c r="I1654" s="9" t="s">
        <v>5202</v>
      </c>
      <c r="J1654" s="9"/>
      <c r="K1654" s="9" t="s">
        <v>5203</v>
      </c>
      <c r="L1654" s="9"/>
      <c r="M1654" s="9" t="str">
        <f>HYPERLINK("https://ceds.ed.gov/cedselementdetails.aspx?termid=14444")</f>
        <v>https://ceds.ed.gov/cedselementdetails.aspx?termid=14444</v>
      </c>
      <c r="N1654" s="9" t="str">
        <f>HYPERLINK("https://ceds.ed.gov/elementComment.aspx?elementName=Rubric Criterion Level Feedback &amp;elementID=14444", "Click here to submit comment")</f>
        <v>Click here to submit comment</v>
      </c>
    </row>
    <row r="1655" spans="1:14" ht="60" x14ac:dyDescent="0.25">
      <c r="A1655" s="9" t="s">
        <v>5204</v>
      </c>
      <c r="B1655" s="9" t="s">
        <v>5205</v>
      </c>
      <c r="C1655" s="9" t="s">
        <v>12</v>
      </c>
      <c r="D1655" s="9" t="s">
        <v>6269</v>
      </c>
      <c r="E1655" s="9"/>
      <c r="F1655" s="9" t="s">
        <v>134</v>
      </c>
      <c r="G1655" s="9"/>
      <c r="H1655" s="9"/>
      <c r="I1655" s="9" t="s">
        <v>5206</v>
      </c>
      <c r="J1655" s="9"/>
      <c r="K1655" s="9" t="s">
        <v>5207</v>
      </c>
      <c r="L1655" s="9"/>
      <c r="M1655" s="9" t="str">
        <f>HYPERLINK("https://ceds.ed.gov/cedselementdetails.aspx?termid=14445")</f>
        <v>https://ceds.ed.gov/cedselementdetails.aspx?termid=14445</v>
      </c>
      <c r="N1655" s="9" t="str">
        <f>HYPERLINK("https://ceds.ed.gov/elementComment.aspx?elementName=Rubric Criterion Level Position &amp;elementID=14445", "Click here to submit comment")</f>
        <v>Click here to submit comment</v>
      </c>
    </row>
    <row r="1656" spans="1:14" ht="15" customHeight="1" x14ac:dyDescent="0.25">
      <c r="A1656" s="9" t="s">
        <v>5208</v>
      </c>
      <c r="B1656" s="9" t="s">
        <v>5209</v>
      </c>
      <c r="C1656" s="9" t="s">
        <v>12</v>
      </c>
      <c r="D1656" s="9" t="s">
        <v>6269</v>
      </c>
      <c r="E1656" s="9"/>
      <c r="F1656" s="9" t="s">
        <v>92</v>
      </c>
      <c r="G1656" s="9"/>
      <c r="H1656" s="9"/>
      <c r="I1656" s="9" t="s">
        <v>5210</v>
      </c>
      <c r="J1656" s="9"/>
      <c r="K1656" s="9" t="s">
        <v>5211</v>
      </c>
      <c r="L1656" s="9"/>
      <c r="M1656" s="9" t="str">
        <f>HYPERLINK("https://ceds.ed.gov/cedselementdetails.aspx?termid=14446")</f>
        <v>https://ceds.ed.gov/cedselementdetails.aspx?termid=14446</v>
      </c>
      <c r="N1656" s="9" t="str">
        <f>HYPERLINK("https://ceds.ed.gov/elementComment.aspx?elementName=Rubric Criterion Level Quality Label &amp;elementID=14446", "Click here to submit comment")</f>
        <v>Click here to submit comment</v>
      </c>
    </row>
    <row r="1657" spans="1:14" ht="15" customHeight="1" x14ac:dyDescent="0.25">
      <c r="A1657" s="9" t="s">
        <v>5212</v>
      </c>
      <c r="B1657" s="9" t="s">
        <v>5213</v>
      </c>
      <c r="C1657" s="9" t="s">
        <v>12</v>
      </c>
      <c r="D1657" s="9" t="s">
        <v>6269</v>
      </c>
      <c r="E1657" s="9"/>
      <c r="F1657" s="9" t="s">
        <v>134</v>
      </c>
      <c r="G1657" s="9"/>
      <c r="H1657" s="9"/>
      <c r="I1657" s="9" t="s">
        <v>5214</v>
      </c>
      <c r="J1657" s="9"/>
      <c r="K1657" s="9" t="s">
        <v>5215</v>
      </c>
      <c r="L1657" s="9"/>
      <c r="M1657" s="9" t="str">
        <f>HYPERLINK("https://ceds.ed.gov/cedselementdetails.aspx?termid=14447")</f>
        <v>https://ceds.ed.gov/cedselementdetails.aspx?termid=14447</v>
      </c>
      <c r="N1657" s="9" t="str">
        <f>HYPERLINK("https://ceds.ed.gov/elementComment.aspx?elementName=Rubric Criterion Level Score &amp;elementID=14447", "Click here to submit comment")</f>
        <v>Click here to submit comment</v>
      </c>
    </row>
    <row r="1658" spans="1:14" ht="15" customHeight="1" x14ac:dyDescent="0.25">
      <c r="A1658" s="9" t="s">
        <v>5216</v>
      </c>
      <c r="B1658" s="9" t="s">
        <v>5217</v>
      </c>
      <c r="C1658" s="9" t="s">
        <v>12</v>
      </c>
      <c r="D1658" s="9" t="s">
        <v>6269</v>
      </c>
      <c r="E1658" s="9"/>
      <c r="F1658" s="9" t="s">
        <v>134</v>
      </c>
      <c r="G1658" s="9"/>
      <c r="H1658" s="9"/>
      <c r="I1658" s="9" t="s">
        <v>5218</v>
      </c>
      <c r="J1658" s="9"/>
      <c r="K1658" s="9" t="s">
        <v>5219</v>
      </c>
      <c r="L1658" s="9"/>
      <c r="M1658" s="9" t="str">
        <f>HYPERLINK("https://ceds.ed.gov/cedselementdetails.aspx?termid=14448")</f>
        <v>https://ceds.ed.gov/cedselementdetails.aspx?termid=14448</v>
      </c>
      <c r="N1658" s="9" t="str">
        <f>HYPERLINK("https://ceds.ed.gov/elementComment.aspx?elementName=Rubric Criterion Position &amp;elementID=14448", "Click here to submit comment")</f>
        <v>Click here to submit comment</v>
      </c>
    </row>
    <row r="1659" spans="1:14" ht="60" x14ac:dyDescent="0.25">
      <c r="A1659" s="9" t="s">
        <v>5220</v>
      </c>
      <c r="B1659" s="9" t="s">
        <v>5221</v>
      </c>
      <c r="C1659" s="9" t="s">
        <v>12</v>
      </c>
      <c r="D1659" s="9" t="s">
        <v>6269</v>
      </c>
      <c r="E1659" s="9"/>
      <c r="F1659" s="9" t="s">
        <v>92</v>
      </c>
      <c r="G1659" s="9"/>
      <c r="H1659" s="9"/>
      <c r="I1659" s="9" t="s">
        <v>5222</v>
      </c>
      <c r="J1659" s="9"/>
      <c r="K1659" s="9" t="s">
        <v>5223</v>
      </c>
      <c r="L1659" s="9"/>
      <c r="M1659" s="9" t="str">
        <f>HYPERLINK("https://ceds.ed.gov/cedselementdetails.aspx?termid=14449")</f>
        <v>https://ceds.ed.gov/cedselementdetails.aspx?termid=14449</v>
      </c>
      <c r="N1659" s="9" t="str">
        <f>HYPERLINK("https://ceds.ed.gov/elementComment.aspx?elementName=Rubric Criterion Title &amp;elementID=14449", "Click here to submit comment")</f>
        <v>Click here to submit comment</v>
      </c>
    </row>
    <row r="1660" spans="1:14" ht="60" x14ac:dyDescent="0.25">
      <c r="A1660" s="9" t="s">
        <v>5224</v>
      </c>
      <c r="B1660" s="9" t="s">
        <v>5225</v>
      </c>
      <c r="C1660" s="9" t="s">
        <v>12</v>
      </c>
      <c r="D1660" s="9" t="s">
        <v>6269</v>
      </c>
      <c r="E1660" s="9"/>
      <c r="F1660" s="9" t="s">
        <v>134</v>
      </c>
      <c r="G1660" s="9"/>
      <c r="H1660" s="9"/>
      <c r="I1660" s="9" t="s">
        <v>5226</v>
      </c>
      <c r="J1660" s="9"/>
      <c r="K1660" s="9" t="s">
        <v>5227</v>
      </c>
      <c r="L1660" s="9"/>
      <c r="M1660" s="9" t="str">
        <f>HYPERLINK("https://ceds.ed.gov/cedselementdetails.aspx?termid=14450")</f>
        <v>https://ceds.ed.gov/cedselementdetails.aspx?termid=14450</v>
      </c>
      <c r="N1660" s="9" t="str">
        <f>HYPERLINK("https://ceds.ed.gov/elementComment.aspx?elementName=Rubric Criterion Weight &amp;elementID=14450", "Click here to submit comment")</f>
        <v>Click here to submit comment</v>
      </c>
    </row>
    <row r="1661" spans="1:14" ht="60" x14ac:dyDescent="0.25">
      <c r="A1661" s="9" t="s">
        <v>5228</v>
      </c>
      <c r="B1661" s="9" t="s">
        <v>5229</v>
      </c>
      <c r="C1661" s="9" t="s">
        <v>12</v>
      </c>
      <c r="D1661" s="9" t="s">
        <v>6269</v>
      </c>
      <c r="E1661" s="9"/>
      <c r="F1661" s="9" t="s">
        <v>303</v>
      </c>
      <c r="G1661" s="9"/>
      <c r="H1661" s="9"/>
      <c r="I1661" s="9" t="s">
        <v>5230</v>
      </c>
      <c r="J1661" s="9"/>
      <c r="K1661" s="9" t="s">
        <v>5231</v>
      </c>
      <c r="L1661" s="9"/>
      <c r="M1661" s="9" t="str">
        <f>HYPERLINK("https://ceds.ed.gov/cedselementdetails.aspx?termid=14451")</f>
        <v>https://ceds.ed.gov/cedselementdetails.aspx?termid=14451</v>
      </c>
      <c r="N1661" s="9" t="str">
        <f>HYPERLINK("https://ceds.ed.gov/elementComment.aspx?elementName=Rubric Description &amp;elementID=14451", "Click here to submit comment")</f>
        <v>Click here to submit comment</v>
      </c>
    </row>
    <row r="1662" spans="1:14" ht="105" x14ac:dyDescent="0.25">
      <c r="A1662" s="18" t="s">
        <v>5232</v>
      </c>
      <c r="B1662" s="18" t="s">
        <v>5233</v>
      </c>
      <c r="C1662" s="18" t="s">
        <v>12</v>
      </c>
      <c r="D1662" s="18" t="s">
        <v>6269</v>
      </c>
      <c r="E1662" s="18"/>
      <c r="F1662" s="18" t="s">
        <v>119</v>
      </c>
      <c r="G1662" s="18"/>
      <c r="H1662" s="9" t="s">
        <v>120</v>
      </c>
      <c r="I1662" s="18" t="s">
        <v>5234</v>
      </c>
      <c r="J1662" s="18"/>
      <c r="K1662" s="18" t="s">
        <v>5235</v>
      </c>
      <c r="L1662" s="18" t="s">
        <v>6135</v>
      </c>
      <c r="M1662" s="18" t="str">
        <f>HYPERLINK("https://ceds.ed.gov/cedselementdetails.aspx?termid=13412")</f>
        <v>https://ceds.ed.gov/cedselementdetails.aspx?termid=13412</v>
      </c>
      <c r="N1662" s="18" t="str">
        <f>HYPERLINK("https://ceds.ed.gov/elementComment.aspx?elementName=Rubric Identifier &amp;elementID=13412", "Click here to submit comment")</f>
        <v>Click here to submit comment</v>
      </c>
    </row>
    <row r="1663" spans="1:14" x14ac:dyDescent="0.25">
      <c r="A1663" s="18"/>
      <c r="B1663" s="18"/>
      <c r="C1663" s="18"/>
      <c r="D1663" s="18"/>
      <c r="E1663" s="18"/>
      <c r="F1663" s="18"/>
      <c r="G1663" s="18"/>
      <c r="H1663" s="9"/>
      <c r="I1663" s="18"/>
      <c r="J1663" s="18"/>
      <c r="K1663" s="18"/>
      <c r="L1663" s="18"/>
      <c r="M1663" s="18"/>
      <c r="N1663" s="18"/>
    </row>
    <row r="1664" spans="1:14" ht="145.5" customHeight="1" x14ac:dyDescent="0.25">
      <c r="A1664" s="18"/>
      <c r="B1664" s="18"/>
      <c r="C1664" s="18"/>
      <c r="D1664" s="18"/>
      <c r="E1664" s="18"/>
      <c r="F1664" s="18"/>
      <c r="G1664" s="18"/>
      <c r="H1664" s="9" t="s">
        <v>121</v>
      </c>
      <c r="I1664" s="18"/>
      <c r="J1664" s="18"/>
      <c r="K1664" s="18"/>
      <c r="L1664" s="18"/>
      <c r="M1664" s="18"/>
      <c r="N1664" s="18"/>
    </row>
    <row r="1665" spans="1:14" ht="60" x14ac:dyDescent="0.25">
      <c r="A1665" s="9" t="s">
        <v>5236</v>
      </c>
      <c r="B1665" s="9" t="s">
        <v>5237</v>
      </c>
      <c r="C1665" s="9" t="s">
        <v>12</v>
      </c>
      <c r="D1665" s="9" t="s">
        <v>6269</v>
      </c>
      <c r="E1665" s="9"/>
      <c r="F1665" s="9" t="s">
        <v>87</v>
      </c>
      <c r="G1665" s="9"/>
      <c r="H1665" s="9"/>
      <c r="I1665" s="9" t="s">
        <v>5238</v>
      </c>
      <c r="J1665" s="9"/>
      <c r="K1665" s="9" t="s">
        <v>5239</v>
      </c>
      <c r="L1665" s="9" t="s">
        <v>6135</v>
      </c>
      <c r="M1665" s="9" t="str">
        <f>HYPERLINK("https://ceds.ed.gov/cedselementdetails.aspx?termid=13411")</f>
        <v>https://ceds.ed.gov/cedselementdetails.aspx?termid=13411</v>
      </c>
      <c r="N1665" s="9" t="str">
        <f>HYPERLINK("https://ceds.ed.gov/elementComment.aspx?elementName=Rubric Title &amp;elementID=13411", "Click here to submit comment")</f>
        <v>Click here to submit comment</v>
      </c>
    </row>
    <row r="1666" spans="1:14" ht="60" x14ac:dyDescent="0.25">
      <c r="A1666" s="9" t="s">
        <v>5240</v>
      </c>
      <c r="B1666" s="9" t="s">
        <v>5241</v>
      </c>
      <c r="C1666" s="9" t="s">
        <v>12</v>
      </c>
      <c r="D1666" s="9" t="s">
        <v>6269</v>
      </c>
      <c r="E1666" s="9"/>
      <c r="F1666" s="9" t="s">
        <v>1143</v>
      </c>
      <c r="G1666" s="9"/>
      <c r="H1666" s="9"/>
      <c r="I1666" s="9" t="s">
        <v>5242</v>
      </c>
      <c r="J1666" s="9"/>
      <c r="K1666" s="9" t="s">
        <v>5243</v>
      </c>
      <c r="L1666" s="9" t="s">
        <v>6135</v>
      </c>
      <c r="M1666" s="9" t="str">
        <f>HYPERLINK("https://ceds.ed.gov/cedselementdetails.aspx?termid=13413")</f>
        <v>https://ceds.ed.gov/cedselementdetails.aspx?termid=13413</v>
      </c>
      <c r="N1666" s="9" t="str">
        <f>HYPERLINK("https://ceds.ed.gov/elementComment.aspx?elementName=Rubric URL Reference &amp;elementID=13413", "Click here to submit comment")</f>
        <v>Click here to submit comment</v>
      </c>
    </row>
    <row r="1667" spans="1:14" ht="15" customHeight="1" x14ac:dyDescent="0.25">
      <c r="A1667" s="9" t="s">
        <v>5244</v>
      </c>
      <c r="B1667" s="9" t="s">
        <v>5245</v>
      </c>
      <c r="C1667" s="10" t="s">
        <v>6340</v>
      </c>
      <c r="D1667" s="9" t="s">
        <v>1522</v>
      </c>
      <c r="E1667" s="9"/>
      <c r="F1667" s="9"/>
      <c r="G1667" s="9"/>
      <c r="H1667" s="9"/>
      <c r="I1667" s="9" t="s">
        <v>5246</v>
      </c>
      <c r="J1667" s="9" t="s">
        <v>5247</v>
      </c>
      <c r="K1667" s="9" t="s">
        <v>5248</v>
      </c>
      <c r="L1667" s="9" t="s">
        <v>199</v>
      </c>
      <c r="M1667" s="9" t="str">
        <f>HYPERLINK("https://ceds.ed.gov/cedselementdetails.aspx?termid=13552")</f>
        <v>https://ceds.ed.gov/cedselementdetails.aspx?termid=13552</v>
      </c>
      <c r="N1667" s="9" t="str">
        <f>HYPERLINK("https://ceds.ed.gov/elementComment.aspx?elementName=Rural Education Achievement Program Alternative Funding Status &amp;elementID=13552", "Click here to submit comment")</f>
        <v>Click here to submit comment</v>
      </c>
    </row>
    <row r="1668" spans="1:14" ht="15" customHeight="1" x14ac:dyDescent="0.25">
      <c r="A1668" s="9" t="s">
        <v>5249</v>
      </c>
      <c r="B1668" s="9" t="s">
        <v>5250</v>
      </c>
      <c r="C1668" s="9" t="s">
        <v>6106</v>
      </c>
      <c r="D1668" s="9" t="s">
        <v>2330</v>
      </c>
      <c r="E1668" s="9"/>
      <c r="F1668" s="9"/>
      <c r="G1668" s="9"/>
      <c r="H1668" s="9"/>
      <c r="I1668" s="9" t="s">
        <v>5251</v>
      </c>
      <c r="J1668" s="9"/>
      <c r="K1668" s="9" t="s">
        <v>5252</v>
      </c>
      <c r="L1668" s="9"/>
      <c r="M1668" s="9" t="str">
        <f>HYPERLINK("https://ceds.ed.gov/cedselementdetails.aspx?termid=13761")</f>
        <v>https://ceds.ed.gov/cedselementdetails.aspx?termid=13761</v>
      </c>
      <c r="N1668" s="9" t="str">
        <f>HYPERLINK("https://ceds.ed.gov/elementComment.aspx?elementName=Rural Residency Status &amp;elementID=13761", "Click here to submit comment")</f>
        <v>Click here to submit comment</v>
      </c>
    </row>
    <row r="1669" spans="1:14" ht="15" customHeight="1" x14ac:dyDescent="0.25">
      <c r="A1669" s="9" t="s">
        <v>5253</v>
      </c>
      <c r="B1669" s="9" t="s">
        <v>5254</v>
      </c>
      <c r="C1669" s="9" t="s">
        <v>12</v>
      </c>
      <c r="D1669" s="9" t="s">
        <v>5255</v>
      </c>
      <c r="E1669" s="9"/>
      <c r="F1669" s="9" t="s">
        <v>92</v>
      </c>
      <c r="G1669" s="9"/>
      <c r="H1669" s="9"/>
      <c r="I1669" s="9" t="s">
        <v>5256</v>
      </c>
      <c r="J1669" s="9"/>
      <c r="K1669" s="9" t="s">
        <v>5257</v>
      </c>
      <c r="L1669" s="9" t="s">
        <v>188</v>
      </c>
      <c r="M1669" s="9" t="str">
        <f>HYPERLINK("https://ceds.ed.gov/cedselementdetails.aspx?termid=13468")</f>
        <v>https://ceds.ed.gov/cedselementdetails.aspx?termid=13468</v>
      </c>
      <c r="N1669" s="9" t="str">
        <f>HYPERLINK("https://ceds.ed.gov/elementComment.aspx?elementName=Safe and Drug Free Baseline &amp;elementID=13468", "Click here to submit comment")</f>
        <v>Click here to submit comment</v>
      </c>
    </row>
    <row r="1670" spans="1:14" ht="15" customHeight="1" x14ac:dyDescent="0.25">
      <c r="A1670" s="9" t="s">
        <v>5258</v>
      </c>
      <c r="B1670" s="9" t="s">
        <v>5259</v>
      </c>
      <c r="C1670" s="9" t="s">
        <v>12</v>
      </c>
      <c r="D1670" s="9" t="s">
        <v>5255</v>
      </c>
      <c r="E1670" s="9"/>
      <c r="F1670" s="9" t="s">
        <v>1165</v>
      </c>
      <c r="G1670" s="9"/>
      <c r="H1670" s="9"/>
      <c r="I1670" s="9" t="s">
        <v>5260</v>
      </c>
      <c r="J1670" s="9"/>
      <c r="K1670" s="9" t="s">
        <v>5261</v>
      </c>
      <c r="L1670" s="9" t="s">
        <v>188</v>
      </c>
      <c r="M1670" s="9" t="str">
        <f>HYPERLINK("https://ceds.ed.gov/cedselementdetails.aspx?termid=13469")</f>
        <v>https://ceds.ed.gov/cedselementdetails.aspx?termid=13469</v>
      </c>
      <c r="N1670" s="9" t="str">
        <f>HYPERLINK("https://ceds.ed.gov/elementComment.aspx?elementName=Safe and Drug Free Baseline Year &amp;elementID=13469", "Click here to submit comment")</f>
        <v>Click here to submit comment</v>
      </c>
    </row>
    <row r="1671" spans="1:14" ht="15" customHeight="1" x14ac:dyDescent="0.25">
      <c r="A1671" s="9" t="s">
        <v>5262</v>
      </c>
      <c r="B1671" s="9" t="s">
        <v>5263</v>
      </c>
      <c r="C1671" s="9" t="s">
        <v>12</v>
      </c>
      <c r="D1671" s="9" t="s">
        <v>5255</v>
      </c>
      <c r="E1671" s="9"/>
      <c r="F1671" s="9" t="s">
        <v>92</v>
      </c>
      <c r="G1671" s="9"/>
      <c r="H1671" s="9"/>
      <c r="I1671" s="9" t="s">
        <v>5264</v>
      </c>
      <c r="J1671" s="9"/>
      <c r="K1671" s="9" t="s">
        <v>5265</v>
      </c>
      <c r="L1671" s="9" t="s">
        <v>188</v>
      </c>
      <c r="M1671" s="9" t="str">
        <f>HYPERLINK("https://ceds.ed.gov/cedselementdetails.aspx?termid=13463")</f>
        <v>https://ceds.ed.gov/cedselementdetails.aspx?termid=13463</v>
      </c>
      <c r="N1671" s="9" t="str">
        <f>HYPERLINK("https://ceds.ed.gov/elementComment.aspx?elementName=Safe and Drug Free Collection Frequency &amp;elementID=13463", "Click here to submit comment")</f>
        <v>Click here to submit comment</v>
      </c>
    </row>
    <row r="1672" spans="1:14" ht="15" customHeight="1" x14ac:dyDescent="0.25">
      <c r="A1672" s="9" t="s">
        <v>5266</v>
      </c>
      <c r="B1672" s="9" t="s">
        <v>5267</v>
      </c>
      <c r="C1672" s="9" t="s">
        <v>12</v>
      </c>
      <c r="D1672" s="9" t="s">
        <v>5255</v>
      </c>
      <c r="E1672" s="9"/>
      <c r="F1672" s="9" t="s">
        <v>92</v>
      </c>
      <c r="G1672" s="9"/>
      <c r="H1672" s="9"/>
      <c r="I1672" s="9" t="s">
        <v>5268</v>
      </c>
      <c r="J1672" s="9"/>
      <c r="K1672" s="9" t="s">
        <v>5269</v>
      </c>
      <c r="L1672" s="9" t="s">
        <v>188</v>
      </c>
      <c r="M1672" s="9" t="str">
        <f>HYPERLINK("https://ceds.ed.gov/cedselementdetails.aspx?termid=13461")</f>
        <v>https://ceds.ed.gov/cedselementdetails.aspx?termid=13461</v>
      </c>
      <c r="N1672" s="9" t="str">
        <f>HYPERLINK("https://ceds.ed.gov/elementComment.aspx?elementName=Safe and Drug Free Indicator Name &amp;elementID=13461", "Click here to submit comment")</f>
        <v>Click here to submit comment</v>
      </c>
    </row>
    <row r="1673" spans="1:14" ht="15" customHeight="1" x14ac:dyDescent="0.25">
      <c r="A1673" s="9" t="s">
        <v>5270</v>
      </c>
      <c r="B1673" s="9" t="s">
        <v>5271</v>
      </c>
      <c r="C1673" s="9" t="s">
        <v>12</v>
      </c>
      <c r="D1673" s="9" t="s">
        <v>5255</v>
      </c>
      <c r="E1673" s="9"/>
      <c r="F1673" s="9" t="s">
        <v>762</v>
      </c>
      <c r="G1673" s="9"/>
      <c r="H1673" s="9"/>
      <c r="I1673" s="9" t="s">
        <v>5272</v>
      </c>
      <c r="J1673" s="9"/>
      <c r="K1673" s="9" t="s">
        <v>5273</v>
      </c>
      <c r="L1673" s="9" t="s">
        <v>188</v>
      </c>
      <c r="M1673" s="9" t="str">
        <f>HYPERLINK("https://ceds.ed.gov/cedselementdetails.aspx?termid=13462")</f>
        <v>https://ceds.ed.gov/cedselementdetails.aspx?termid=13462</v>
      </c>
      <c r="N1673" s="9" t="str">
        <f>HYPERLINK("https://ceds.ed.gov/elementComment.aspx?elementName=Safe and Drug Free Instrument &amp;elementID=13462", "Click here to submit comment")</f>
        <v>Click here to submit comment</v>
      </c>
    </row>
    <row r="1674" spans="1:14" ht="15" customHeight="1" x14ac:dyDescent="0.25">
      <c r="A1674" s="9" t="s">
        <v>5274</v>
      </c>
      <c r="B1674" s="9" t="s">
        <v>5275</v>
      </c>
      <c r="C1674" s="9" t="s">
        <v>12</v>
      </c>
      <c r="D1674" s="9" t="s">
        <v>5255</v>
      </c>
      <c r="E1674" s="9"/>
      <c r="F1674" s="9" t="s">
        <v>1165</v>
      </c>
      <c r="G1674" s="9"/>
      <c r="H1674" s="9"/>
      <c r="I1674" s="9" t="s">
        <v>5276</v>
      </c>
      <c r="J1674" s="9"/>
      <c r="K1674" s="9" t="s">
        <v>5277</v>
      </c>
      <c r="L1674" s="9" t="s">
        <v>188</v>
      </c>
      <c r="M1674" s="9" t="str">
        <f>HYPERLINK("https://ceds.ed.gov/cedselementdetails.aspx?termid=13466")</f>
        <v>https://ceds.ed.gov/cedselementdetails.aspx?termid=13466</v>
      </c>
      <c r="N1674" s="9" t="str">
        <f>HYPERLINK("https://ceds.ed.gov/elementComment.aspx?elementName=Safe and Drug Free Performance &amp;elementID=13466", "Click here to submit comment")</f>
        <v>Click here to submit comment</v>
      </c>
    </row>
    <row r="1675" spans="1:14" ht="15" customHeight="1" x14ac:dyDescent="0.25">
      <c r="A1675" s="9" t="s">
        <v>5278</v>
      </c>
      <c r="B1675" s="9" t="s">
        <v>5279</v>
      </c>
      <c r="C1675" s="9" t="s">
        <v>12</v>
      </c>
      <c r="D1675" s="9" t="s">
        <v>5255</v>
      </c>
      <c r="E1675" s="9"/>
      <c r="F1675" s="9" t="s">
        <v>1165</v>
      </c>
      <c r="G1675" s="9"/>
      <c r="H1675" s="9"/>
      <c r="I1675" s="9" t="s">
        <v>5280</v>
      </c>
      <c r="J1675" s="9"/>
      <c r="K1675" s="9" t="s">
        <v>5281</v>
      </c>
      <c r="L1675" s="9" t="s">
        <v>188</v>
      </c>
      <c r="M1675" s="9" t="str">
        <f>HYPERLINK("https://ceds.ed.gov/cedselementdetails.aspx?termid=13465")</f>
        <v>https://ceds.ed.gov/cedselementdetails.aspx?termid=13465</v>
      </c>
      <c r="N1675" s="9" t="str">
        <f>HYPERLINK("https://ceds.ed.gov/elementComment.aspx?elementName=Safe and Drug Free Target &amp;elementID=13465", "Click here to submit comment")</f>
        <v>Click here to submit comment</v>
      </c>
    </row>
    <row r="1676" spans="1:14" ht="60" x14ac:dyDescent="0.25">
      <c r="A1676" s="9" t="s">
        <v>5282</v>
      </c>
      <c r="B1676" s="9" t="s">
        <v>5283</v>
      </c>
      <c r="C1676" s="9" t="s">
        <v>12</v>
      </c>
      <c r="D1676" s="9" t="s">
        <v>5255</v>
      </c>
      <c r="E1676" s="9"/>
      <c r="F1676" s="9" t="s">
        <v>1165</v>
      </c>
      <c r="G1676" s="9"/>
      <c r="H1676" s="9"/>
      <c r="I1676" s="9" t="s">
        <v>5284</v>
      </c>
      <c r="J1676" s="9"/>
      <c r="K1676" s="9" t="s">
        <v>5285</v>
      </c>
      <c r="L1676" s="9" t="s">
        <v>188</v>
      </c>
      <c r="M1676" s="9" t="str">
        <f>HYPERLINK("https://ceds.ed.gov/cedselementdetails.aspx?termid=13464")</f>
        <v>https://ceds.ed.gov/cedselementdetails.aspx?termid=13464</v>
      </c>
      <c r="N1676" s="9" t="str">
        <f>HYPERLINK("https://ceds.ed.gov/elementComment.aspx?elementName=Safe and Drug Free Year Most Recent Collection &amp;elementID=13464", "Click here to submit comment")</f>
        <v>Click here to submit comment</v>
      </c>
    </row>
    <row r="1677" spans="1:14" ht="45" x14ac:dyDescent="0.25">
      <c r="A1677" s="9" t="s">
        <v>12219</v>
      </c>
      <c r="B1677" s="9" t="s">
        <v>5286</v>
      </c>
      <c r="C1677" s="9" t="s">
        <v>6106</v>
      </c>
      <c r="D1677" s="9" t="s">
        <v>1855</v>
      </c>
      <c r="E1677" s="9"/>
      <c r="F1677" s="9"/>
      <c r="G1677" s="9"/>
      <c r="H1677" s="9"/>
      <c r="I1677" s="9" t="s">
        <v>5287</v>
      </c>
      <c r="J1677" s="9"/>
      <c r="K1677" s="9" t="s">
        <v>5288</v>
      </c>
      <c r="L1677" s="9" t="s">
        <v>1858</v>
      </c>
      <c r="M1677" s="9" t="str">
        <f>HYPERLINK("https://ceds.ed.gov/cedselementdetails.aspx?termid=13234")</f>
        <v>https://ceds.ed.gov/cedselementdetails.aspx?termid=13234</v>
      </c>
      <c r="N1677" s="9" t="str">
        <f>HYPERLINK("https://ceds.ed.gov/elementComment.aspx?elementName=Salary for Teaching Assignment Only Indicator &amp;elementID=13234", "Click here to submit comment")</f>
        <v>Click here to submit comment</v>
      </c>
    </row>
    <row r="1678" spans="1:14" ht="240" x14ac:dyDescent="0.25">
      <c r="A1678" s="9" t="s">
        <v>5289</v>
      </c>
      <c r="B1678" s="9" t="s">
        <v>5290</v>
      </c>
      <c r="C1678" s="10" t="s">
        <v>6683</v>
      </c>
      <c r="D1678" s="9" t="s">
        <v>5291</v>
      </c>
      <c r="E1678" s="9"/>
      <c r="F1678" s="9"/>
      <c r="G1678" s="9"/>
      <c r="H1678" s="9"/>
      <c r="I1678" s="9" t="s">
        <v>5292</v>
      </c>
      <c r="J1678" s="9"/>
      <c r="K1678" s="9" t="s">
        <v>5293</v>
      </c>
      <c r="L1678" s="9"/>
      <c r="M1678" s="9" t="str">
        <f>HYPERLINK("https://ceds.ed.gov/cedselementdetails.aspx?termid=14602")</f>
        <v>https://ceds.ed.gov/cedselementdetails.aspx?termid=14602</v>
      </c>
      <c r="N1678" s="9" t="str">
        <f>HYPERLINK("https://ceds.ed.gov/elementComment.aspx?elementName=Scheduled Well Child Screening &amp;elementID=14602", "Click here to submit comment")</f>
        <v>Click here to submit comment</v>
      </c>
    </row>
    <row r="1679" spans="1:14" ht="105" x14ac:dyDescent="0.25">
      <c r="A1679" s="9" t="s">
        <v>5294</v>
      </c>
      <c r="B1679" s="9" t="s">
        <v>5295</v>
      </c>
      <c r="C1679" s="9" t="s">
        <v>6106</v>
      </c>
      <c r="D1679" s="9" t="s">
        <v>5296</v>
      </c>
      <c r="E1679" s="9"/>
      <c r="F1679" s="9"/>
      <c r="G1679" s="9"/>
      <c r="H1679" s="9"/>
      <c r="I1679" s="9" t="s">
        <v>5297</v>
      </c>
      <c r="J1679" s="9"/>
      <c r="K1679" s="9" t="s">
        <v>5298</v>
      </c>
      <c r="L1679" s="9" t="s">
        <v>199</v>
      </c>
      <c r="M1679" s="9" t="str">
        <f>HYPERLINK("https://ceds.ed.gov/cedselementdetails.aspx?termid=13235")</f>
        <v>https://ceds.ed.gov/cedselementdetails.aspx?termid=13235</v>
      </c>
      <c r="N1679" s="9" t="str">
        <f>HYPERLINK("https://ceds.ed.gov/elementComment.aspx?elementName=School Choice Applied for Transfer Status &amp;elementID=13235", "Click here to submit comment")</f>
        <v>Click here to submit comment</v>
      </c>
    </row>
    <row r="1680" spans="1:14" ht="165" x14ac:dyDescent="0.25">
      <c r="A1680" s="9" t="s">
        <v>5299</v>
      </c>
      <c r="B1680" s="9" t="s">
        <v>5300</v>
      </c>
      <c r="C1680" s="9" t="s">
        <v>6106</v>
      </c>
      <c r="D1680" s="9" t="s">
        <v>5296</v>
      </c>
      <c r="E1680" s="9"/>
      <c r="F1680" s="9"/>
      <c r="G1680" s="9"/>
      <c r="H1680" s="9" t="s">
        <v>5301</v>
      </c>
      <c r="I1680" s="9" t="s">
        <v>5302</v>
      </c>
      <c r="J1680" s="9"/>
      <c r="K1680" s="9" t="s">
        <v>5303</v>
      </c>
      <c r="L1680" s="9" t="s">
        <v>199</v>
      </c>
      <c r="M1680" s="9" t="str">
        <f>HYPERLINK("https://ceds.ed.gov/cedselementdetails.aspx?termid=13236")</f>
        <v>https://ceds.ed.gov/cedselementdetails.aspx?termid=13236</v>
      </c>
      <c r="N1680" s="9" t="str">
        <f>HYPERLINK("https://ceds.ed.gov/elementComment.aspx?elementName=School Choice Eligible for Transfer Status &amp;elementID=13236", "Click here to submit comment")</f>
        <v>Click here to submit comment</v>
      </c>
    </row>
    <row r="1681" spans="1:14" ht="90" x14ac:dyDescent="0.25">
      <c r="A1681" s="9" t="s">
        <v>5304</v>
      </c>
      <c r="B1681" s="9" t="s">
        <v>5305</v>
      </c>
      <c r="C1681" s="9" t="s">
        <v>6106</v>
      </c>
      <c r="D1681" s="9" t="s">
        <v>5296</v>
      </c>
      <c r="E1681" s="9"/>
      <c r="F1681" s="9"/>
      <c r="G1681" s="9"/>
      <c r="H1681" s="9"/>
      <c r="I1681" s="9" t="s">
        <v>5306</v>
      </c>
      <c r="J1681" s="9"/>
      <c r="K1681" s="9" t="s">
        <v>5307</v>
      </c>
      <c r="L1681" s="9" t="s">
        <v>6109</v>
      </c>
      <c r="M1681" s="9" t="str">
        <f>HYPERLINK("https://ceds.ed.gov/cedselementdetails.aspx?termid=13237")</f>
        <v>https://ceds.ed.gov/cedselementdetails.aspx?termid=13237</v>
      </c>
      <c r="N1681" s="9" t="str">
        <f>HYPERLINK("https://ceds.ed.gov/elementComment.aspx?elementName=School Choice Transfer Status &amp;elementID=13237", "Click here to submit comment")</f>
        <v>Click here to submit comment</v>
      </c>
    </row>
    <row r="1682" spans="1:14" ht="120" x14ac:dyDescent="0.25">
      <c r="A1682" s="9" t="s">
        <v>5308</v>
      </c>
      <c r="B1682" s="9" t="s">
        <v>5309</v>
      </c>
      <c r="C1682" s="11" t="s">
        <v>11707</v>
      </c>
      <c r="D1682" s="9" t="s">
        <v>6270</v>
      </c>
      <c r="E1682" s="9"/>
      <c r="F1682" s="9"/>
      <c r="G1682" s="9"/>
      <c r="H1682" s="9" t="s">
        <v>5310</v>
      </c>
      <c r="I1682" s="9" t="s">
        <v>5311</v>
      </c>
      <c r="J1682" s="9" t="s">
        <v>5312</v>
      </c>
      <c r="K1682" s="9" t="s">
        <v>5313</v>
      </c>
      <c r="L1682" s="9"/>
      <c r="M1682" s="9" t="str">
        <f>HYPERLINK("https://ceds.ed.gov/cedselementdetails.aspx?termid=14490")</f>
        <v>https://ceds.ed.gov/cedselementdetails.aspx?termid=14490</v>
      </c>
      <c r="N1682" s="9" t="str">
        <f>HYPERLINK("https://ceds.ed.gov/elementComment.aspx?elementName=School Courses for the Exchange of Data Course Code &amp;elementID=14490", "Click here to submit comment")</f>
        <v>Click here to submit comment</v>
      </c>
    </row>
    <row r="1683" spans="1:14" ht="105" x14ac:dyDescent="0.25">
      <c r="A1683" s="9" t="s">
        <v>5314</v>
      </c>
      <c r="B1683" s="9" t="s">
        <v>5315</v>
      </c>
      <c r="C1683" s="10" t="s">
        <v>6684</v>
      </c>
      <c r="D1683" s="9" t="s">
        <v>6270</v>
      </c>
      <c r="E1683" s="9"/>
      <c r="F1683" s="9"/>
      <c r="G1683" s="9"/>
      <c r="H1683" s="9"/>
      <c r="I1683" s="9" t="s">
        <v>5316</v>
      </c>
      <c r="J1683" s="9" t="s">
        <v>5317</v>
      </c>
      <c r="K1683" s="9" t="s">
        <v>5318</v>
      </c>
      <c r="L1683" s="9"/>
      <c r="M1683" s="9" t="str">
        <f>HYPERLINK("https://ceds.ed.gov/cedselementdetails.aspx?termid=14488")</f>
        <v>https://ceds.ed.gov/cedselementdetails.aspx?termid=14488</v>
      </c>
      <c r="N1683" s="9" t="str">
        <f>HYPERLINK("https://ceds.ed.gov/elementComment.aspx?elementName=School Courses for the Exchange of Data Course Level &amp;elementID=14488", "Click here to submit comment")</f>
        <v>Click here to submit comment</v>
      </c>
    </row>
    <row r="1684" spans="1:14" ht="409.5" x14ac:dyDescent="0.25">
      <c r="A1684" s="9" t="s">
        <v>5319</v>
      </c>
      <c r="B1684" s="9" t="s">
        <v>5320</v>
      </c>
      <c r="C1684" s="10" t="s">
        <v>11908</v>
      </c>
      <c r="D1684" s="9" t="s">
        <v>11708</v>
      </c>
      <c r="E1684" s="9"/>
      <c r="F1684" s="9"/>
      <c r="G1684" s="9"/>
      <c r="H1684" s="9" t="s">
        <v>5321</v>
      </c>
      <c r="I1684" s="9" t="s">
        <v>5322</v>
      </c>
      <c r="J1684" s="9" t="s">
        <v>5323</v>
      </c>
      <c r="K1684" s="9" t="s">
        <v>5324</v>
      </c>
      <c r="L1684" s="9"/>
      <c r="M1684" s="9" t="str">
        <f>HYPERLINK("https://ceds.ed.gov/cedselementdetails.aspx?termid=14491")</f>
        <v>https://ceds.ed.gov/cedselementdetails.aspx?termid=14491</v>
      </c>
      <c r="N1684" s="9" t="str">
        <f>HYPERLINK("https://ceds.ed.gov/elementComment.aspx?elementName=School Courses for the Exchange of Data Course Subject Area &amp;elementID=14491", "Click here to submit comment")</f>
        <v>Click here to submit comment</v>
      </c>
    </row>
    <row r="1685" spans="1:14" ht="105" x14ac:dyDescent="0.25">
      <c r="A1685" s="9" t="s">
        <v>5325</v>
      </c>
      <c r="B1685" s="9" t="s">
        <v>5326</v>
      </c>
      <c r="C1685" s="9" t="s">
        <v>12</v>
      </c>
      <c r="D1685" s="9" t="s">
        <v>6271</v>
      </c>
      <c r="E1685" s="9"/>
      <c r="F1685" s="9" t="s">
        <v>11709</v>
      </c>
      <c r="G1685" s="9"/>
      <c r="H1685" s="9" t="s">
        <v>5327</v>
      </c>
      <c r="I1685" s="9" t="s">
        <v>5328</v>
      </c>
      <c r="J1685" s="9" t="s">
        <v>5329</v>
      </c>
      <c r="K1685" s="9" t="s">
        <v>5330</v>
      </c>
      <c r="L1685" s="9"/>
      <c r="M1685" s="9" t="str">
        <f>HYPERLINK("https://ceds.ed.gov/cedselementdetails.aspx?termid=14452")</f>
        <v>https://ceds.ed.gov/cedselementdetails.aspx?termid=14452</v>
      </c>
      <c r="N1685" s="9" t="str">
        <f>HYPERLINK("https://ceds.ed.gov/elementComment.aspx?elementName=School Courses for the Exchange of Data Grade Span &amp;elementID=14452", "Click here to submit comment")</f>
        <v>Click here to submit comment</v>
      </c>
    </row>
    <row r="1686" spans="1:14" ht="210" x14ac:dyDescent="0.25">
      <c r="A1686" s="9" t="s">
        <v>5331</v>
      </c>
      <c r="B1686" s="9" t="s">
        <v>5332</v>
      </c>
      <c r="C1686" s="9" t="s">
        <v>12</v>
      </c>
      <c r="D1686" s="9" t="s">
        <v>11428</v>
      </c>
      <c r="E1686" s="9"/>
      <c r="F1686" s="9" t="s">
        <v>2088</v>
      </c>
      <c r="G1686" s="9"/>
      <c r="H1686" s="9" t="s">
        <v>5333</v>
      </c>
      <c r="I1686" s="9" t="s">
        <v>5334</v>
      </c>
      <c r="J1686" s="9" t="s">
        <v>5335</v>
      </c>
      <c r="K1686" s="9" t="s">
        <v>5336</v>
      </c>
      <c r="L1686" s="9" t="s">
        <v>6150</v>
      </c>
      <c r="M1686" s="9" t="str">
        <f>HYPERLINK("https://ceds.ed.gov/cedselementdetails.aspx?termid=13250")</f>
        <v>https://ceds.ed.gov/cedselementdetails.aspx?termid=13250</v>
      </c>
      <c r="N1686" s="9" t="str">
        <f>HYPERLINK("https://ceds.ed.gov/elementComment.aspx?elementName=School Courses for the Exchange of Data Sequence of Course &amp;elementID=13250", "Click here to submit comment")</f>
        <v>Click here to submit comment</v>
      </c>
    </row>
    <row r="1687" spans="1:14" ht="75" x14ac:dyDescent="0.25">
      <c r="A1687" s="9" t="s">
        <v>11710</v>
      </c>
      <c r="B1687" s="9" t="s">
        <v>11711</v>
      </c>
      <c r="C1687" s="9" t="s">
        <v>6106</v>
      </c>
      <c r="D1687" s="9" t="s">
        <v>1200</v>
      </c>
      <c r="E1687" s="9"/>
      <c r="F1687" s="9"/>
      <c r="G1687" s="9"/>
      <c r="H1687" s="9"/>
      <c r="I1687" s="9" t="s">
        <v>11712</v>
      </c>
      <c r="J1687" s="9"/>
      <c r="K1687" s="9" t="s">
        <v>11713</v>
      </c>
      <c r="L1687" s="9"/>
      <c r="M1687" s="9" t="str">
        <f>HYPERLINK("https://ceds.ed.gov/cedselementdetails.aspx?termid=14744")</f>
        <v>https://ceds.ed.gov/cedselementdetails.aspx?termid=14744</v>
      </c>
      <c r="N1687" s="9" t="str">
        <f>HYPERLINK("https://ceds.ed.gov/elementComment.aspx?elementName=School Full Academic Year &amp;elementID=14744", "Click here to submit comment")</f>
        <v>Click here to submit comment</v>
      </c>
    </row>
    <row r="1688" spans="1:14" ht="270" x14ac:dyDescent="0.25">
      <c r="A1688" s="9" t="s">
        <v>5337</v>
      </c>
      <c r="B1688" s="9" t="s">
        <v>252</v>
      </c>
      <c r="C1688" s="10" t="s">
        <v>6685</v>
      </c>
      <c r="D1688" s="9" t="s">
        <v>6272</v>
      </c>
      <c r="E1688" s="9"/>
      <c r="F1688" s="9"/>
      <c r="G1688" s="9"/>
      <c r="H1688" s="9"/>
      <c r="I1688" s="9" t="s">
        <v>5338</v>
      </c>
      <c r="J1688" s="9"/>
      <c r="K1688" s="9" t="s">
        <v>5339</v>
      </c>
      <c r="L1688" s="9" t="s">
        <v>6273</v>
      </c>
      <c r="M1688" s="9" t="str">
        <f>HYPERLINK("https://ceds.ed.gov/cedselementdetails.aspx?termid=13161")</f>
        <v>https://ceds.ed.gov/cedselementdetails.aspx?termid=13161</v>
      </c>
      <c r="N1688" s="9" t="str">
        <f>HYPERLINK("https://ceds.ed.gov/elementComment.aspx?elementName=School Identification System &amp;elementID=13161", "Click here to submit comment")</f>
        <v>Click here to submit comment</v>
      </c>
    </row>
    <row r="1689" spans="1:14" ht="105" x14ac:dyDescent="0.25">
      <c r="A1689" s="18" t="s">
        <v>5340</v>
      </c>
      <c r="B1689" s="18" t="s">
        <v>256</v>
      </c>
      <c r="C1689" s="18" t="s">
        <v>12</v>
      </c>
      <c r="D1689" s="18" t="s">
        <v>6272</v>
      </c>
      <c r="E1689" s="18"/>
      <c r="F1689" s="18" t="s">
        <v>119</v>
      </c>
      <c r="G1689" s="18"/>
      <c r="H1689" s="9" t="s">
        <v>120</v>
      </c>
      <c r="I1689" s="18" t="s">
        <v>5341</v>
      </c>
      <c r="J1689" s="18"/>
      <c r="K1689" s="18" t="s">
        <v>5342</v>
      </c>
      <c r="L1689" s="18" t="s">
        <v>6273</v>
      </c>
      <c r="M1689" s="18" t="str">
        <f>HYPERLINK("https://ceds.ed.gov/cedselementdetails.aspx?termid=13155")</f>
        <v>https://ceds.ed.gov/cedselementdetails.aspx?termid=13155</v>
      </c>
      <c r="N1689" s="18" t="str">
        <f>HYPERLINK("https://ceds.ed.gov/elementComment.aspx?elementName=School Identifier &amp;elementID=13155", "Click here to submit comment")</f>
        <v>Click here to submit comment</v>
      </c>
    </row>
    <row r="1690" spans="1:14" x14ac:dyDescent="0.25">
      <c r="A1690" s="18"/>
      <c r="B1690" s="18"/>
      <c r="C1690" s="18"/>
      <c r="D1690" s="18"/>
      <c r="E1690" s="18"/>
      <c r="F1690" s="18"/>
      <c r="G1690" s="18"/>
      <c r="H1690" s="9"/>
      <c r="I1690" s="18"/>
      <c r="J1690" s="18"/>
      <c r="K1690" s="18"/>
      <c r="L1690" s="18"/>
      <c r="M1690" s="18"/>
      <c r="N1690" s="18"/>
    </row>
    <row r="1691" spans="1:14" ht="90" x14ac:dyDescent="0.25">
      <c r="A1691" s="18"/>
      <c r="B1691" s="18"/>
      <c r="C1691" s="18"/>
      <c r="D1691" s="18"/>
      <c r="E1691" s="18"/>
      <c r="F1691" s="18"/>
      <c r="G1691" s="18"/>
      <c r="H1691" s="9" t="s">
        <v>121</v>
      </c>
      <c r="I1691" s="18"/>
      <c r="J1691" s="18"/>
      <c r="K1691" s="18"/>
      <c r="L1691" s="18"/>
      <c r="M1691" s="18"/>
      <c r="N1691" s="18"/>
    </row>
    <row r="1692" spans="1:14" ht="45" x14ac:dyDescent="0.25">
      <c r="A1692" s="9" t="s">
        <v>5343</v>
      </c>
      <c r="B1692" s="9" t="s">
        <v>5344</v>
      </c>
      <c r="C1692" s="9" t="s">
        <v>12</v>
      </c>
      <c r="D1692" s="9" t="s">
        <v>11363</v>
      </c>
      <c r="E1692" s="9"/>
      <c r="F1692" s="9" t="s">
        <v>1513</v>
      </c>
      <c r="G1692" s="9"/>
      <c r="H1692" s="9"/>
      <c r="I1692" s="9" t="s">
        <v>5345</v>
      </c>
      <c r="J1692" s="9"/>
      <c r="K1692" s="9" t="s">
        <v>5346</v>
      </c>
      <c r="L1692" s="9" t="s">
        <v>188</v>
      </c>
      <c r="M1692" s="9" t="str">
        <f>HYPERLINK("https://ceds.ed.gov/cedselementdetails.aspx?termid=13471")</f>
        <v>https://ceds.ed.gov/cedselementdetails.aspx?termid=13471</v>
      </c>
      <c r="N1692" s="9" t="str">
        <f>HYPERLINK("https://ceds.ed.gov/elementComment.aspx?elementName=School Improvement Allocation &amp;elementID=13471", "Click here to submit comment")</f>
        <v>Click here to submit comment</v>
      </c>
    </row>
    <row r="1693" spans="1:14" ht="45" x14ac:dyDescent="0.25">
      <c r="A1693" s="9" t="s">
        <v>5347</v>
      </c>
      <c r="B1693" s="9" t="s">
        <v>5348</v>
      </c>
      <c r="C1693" s="9" t="s">
        <v>12</v>
      </c>
      <c r="D1693" s="9" t="s">
        <v>1882</v>
      </c>
      <c r="E1693" s="9"/>
      <c r="F1693" s="9" t="s">
        <v>73</v>
      </c>
      <c r="G1693" s="9"/>
      <c r="H1693" s="9"/>
      <c r="I1693" s="9" t="s">
        <v>5349</v>
      </c>
      <c r="J1693" s="9"/>
      <c r="K1693" s="9" t="s">
        <v>5350</v>
      </c>
      <c r="L1693" s="9" t="s">
        <v>188</v>
      </c>
      <c r="M1693" s="9" t="str">
        <f>HYPERLINK("https://ceds.ed.gov/cedselementdetails.aspx?termid=13472")</f>
        <v>https://ceds.ed.gov/cedselementdetails.aspx?termid=13472</v>
      </c>
      <c r="N1693" s="9" t="str">
        <f>HYPERLINK("https://ceds.ed.gov/elementComment.aspx?elementName=School Improvement Exit Date &amp;elementID=13472", "Click here to submit comment")</f>
        <v>Click here to submit comment</v>
      </c>
    </row>
    <row r="1694" spans="1:14" ht="45" x14ac:dyDescent="0.25">
      <c r="A1694" s="9" t="s">
        <v>5351</v>
      </c>
      <c r="B1694" s="9" t="s">
        <v>5352</v>
      </c>
      <c r="C1694" s="9" t="s">
        <v>6106</v>
      </c>
      <c r="D1694" s="9" t="s">
        <v>1882</v>
      </c>
      <c r="E1694" s="9"/>
      <c r="F1694" s="9"/>
      <c r="G1694" s="9"/>
      <c r="H1694" s="9"/>
      <c r="I1694" s="9" t="s">
        <v>5353</v>
      </c>
      <c r="J1694" s="9"/>
      <c r="K1694" s="9" t="s">
        <v>5354</v>
      </c>
      <c r="L1694" s="9" t="s">
        <v>199</v>
      </c>
      <c r="M1694" s="9" t="str">
        <f>HYPERLINK("https://ceds.ed.gov/cedselementdetails.aspx?termid=13238")</f>
        <v>https://ceds.ed.gov/cedselementdetails.aspx?termid=13238</v>
      </c>
      <c r="N1694" s="9" t="str">
        <f>HYPERLINK("https://ceds.ed.gov/elementComment.aspx?elementName=School Improvement Funds Status &amp;elementID=13238", "Click here to submit comment")</f>
        <v>Click here to submit comment</v>
      </c>
    </row>
    <row r="1695" spans="1:14" ht="90" x14ac:dyDescent="0.25">
      <c r="A1695" s="9" t="s">
        <v>5355</v>
      </c>
      <c r="B1695" s="9" t="s">
        <v>5356</v>
      </c>
      <c r="C1695" s="10" t="s">
        <v>6686</v>
      </c>
      <c r="D1695" s="9" t="s">
        <v>1840</v>
      </c>
      <c r="E1695" s="9"/>
      <c r="F1695" s="9"/>
      <c r="G1695" s="9"/>
      <c r="H1695" s="9"/>
      <c r="I1695" s="9" t="s">
        <v>5357</v>
      </c>
      <c r="J1695" s="9"/>
      <c r="K1695" s="9" t="s">
        <v>5358</v>
      </c>
      <c r="L1695" s="9" t="s">
        <v>199</v>
      </c>
      <c r="M1695" s="9" t="str">
        <f>HYPERLINK("https://ceds.ed.gov/cedselementdetails.aspx?termid=13239")</f>
        <v>https://ceds.ed.gov/cedselementdetails.aspx?termid=13239</v>
      </c>
      <c r="N1695" s="9" t="str">
        <f>HYPERLINK("https://ceds.ed.gov/elementComment.aspx?elementName=School Improvement Grant Intervention Type &amp;elementID=13239", "Click here to submit comment")</f>
        <v>Click here to submit comment</v>
      </c>
    </row>
    <row r="1696" spans="1:14" ht="105" x14ac:dyDescent="0.25">
      <c r="A1696" s="9" t="s">
        <v>5359</v>
      </c>
      <c r="B1696" s="9" t="s">
        <v>5360</v>
      </c>
      <c r="C1696" s="9" t="s">
        <v>12</v>
      </c>
      <c r="D1696" s="9" t="s">
        <v>11363</v>
      </c>
      <c r="E1696" s="9"/>
      <c r="F1696" s="9" t="s">
        <v>10496</v>
      </c>
      <c r="G1696" s="9"/>
      <c r="H1696" s="9"/>
      <c r="I1696" s="9" t="s">
        <v>5361</v>
      </c>
      <c r="J1696" s="9"/>
      <c r="K1696" s="9" t="s">
        <v>5362</v>
      </c>
      <c r="L1696" s="9" t="s">
        <v>188</v>
      </c>
      <c r="M1696" s="9" t="str">
        <f>HYPERLINK("https://ceds.ed.gov/cedselementdetails.aspx?termid=13470")</f>
        <v>https://ceds.ed.gov/cedselementdetails.aspx?termid=13470</v>
      </c>
      <c r="N1696" s="9" t="str">
        <f>HYPERLINK("https://ceds.ed.gov/elementComment.aspx?elementName=School Improvement Reserved Funds Percentage &amp;elementID=13470", "Click here to submit comment")</f>
        <v>Click here to submit comment</v>
      </c>
    </row>
    <row r="1697" spans="1:14" ht="105" x14ac:dyDescent="0.25">
      <c r="A1697" s="9" t="s">
        <v>5363</v>
      </c>
      <c r="B1697" s="9" t="s">
        <v>5364</v>
      </c>
      <c r="C1697" s="10" t="s">
        <v>6687</v>
      </c>
      <c r="D1697" s="9" t="s">
        <v>202</v>
      </c>
      <c r="E1697" s="9"/>
      <c r="F1697" s="9"/>
      <c r="G1697" s="9"/>
      <c r="H1697" s="9"/>
      <c r="I1697" s="9" t="s">
        <v>5365</v>
      </c>
      <c r="J1697" s="9"/>
      <c r="K1697" s="9" t="s">
        <v>5366</v>
      </c>
      <c r="L1697" s="9" t="s">
        <v>199</v>
      </c>
      <c r="M1697" s="9" t="str">
        <f>HYPERLINK("https://ceds.ed.gov/cedselementdetails.aspx?termid=13240")</f>
        <v>https://ceds.ed.gov/cedselementdetails.aspx?termid=13240</v>
      </c>
      <c r="N1697" s="9" t="str">
        <f>HYPERLINK("https://ceds.ed.gov/elementComment.aspx?elementName=School Improvement Status &amp;elementID=13240", "Click here to submit comment")</f>
        <v>Click here to submit comment</v>
      </c>
    </row>
    <row r="1698" spans="1:14" ht="15" customHeight="1" x14ac:dyDescent="0.25">
      <c r="A1698" s="9" t="s">
        <v>5367</v>
      </c>
      <c r="B1698" s="9" t="s">
        <v>5368</v>
      </c>
      <c r="C1698" s="10" t="s">
        <v>6688</v>
      </c>
      <c r="D1698" s="9" t="s">
        <v>202</v>
      </c>
      <c r="E1698" s="9"/>
      <c r="F1698" s="9"/>
      <c r="G1698" s="9"/>
      <c r="H1698" s="9"/>
      <c r="I1698" s="9" t="s">
        <v>5369</v>
      </c>
      <c r="J1698" s="9"/>
      <c r="K1698" s="9" t="s">
        <v>5370</v>
      </c>
      <c r="L1698" s="9"/>
      <c r="M1698" s="9" t="str">
        <f>HYPERLINK("https://ceds.ed.gov/cedselementdetails.aspx?termid=13241")</f>
        <v>https://ceds.ed.gov/cedselementdetails.aspx?termid=13241</v>
      </c>
      <c r="N1698" s="9" t="str">
        <f>HYPERLINK("https://ceds.ed.gov/elementComment.aspx?elementName=School Level &amp;elementID=13241", "Click here to submit comment")</f>
        <v>Click here to submit comment</v>
      </c>
    </row>
    <row r="1699" spans="1:14" ht="15" customHeight="1" x14ac:dyDescent="0.25">
      <c r="A1699" s="9" t="s">
        <v>5371</v>
      </c>
      <c r="B1699" s="9" t="s">
        <v>5372</v>
      </c>
      <c r="C1699" s="10" t="s">
        <v>6689</v>
      </c>
      <c r="D1699" s="9" t="s">
        <v>202</v>
      </c>
      <c r="E1699" s="9"/>
      <c r="F1699" s="9"/>
      <c r="G1699" s="9"/>
      <c r="H1699" s="9"/>
      <c r="I1699" s="9" t="s">
        <v>5373</v>
      </c>
      <c r="J1699" s="9"/>
      <c r="K1699" s="9" t="s">
        <v>5374</v>
      </c>
      <c r="L1699" s="9" t="s">
        <v>199</v>
      </c>
      <c r="M1699" s="9" t="str">
        <f>HYPERLINK("https://ceds.ed.gov/cedselementdetails.aspx?termid=13524")</f>
        <v>https://ceds.ed.gov/cedselementdetails.aspx?termid=13524</v>
      </c>
      <c r="N1699" s="9" t="str">
        <f>HYPERLINK("https://ceds.ed.gov/elementComment.aspx?elementName=School Operational Status &amp;elementID=13524", "Click here to submit comment")</f>
        <v>Click here to submit comment</v>
      </c>
    </row>
    <row r="1700" spans="1:14" ht="15" customHeight="1" x14ac:dyDescent="0.25">
      <c r="A1700" s="9" t="s">
        <v>5375</v>
      </c>
      <c r="B1700" s="9" t="s">
        <v>5376</v>
      </c>
      <c r="C1700" s="10" t="s">
        <v>6690</v>
      </c>
      <c r="D1700" s="9" t="s">
        <v>202</v>
      </c>
      <c r="E1700" s="9"/>
      <c r="F1700" s="9"/>
      <c r="G1700" s="9"/>
      <c r="H1700" s="9"/>
      <c r="I1700" s="9" t="s">
        <v>5377</v>
      </c>
      <c r="J1700" s="9"/>
      <c r="K1700" s="9" t="s">
        <v>5378</v>
      </c>
      <c r="L1700" s="9" t="s">
        <v>6109</v>
      </c>
      <c r="M1700" s="9" t="str">
        <f>HYPERLINK("https://ceds.ed.gov/cedselementdetails.aspx?termid=13242")</f>
        <v>https://ceds.ed.gov/cedselementdetails.aspx?termid=13242</v>
      </c>
      <c r="N1700" s="9" t="str">
        <f>HYPERLINK("https://ceds.ed.gov/elementComment.aspx?elementName=School Type &amp;elementID=13242", "Click here to submit comment")</f>
        <v>Click here to submit comment</v>
      </c>
    </row>
    <row r="1701" spans="1:14" ht="135" x14ac:dyDescent="0.25">
      <c r="A1701" s="9" t="s">
        <v>5379</v>
      </c>
      <c r="B1701" s="9" t="s">
        <v>5380</v>
      </c>
      <c r="C1701" s="9" t="s">
        <v>12</v>
      </c>
      <c r="D1701" s="9" t="s">
        <v>6274</v>
      </c>
      <c r="E1701" s="9"/>
      <c r="F1701" s="9" t="s">
        <v>1813</v>
      </c>
      <c r="G1701" s="9"/>
      <c r="H1701" s="9" t="s">
        <v>5381</v>
      </c>
      <c r="I1701" s="9" t="s">
        <v>5382</v>
      </c>
      <c r="J1701" s="9"/>
      <c r="K1701" s="9" t="s">
        <v>5383</v>
      </c>
      <c r="L1701" s="9" t="s">
        <v>1858</v>
      </c>
      <c r="M1701" s="9" t="str">
        <f>HYPERLINK("https://ceds.ed.gov/cedselementdetails.aspx?termid=13243")</f>
        <v>https://ceds.ed.gov/cedselementdetails.aspx?termid=13243</v>
      </c>
      <c r="N1701" s="9" t="str">
        <f>HYPERLINK("https://ceds.ed.gov/elementComment.aspx?elementName=School Year &amp;elementID=13243", "Click here to submit comment")</f>
        <v>Click here to submit comment</v>
      </c>
    </row>
    <row r="1702" spans="1:14" ht="105" x14ac:dyDescent="0.25">
      <c r="A1702" s="9" t="s">
        <v>5384</v>
      </c>
      <c r="B1702" s="9" t="s">
        <v>5385</v>
      </c>
      <c r="C1702" s="9" t="s">
        <v>12</v>
      </c>
      <c r="D1702" s="9" t="s">
        <v>2192</v>
      </c>
      <c r="E1702" s="9"/>
      <c r="F1702" s="9" t="s">
        <v>10489</v>
      </c>
      <c r="G1702" s="9"/>
      <c r="H1702" s="9"/>
      <c r="I1702" s="9" t="s">
        <v>5386</v>
      </c>
      <c r="J1702" s="9"/>
      <c r="K1702" s="9" t="s">
        <v>5387</v>
      </c>
      <c r="L1702" s="9" t="s">
        <v>199</v>
      </c>
      <c r="M1702" s="9" t="str">
        <f>HYPERLINK("https://ceds.ed.gov/cedselementdetails.aspx?termid=13244")</f>
        <v>https://ceds.ed.gov/cedselementdetails.aspx?termid=13244</v>
      </c>
      <c r="N1702" s="9" t="str">
        <f>HYPERLINK("https://ceds.ed.gov/elementComment.aspx?elementName=School Year Minutes &amp;elementID=13244", "Click here to submit comment")</f>
        <v>Click here to submit comment</v>
      </c>
    </row>
    <row r="1703" spans="1:14" ht="150" x14ac:dyDescent="0.25">
      <c r="A1703" s="9" t="s">
        <v>5388</v>
      </c>
      <c r="B1703" s="9" t="s">
        <v>5389</v>
      </c>
      <c r="C1703" s="10" t="s">
        <v>6691</v>
      </c>
      <c r="D1703" s="9" t="s">
        <v>2919</v>
      </c>
      <c r="E1703" s="9"/>
      <c r="F1703" s="9"/>
      <c r="G1703" s="9"/>
      <c r="H1703" s="9"/>
      <c r="I1703" s="9" t="s">
        <v>5390</v>
      </c>
      <c r="J1703" s="9"/>
      <c r="K1703" s="9" t="s">
        <v>5391</v>
      </c>
      <c r="L1703" s="9"/>
      <c r="M1703" s="9" t="str">
        <f>HYPERLINK("https://ceds.ed.gov/cedselementdetails.aspx?termid=13620")</f>
        <v>https://ceds.ed.gov/cedselementdetails.aspx?termid=13620</v>
      </c>
      <c r="N1703" s="9" t="str">
        <f>HYPERLINK("https://ceds.ed.gov/elementComment.aspx?elementName=Secondary Incident Behavior &amp;elementID=13620", "Click here to submit comment")</f>
        <v>Click here to submit comment</v>
      </c>
    </row>
    <row r="1704" spans="1:14" ht="135" x14ac:dyDescent="0.25">
      <c r="A1704" s="9" t="s">
        <v>5392</v>
      </c>
      <c r="B1704" s="9" t="s">
        <v>5393</v>
      </c>
      <c r="C1704" s="9" t="s">
        <v>6106</v>
      </c>
      <c r="D1704" s="9" t="s">
        <v>11714</v>
      </c>
      <c r="E1704" s="9"/>
      <c r="F1704" s="9"/>
      <c r="G1704" s="9"/>
      <c r="H1704" s="9"/>
      <c r="I1704" s="9" t="s">
        <v>5394</v>
      </c>
      <c r="J1704" s="9"/>
      <c r="K1704" s="9" t="s">
        <v>5395</v>
      </c>
      <c r="L1704" s="9" t="s">
        <v>6228</v>
      </c>
      <c r="M1704" s="9" t="str">
        <f>HYPERLINK("https://ceds.ed.gov/cedselementdetails.aspx?termid=13249")</f>
        <v>https://ceds.ed.gov/cedselementdetails.aspx?termid=13249</v>
      </c>
      <c r="N1704" s="9" t="str">
        <f>HYPERLINK("https://ceds.ed.gov/elementComment.aspx?elementName=Section 504 Status &amp;elementID=13249", "Click here to submit comment")</f>
        <v>Click here to submit comment</v>
      </c>
    </row>
    <row r="1705" spans="1:14" ht="45" x14ac:dyDescent="0.25">
      <c r="A1705" s="9" t="s">
        <v>5396</v>
      </c>
      <c r="B1705" s="9" t="s">
        <v>5397</v>
      </c>
      <c r="C1705" s="9" t="s">
        <v>6106</v>
      </c>
      <c r="D1705" s="9" t="s">
        <v>11121</v>
      </c>
      <c r="E1705" s="9"/>
      <c r="F1705" s="9"/>
      <c r="G1705" s="9"/>
      <c r="H1705" s="9"/>
      <c r="I1705" s="9" t="s">
        <v>5398</v>
      </c>
      <c r="J1705" s="9"/>
      <c r="K1705" s="9" t="s">
        <v>5399</v>
      </c>
      <c r="L1705" s="9" t="s">
        <v>6167</v>
      </c>
      <c r="M1705" s="9" t="str">
        <f>HYPERLINK("https://ceds.ed.gov/cedselementdetails.aspx?termid=13821")</f>
        <v>https://ceds.ed.gov/cedselementdetails.aspx?termid=13821</v>
      </c>
      <c r="N1705" s="9" t="str">
        <f>HYPERLINK("https://ceds.ed.gov/elementComment.aspx?elementName=Serves Children with Special Needs &amp;elementID=13821", "Click here to submit comment")</f>
        <v>Click here to submit comment</v>
      </c>
    </row>
    <row r="1706" spans="1:14" ht="45" x14ac:dyDescent="0.25">
      <c r="A1706" s="9" t="s">
        <v>5400</v>
      </c>
      <c r="B1706" s="9" t="s">
        <v>5401</v>
      </c>
      <c r="C1706" s="9" t="s">
        <v>12</v>
      </c>
      <c r="D1706" s="9" t="s">
        <v>2390</v>
      </c>
      <c r="E1706" s="9"/>
      <c r="F1706" s="9" t="s">
        <v>73</v>
      </c>
      <c r="G1706" s="9"/>
      <c r="H1706" s="9"/>
      <c r="I1706" s="9" t="s">
        <v>5402</v>
      </c>
      <c r="J1706" s="9"/>
      <c r="K1706" s="9" t="s">
        <v>5403</v>
      </c>
      <c r="L1706" s="9"/>
      <c r="M1706" s="9" t="str">
        <f>HYPERLINK("https://ceds.ed.gov/cedselementdetails.aspx?termid=14616")</f>
        <v>https://ceds.ed.gov/cedselementdetails.aspx?termid=14616</v>
      </c>
      <c r="N1706" s="9" t="str">
        <f>HYPERLINK("https://ceds.ed.gov/elementComment.aspx?elementName=Service Date &amp;elementID=14616", "Click here to submit comment")</f>
        <v>Click here to submit comment</v>
      </c>
    </row>
    <row r="1707" spans="1:14" ht="60" x14ac:dyDescent="0.25">
      <c r="A1707" s="9" t="s">
        <v>5404</v>
      </c>
      <c r="B1707" s="9" t="s">
        <v>5405</v>
      </c>
      <c r="C1707" s="9" t="s">
        <v>12</v>
      </c>
      <c r="D1707" s="9" t="s">
        <v>11695</v>
      </c>
      <c r="E1707" s="9"/>
      <c r="F1707" s="9" t="s">
        <v>73</v>
      </c>
      <c r="G1707" s="9"/>
      <c r="H1707" s="9"/>
      <c r="I1707" s="9" t="s">
        <v>5406</v>
      </c>
      <c r="J1707" s="9"/>
      <c r="K1707" s="9" t="s">
        <v>5407</v>
      </c>
      <c r="L1707" s="9"/>
      <c r="M1707" s="9" t="str">
        <f>HYPERLINK("https://ceds.ed.gov/cedselementdetails.aspx?termid=13326")</f>
        <v>https://ceds.ed.gov/cedselementdetails.aspx?termid=13326</v>
      </c>
      <c r="N1707" s="9" t="str">
        <f>HYPERLINK("https://ceds.ed.gov/elementComment.aspx?elementName=Service Entry Date &amp;elementID=13326", "Click here to submit comment")</f>
        <v>Click here to submit comment</v>
      </c>
    </row>
    <row r="1708" spans="1:14" ht="60" x14ac:dyDescent="0.25">
      <c r="A1708" s="9" t="s">
        <v>5408</v>
      </c>
      <c r="B1708" s="9" t="s">
        <v>5409</v>
      </c>
      <c r="C1708" s="9" t="s">
        <v>12</v>
      </c>
      <c r="D1708" s="9" t="s">
        <v>11695</v>
      </c>
      <c r="E1708" s="9"/>
      <c r="F1708" s="9" t="s">
        <v>73</v>
      </c>
      <c r="G1708" s="9"/>
      <c r="H1708" s="9"/>
      <c r="I1708" s="9" t="s">
        <v>5410</v>
      </c>
      <c r="J1708" s="9"/>
      <c r="K1708" s="9" t="s">
        <v>5411</v>
      </c>
      <c r="L1708" s="9"/>
      <c r="M1708" s="9" t="str">
        <f>HYPERLINK("https://ceds.ed.gov/cedselementdetails.aspx?termid=13327")</f>
        <v>https://ceds.ed.gov/cedselementdetails.aspx?termid=13327</v>
      </c>
      <c r="N1708" s="9" t="str">
        <f>HYPERLINK("https://ceds.ed.gov/elementComment.aspx?elementName=Service Exit Date &amp;elementID=13327", "Click here to submit comment")</f>
        <v>Click here to submit comment</v>
      </c>
    </row>
    <row r="1709" spans="1:14" ht="45" x14ac:dyDescent="0.25">
      <c r="A1709" s="9" t="s">
        <v>11715</v>
      </c>
      <c r="B1709" s="9" t="s">
        <v>11716</v>
      </c>
      <c r="C1709" s="9" t="s">
        <v>6106</v>
      </c>
      <c r="D1709" s="9" t="s">
        <v>11105</v>
      </c>
      <c r="E1709" s="9"/>
      <c r="F1709" s="9"/>
      <c r="G1709" s="9"/>
      <c r="H1709" s="9"/>
      <c r="I1709" s="9" t="s">
        <v>11717</v>
      </c>
      <c r="J1709" s="9"/>
      <c r="K1709" s="9" t="s">
        <v>11718</v>
      </c>
      <c r="L1709" s="9"/>
      <c r="M1709" s="9" t="str">
        <f>HYPERLINK("https://ceds.ed.gov/cedselementdetails.aspx?termid=14698")</f>
        <v>https://ceds.ed.gov/cedselementdetails.aspx?termid=14698</v>
      </c>
      <c r="N1709" s="9" t="str">
        <f>HYPERLINK("https://ceds.ed.gov/elementComment.aspx?elementName=Service Extends Outside School Year &amp;elementID=14698", "Click here to submit comment")</f>
        <v>Click here to submit comment</v>
      </c>
    </row>
    <row r="1710" spans="1:14" ht="105" x14ac:dyDescent="0.25">
      <c r="A1710" s="9" t="s">
        <v>5412</v>
      </c>
      <c r="B1710" s="9" t="s">
        <v>5413</v>
      </c>
      <c r="C1710" s="10" t="s">
        <v>6692</v>
      </c>
      <c r="D1710" s="9" t="s">
        <v>11102</v>
      </c>
      <c r="E1710" s="9"/>
      <c r="F1710" s="9"/>
      <c r="G1710" s="9"/>
      <c r="H1710" s="9"/>
      <c r="I1710" s="9" t="s">
        <v>5414</v>
      </c>
      <c r="J1710" s="9"/>
      <c r="K1710" s="9" t="s">
        <v>5415</v>
      </c>
      <c r="L1710" s="9" t="s">
        <v>6182</v>
      </c>
      <c r="M1710" s="9" t="str">
        <f>HYPERLINK("https://ceds.ed.gov/cedselementdetails.aspx?termid=13352")</f>
        <v>https://ceds.ed.gov/cedselementdetails.aspx?termid=13352</v>
      </c>
      <c r="N1710" s="9" t="str">
        <f>HYPERLINK("https://ceds.ed.gov/elementComment.aspx?elementName=Service Option Variation &amp;elementID=13352", "Click here to submit comment")</f>
        <v>Click here to submit comment</v>
      </c>
    </row>
    <row r="1711" spans="1:14" ht="75" x14ac:dyDescent="0.25">
      <c r="A1711" s="9" t="s">
        <v>5416</v>
      </c>
      <c r="B1711" s="9" t="s">
        <v>5417</v>
      </c>
      <c r="C1711" s="9" t="s">
        <v>12</v>
      </c>
      <c r="D1711" s="9" t="s">
        <v>6275</v>
      </c>
      <c r="E1711" s="9"/>
      <c r="F1711" s="9" t="s">
        <v>68</v>
      </c>
      <c r="G1711" s="9"/>
      <c r="H1711" s="9"/>
      <c r="I1711" s="9" t="s">
        <v>5418</v>
      </c>
      <c r="J1711" s="9"/>
      <c r="K1711" s="9" t="s">
        <v>5419</v>
      </c>
      <c r="L1711" s="9"/>
      <c r="M1711" s="9" t="str">
        <f>HYPERLINK("https://ceds.ed.gov/cedselementdetails.aspx?termid=14603")</f>
        <v>https://ceds.ed.gov/cedselementdetails.aspx?termid=14603</v>
      </c>
      <c r="N1711" s="9" t="str">
        <f>HYPERLINK("https://ceds.ed.gov/elementComment.aspx?elementName=Service Partner Description &amp;elementID=14603", "Click here to submit comment")</f>
        <v>Click here to submit comment</v>
      </c>
    </row>
    <row r="1712" spans="1:14" ht="75" x14ac:dyDescent="0.25">
      <c r="A1712" s="9" t="s">
        <v>5420</v>
      </c>
      <c r="B1712" s="9" t="s">
        <v>5421</v>
      </c>
      <c r="C1712" s="9" t="s">
        <v>12</v>
      </c>
      <c r="D1712" s="9" t="s">
        <v>6275</v>
      </c>
      <c r="E1712" s="9"/>
      <c r="F1712" s="9" t="s">
        <v>762</v>
      </c>
      <c r="G1712" s="9"/>
      <c r="H1712" s="9"/>
      <c r="I1712" s="9" t="s">
        <v>5422</v>
      </c>
      <c r="J1712" s="9"/>
      <c r="K1712" s="9" t="s">
        <v>5423</v>
      </c>
      <c r="L1712" s="9"/>
      <c r="M1712" s="9" t="str">
        <f>HYPERLINK("https://ceds.ed.gov/cedselementdetails.aspx?termid=14606")</f>
        <v>https://ceds.ed.gov/cedselementdetails.aspx?termid=14606</v>
      </c>
      <c r="N1712" s="9" t="str">
        <f>HYPERLINK("https://ceds.ed.gov/elementComment.aspx?elementName=Service Partner Name &amp;elementID=14606", "Click here to submit comment")</f>
        <v>Click here to submit comment</v>
      </c>
    </row>
    <row r="1713" spans="1:14" ht="45" x14ac:dyDescent="0.25">
      <c r="A1713" s="9" t="s">
        <v>11719</v>
      </c>
      <c r="B1713" s="9" t="s">
        <v>11720</v>
      </c>
      <c r="C1713" s="9" t="s">
        <v>12</v>
      </c>
      <c r="D1713" s="9" t="s">
        <v>11105</v>
      </c>
      <c r="E1713" s="9"/>
      <c r="F1713" s="9" t="s">
        <v>303</v>
      </c>
      <c r="G1713" s="9"/>
      <c r="H1713" s="9"/>
      <c r="I1713" s="9" t="s">
        <v>11721</v>
      </c>
      <c r="J1713" s="9"/>
      <c r="K1713" s="9" t="s">
        <v>11722</v>
      </c>
      <c r="L1713" s="9"/>
      <c r="M1713" s="9" t="str">
        <f>HYPERLINK("https://ceds.ed.gov/cedselementdetails.aspx?termid=14699")</f>
        <v>https://ceds.ed.gov/cedselementdetails.aspx?termid=14699</v>
      </c>
      <c r="N1713" s="9" t="str">
        <f>HYPERLINK("https://ceds.ed.gov/elementComment.aspx?elementName=Service Setting Description &amp;elementID=14699", "Click here to submit comment")</f>
        <v>Click here to submit comment</v>
      </c>
    </row>
    <row r="1714" spans="1:14" ht="135" x14ac:dyDescent="0.25">
      <c r="A1714" s="9" t="s">
        <v>5424</v>
      </c>
      <c r="B1714" s="9" t="s">
        <v>5425</v>
      </c>
      <c r="C1714" s="9" t="s">
        <v>6106</v>
      </c>
      <c r="D1714" s="9" t="s">
        <v>11723</v>
      </c>
      <c r="E1714" s="9"/>
      <c r="F1714" s="9"/>
      <c r="G1714" s="9"/>
      <c r="H1714" s="9"/>
      <c r="I1714" s="9" t="s">
        <v>5426</v>
      </c>
      <c r="J1714" s="9"/>
      <c r="K1714" s="9" t="s">
        <v>5427</v>
      </c>
      <c r="L1714" s="9"/>
      <c r="M1714" s="9" t="str">
        <f>HYPERLINK("https://ceds.ed.gov/cedselementdetails.aspx?termid=14240")</f>
        <v>https://ceds.ed.gov/cedselementdetails.aspx?termid=14240</v>
      </c>
      <c r="N1714" s="9" t="str">
        <f>HYPERLINK("https://ceds.ed.gov/elementComment.aspx?elementName=Session Attendance Term Indicator &amp;elementID=14240", "Click here to submit comment")</f>
        <v>Click here to submit comment</v>
      </c>
    </row>
    <row r="1715" spans="1:14" ht="135" x14ac:dyDescent="0.25">
      <c r="A1715" s="9" t="s">
        <v>5428</v>
      </c>
      <c r="B1715" s="9" t="s">
        <v>5429</v>
      </c>
      <c r="C1715" s="9" t="s">
        <v>12</v>
      </c>
      <c r="D1715" s="9" t="s">
        <v>11723</v>
      </c>
      <c r="E1715" s="9"/>
      <c r="F1715" s="9" t="s">
        <v>73</v>
      </c>
      <c r="G1715" s="9"/>
      <c r="H1715" s="9"/>
      <c r="I1715" s="9" t="s">
        <v>5430</v>
      </c>
      <c r="J1715" s="9"/>
      <c r="K1715" s="9" t="s">
        <v>5431</v>
      </c>
      <c r="L1715" s="9" t="s">
        <v>6150</v>
      </c>
      <c r="M1715" s="9" t="str">
        <f>HYPERLINK("https://ceds.ed.gov/cedselementdetails.aspx?termid=13251")</f>
        <v>https://ceds.ed.gov/cedselementdetails.aspx?termid=13251</v>
      </c>
      <c r="N1715" s="9" t="str">
        <f>HYPERLINK("https://ceds.ed.gov/elementComment.aspx?elementName=Session Begin Date &amp;elementID=13251", "Click here to submit comment")</f>
        <v>Click here to submit comment</v>
      </c>
    </row>
    <row r="1716" spans="1:14" ht="135" x14ac:dyDescent="0.25">
      <c r="A1716" s="9" t="s">
        <v>5432</v>
      </c>
      <c r="B1716" s="9" t="s">
        <v>5433</v>
      </c>
      <c r="C1716" s="9" t="s">
        <v>12</v>
      </c>
      <c r="D1716" s="9" t="s">
        <v>11723</v>
      </c>
      <c r="E1716" s="9"/>
      <c r="F1716" s="9" t="s">
        <v>87</v>
      </c>
      <c r="G1716" s="9"/>
      <c r="H1716" s="9"/>
      <c r="I1716" s="9" t="s">
        <v>5434</v>
      </c>
      <c r="J1716" s="9"/>
      <c r="K1716" s="9" t="s">
        <v>5435</v>
      </c>
      <c r="L1716" s="9"/>
      <c r="M1716" s="9" t="str">
        <f>HYPERLINK("https://ceds.ed.gov/cedselementdetails.aspx?termid=14236")</f>
        <v>https://ceds.ed.gov/cedselementdetails.aspx?termid=14236</v>
      </c>
      <c r="N1716" s="9" t="str">
        <f>HYPERLINK("https://ceds.ed.gov/elementComment.aspx?elementName=Session Code &amp;elementID=14236", "Click here to submit comment")</f>
        <v>Click here to submit comment</v>
      </c>
    </row>
    <row r="1717" spans="1:14" ht="135" x14ac:dyDescent="0.25">
      <c r="A1717" s="9" t="s">
        <v>5436</v>
      </c>
      <c r="B1717" s="9" t="s">
        <v>5437</v>
      </c>
      <c r="C1717" s="9" t="s">
        <v>12</v>
      </c>
      <c r="D1717" s="9" t="s">
        <v>11723</v>
      </c>
      <c r="E1717" s="9"/>
      <c r="F1717" s="9" t="s">
        <v>303</v>
      </c>
      <c r="G1717" s="9"/>
      <c r="H1717" s="9"/>
      <c r="I1717" s="9" t="s">
        <v>5438</v>
      </c>
      <c r="J1717" s="9"/>
      <c r="K1717" s="9" t="s">
        <v>5439</v>
      </c>
      <c r="L1717" s="9"/>
      <c r="M1717" s="9" t="str">
        <f>HYPERLINK("https://ceds.ed.gov/cedselementdetails.aspx?termid=14237")</f>
        <v>https://ceds.ed.gov/cedselementdetails.aspx?termid=14237</v>
      </c>
      <c r="N1717" s="9" t="str">
        <f>HYPERLINK("https://ceds.ed.gov/elementComment.aspx?elementName=Session Description &amp;elementID=14237", "Click here to submit comment")</f>
        <v>Click here to submit comment</v>
      </c>
    </row>
    <row r="1718" spans="1:14" ht="150" x14ac:dyDescent="0.25">
      <c r="A1718" s="9" t="s">
        <v>5440</v>
      </c>
      <c r="B1718" s="9" t="s">
        <v>5441</v>
      </c>
      <c r="C1718" s="9" t="s">
        <v>12</v>
      </c>
      <c r="D1718" s="9" t="s">
        <v>11724</v>
      </c>
      <c r="E1718" s="9"/>
      <c r="F1718" s="9" t="s">
        <v>2270</v>
      </c>
      <c r="G1718" s="9"/>
      <c r="H1718" s="9"/>
      <c r="I1718" s="9" t="s">
        <v>5442</v>
      </c>
      <c r="J1718" s="9"/>
      <c r="K1718" s="9" t="s">
        <v>5443</v>
      </c>
      <c r="L1718" s="9" t="s">
        <v>6161</v>
      </c>
      <c r="M1718" s="9" t="str">
        <f>HYPERLINK("https://ceds.ed.gov/cedselementdetails.aspx?termid=13252")</f>
        <v>https://ceds.ed.gov/cedselementdetails.aspx?termid=13252</v>
      </c>
      <c r="N1718" s="9" t="str">
        <f>HYPERLINK("https://ceds.ed.gov/elementComment.aspx?elementName=Session Designator &amp;elementID=13252", "Click here to submit comment")</f>
        <v>Click here to submit comment</v>
      </c>
    </row>
    <row r="1719" spans="1:14" ht="135" x14ac:dyDescent="0.25">
      <c r="A1719" s="9" t="s">
        <v>5444</v>
      </c>
      <c r="B1719" s="9" t="s">
        <v>5445</v>
      </c>
      <c r="C1719" s="9" t="s">
        <v>12</v>
      </c>
      <c r="D1719" s="9" t="s">
        <v>11723</v>
      </c>
      <c r="E1719" s="9"/>
      <c r="F1719" s="9" t="s">
        <v>73</v>
      </c>
      <c r="G1719" s="9"/>
      <c r="H1719" s="9"/>
      <c r="I1719" s="9" t="s">
        <v>5446</v>
      </c>
      <c r="J1719" s="9"/>
      <c r="K1719" s="9" t="s">
        <v>5447</v>
      </c>
      <c r="L1719" s="9" t="s">
        <v>6150</v>
      </c>
      <c r="M1719" s="9" t="str">
        <f>HYPERLINK("https://ceds.ed.gov/cedselementdetails.aspx?termid=13253")</f>
        <v>https://ceds.ed.gov/cedselementdetails.aspx?termid=13253</v>
      </c>
      <c r="N1719" s="9" t="str">
        <f>HYPERLINK("https://ceds.ed.gov/elementComment.aspx?elementName=Session End Date &amp;elementID=13253", "Click here to submit comment")</f>
        <v>Click here to submit comment</v>
      </c>
    </row>
    <row r="1720" spans="1:14" ht="60" x14ac:dyDescent="0.25">
      <c r="A1720" s="9" t="s">
        <v>5448</v>
      </c>
      <c r="B1720" s="9" t="s">
        <v>5449</v>
      </c>
      <c r="C1720" s="9" t="s">
        <v>12</v>
      </c>
      <c r="D1720" s="9" t="s">
        <v>6276</v>
      </c>
      <c r="E1720" s="9"/>
      <c r="F1720" s="9" t="s">
        <v>406</v>
      </c>
      <c r="G1720" s="9"/>
      <c r="H1720" s="9"/>
      <c r="I1720" s="9" t="s">
        <v>5450</v>
      </c>
      <c r="J1720" s="9"/>
      <c r="K1720" s="9" t="s">
        <v>5451</v>
      </c>
      <c r="L1720" s="9" t="s">
        <v>6167</v>
      </c>
      <c r="M1720" s="9" t="str">
        <f>HYPERLINK("https://ceds.ed.gov/cedselementdetails.aspx?termid=13988")</f>
        <v>https://ceds.ed.gov/cedselementdetails.aspx?termid=13988</v>
      </c>
      <c r="N1720" s="9" t="str">
        <f>HYPERLINK("https://ceds.ed.gov/elementComment.aspx?elementName=Session End Time &amp;elementID=13988", "Click here to submit comment")</f>
        <v>Click here to submit comment</v>
      </c>
    </row>
    <row r="1721" spans="1:14" ht="135" x14ac:dyDescent="0.25">
      <c r="A1721" s="9" t="s">
        <v>5452</v>
      </c>
      <c r="B1721" s="9" t="s">
        <v>5453</v>
      </c>
      <c r="C1721" s="9" t="s">
        <v>6106</v>
      </c>
      <c r="D1721" s="9" t="s">
        <v>11723</v>
      </c>
      <c r="E1721" s="9"/>
      <c r="F1721" s="9"/>
      <c r="G1721" s="9"/>
      <c r="H1721" s="9"/>
      <c r="I1721" s="9" t="s">
        <v>5454</v>
      </c>
      <c r="J1721" s="9"/>
      <c r="K1721" s="9" t="s">
        <v>5455</v>
      </c>
      <c r="L1721" s="9"/>
      <c r="M1721" s="9" t="str">
        <f>HYPERLINK("https://ceds.ed.gov/cedselementdetails.aspx?termid=14238")</f>
        <v>https://ceds.ed.gov/cedselementdetails.aspx?termid=14238</v>
      </c>
      <c r="N1721" s="9" t="str">
        <f>HYPERLINK("https://ceds.ed.gov/elementComment.aspx?elementName=Session Marking Term Indicator &amp;elementID=14238", "Click here to submit comment")</f>
        <v>Click here to submit comment</v>
      </c>
    </row>
    <row r="1722" spans="1:14" ht="135" x14ac:dyDescent="0.25">
      <c r="A1722" s="9" t="s">
        <v>5456</v>
      </c>
      <c r="B1722" s="9" t="s">
        <v>5457</v>
      </c>
      <c r="C1722" s="9" t="s">
        <v>6106</v>
      </c>
      <c r="D1722" s="9" t="s">
        <v>11723</v>
      </c>
      <c r="E1722" s="9"/>
      <c r="F1722" s="9"/>
      <c r="G1722" s="9"/>
      <c r="H1722" s="9"/>
      <c r="I1722" s="9" t="s">
        <v>5458</v>
      </c>
      <c r="J1722" s="9"/>
      <c r="K1722" s="9" t="s">
        <v>5459</v>
      </c>
      <c r="L1722" s="9"/>
      <c r="M1722" s="9" t="str">
        <f>HYPERLINK("https://ceds.ed.gov/cedselementdetails.aspx?termid=14239")</f>
        <v>https://ceds.ed.gov/cedselementdetails.aspx?termid=14239</v>
      </c>
      <c r="N1722" s="9" t="str">
        <f>HYPERLINK("https://ceds.ed.gov/elementComment.aspx?elementName=Session Scheduling Term Indicator &amp;elementID=14239", "Click here to submit comment")</f>
        <v>Click here to submit comment</v>
      </c>
    </row>
    <row r="1723" spans="1:14" ht="60" x14ac:dyDescent="0.25">
      <c r="A1723" s="9" t="s">
        <v>5460</v>
      </c>
      <c r="B1723" s="9" t="s">
        <v>5461</v>
      </c>
      <c r="C1723" s="9" t="s">
        <v>12</v>
      </c>
      <c r="D1723" s="9" t="s">
        <v>6276</v>
      </c>
      <c r="E1723" s="9"/>
      <c r="F1723" s="9" t="s">
        <v>406</v>
      </c>
      <c r="G1723" s="9"/>
      <c r="H1723" s="9"/>
      <c r="I1723" s="9" t="s">
        <v>5462</v>
      </c>
      <c r="J1723" s="9"/>
      <c r="K1723" s="9" t="s">
        <v>5463</v>
      </c>
      <c r="L1723" s="9" t="s">
        <v>6167</v>
      </c>
      <c r="M1723" s="9" t="str">
        <f>HYPERLINK("https://ceds.ed.gov/cedselementdetails.aspx?termid=13986")</f>
        <v>https://ceds.ed.gov/cedselementdetails.aspx?termid=13986</v>
      </c>
      <c r="N1723" s="9" t="str">
        <f>HYPERLINK("https://ceds.ed.gov/elementComment.aspx?elementName=Session Start Time &amp;elementID=13986", "Click here to submit comment")</f>
        <v>Click here to submit comment</v>
      </c>
    </row>
    <row r="1724" spans="1:14" ht="180" x14ac:dyDescent="0.25">
      <c r="A1724" s="9" t="s">
        <v>5464</v>
      </c>
      <c r="B1724" s="9" t="s">
        <v>5465</v>
      </c>
      <c r="C1724" s="10" t="s">
        <v>6693</v>
      </c>
      <c r="D1724" s="9" t="s">
        <v>11725</v>
      </c>
      <c r="E1724" s="9"/>
      <c r="F1724" s="9"/>
      <c r="G1724" s="9"/>
      <c r="H1724" s="9"/>
      <c r="I1724" s="9" t="s">
        <v>5466</v>
      </c>
      <c r="J1724" s="9"/>
      <c r="K1724" s="9" t="s">
        <v>5467</v>
      </c>
      <c r="L1724" s="9" t="s">
        <v>6150</v>
      </c>
      <c r="M1724" s="9" t="str">
        <f>HYPERLINK("https://ceds.ed.gov/cedselementdetails.aspx?termid=13254")</f>
        <v>https://ceds.ed.gov/cedselementdetails.aspx?termid=13254</v>
      </c>
      <c r="N1724" s="9" t="str">
        <f>HYPERLINK("https://ceds.ed.gov/elementComment.aspx?elementName=Session Type &amp;elementID=13254", "Click here to submit comment")</f>
        <v>Click here to submit comment</v>
      </c>
    </row>
    <row r="1725" spans="1:14" ht="409.5" x14ac:dyDescent="0.25">
      <c r="A1725" s="9" t="s">
        <v>5468</v>
      </c>
      <c r="B1725" s="9" t="s">
        <v>5469</v>
      </c>
      <c r="C1725" s="10" t="s">
        <v>6694</v>
      </c>
      <c r="D1725" s="9" t="s">
        <v>10526</v>
      </c>
      <c r="E1725" s="9"/>
      <c r="F1725" s="9"/>
      <c r="G1725" s="9"/>
      <c r="H1725" s="9" t="s">
        <v>5470</v>
      </c>
      <c r="I1725" s="9" t="s">
        <v>5471</v>
      </c>
      <c r="J1725" s="9"/>
      <c r="K1725" s="9" t="s">
        <v>5468</v>
      </c>
      <c r="L1725" s="9" t="s">
        <v>6277</v>
      </c>
      <c r="M1725" s="9" t="str">
        <f>HYPERLINK("https://ceds.ed.gov/cedselementdetails.aspx?termid=13255")</f>
        <v>https://ceds.ed.gov/cedselementdetails.aspx?termid=13255</v>
      </c>
      <c r="N1725" s="9" t="str">
        <f>HYPERLINK("https://ceds.ed.gov/elementComment.aspx?elementName=Sex &amp;elementID=13255", "Click here to submit comment")</f>
        <v>Click here to submit comment</v>
      </c>
    </row>
    <row r="1726" spans="1:14" ht="90" x14ac:dyDescent="0.25">
      <c r="A1726" s="9" t="s">
        <v>5472</v>
      </c>
      <c r="B1726" s="9" t="s">
        <v>5473</v>
      </c>
      <c r="C1726" s="9" t="s">
        <v>6106</v>
      </c>
      <c r="D1726" s="9" t="s">
        <v>202</v>
      </c>
      <c r="E1726" s="9"/>
      <c r="F1726" s="9"/>
      <c r="G1726" s="9"/>
      <c r="H1726" s="9"/>
      <c r="I1726" s="9" t="s">
        <v>5474</v>
      </c>
      <c r="J1726" s="9"/>
      <c r="K1726" s="9" t="s">
        <v>5475</v>
      </c>
      <c r="L1726" s="9" t="s">
        <v>199</v>
      </c>
      <c r="M1726" s="9" t="str">
        <f>HYPERLINK("https://ceds.ed.gov/cedselementdetails.aspx?termid=13257")</f>
        <v>https://ceds.ed.gov/cedselementdetails.aspx?termid=13257</v>
      </c>
      <c r="N1726" s="9" t="str">
        <f>HYPERLINK("https://ceds.ed.gov/elementComment.aspx?elementName=Shared Time Indicator &amp;elementID=13257", "Click here to submit comment")</f>
        <v>Click here to submit comment</v>
      </c>
    </row>
    <row r="1727" spans="1:14" ht="225" x14ac:dyDescent="0.25">
      <c r="A1727" s="9" t="s">
        <v>5476</v>
      </c>
      <c r="B1727" s="9" t="s">
        <v>5477</v>
      </c>
      <c r="C1727" s="9" t="s">
        <v>12</v>
      </c>
      <c r="D1727" s="9" t="s">
        <v>11726</v>
      </c>
      <c r="E1727" s="9"/>
      <c r="F1727" s="9" t="s">
        <v>87</v>
      </c>
      <c r="G1727" s="9"/>
      <c r="H1727" s="9" t="s">
        <v>5478</v>
      </c>
      <c r="I1727" s="9" t="s">
        <v>5479</v>
      </c>
      <c r="J1727" s="9"/>
      <c r="K1727" s="9" t="s">
        <v>5480</v>
      </c>
      <c r="L1727" s="9"/>
      <c r="M1727" s="9" t="str">
        <f>HYPERLINK("https://ceds.ed.gov/cedselementdetails.aspx?termid=14459")</f>
        <v>https://ceds.ed.gov/cedselementdetails.aspx?termid=14459</v>
      </c>
      <c r="N1727" s="9" t="str">
        <f>HYPERLINK("https://ceds.ed.gov/elementComment.aspx?elementName=Short Name of Institution &amp;elementID=14459", "Click here to submit comment")</f>
        <v>Click here to submit comment</v>
      </c>
    </row>
    <row r="1728" spans="1:14" ht="60" x14ac:dyDescent="0.25">
      <c r="A1728" s="9" t="s">
        <v>5481</v>
      </c>
      <c r="B1728" s="9" t="s">
        <v>5482</v>
      </c>
      <c r="C1728" s="9" t="s">
        <v>6106</v>
      </c>
      <c r="D1728" s="9" t="s">
        <v>6189</v>
      </c>
      <c r="E1728" s="9"/>
      <c r="F1728" s="9"/>
      <c r="G1728" s="9"/>
      <c r="H1728" s="9"/>
      <c r="I1728" s="9" t="s">
        <v>5483</v>
      </c>
      <c r="J1728" s="9"/>
      <c r="K1728" s="9" t="s">
        <v>5484</v>
      </c>
      <c r="L1728" s="9"/>
      <c r="M1728" s="9" t="str">
        <f>HYPERLINK("https://ceds.ed.gov/cedselementdetails.aspx?termid=13505")</f>
        <v>https://ceds.ed.gov/cedselementdetails.aspx?termid=13505</v>
      </c>
      <c r="N1728" s="9" t="str">
        <f>HYPERLINK("https://ceds.ed.gov/elementComment.aspx?elementName=Shortened Expulsion &amp;elementID=13505", "Click here to submit comment")</f>
        <v>Click here to submit comment</v>
      </c>
    </row>
    <row r="1729" spans="1:14" ht="60" x14ac:dyDescent="0.25">
      <c r="A1729" s="9" t="s">
        <v>11727</v>
      </c>
      <c r="B1729" s="9" t="s">
        <v>11728</v>
      </c>
      <c r="C1729" s="9" t="s">
        <v>6106</v>
      </c>
      <c r="D1729" s="9" t="s">
        <v>11729</v>
      </c>
      <c r="E1729" s="9" t="s">
        <v>1457</v>
      </c>
      <c r="F1729" s="9"/>
      <c r="G1729" s="9"/>
      <c r="H1729" s="9"/>
      <c r="I1729" s="9" t="s">
        <v>11730</v>
      </c>
      <c r="J1729" s="9"/>
      <c r="K1729" s="9" t="s">
        <v>11731</v>
      </c>
      <c r="L1729" s="9"/>
      <c r="M1729" s="9" t="str">
        <f>HYPERLINK("https://ceds.ed.gov/cedselementdetails.aspx?termid=14746")</f>
        <v>https://ceds.ed.gov/cedselementdetails.aspx?termid=14746</v>
      </c>
      <c r="N1729" s="9" t="str">
        <f>HYPERLINK("https://ceds.ed.gov/elementComment.aspx?elementName=Significant Cognitive Disability Indicator &amp;elementID=14746", "Click here to submit comment")</f>
        <v>Click here to submit comment</v>
      </c>
    </row>
    <row r="1730" spans="1:14" ht="135" x14ac:dyDescent="0.25">
      <c r="A1730" s="9" t="s">
        <v>12220</v>
      </c>
      <c r="B1730" s="9" t="s">
        <v>5485</v>
      </c>
      <c r="C1730" s="9" t="s">
        <v>6106</v>
      </c>
      <c r="D1730" s="9" t="s">
        <v>6278</v>
      </c>
      <c r="E1730" s="9"/>
      <c r="F1730" s="9"/>
      <c r="G1730" s="9"/>
      <c r="H1730" s="9"/>
      <c r="I1730" s="9" t="s">
        <v>5486</v>
      </c>
      <c r="J1730" s="9"/>
      <c r="K1730" s="9" t="s">
        <v>5487</v>
      </c>
      <c r="L1730" s="9" t="s">
        <v>6169</v>
      </c>
      <c r="M1730" s="9" t="str">
        <f>HYPERLINK("https://ceds.ed.gov/cedselementdetails.aspx?termid=13573")</f>
        <v>https://ceds.ed.gov/cedselementdetails.aspx?termid=13573</v>
      </c>
      <c r="N1730" s="9" t="str">
        <f>HYPERLINK("https://ceds.ed.gov/elementComment.aspx?elementName=Single Parent or Single Pregnant Woman Status &amp;elementID=13573", "Click here to submit comment")</f>
        <v>Click here to submit comment</v>
      </c>
    </row>
    <row r="1731" spans="1:14" ht="45" x14ac:dyDescent="0.25">
      <c r="A1731" s="9" t="s">
        <v>5488</v>
      </c>
      <c r="B1731" s="9" t="s">
        <v>5489</v>
      </c>
      <c r="C1731" s="9" t="s">
        <v>12</v>
      </c>
      <c r="D1731" s="9" t="s">
        <v>5490</v>
      </c>
      <c r="E1731" s="9"/>
      <c r="F1731" s="9" t="s">
        <v>92</v>
      </c>
      <c r="G1731" s="9"/>
      <c r="H1731" s="9"/>
      <c r="I1731" s="9" t="s">
        <v>5491</v>
      </c>
      <c r="J1731" s="9"/>
      <c r="K1731" s="9" t="s">
        <v>5492</v>
      </c>
      <c r="L1731" s="9" t="s">
        <v>6172</v>
      </c>
      <c r="M1731" s="9" t="str">
        <f>HYPERLINK("https://ceds.ed.gov/cedselementdetails.aspx?termid=13625")</f>
        <v>https://ceds.ed.gov/cedselementdetails.aspx?termid=13625</v>
      </c>
      <c r="N1731" s="9" t="str">
        <f>HYPERLINK("https://ceds.ed.gov/elementComment.aspx?elementName=Site Name &amp;elementID=13625", "Click here to submit comment")</f>
        <v>Click here to submit comment</v>
      </c>
    </row>
    <row r="1732" spans="1:14" ht="45" x14ac:dyDescent="0.25">
      <c r="A1732" s="9" t="s">
        <v>5493</v>
      </c>
      <c r="B1732" s="9" t="s">
        <v>5494</v>
      </c>
      <c r="C1732" s="9" t="s">
        <v>12</v>
      </c>
      <c r="D1732" s="9" t="s">
        <v>2411</v>
      </c>
      <c r="E1732" s="9"/>
      <c r="F1732" s="9" t="s">
        <v>68</v>
      </c>
      <c r="G1732" s="9"/>
      <c r="H1732" s="9"/>
      <c r="I1732" s="9" t="s">
        <v>5495</v>
      </c>
      <c r="J1732" s="9"/>
      <c r="K1732" s="9" t="s">
        <v>5496</v>
      </c>
      <c r="L1732" s="9"/>
      <c r="M1732" s="9" t="str">
        <f>HYPERLINK("https://ceds.ed.gov/cedselementdetails.aspx?termid=14608")</f>
        <v>https://ceds.ed.gov/cedselementdetails.aspx?termid=14608</v>
      </c>
      <c r="N1732" s="9" t="str">
        <f>HYPERLINK("https://ceds.ed.gov/elementComment.aspx?elementName=Site Preference Rank &amp;elementID=14608", "Click here to submit comment")</f>
        <v>Click here to submit comment</v>
      </c>
    </row>
    <row r="1733" spans="1:14" ht="120" x14ac:dyDescent="0.25">
      <c r="A1733" s="9" t="s">
        <v>5497</v>
      </c>
      <c r="B1733" s="9" t="s">
        <v>5498</v>
      </c>
      <c r="C1733" s="9" t="s">
        <v>12</v>
      </c>
      <c r="D1733" s="9" t="s">
        <v>6221</v>
      </c>
      <c r="E1733" s="9"/>
      <c r="F1733" s="9" t="s">
        <v>10489</v>
      </c>
      <c r="G1733" s="9"/>
      <c r="H1733" s="9"/>
      <c r="I1733" s="9" t="s">
        <v>5499</v>
      </c>
      <c r="J1733" s="9"/>
      <c r="K1733" s="9" t="s">
        <v>5500</v>
      </c>
      <c r="L1733" s="9" t="s">
        <v>6222</v>
      </c>
      <c r="M1733" s="9" t="str">
        <f>HYPERLINK("https://ceds.ed.gov/cedselementdetails.aspx?termid=13294")</f>
        <v>https://ceds.ed.gov/cedselementdetails.aspx?termid=13294</v>
      </c>
      <c r="N1733" s="9" t="str">
        <f>HYPERLINK("https://ceds.ed.gov/elementComment.aspx?elementName=Size of High School Graduating Class &amp;elementID=13294", "Click here to submit comment")</f>
        <v>Click here to submit comment</v>
      </c>
    </row>
    <row r="1734" spans="1:14" ht="225" x14ac:dyDescent="0.25">
      <c r="A1734" s="18" t="s">
        <v>5501</v>
      </c>
      <c r="B1734" s="18" t="s">
        <v>5502</v>
      </c>
      <c r="C1734" s="18" t="s">
        <v>12</v>
      </c>
      <c r="D1734" s="18"/>
      <c r="E1734" s="18" t="s">
        <v>5167</v>
      </c>
      <c r="F1734" s="18" t="s">
        <v>11732</v>
      </c>
      <c r="G1734" s="18" t="s">
        <v>11733</v>
      </c>
      <c r="H1734" s="9" t="s">
        <v>5503</v>
      </c>
      <c r="I1734" s="18" t="s">
        <v>5505</v>
      </c>
      <c r="J1734" s="18" t="s">
        <v>5506</v>
      </c>
      <c r="K1734" s="18" t="s">
        <v>5507</v>
      </c>
      <c r="L1734" s="18" t="s">
        <v>6279</v>
      </c>
      <c r="M1734" s="18" t="str">
        <f>HYPERLINK("https://ceds.ed.gov/cedselementdetails.aspx?termid=13259")</f>
        <v>https://ceds.ed.gov/cedselementdetails.aspx?termid=13259</v>
      </c>
      <c r="N1734" s="18" t="str">
        <f>HYPERLINK("https://ceds.ed.gov/elementComment.aspx?elementName=Social Security Number &amp;elementID=13259", "Click here to submit comment")</f>
        <v>Click here to submit comment</v>
      </c>
    </row>
    <row r="1735" spans="1:14" x14ac:dyDescent="0.25">
      <c r="A1735" s="18"/>
      <c r="B1735" s="18"/>
      <c r="C1735" s="18"/>
      <c r="D1735" s="18"/>
      <c r="E1735" s="18"/>
      <c r="F1735" s="18"/>
      <c r="G1735" s="18"/>
      <c r="H1735" s="9"/>
      <c r="I1735" s="18"/>
      <c r="J1735" s="18"/>
      <c r="K1735" s="18"/>
      <c r="L1735" s="18"/>
      <c r="M1735" s="18"/>
      <c r="N1735" s="18"/>
    </row>
    <row r="1736" spans="1:14" ht="180" x14ac:dyDescent="0.25">
      <c r="A1736" s="18"/>
      <c r="B1736" s="18"/>
      <c r="C1736" s="18"/>
      <c r="D1736" s="18"/>
      <c r="E1736" s="18"/>
      <c r="F1736" s="18"/>
      <c r="G1736" s="18"/>
      <c r="H1736" s="9" t="s">
        <v>5504</v>
      </c>
      <c r="I1736" s="18"/>
      <c r="J1736" s="18"/>
      <c r="K1736" s="18"/>
      <c r="L1736" s="18"/>
      <c r="M1736" s="18"/>
      <c r="N1736" s="18"/>
    </row>
    <row r="1737" spans="1:14" ht="60" x14ac:dyDescent="0.25">
      <c r="A1737" s="9" t="s">
        <v>5508</v>
      </c>
      <c r="B1737" s="9" t="s">
        <v>5509</v>
      </c>
      <c r="C1737" s="9" t="s">
        <v>6106</v>
      </c>
      <c r="D1737" s="9" t="s">
        <v>2340</v>
      </c>
      <c r="E1737" s="9"/>
      <c r="F1737" s="9"/>
      <c r="G1737" s="9"/>
      <c r="H1737" s="9"/>
      <c r="I1737" s="9" t="s">
        <v>5510</v>
      </c>
      <c r="J1737" s="9"/>
      <c r="K1737" s="9" t="s">
        <v>5511</v>
      </c>
      <c r="L1737" s="9" t="s">
        <v>227</v>
      </c>
      <c r="M1737" s="9" t="str">
        <f>HYPERLINK("https://ceds.ed.gov/cedselementdetails.aspx?termid=13744")</f>
        <v>https://ceds.ed.gov/cedselementdetails.aspx?termid=13744</v>
      </c>
      <c r="N1737" s="9" t="str">
        <f>HYPERLINK("https://ceds.ed.gov/elementComment.aspx?elementName=Sorority Participation Status &amp;elementID=13744", "Click here to submit comment")</f>
        <v>Click here to submit comment</v>
      </c>
    </row>
    <row r="1738" spans="1:14" ht="180" x14ac:dyDescent="0.25">
      <c r="A1738" s="9" t="s">
        <v>5512</v>
      </c>
      <c r="B1738" s="9" t="s">
        <v>5513</v>
      </c>
      <c r="C1738" s="10" t="s">
        <v>6695</v>
      </c>
      <c r="D1738" s="9" t="s">
        <v>2772</v>
      </c>
      <c r="E1738" s="9"/>
      <c r="F1738" s="9"/>
      <c r="G1738" s="9"/>
      <c r="H1738" s="9"/>
      <c r="I1738" s="9" t="s">
        <v>5514</v>
      </c>
      <c r="J1738" s="9"/>
      <c r="K1738" s="9" t="s">
        <v>5515</v>
      </c>
      <c r="L1738" s="9" t="s">
        <v>6124</v>
      </c>
      <c r="M1738" s="9" t="str">
        <f>HYPERLINK("https://ceds.ed.gov/cedselementdetails.aspx?termid=13332")</f>
        <v>https://ceds.ed.gov/cedselementdetails.aspx?termid=13332</v>
      </c>
      <c r="N1738" s="9" t="str">
        <f>HYPERLINK("https://ceds.ed.gov/elementComment.aspx?elementName=Source of Family Income &amp;elementID=13332", "Click here to submit comment")</f>
        <v>Click here to submit comment</v>
      </c>
    </row>
    <row r="1739" spans="1:14" ht="135" x14ac:dyDescent="0.25">
      <c r="A1739" s="9" t="s">
        <v>5516</v>
      </c>
      <c r="B1739" s="9" t="s">
        <v>5517</v>
      </c>
      <c r="C1739" s="10" t="s">
        <v>6696</v>
      </c>
      <c r="D1739" s="9" t="s">
        <v>2572</v>
      </c>
      <c r="E1739" s="9"/>
      <c r="F1739" s="9"/>
      <c r="G1739" s="9"/>
      <c r="H1739" s="9"/>
      <c r="I1739" s="9" t="s">
        <v>5518</v>
      </c>
      <c r="J1739" s="9"/>
      <c r="K1739" s="9" t="s">
        <v>5519</v>
      </c>
      <c r="L1739" s="9" t="s">
        <v>64</v>
      </c>
      <c r="M1739" s="9" t="str">
        <f>HYPERLINK("https://ceds.ed.gov/cedselementdetails.aspx?termid=13852")</f>
        <v>https://ceds.ed.gov/cedselementdetails.aspx?termid=13852</v>
      </c>
      <c r="N1739" s="9" t="str">
        <f>HYPERLINK("https://ceds.ed.gov/elementComment.aspx?elementName=Special Circumstances Population Served &amp;elementID=13852", "Click here to submit comment")</f>
        <v>Click here to submit comment</v>
      </c>
    </row>
    <row r="1740" spans="1:14" ht="45" x14ac:dyDescent="0.25">
      <c r="A1740" s="9" t="s">
        <v>5520</v>
      </c>
      <c r="B1740" s="9" t="s">
        <v>5521</v>
      </c>
      <c r="C1740" s="10" t="s">
        <v>6697</v>
      </c>
      <c r="D1740" s="9" t="s">
        <v>3564</v>
      </c>
      <c r="E1740" s="9"/>
      <c r="F1740" s="9"/>
      <c r="G1740" s="9"/>
      <c r="H1740" s="9"/>
      <c r="I1740" s="9" t="s">
        <v>5522</v>
      </c>
      <c r="J1740" s="9"/>
      <c r="K1740" s="9" t="s">
        <v>5523</v>
      </c>
      <c r="L1740" s="9" t="s">
        <v>199</v>
      </c>
      <c r="M1740" s="9" t="str">
        <f>HYPERLINK("https://ceds.ed.gov/cedselementdetails.aspx?termid=13556")</f>
        <v>https://ceds.ed.gov/cedselementdetails.aspx?termid=13556</v>
      </c>
      <c r="N1740" s="9" t="str">
        <f>HYPERLINK("https://ceds.ed.gov/elementComment.aspx?elementName=Special Education Age Group Taught &amp;elementID=13556", "Click here to submit comment")</f>
        <v>Click here to submit comment</v>
      </c>
    </row>
    <row r="1741" spans="1:14" ht="409.5" x14ac:dyDescent="0.25">
      <c r="A1741" s="9" t="s">
        <v>5524</v>
      </c>
      <c r="B1741" s="9" t="s">
        <v>5525</v>
      </c>
      <c r="C1741" s="10" t="s">
        <v>6698</v>
      </c>
      <c r="D1741" s="9" t="s">
        <v>6280</v>
      </c>
      <c r="E1741" s="9"/>
      <c r="F1741" s="9"/>
      <c r="G1741" s="9"/>
      <c r="H1741" s="9"/>
      <c r="I1741" s="9" t="s">
        <v>5526</v>
      </c>
      <c r="J1741" s="9"/>
      <c r="K1741" s="9" t="s">
        <v>5527</v>
      </c>
      <c r="L1741" s="9" t="s">
        <v>199</v>
      </c>
      <c r="M1741" s="9" t="str">
        <f>HYPERLINK("https://ceds.ed.gov/cedselementdetails.aspx?termid=13260")</f>
        <v>https://ceds.ed.gov/cedselementdetails.aspx?termid=13260</v>
      </c>
      <c r="N1741" s="9" t="str">
        <f>HYPERLINK("https://ceds.ed.gov/elementComment.aspx?elementName=Special Education Exit Reason &amp;elementID=13260", "Click here to submit comment")</f>
        <v>Click here to submit comment</v>
      </c>
    </row>
    <row r="1742" spans="1:14" ht="90" x14ac:dyDescent="0.25">
      <c r="A1742" s="9" t="s">
        <v>5528</v>
      </c>
      <c r="B1742" s="9" t="s">
        <v>5529</v>
      </c>
      <c r="C1742" s="9" t="s">
        <v>12</v>
      </c>
      <c r="D1742" s="9" t="s">
        <v>6280</v>
      </c>
      <c r="E1742" s="9"/>
      <c r="F1742" s="9" t="s">
        <v>11380</v>
      </c>
      <c r="G1742" s="9"/>
      <c r="H1742" s="9"/>
      <c r="I1742" s="9" t="s">
        <v>5530</v>
      </c>
      <c r="J1742" s="9" t="s">
        <v>5531</v>
      </c>
      <c r="K1742" s="9" t="s">
        <v>5532</v>
      </c>
      <c r="L1742" s="9"/>
      <c r="M1742" s="9" t="str">
        <f>HYPERLINK("https://ceds.ed.gov/cedselementdetails.aspx?termid=14208")</f>
        <v>https://ceds.ed.gov/cedselementdetails.aspx?termid=14208</v>
      </c>
      <c r="N1742" s="9" t="str">
        <f>HYPERLINK("https://ceds.ed.gov/elementComment.aspx?elementName=Special Education Full Time Equivalency &amp;elementID=14208", "Click here to submit comment")</f>
        <v>Click here to submit comment</v>
      </c>
    </row>
    <row r="1743" spans="1:14" ht="60" x14ac:dyDescent="0.25">
      <c r="A1743" s="9" t="s">
        <v>5533</v>
      </c>
      <c r="B1743" s="9" t="s">
        <v>5534</v>
      </c>
      <c r="C1743" s="9" t="s">
        <v>6106</v>
      </c>
      <c r="D1743" s="9" t="s">
        <v>3564</v>
      </c>
      <c r="E1743" s="9"/>
      <c r="F1743" s="9"/>
      <c r="G1743" s="9"/>
      <c r="H1743" s="9"/>
      <c r="I1743" s="9" t="s">
        <v>5535</v>
      </c>
      <c r="J1743" s="9"/>
      <c r="K1743" s="9" t="s">
        <v>5536</v>
      </c>
      <c r="L1743" s="9" t="s">
        <v>199</v>
      </c>
      <c r="M1743" s="9" t="str">
        <f>HYPERLINK("https://ceds.ed.gov/cedselementdetails.aspx?termid=13261")</f>
        <v>https://ceds.ed.gov/cedselementdetails.aspx?termid=13261</v>
      </c>
      <c r="N1743" s="9" t="str">
        <f>HYPERLINK("https://ceds.ed.gov/elementComment.aspx?elementName=Special Education Paraprofessional &amp;elementID=13261", "Click here to submit comment")</f>
        <v>Click here to submit comment</v>
      </c>
    </row>
    <row r="1744" spans="1:14" ht="60" x14ac:dyDescent="0.25">
      <c r="A1744" s="9" t="s">
        <v>5537</v>
      </c>
      <c r="B1744" s="9" t="s">
        <v>5538</v>
      </c>
      <c r="C1744" s="9" t="s">
        <v>6106</v>
      </c>
      <c r="D1744" s="9" t="s">
        <v>3564</v>
      </c>
      <c r="E1744" s="9"/>
      <c r="F1744" s="9"/>
      <c r="G1744" s="9"/>
      <c r="H1744" s="9"/>
      <c r="I1744" s="9" t="s">
        <v>5539</v>
      </c>
      <c r="J1744" s="9"/>
      <c r="K1744" s="9" t="s">
        <v>5540</v>
      </c>
      <c r="L1744" s="9" t="s">
        <v>199</v>
      </c>
      <c r="M1744" s="9" t="str">
        <f>HYPERLINK("https://ceds.ed.gov/cedselementdetails.aspx?termid=13262")</f>
        <v>https://ceds.ed.gov/cedselementdetails.aspx?termid=13262</v>
      </c>
      <c r="N1744" s="9" t="str">
        <f>HYPERLINK("https://ceds.ed.gov/elementComment.aspx?elementName=Special Education Related Services Personnel &amp;elementID=13262", "Click here to submit comment")</f>
        <v>Click here to submit comment</v>
      </c>
    </row>
    <row r="1745" spans="1:14" ht="45" x14ac:dyDescent="0.25">
      <c r="A1745" s="9" t="s">
        <v>5541</v>
      </c>
      <c r="B1745" s="9" t="s">
        <v>5542</v>
      </c>
      <c r="C1745" s="9" t="s">
        <v>12</v>
      </c>
      <c r="D1745" s="9" t="s">
        <v>5543</v>
      </c>
      <c r="E1745" s="9"/>
      <c r="F1745" s="9" t="s">
        <v>73</v>
      </c>
      <c r="G1745" s="9"/>
      <c r="H1745" s="9"/>
      <c r="I1745" s="9" t="s">
        <v>5544</v>
      </c>
      <c r="J1745" s="9"/>
      <c r="K1745" s="9" t="s">
        <v>5545</v>
      </c>
      <c r="L1745" s="9" t="s">
        <v>199</v>
      </c>
      <c r="M1745" s="9" t="str">
        <f>HYPERLINK("https://ceds.ed.gov/cedselementdetails.aspx?termid=13263")</f>
        <v>https://ceds.ed.gov/cedselementdetails.aspx?termid=13263</v>
      </c>
      <c r="N1745" s="9" t="str">
        <f>HYPERLINK("https://ceds.ed.gov/elementComment.aspx?elementName=Special Education Services Exit Date &amp;elementID=13263", "Click here to submit comment")</f>
        <v>Click here to submit comment</v>
      </c>
    </row>
    <row r="1746" spans="1:14" ht="270" x14ac:dyDescent="0.25">
      <c r="A1746" s="9" t="s">
        <v>11734</v>
      </c>
      <c r="B1746" s="9" t="s">
        <v>11735</v>
      </c>
      <c r="C1746" s="10" t="s">
        <v>6699</v>
      </c>
      <c r="D1746" s="9" t="s">
        <v>11736</v>
      </c>
      <c r="E1746" s="9"/>
      <c r="F1746" s="9"/>
      <c r="G1746" s="9"/>
      <c r="H1746" s="9"/>
      <c r="I1746" s="9" t="s">
        <v>5546</v>
      </c>
      <c r="J1746" s="9"/>
      <c r="K1746" s="9" t="s">
        <v>11737</v>
      </c>
      <c r="L1746" s="9" t="s">
        <v>199</v>
      </c>
      <c r="M1746" s="9" t="str">
        <f>HYPERLINK("https://ceds.ed.gov/cedselementdetails.aspx?termid=13549")</f>
        <v>https://ceds.ed.gov/cedselementdetails.aspx?termid=13549</v>
      </c>
      <c r="N1746" s="9" t="str">
        <f>HYPERLINK("https://ceds.ed.gov/elementComment.aspx?elementName=Special Education Support Services Category &amp;elementID=13549", "Click here to submit comment")</f>
        <v>Click here to submit comment</v>
      </c>
    </row>
    <row r="1747" spans="1:14" ht="60" x14ac:dyDescent="0.25">
      <c r="A1747" s="9" t="s">
        <v>5547</v>
      </c>
      <c r="B1747" s="9" t="s">
        <v>5548</v>
      </c>
      <c r="C1747" s="9" t="s">
        <v>6106</v>
      </c>
      <c r="D1747" s="9" t="s">
        <v>3564</v>
      </c>
      <c r="E1747" s="9"/>
      <c r="F1747" s="9"/>
      <c r="G1747" s="9"/>
      <c r="H1747" s="9"/>
      <c r="I1747" s="9" t="s">
        <v>5549</v>
      </c>
      <c r="J1747" s="9"/>
      <c r="K1747" s="9" t="s">
        <v>5550</v>
      </c>
      <c r="L1747" s="9" t="s">
        <v>199</v>
      </c>
      <c r="M1747" s="9" t="str">
        <f>HYPERLINK("https://ceds.ed.gov/cedselementdetails.aspx?termid=13264")</f>
        <v>https://ceds.ed.gov/cedselementdetails.aspx?termid=13264</v>
      </c>
      <c r="N1747" s="9" t="str">
        <f>HYPERLINK("https://ceds.ed.gov/elementComment.aspx?elementName=Special Education Teacher &amp;elementID=13264", "Click here to submit comment")</f>
        <v>Click here to submit comment</v>
      </c>
    </row>
    <row r="1748" spans="1:14" ht="75" x14ac:dyDescent="0.25">
      <c r="A1748" s="9" t="s">
        <v>5551</v>
      </c>
      <c r="B1748" s="9" t="s">
        <v>5552</v>
      </c>
      <c r="C1748" s="9" t="s">
        <v>6106</v>
      </c>
      <c r="D1748" s="9" t="s">
        <v>5553</v>
      </c>
      <c r="E1748" s="9"/>
      <c r="F1748" s="9"/>
      <c r="G1748" s="9"/>
      <c r="H1748" s="9"/>
      <c r="I1748" s="9" t="s">
        <v>5554</v>
      </c>
      <c r="J1748" s="9"/>
      <c r="K1748" s="9" t="s">
        <v>5555</v>
      </c>
      <c r="L1748" s="9" t="s">
        <v>64</v>
      </c>
      <c r="M1748" s="9" t="str">
        <f>HYPERLINK("https://ceds.ed.gov/cedselementdetails.aspx?termid=14004")</f>
        <v>https://ceds.ed.gov/cedselementdetails.aspx?termid=14004</v>
      </c>
      <c r="N1748" s="9" t="str">
        <f>HYPERLINK("https://ceds.ed.gov/elementComment.aspx?elementName=Special Needs Policy &amp;elementID=14004", "Click here to submit comment")</f>
        <v>Click here to submit comment</v>
      </c>
    </row>
    <row r="1749" spans="1:14" ht="90" x14ac:dyDescent="0.25">
      <c r="A1749" s="9" t="s">
        <v>5556</v>
      </c>
      <c r="B1749" s="9" t="s">
        <v>5557</v>
      </c>
      <c r="C1749" s="9" t="s">
        <v>12</v>
      </c>
      <c r="D1749" s="9" t="s">
        <v>6261</v>
      </c>
      <c r="E1749" s="9"/>
      <c r="F1749" s="9" t="s">
        <v>92</v>
      </c>
      <c r="G1749" s="9"/>
      <c r="H1749" s="9"/>
      <c r="I1749" s="9" t="s">
        <v>5558</v>
      </c>
      <c r="J1749" s="9"/>
      <c r="K1749" s="9" t="s">
        <v>5559</v>
      </c>
      <c r="L1749" s="9"/>
      <c r="M1749" s="9" t="str">
        <f>HYPERLINK("https://ceds.ed.gov/cedselementdetails.aspx?termid=14461")</f>
        <v>https://ceds.ed.gov/cedselementdetails.aspx?termid=14461</v>
      </c>
      <c r="N1749" s="9" t="str">
        <f>HYPERLINK("https://ceds.ed.gov/elementComment.aspx?elementName=Sponsoring Agency Name &amp;elementID=14461", "Click here to submit comment")</f>
        <v>Click here to submit comment</v>
      </c>
    </row>
    <row r="1750" spans="1:14" ht="45" x14ac:dyDescent="0.25">
      <c r="A1750" s="9" t="s">
        <v>5560</v>
      </c>
      <c r="B1750" s="9" t="s">
        <v>5561</v>
      </c>
      <c r="C1750" s="9" t="s">
        <v>6106</v>
      </c>
      <c r="D1750" s="9" t="s">
        <v>2436</v>
      </c>
      <c r="E1750" s="9"/>
      <c r="F1750" s="9"/>
      <c r="G1750" s="9"/>
      <c r="H1750" s="9"/>
      <c r="I1750" s="9" t="s">
        <v>5562</v>
      </c>
      <c r="J1750" s="9"/>
      <c r="K1750" s="9" t="s">
        <v>5563</v>
      </c>
      <c r="L1750" s="9"/>
      <c r="M1750" s="9" t="str">
        <f>HYPERLINK("https://ceds.ed.gov/cedselementdetails.aspx?termid=14560")</f>
        <v>https://ceds.ed.gov/cedselementdetails.aspx?termid=14560</v>
      </c>
      <c r="N1750" s="9" t="str">
        <f>HYPERLINK("https://ceds.ed.gov/elementComment.aspx?elementName=Staff Approval Indicator &amp;elementID=14560", "Click here to submit comment")</f>
        <v>Click here to submit comment</v>
      </c>
    </row>
    <row r="1751" spans="1:14" ht="225" customHeight="1" x14ac:dyDescent="0.25">
      <c r="A1751" s="9" t="s">
        <v>5564</v>
      </c>
      <c r="B1751" s="9" t="s">
        <v>5565</v>
      </c>
      <c r="C1751" s="9" t="s">
        <v>12</v>
      </c>
      <c r="D1751" s="9" t="s">
        <v>6198</v>
      </c>
      <c r="E1751" s="9"/>
      <c r="F1751" s="9" t="s">
        <v>1513</v>
      </c>
      <c r="G1751" s="9"/>
      <c r="H1751" s="9" t="s">
        <v>12221</v>
      </c>
      <c r="I1751" s="9" t="s">
        <v>5566</v>
      </c>
      <c r="J1751" s="9"/>
      <c r="K1751" s="9" t="s">
        <v>5567</v>
      </c>
      <c r="L1751" s="9" t="s">
        <v>1858</v>
      </c>
      <c r="M1751" s="9" t="str">
        <f>HYPERLINK("https://ceds.ed.gov/cedselementdetails.aspx?termid=13032")</f>
        <v>https://ceds.ed.gov/cedselementdetails.aspx?termid=13032</v>
      </c>
      <c r="N1751" s="9" t="str">
        <f>HYPERLINK("https://ceds.ed.gov/elementComment.aspx?elementName=Staff Compensation Base Salary &amp;elementID=13032", "Click here to submit comment")</f>
        <v>Click here to submit comment</v>
      </c>
    </row>
    <row r="1752" spans="1:14" ht="15" customHeight="1" x14ac:dyDescent="0.25">
      <c r="A1752" s="9" t="s">
        <v>5568</v>
      </c>
      <c r="B1752" s="9" t="s">
        <v>5569</v>
      </c>
      <c r="C1752" s="9" t="s">
        <v>12</v>
      </c>
      <c r="D1752" s="9" t="s">
        <v>6198</v>
      </c>
      <c r="E1752" s="9"/>
      <c r="F1752" s="9" t="s">
        <v>1513</v>
      </c>
      <c r="G1752" s="9"/>
      <c r="H1752" s="9"/>
      <c r="I1752" s="9" t="s">
        <v>5570</v>
      </c>
      <c r="J1752" s="9"/>
      <c r="K1752" s="9" t="s">
        <v>5571</v>
      </c>
      <c r="L1752" s="9" t="s">
        <v>1858</v>
      </c>
      <c r="M1752" s="9" t="str">
        <f>HYPERLINK("https://ceds.ed.gov/cedselementdetails.aspx?termid=13136")</f>
        <v>https://ceds.ed.gov/cedselementdetails.aspx?termid=13136</v>
      </c>
      <c r="N1752" s="9" t="str">
        <f>HYPERLINK("https://ceds.ed.gov/elementComment.aspx?elementName=Staff Compensation Health Benefits &amp;elementID=13136", "Click here to submit comment")</f>
        <v>Click here to submit comment</v>
      </c>
    </row>
    <row r="1753" spans="1:14" ht="15" customHeight="1" x14ac:dyDescent="0.25">
      <c r="A1753" s="9" t="s">
        <v>5572</v>
      </c>
      <c r="B1753" s="9" t="s">
        <v>5573</v>
      </c>
      <c r="C1753" s="9" t="s">
        <v>12</v>
      </c>
      <c r="D1753" s="9" t="s">
        <v>6198</v>
      </c>
      <c r="E1753" s="9"/>
      <c r="F1753" s="9" t="s">
        <v>1513</v>
      </c>
      <c r="G1753" s="9"/>
      <c r="H1753" s="9"/>
      <c r="I1753" s="9" t="s">
        <v>5574</v>
      </c>
      <c r="J1753" s="9"/>
      <c r="K1753" s="9" t="s">
        <v>5575</v>
      </c>
      <c r="L1753" s="9" t="s">
        <v>1858</v>
      </c>
      <c r="M1753" s="9" t="str">
        <f>HYPERLINK("https://ceds.ed.gov/cedselementdetails.aspx?termid=13205")</f>
        <v>https://ceds.ed.gov/cedselementdetails.aspx?termid=13205</v>
      </c>
      <c r="N1753" s="9" t="str">
        <f>HYPERLINK("https://ceds.ed.gov/elementComment.aspx?elementName=Staff Compensation Other Benefits &amp;elementID=13205", "Click here to submit comment")</f>
        <v>Click here to submit comment</v>
      </c>
    </row>
    <row r="1754" spans="1:14" ht="15" customHeight="1" x14ac:dyDescent="0.25">
      <c r="A1754" s="9" t="s">
        <v>5576</v>
      </c>
      <c r="B1754" s="9" t="s">
        <v>5577</v>
      </c>
      <c r="C1754" s="9" t="s">
        <v>12</v>
      </c>
      <c r="D1754" s="9" t="s">
        <v>6198</v>
      </c>
      <c r="E1754" s="9"/>
      <c r="F1754" s="9" t="s">
        <v>1513</v>
      </c>
      <c r="G1754" s="9"/>
      <c r="H1754" s="9"/>
      <c r="I1754" s="9" t="s">
        <v>5578</v>
      </c>
      <c r="J1754" s="9"/>
      <c r="K1754" s="9" t="s">
        <v>5579</v>
      </c>
      <c r="L1754" s="9" t="s">
        <v>1858</v>
      </c>
      <c r="M1754" s="9" t="str">
        <f>HYPERLINK("https://ceds.ed.gov/cedselementdetails.aspx?termid=13233")</f>
        <v>https://ceds.ed.gov/cedselementdetails.aspx?termid=13233</v>
      </c>
      <c r="N1754" s="9" t="str">
        <f>HYPERLINK("https://ceds.ed.gov/elementComment.aspx?elementName=Staff Compensation Retirement Benefits &amp;elementID=13233", "Click here to submit comment")</f>
        <v>Click here to submit comment</v>
      </c>
    </row>
    <row r="1755" spans="1:14" ht="15" customHeight="1" x14ac:dyDescent="0.25">
      <c r="A1755" s="9" t="s">
        <v>5580</v>
      </c>
      <c r="B1755" s="9" t="s">
        <v>5581</v>
      </c>
      <c r="C1755" s="9" t="s">
        <v>12</v>
      </c>
      <c r="D1755" s="9" t="s">
        <v>6198</v>
      </c>
      <c r="E1755" s="9"/>
      <c r="F1755" s="9" t="s">
        <v>1513</v>
      </c>
      <c r="G1755" s="9"/>
      <c r="H1755" s="9"/>
      <c r="I1755" s="9" t="s">
        <v>5582</v>
      </c>
      <c r="J1755" s="9"/>
      <c r="K1755" s="9" t="s">
        <v>5583</v>
      </c>
      <c r="L1755" s="9" t="s">
        <v>1858</v>
      </c>
      <c r="M1755" s="9" t="str">
        <f>HYPERLINK("https://ceds.ed.gov/cedselementdetails.aspx?termid=13293")</f>
        <v>https://ceds.ed.gov/cedselementdetails.aspx?termid=13293</v>
      </c>
      <c r="N1755" s="9" t="str">
        <f>HYPERLINK("https://ceds.ed.gov/elementComment.aspx?elementName=Staff Compensation Total Benefits &amp;elementID=13293", "Click here to submit comment")</f>
        <v>Click here to submit comment</v>
      </c>
    </row>
    <row r="1756" spans="1:14" ht="60" x14ac:dyDescent="0.25">
      <c r="A1756" s="9" t="s">
        <v>5584</v>
      </c>
      <c r="B1756" s="9" t="s">
        <v>5585</v>
      </c>
      <c r="C1756" s="9" t="s">
        <v>12</v>
      </c>
      <c r="D1756" s="9" t="s">
        <v>6198</v>
      </c>
      <c r="E1756" s="9"/>
      <c r="F1756" s="9" t="s">
        <v>1513</v>
      </c>
      <c r="G1756" s="9"/>
      <c r="H1756" s="9"/>
      <c r="I1756" s="9" t="s">
        <v>5586</v>
      </c>
      <c r="J1756" s="9"/>
      <c r="K1756" s="9" t="s">
        <v>5587</v>
      </c>
      <c r="L1756" s="9" t="s">
        <v>1858</v>
      </c>
      <c r="M1756" s="9" t="str">
        <f>HYPERLINK("https://ceds.ed.gov/cedselementdetails.aspx?termid=13295")</f>
        <v>https://ceds.ed.gov/cedselementdetails.aspx?termid=13295</v>
      </c>
      <c r="N1756" s="9" t="str">
        <f>HYPERLINK("https://ceds.ed.gov/elementComment.aspx?elementName=Staff Compensation Total Salary &amp;elementID=13295", "Click here to submit comment")</f>
        <v>Click here to submit comment</v>
      </c>
    </row>
    <row r="1757" spans="1:14" ht="75" x14ac:dyDescent="0.25">
      <c r="A1757" s="9" t="s">
        <v>5588</v>
      </c>
      <c r="B1757" s="9" t="s">
        <v>5589</v>
      </c>
      <c r="C1757" s="9" t="s">
        <v>12</v>
      </c>
      <c r="D1757" s="9" t="s">
        <v>11125</v>
      </c>
      <c r="E1757" s="9"/>
      <c r="F1757" s="9" t="s">
        <v>73</v>
      </c>
      <c r="G1757" s="9"/>
      <c r="H1757" s="9"/>
      <c r="I1757" s="9" t="s">
        <v>5590</v>
      </c>
      <c r="J1757" s="9"/>
      <c r="K1757" s="9" t="s">
        <v>5591</v>
      </c>
      <c r="L1757" s="9" t="s">
        <v>182</v>
      </c>
      <c r="M1757" s="9" t="str">
        <f>HYPERLINK("https://ceds.ed.gov/cedselementdetails.aspx?termid=13792")</f>
        <v>https://ceds.ed.gov/cedselementdetails.aspx?termid=13792</v>
      </c>
      <c r="N1757" s="9" t="str">
        <f>HYPERLINK("https://ceds.ed.gov/elementComment.aspx?elementName=Staff Education Entry Date &amp;elementID=13792", "Click here to submit comment")</f>
        <v>Click here to submit comment</v>
      </c>
    </row>
    <row r="1758" spans="1:14" ht="75" x14ac:dyDescent="0.25">
      <c r="A1758" s="9" t="s">
        <v>5592</v>
      </c>
      <c r="B1758" s="9" t="s">
        <v>5593</v>
      </c>
      <c r="C1758" s="9" t="s">
        <v>12</v>
      </c>
      <c r="D1758" s="9" t="s">
        <v>11125</v>
      </c>
      <c r="E1758" s="9"/>
      <c r="F1758" s="9" t="s">
        <v>73</v>
      </c>
      <c r="G1758" s="9"/>
      <c r="H1758" s="9"/>
      <c r="I1758" s="9" t="s">
        <v>5594</v>
      </c>
      <c r="J1758" s="9"/>
      <c r="K1758" s="9" t="s">
        <v>5595</v>
      </c>
      <c r="L1758" s="9" t="s">
        <v>182</v>
      </c>
      <c r="M1758" s="9" t="str">
        <f>HYPERLINK("https://ceds.ed.gov/cedselementdetails.aspx?termid=13793")</f>
        <v>https://ceds.ed.gov/cedselementdetails.aspx?termid=13793</v>
      </c>
      <c r="N1758" s="9" t="str">
        <f>HYPERLINK("https://ceds.ed.gov/elementComment.aspx?elementName=Staff Education Withdrawal Date &amp;elementID=13793", "Click here to submit comment")</f>
        <v>Click here to submit comment</v>
      </c>
    </row>
    <row r="1759" spans="1:14" ht="45" x14ac:dyDescent="0.25">
      <c r="A1759" s="9" t="s">
        <v>5596</v>
      </c>
      <c r="B1759" s="9" t="s">
        <v>5597</v>
      </c>
      <c r="C1759" s="9" t="s">
        <v>12</v>
      </c>
      <c r="D1759" s="9" t="s">
        <v>2754</v>
      </c>
      <c r="E1759" s="9"/>
      <c r="F1759" s="9" t="s">
        <v>22</v>
      </c>
      <c r="G1759" s="9"/>
      <c r="H1759" s="9"/>
      <c r="I1759" s="9" t="s">
        <v>5598</v>
      </c>
      <c r="J1759" s="9"/>
      <c r="K1759" s="9" t="s">
        <v>5599</v>
      </c>
      <c r="L1759" s="9"/>
      <c r="M1759" s="9" t="str">
        <f>HYPERLINK("https://ceds.ed.gov/cedselementdetails.aspx?termid=13102")</f>
        <v>https://ceds.ed.gov/cedselementdetails.aspx?termid=13102</v>
      </c>
      <c r="N1759" s="9" t="str">
        <f>HYPERLINK("https://ceds.ed.gov/elementComment.aspx?elementName=Staff Evaluation Outcome &amp;elementID=13102", "Click here to submit comment")</f>
        <v>Click here to submit comment</v>
      </c>
    </row>
    <row r="1760" spans="1:14" ht="60" x14ac:dyDescent="0.25">
      <c r="A1760" s="9" t="s">
        <v>5600</v>
      </c>
      <c r="B1760" s="9" t="s">
        <v>5601</v>
      </c>
      <c r="C1760" s="9" t="s">
        <v>12</v>
      </c>
      <c r="D1760" s="9" t="s">
        <v>2754</v>
      </c>
      <c r="E1760" s="9"/>
      <c r="F1760" s="9" t="s">
        <v>22</v>
      </c>
      <c r="G1760" s="9"/>
      <c r="H1760" s="9"/>
      <c r="I1760" s="9" t="s">
        <v>5602</v>
      </c>
      <c r="J1760" s="9"/>
      <c r="K1760" s="9" t="s">
        <v>5603</v>
      </c>
      <c r="L1760" s="9"/>
      <c r="M1760" s="9" t="str">
        <f>HYPERLINK("https://ceds.ed.gov/cedselementdetails.aspx?termid=13103")</f>
        <v>https://ceds.ed.gov/cedselementdetails.aspx?termid=13103</v>
      </c>
      <c r="N1760" s="9" t="str">
        <f>HYPERLINK("https://ceds.ed.gov/elementComment.aspx?elementName=Staff Evaluation Scale &amp;elementID=13103", "Click here to submit comment")</f>
        <v>Click here to submit comment</v>
      </c>
    </row>
    <row r="1761" spans="1:14" ht="45" x14ac:dyDescent="0.25">
      <c r="A1761" s="9" t="s">
        <v>5604</v>
      </c>
      <c r="B1761" s="9" t="s">
        <v>5605</v>
      </c>
      <c r="C1761" s="9" t="s">
        <v>12</v>
      </c>
      <c r="D1761" s="9" t="s">
        <v>2754</v>
      </c>
      <c r="E1761" s="9"/>
      <c r="F1761" s="9" t="s">
        <v>92</v>
      </c>
      <c r="G1761" s="9"/>
      <c r="H1761" s="9"/>
      <c r="I1761" s="9" t="s">
        <v>5606</v>
      </c>
      <c r="J1761" s="9"/>
      <c r="K1761" s="9" t="s">
        <v>5607</v>
      </c>
      <c r="L1761" s="9"/>
      <c r="M1761" s="9" t="str">
        <f>HYPERLINK("https://ceds.ed.gov/cedselementdetails.aspx?termid=13104")</f>
        <v>https://ceds.ed.gov/cedselementdetails.aspx?termid=13104</v>
      </c>
      <c r="N1761" s="9" t="str">
        <f>HYPERLINK("https://ceds.ed.gov/elementComment.aspx?elementName=Staff Evaluation Score or Rating &amp;elementID=13104", "Click here to submit comment")</f>
        <v>Click here to submit comment</v>
      </c>
    </row>
    <row r="1762" spans="1:14" ht="45" x14ac:dyDescent="0.25">
      <c r="A1762" s="9" t="s">
        <v>5608</v>
      </c>
      <c r="B1762" s="9" t="s">
        <v>5609</v>
      </c>
      <c r="C1762" s="9" t="s">
        <v>12</v>
      </c>
      <c r="D1762" s="9" t="s">
        <v>2754</v>
      </c>
      <c r="E1762" s="9"/>
      <c r="F1762" s="9" t="s">
        <v>92</v>
      </c>
      <c r="G1762" s="9"/>
      <c r="H1762" s="9"/>
      <c r="I1762" s="9" t="s">
        <v>5610</v>
      </c>
      <c r="J1762" s="9"/>
      <c r="K1762" s="9" t="s">
        <v>5611</v>
      </c>
      <c r="L1762" s="9"/>
      <c r="M1762" s="9" t="str">
        <f>HYPERLINK("https://ceds.ed.gov/cedselementdetails.aspx?termid=13105")</f>
        <v>https://ceds.ed.gov/cedselementdetails.aspx?termid=13105</v>
      </c>
      <c r="N1762" s="9" t="str">
        <f>HYPERLINK("https://ceds.ed.gov/elementComment.aspx?elementName=Staff Evaluation System &amp;elementID=13105", "Click here to submit comment")</f>
        <v>Click here to submit comment</v>
      </c>
    </row>
    <row r="1763" spans="1:14" ht="60" x14ac:dyDescent="0.25">
      <c r="A1763" s="9" t="s">
        <v>5612</v>
      </c>
      <c r="B1763" s="9" t="s">
        <v>5613</v>
      </c>
      <c r="C1763" s="9" t="s">
        <v>12</v>
      </c>
      <c r="D1763" s="9" t="s">
        <v>6281</v>
      </c>
      <c r="E1763" s="9"/>
      <c r="F1763" s="9" t="s">
        <v>11380</v>
      </c>
      <c r="G1763" s="9"/>
      <c r="H1763" s="9"/>
      <c r="I1763" s="9" t="s">
        <v>5614</v>
      </c>
      <c r="J1763" s="9" t="s">
        <v>5615</v>
      </c>
      <c r="K1763" s="9" t="s">
        <v>5616</v>
      </c>
      <c r="L1763" s="9" t="s">
        <v>6282</v>
      </c>
      <c r="M1763" s="9" t="str">
        <f>HYPERLINK("https://ceds.ed.gov/cedselementdetails.aspx?termid=13118")</f>
        <v>https://ceds.ed.gov/cedselementdetails.aspx?termid=13118</v>
      </c>
      <c r="N1763" s="9" t="str">
        <f>HYPERLINK("https://ceds.ed.gov/elementComment.aspx?elementName=Staff Full Time Equivalency &amp;elementID=13118", "Click here to submit comment")</f>
        <v>Click here to submit comment</v>
      </c>
    </row>
    <row r="1764" spans="1:14" ht="409.5" x14ac:dyDescent="0.25">
      <c r="A1764" s="9" t="s">
        <v>5617</v>
      </c>
      <c r="B1764" s="9" t="s">
        <v>5618</v>
      </c>
      <c r="C1764" s="10" t="s">
        <v>6700</v>
      </c>
      <c r="D1764" s="9" t="s">
        <v>11738</v>
      </c>
      <c r="E1764" s="9"/>
      <c r="F1764" s="9"/>
      <c r="G1764" s="9"/>
      <c r="H1764" s="9"/>
      <c r="I1764" s="9" t="s">
        <v>5619</v>
      </c>
      <c r="J1764" s="9"/>
      <c r="K1764" s="9" t="s">
        <v>5620</v>
      </c>
      <c r="L1764" s="9" t="s">
        <v>6283</v>
      </c>
      <c r="M1764" s="9" t="str">
        <f>HYPERLINK("https://ceds.ed.gov/cedselementdetails.aspx?termid=13162")</f>
        <v>https://ceds.ed.gov/cedselementdetails.aspx?termid=13162</v>
      </c>
      <c r="N1764" s="9" t="str">
        <f>HYPERLINK("https://ceds.ed.gov/elementComment.aspx?elementName=Staff Member Identification System &amp;elementID=13162", "Click here to submit comment")</f>
        <v>Click here to submit comment</v>
      </c>
    </row>
    <row r="1765" spans="1:14" ht="105" x14ac:dyDescent="0.25">
      <c r="A1765" s="18" t="s">
        <v>5621</v>
      </c>
      <c r="B1765" s="18" t="s">
        <v>5622</v>
      </c>
      <c r="C1765" s="18" t="s">
        <v>12</v>
      </c>
      <c r="D1765" s="18" t="s">
        <v>11738</v>
      </c>
      <c r="E1765" s="18"/>
      <c r="F1765" s="18" t="s">
        <v>119</v>
      </c>
      <c r="G1765" s="18"/>
      <c r="H1765" s="9" t="s">
        <v>120</v>
      </c>
      <c r="I1765" s="18" t="s">
        <v>5623</v>
      </c>
      <c r="J1765" s="18"/>
      <c r="K1765" s="18" t="s">
        <v>5624</v>
      </c>
      <c r="L1765" s="18" t="s">
        <v>6284</v>
      </c>
      <c r="M1765" s="18" t="str">
        <f>HYPERLINK("https://ceds.ed.gov/cedselementdetails.aspx?termid=13156")</f>
        <v>https://ceds.ed.gov/cedselementdetails.aspx?termid=13156</v>
      </c>
      <c r="N1765" s="18" t="str">
        <f>HYPERLINK("https://ceds.ed.gov/elementComment.aspx?elementName=Staff Member Identifier &amp;elementID=13156", "Click here to submit comment")</f>
        <v>Click here to submit comment</v>
      </c>
    </row>
    <row r="1766" spans="1:14" x14ac:dyDescent="0.25">
      <c r="A1766" s="18"/>
      <c r="B1766" s="18"/>
      <c r="C1766" s="18"/>
      <c r="D1766" s="18"/>
      <c r="E1766" s="18"/>
      <c r="F1766" s="18"/>
      <c r="G1766" s="18"/>
      <c r="H1766" s="9"/>
      <c r="I1766" s="18"/>
      <c r="J1766" s="18"/>
      <c r="K1766" s="18"/>
      <c r="L1766" s="18"/>
      <c r="M1766" s="18"/>
      <c r="N1766" s="18"/>
    </row>
    <row r="1767" spans="1:14" ht="90" x14ac:dyDescent="0.25">
      <c r="A1767" s="18"/>
      <c r="B1767" s="18"/>
      <c r="C1767" s="18"/>
      <c r="D1767" s="18"/>
      <c r="E1767" s="18"/>
      <c r="F1767" s="18"/>
      <c r="G1767" s="18"/>
      <c r="H1767" s="9" t="s">
        <v>121</v>
      </c>
      <c r="I1767" s="18"/>
      <c r="J1767" s="18"/>
      <c r="K1767" s="18"/>
      <c r="L1767" s="18"/>
      <c r="M1767" s="18"/>
      <c r="N1767" s="18"/>
    </row>
    <row r="1768" spans="1:14" ht="60" x14ac:dyDescent="0.25">
      <c r="A1768" s="9" t="s">
        <v>5625</v>
      </c>
      <c r="B1768" s="9" t="s">
        <v>5626</v>
      </c>
      <c r="C1768" s="9" t="s">
        <v>12</v>
      </c>
      <c r="D1768" s="9" t="s">
        <v>1592</v>
      </c>
      <c r="E1768" s="9"/>
      <c r="F1768" s="9" t="s">
        <v>73</v>
      </c>
      <c r="G1768" s="9"/>
      <c r="H1768" s="9"/>
      <c r="I1768" s="9" t="s">
        <v>5627</v>
      </c>
      <c r="J1768" s="9"/>
      <c r="K1768" s="9" t="s">
        <v>5628</v>
      </c>
      <c r="L1768" s="9" t="s">
        <v>182</v>
      </c>
      <c r="M1768" s="9" t="str">
        <f>HYPERLINK("https://ceds.ed.gov/cedselementdetails.aspx?termid=14068")</f>
        <v>https://ceds.ed.gov/cedselementdetails.aspx?termid=14068</v>
      </c>
      <c r="N1768" s="9" t="str">
        <f>HYPERLINK("https://ceds.ed.gov/elementComment.aspx?elementName=Staff Professional Development Activity Completion Date &amp;elementID=14068", "Click here to submit comment")</f>
        <v>Click here to submit comment</v>
      </c>
    </row>
    <row r="1769" spans="1:14" ht="60" x14ac:dyDescent="0.25">
      <c r="A1769" s="9" t="s">
        <v>5629</v>
      </c>
      <c r="B1769" s="9" t="s">
        <v>5630</v>
      </c>
      <c r="C1769" s="9" t="s">
        <v>12</v>
      </c>
      <c r="D1769" s="9" t="s">
        <v>1592</v>
      </c>
      <c r="E1769" s="9"/>
      <c r="F1769" s="9" t="s">
        <v>73</v>
      </c>
      <c r="G1769" s="9"/>
      <c r="H1769" s="9"/>
      <c r="I1769" s="9" t="s">
        <v>5631</v>
      </c>
      <c r="J1769" s="9"/>
      <c r="K1769" s="9" t="s">
        <v>5632</v>
      </c>
      <c r="L1769" s="9" t="s">
        <v>182</v>
      </c>
      <c r="M1769" s="9" t="str">
        <f>HYPERLINK("https://ceds.ed.gov/cedselementdetails.aspx?termid=14067")</f>
        <v>https://ceds.ed.gov/cedselementdetails.aspx?termid=14067</v>
      </c>
      <c r="N1769" s="9" t="str">
        <f>HYPERLINK("https://ceds.ed.gov/elementComment.aspx?elementName=Staff Professional Development Activity Start Date &amp;elementID=14067", "Click here to submit comment")</f>
        <v>Click here to submit comment</v>
      </c>
    </row>
    <row r="1770" spans="1:14" ht="120" x14ac:dyDescent="0.25">
      <c r="A1770" s="9" t="s">
        <v>5633</v>
      </c>
      <c r="B1770" s="9" t="s">
        <v>5634</v>
      </c>
      <c r="C1770" s="9" t="s">
        <v>12</v>
      </c>
      <c r="D1770" s="9" t="s">
        <v>11739</v>
      </c>
      <c r="E1770" s="9"/>
      <c r="F1770" s="9" t="s">
        <v>5635</v>
      </c>
      <c r="G1770" s="9"/>
      <c r="H1770" s="9"/>
      <c r="I1770" s="9" t="s">
        <v>5636</v>
      </c>
      <c r="J1770" s="9"/>
      <c r="K1770" s="9" t="s">
        <v>5637</v>
      </c>
      <c r="L1770" s="9" t="s">
        <v>37</v>
      </c>
      <c r="M1770" s="9" t="str">
        <f>HYPERLINK("https://ceds.ed.gov/cedselementdetails.aspx?termid=13707")</f>
        <v>https://ceds.ed.gov/cedselementdetails.aspx?termid=13707</v>
      </c>
      <c r="N1770" s="9" t="str">
        <f>HYPERLINK("https://ceds.ed.gov/elementComment.aspx?elementName=Standard Occupational Classification &amp;elementID=13707", "Click here to submit comment")</f>
        <v>Click here to submit comment</v>
      </c>
    </row>
    <row r="1771" spans="1:14" ht="45" x14ac:dyDescent="0.25">
      <c r="A1771" s="9" t="s">
        <v>5638</v>
      </c>
      <c r="B1771" s="9" t="s">
        <v>5639</v>
      </c>
      <c r="C1771" s="9" t="s">
        <v>12</v>
      </c>
      <c r="D1771" s="9" t="s">
        <v>5640</v>
      </c>
      <c r="E1771" s="9"/>
      <c r="F1771" s="9" t="s">
        <v>134</v>
      </c>
      <c r="G1771" s="9"/>
      <c r="H1771" s="9"/>
      <c r="I1771" s="9" t="s">
        <v>5641</v>
      </c>
      <c r="J1771" s="9"/>
      <c r="K1771" s="9" t="s">
        <v>5642</v>
      </c>
      <c r="L1771" s="9" t="s">
        <v>216</v>
      </c>
      <c r="M1771" s="9" t="str">
        <f>HYPERLINK("https://ceds.ed.gov/cedselementdetails.aspx?termid=13265")</f>
        <v>https://ceds.ed.gov/cedselementdetails.aspx?termid=13265</v>
      </c>
      <c r="N1771" s="9" t="str">
        <f>HYPERLINK("https://ceds.ed.gov/elementComment.aspx?elementName=Standardized Admission Test Score &amp;elementID=13265", "Click here to submit comment")</f>
        <v>Click here to submit comment</v>
      </c>
    </row>
    <row r="1772" spans="1:14" ht="270" x14ac:dyDescent="0.25">
      <c r="A1772" s="9" t="s">
        <v>5643</v>
      </c>
      <c r="B1772" s="9" t="s">
        <v>5644</v>
      </c>
      <c r="C1772" s="10" t="s">
        <v>6701</v>
      </c>
      <c r="D1772" s="9" t="s">
        <v>5640</v>
      </c>
      <c r="E1772" s="9"/>
      <c r="F1772" s="9"/>
      <c r="G1772" s="9"/>
      <c r="H1772" s="9"/>
      <c r="I1772" s="9" t="s">
        <v>5645</v>
      </c>
      <c r="J1772" s="9"/>
      <c r="K1772" s="9" t="s">
        <v>5646</v>
      </c>
      <c r="L1772" s="9" t="s">
        <v>216</v>
      </c>
      <c r="M1772" s="9" t="str">
        <f>HYPERLINK("https://ceds.ed.gov/cedselementdetails.aspx?termid=13266")</f>
        <v>https://ceds.ed.gov/cedselementdetails.aspx?termid=13266</v>
      </c>
      <c r="N1772" s="9" t="str">
        <f>HYPERLINK("https://ceds.ed.gov/elementComment.aspx?elementName=Standardized Admission Test Type &amp;elementID=13266", "Click here to submit comment")</f>
        <v>Click here to submit comment</v>
      </c>
    </row>
    <row r="1773" spans="1:14" ht="409.5" x14ac:dyDescent="0.25">
      <c r="A1773" s="9" t="s">
        <v>5647</v>
      </c>
      <c r="B1773" s="9" t="s">
        <v>5648</v>
      </c>
      <c r="C1773" s="10" t="s">
        <v>6702</v>
      </c>
      <c r="D1773" s="9" t="s">
        <v>10484</v>
      </c>
      <c r="E1773" s="9"/>
      <c r="F1773" s="9"/>
      <c r="G1773" s="9"/>
      <c r="H1773" s="9"/>
      <c r="I1773" s="9" t="s">
        <v>5649</v>
      </c>
      <c r="J1773" s="9"/>
      <c r="K1773" s="9" t="s">
        <v>5650</v>
      </c>
      <c r="L1773" s="9" t="s">
        <v>6285</v>
      </c>
      <c r="M1773" s="9" t="str">
        <f>HYPERLINK("https://ceds.ed.gov/cedselementdetails.aspx?termid=13267")</f>
        <v>https://ceds.ed.gov/cedselementdetails.aspx?termid=13267</v>
      </c>
      <c r="N1773" s="9" t="str">
        <f>HYPERLINK("https://ceds.ed.gov/elementComment.aspx?elementName=State Abbreviation &amp;elementID=13267", "Click here to submit comment")</f>
        <v>Click here to submit comment</v>
      </c>
    </row>
    <row r="1774" spans="1:14" ht="60" x14ac:dyDescent="0.25">
      <c r="A1774" s="9" t="s">
        <v>5651</v>
      </c>
      <c r="B1774" s="9" t="s">
        <v>5652</v>
      </c>
      <c r="C1774" s="10" t="s">
        <v>6703</v>
      </c>
      <c r="D1774" s="9" t="s">
        <v>6286</v>
      </c>
      <c r="E1774" s="9"/>
      <c r="F1774" s="9"/>
      <c r="G1774" s="9"/>
      <c r="H1774" s="9"/>
      <c r="I1774" s="9" t="s">
        <v>5653</v>
      </c>
      <c r="J1774" s="9"/>
      <c r="K1774" s="9" t="s">
        <v>5654</v>
      </c>
      <c r="L1774" s="9"/>
      <c r="M1774" s="9" t="str">
        <f>HYPERLINK("https://ceds.ed.gov/cedselementdetails.aspx?termid=14463")</f>
        <v>https://ceds.ed.gov/cedselementdetails.aspx?termid=14463</v>
      </c>
      <c r="N1774" s="9" t="str">
        <f>HYPERLINK("https://ceds.ed.gov/elementComment.aspx?elementName=State Agency Identification System &amp;elementID=14463", "Click here to submit comment")</f>
        <v>Click here to submit comment</v>
      </c>
    </row>
    <row r="1775" spans="1:14" ht="105" x14ac:dyDescent="0.25">
      <c r="A1775" s="18" t="s">
        <v>5655</v>
      </c>
      <c r="B1775" s="18" t="s">
        <v>5656</v>
      </c>
      <c r="C1775" s="18" t="s">
        <v>12</v>
      </c>
      <c r="D1775" s="18" t="s">
        <v>6286</v>
      </c>
      <c r="E1775" s="18"/>
      <c r="F1775" s="18" t="s">
        <v>119</v>
      </c>
      <c r="G1775" s="18"/>
      <c r="H1775" s="9" t="s">
        <v>120</v>
      </c>
      <c r="I1775" s="18" t="s">
        <v>5657</v>
      </c>
      <c r="J1775" s="18"/>
      <c r="K1775" s="18" t="s">
        <v>5658</v>
      </c>
      <c r="L1775" s="18"/>
      <c r="M1775" s="18" t="str">
        <f>HYPERLINK("https://ceds.ed.gov/cedselementdetails.aspx?termid=14462")</f>
        <v>https://ceds.ed.gov/cedselementdetails.aspx?termid=14462</v>
      </c>
      <c r="N1775" s="18" t="str">
        <f>HYPERLINK("https://ceds.ed.gov/elementComment.aspx?elementName=State Agency Identifier &amp;elementID=14462", "Click here to submit comment")</f>
        <v>Click here to submit comment</v>
      </c>
    </row>
    <row r="1776" spans="1:14" x14ac:dyDescent="0.25">
      <c r="A1776" s="18"/>
      <c r="B1776" s="18"/>
      <c r="C1776" s="18"/>
      <c r="D1776" s="18"/>
      <c r="E1776" s="18"/>
      <c r="F1776" s="18"/>
      <c r="G1776" s="18"/>
      <c r="H1776" s="9"/>
      <c r="I1776" s="18"/>
      <c r="J1776" s="18"/>
      <c r="K1776" s="18"/>
      <c r="L1776" s="18"/>
      <c r="M1776" s="18"/>
      <c r="N1776" s="18"/>
    </row>
    <row r="1777" spans="1:14" ht="90" x14ac:dyDescent="0.25">
      <c r="A1777" s="18"/>
      <c r="B1777" s="18"/>
      <c r="C1777" s="18"/>
      <c r="D1777" s="18"/>
      <c r="E1777" s="18"/>
      <c r="F1777" s="18"/>
      <c r="G1777" s="18"/>
      <c r="H1777" s="9" t="s">
        <v>121</v>
      </c>
      <c r="I1777" s="18"/>
      <c r="J1777" s="18"/>
      <c r="K1777" s="18"/>
      <c r="L1777" s="18"/>
      <c r="M1777" s="18"/>
      <c r="N1777" s="18"/>
    </row>
    <row r="1778" spans="1:14" ht="409.5" x14ac:dyDescent="0.25">
      <c r="A1778" s="9" t="s">
        <v>5659</v>
      </c>
      <c r="B1778" s="9" t="s">
        <v>5660</v>
      </c>
      <c r="C1778" s="10" t="s">
        <v>6704</v>
      </c>
      <c r="D1778" s="9" t="s">
        <v>11740</v>
      </c>
      <c r="E1778" s="9"/>
      <c r="F1778" s="9"/>
      <c r="G1778" s="9"/>
      <c r="H1778" s="9"/>
      <c r="I1778" s="9" t="s">
        <v>5661</v>
      </c>
      <c r="J1778" s="9"/>
      <c r="K1778" s="9" t="s">
        <v>5662</v>
      </c>
      <c r="L1778" s="9" t="s">
        <v>6287</v>
      </c>
      <c r="M1778" s="9" t="str">
        <f>HYPERLINK("https://ceds.ed.gov/cedselementdetails.aspx?termid=13414")</f>
        <v>https://ceds.ed.gov/cedselementdetails.aspx?termid=13414</v>
      </c>
      <c r="N1778" s="9" t="str">
        <f>HYPERLINK("https://ceds.ed.gov/elementComment.aspx?elementName=State ANSI Code &amp;elementID=13414", "Click here to submit comment")</f>
        <v>Click here to submit comment</v>
      </c>
    </row>
    <row r="1779" spans="1:14" ht="60" x14ac:dyDescent="0.25">
      <c r="A1779" s="9" t="s">
        <v>5663</v>
      </c>
      <c r="B1779" s="9" t="s">
        <v>5664</v>
      </c>
      <c r="C1779" s="9" t="s">
        <v>6106</v>
      </c>
      <c r="D1779" s="9" t="s">
        <v>1592</v>
      </c>
      <c r="E1779" s="9"/>
      <c r="F1779" s="9"/>
      <c r="G1779" s="9"/>
      <c r="H1779" s="9"/>
      <c r="I1779" s="9" t="s">
        <v>5665</v>
      </c>
      <c r="J1779" s="9"/>
      <c r="K1779" s="9" t="s">
        <v>5666</v>
      </c>
      <c r="L1779" s="9" t="s">
        <v>182</v>
      </c>
      <c r="M1779" s="9" t="str">
        <f>HYPERLINK("https://ceds.ed.gov/cedselementdetails.aspx?termid=13814")</f>
        <v>https://ceds.ed.gov/cedselementdetails.aspx?termid=13814</v>
      </c>
      <c r="N1779" s="9" t="str">
        <f>HYPERLINK("https://ceds.ed.gov/elementComment.aspx?elementName=State Approved Technical Assistance Provider Status &amp;elementID=13814", "Click here to submit comment")</f>
        <v>Click here to submit comment</v>
      </c>
    </row>
    <row r="1780" spans="1:14" ht="45" x14ac:dyDescent="0.25">
      <c r="A1780" s="9" t="s">
        <v>5667</v>
      </c>
      <c r="B1780" s="9" t="s">
        <v>5668</v>
      </c>
      <c r="C1780" s="9" t="s">
        <v>6106</v>
      </c>
      <c r="D1780" s="9" t="s">
        <v>1592</v>
      </c>
      <c r="E1780" s="9"/>
      <c r="F1780" s="9"/>
      <c r="G1780" s="9"/>
      <c r="H1780" s="9"/>
      <c r="I1780" s="9" t="s">
        <v>5669</v>
      </c>
      <c r="J1780" s="9"/>
      <c r="K1780" s="9" t="s">
        <v>5670</v>
      </c>
      <c r="L1780" s="9" t="s">
        <v>182</v>
      </c>
      <c r="M1780" s="9" t="str">
        <f>HYPERLINK("https://ceds.ed.gov/cedselementdetails.aspx?termid=13813")</f>
        <v>https://ceds.ed.gov/cedselementdetails.aspx?termid=13813</v>
      </c>
      <c r="N1780" s="9" t="str">
        <f>HYPERLINK("https://ceds.ed.gov/elementComment.aspx?elementName=State Approved Trainer Status &amp;elementID=13813", "Click here to submit comment")</f>
        <v>Click here to submit comment</v>
      </c>
    </row>
    <row r="1781" spans="1:14" ht="120" x14ac:dyDescent="0.25">
      <c r="A1781" s="9" t="s">
        <v>5671</v>
      </c>
      <c r="B1781" s="9" t="s">
        <v>5672</v>
      </c>
      <c r="C1781" s="9" t="s">
        <v>12</v>
      </c>
      <c r="D1781" s="9" t="s">
        <v>1522</v>
      </c>
      <c r="E1781" s="9"/>
      <c r="F1781" s="9" t="s">
        <v>10496</v>
      </c>
      <c r="G1781" s="9"/>
      <c r="H1781" s="9"/>
      <c r="I1781" s="9" t="s">
        <v>5673</v>
      </c>
      <c r="J1781" s="9"/>
      <c r="K1781" s="9" t="s">
        <v>5674</v>
      </c>
      <c r="L1781" s="9" t="s">
        <v>188</v>
      </c>
      <c r="M1781" s="9" t="str">
        <f>HYPERLINK("https://ceds.ed.gov/cedselementdetails.aspx?termid=13444")</f>
        <v>https://ceds.ed.gov/cedselementdetails.aspx?termid=13444</v>
      </c>
      <c r="N1781" s="9" t="str">
        <f>HYPERLINK("https://ceds.ed.gov/elementComment.aspx?elementName=State Assessment Administration Funding &amp;elementID=13444", "Click here to submit comment")</f>
        <v>Click here to submit comment</v>
      </c>
    </row>
    <row r="1782" spans="1:14" ht="60" x14ac:dyDescent="0.25">
      <c r="A1782" s="9" t="s">
        <v>5675</v>
      </c>
      <c r="B1782" s="9" t="s">
        <v>5676</v>
      </c>
      <c r="C1782" s="9" t="s">
        <v>12</v>
      </c>
      <c r="D1782" s="9" t="s">
        <v>1522</v>
      </c>
      <c r="E1782" s="9"/>
      <c r="F1782" s="9" t="s">
        <v>10496</v>
      </c>
      <c r="G1782" s="9"/>
      <c r="H1782" s="9"/>
      <c r="I1782" s="9" t="s">
        <v>5677</v>
      </c>
      <c r="J1782" s="9"/>
      <c r="K1782" s="9" t="s">
        <v>5678</v>
      </c>
      <c r="L1782" s="9" t="s">
        <v>6288</v>
      </c>
      <c r="M1782" s="9" t="str">
        <f>HYPERLINK("https://ceds.ed.gov/cedselementdetails.aspx?termid=13443")</f>
        <v>https://ceds.ed.gov/cedselementdetails.aspx?termid=13443</v>
      </c>
      <c r="N1782" s="9" t="str">
        <f>HYPERLINK("https://ceds.ed.gov/elementComment.aspx?elementName=State Assessment Standards Funding &amp;elementID=13443", "Click here to submit comment")</f>
        <v>Click here to submit comment</v>
      </c>
    </row>
    <row r="1783" spans="1:14" ht="75" x14ac:dyDescent="0.25">
      <c r="A1783" s="9" t="s">
        <v>11741</v>
      </c>
      <c r="B1783" s="9" t="s">
        <v>11742</v>
      </c>
      <c r="C1783" s="9" t="s">
        <v>6106</v>
      </c>
      <c r="D1783" s="9" t="s">
        <v>1200</v>
      </c>
      <c r="E1783" s="9"/>
      <c r="F1783" s="9"/>
      <c r="G1783" s="9"/>
      <c r="H1783" s="9"/>
      <c r="I1783" s="9" t="s">
        <v>11743</v>
      </c>
      <c r="J1783" s="9"/>
      <c r="K1783" s="9" t="s">
        <v>11744</v>
      </c>
      <c r="L1783" s="9"/>
      <c r="M1783" s="9" t="str">
        <f>HYPERLINK("https://ceds.ed.gov/cedselementdetails.aspx?termid=14742")</f>
        <v>https://ceds.ed.gov/cedselementdetails.aspx?termid=14742</v>
      </c>
      <c r="N1783" s="9" t="str">
        <f>HYPERLINK("https://ceds.ed.gov/elementComment.aspx?elementName=State Full Academic Year &amp;elementID=14742", "Click here to submit comment")</f>
        <v>Click here to submit comment</v>
      </c>
    </row>
    <row r="1784" spans="1:14" ht="409.5" x14ac:dyDescent="0.25">
      <c r="A1784" s="9" t="s">
        <v>5679</v>
      </c>
      <c r="B1784" s="9" t="s">
        <v>5680</v>
      </c>
      <c r="C1784" s="10" t="s">
        <v>6672</v>
      </c>
      <c r="D1784" s="9" t="s">
        <v>6180</v>
      </c>
      <c r="E1784" s="9"/>
      <c r="F1784" s="9"/>
      <c r="G1784" s="9"/>
      <c r="H1784" s="9"/>
      <c r="I1784" s="9" t="s">
        <v>5681</v>
      </c>
      <c r="J1784" s="9"/>
      <c r="K1784" s="9" t="s">
        <v>5682</v>
      </c>
      <c r="L1784" s="9" t="s">
        <v>182</v>
      </c>
      <c r="M1784" s="9" t="str">
        <f>HYPERLINK("https://ceds.ed.gov/cedselementdetails.aspx?termid=13804")</f>
        <v>https://ceds.ed.gov/cedselementdetails.aspx?termid=13804</v>
      </c>
      <c r="N1784" s="9" t="str">
        <f>HYPERLINK("https://ceds.ed.gov/elementComment.aspx?elementName=State Issuing Professional Credential or License &amp;elementID=13804", "Click here to submit comment")</f>
        <v>Click here to submit comment</v>
      </c>
    </row>
    <row r="1785" spans="1:14" ht="45" x14ac:dyDescent="0.25">
      <c r="A1785" s="9" t="s">
        <v>5683</v>
      </c>
      <c r="B1785" s="9" t="s">
        <v>5684</v>
      </c>
      <c r="C1785" s="9" t="s">
        <v>12</v>
      </c>
      <c r="D1785" s="9" t="s">
        <v>1851</v>
      </c>
      <c r="E1785" s="9"/>
      <c r="F1785" s="9" t="s">
        <v>10489</v>
      </c>
      <c r="G1785" s="9"/>
      <c r="H1785" s="9"/>
      <c r="I1785" s="9" t="s">
        <v>5685</v>
      </c>
      <c r="J1785" s="9"/>
      <c r="K1785" s="9" t="s">
        <v>5686</v>
      </c>
      <c r="L1785" s="9" t="s">
        <v>64</v>
      </c>
      <c r="M1785" s="9" t="str">
        <f>HYPERLINK("https://ceds.ed.gov/cedselementdetails.aspx?termid=13865")</f>
        <v>https://ceds.ed.gov/cedselementdetails.aspx?termid=13865</v>
      </c>
      <c r="N1785" s="9" t="str">
        <f>HYPERLINK("https://ceds.ed.gov/elementComment.aspx?elementName=State Licensed Facility Capacity &amp;elementID=13865", "Click here to submit comment")</f>
        <v>Click here to submit comment</v>
      </c>
    </row>
    <row r="1786" spans="1:14" ht="409.5" x14ac:dyDescent="0.25">
      <c r="A1786" s="9" t="s">
        <v>5687</v>
      </c>
      <c r="B1786" s="9" t="s">
        <v>5688</v>
      </c>
      <c r="C1786" s="10" t="s">
        <v>6672</v>
      </c>
      <c r="D1786" s="9" t="s">
        <v>1754</v>
      </c>
      <c r="E1786" s="9"/>
      <c r="F1786" s="9"/>
      <c r="G1786" s="9"/>
      <c r="H1786" s="9"/>
      <c r="I1786" s="9" t="s">
        <v>5689</v>
      </c>
      <c r="J1786" s="9"/>
      <c r="K1786" s="9" t="s">
        <v>5690</v>
      </c>
      <c r="L1786" s="9" t="s">
        <v>1537</v>
      </c>
      <c r="M1786" s="9" t="str">
        <f>HYPERLINK("https://ceds.ed.gov/cedselementdetails.aspx?termid=13417")</f>
        <v>https://ceds.ed.gov/cedselementdetails.aspx?termid=13417</v>
      </c>
      <c r="N1786" s="9" t="str">
        <f>HYPERLINK("https://ceds.ed.gov/elementComment.aspx?elementName=State of Birth Abbreviation &amp;elementID=13417", "Click here to submit comment")</f>
        <v>Click here to submit comment</v>
      </c>
    </row>
    <row r="1787" spans="1:14" ht="409.5" x14ac:dyDescent="0.25">
      <c r="A1787" s="9" t="s">
        <v>5691</v>
      </c>
      <c r="B1787" s="9" t="s">
        <v>5692</v>
      </c>
      <c r="C1787" s="10" t="s">
        <v>6672</v>
      </c>
      <c r="D1787" s="9" t="s">
        <v>5693</v>
      </c>
      <c r="E1787" s="9"/>
      <c r="F1787" s="9"/>
      <c r="G1787" s="9"/>
      <c r="H1787" s="9"/>
      <c r="I1787" s="9" t="s">
        <v>5694</v>
      </c>
      <c r="J1787" s="9"/>
      <c r="K1787" s="9" t="s">
        <v>5695</v>
      </c>
      <c r="L1787" s="9" t="s">
        <v>6115</v>
      </c>
      <c r="M1787" s="9" t="str">
        <f>HYPERLINK("https://ceds.ed.gov/cedselementdetails.aspx?termid=13268")</f>
        <v>https://ceds.ed.gov/cedselementdetails.aspx?termid=13268</v>
      </c>
      <c r="N1787" s="9" t="str">
        <f>HYPERLINK("https://ceds.ed.gov/elementComment.aspx?elementName=State of Residence &amp;elementID=13268", "Click here to submit comment")</f>
        <v>Click here to submit comment</v>
      </c>
    </row>
    <row r="1788" spans="1:14" ht="105" x14ac:dyDescent="0.25">
      <c r="A1788" s="9" t="s">
        <v>5696</v>
      </c>
      <c r="B1788" s="9" t="s">
        <v>5697</v>
      </c>
      <c r="C1788" s="10" t="s">
        <v>6705</v>
      </c>
      <c r="D1788" s="9" t="s">
        <v>67</v>
      </c>
      <c r="E1788" s="9"/>
      <c r="F1788" s="9"/>
      <c r="G1788" s="9"/>
      <c r="H1788" s="9"/>
      <c r="I1788" s="9" t="s">
        <v>5698</v>
      </c>
      <c r="J1788" s="9"/>
      <c r="K1788" s="9" t="s">
        <v>5699</v>
      </c>
      <c r="L1788" s="9" t="s">
        <v>199</v>
      </c>
      <c r="M1788" s="9" t="str">
        <f>HYPERLINK("https://ceds.ed.gov/cedselementdetails.aspx?termid=13578")</f>
        <v>https://ceds.ed.gov/cedselementdetails.aspx?termid=13578</v>
      </c>
      <c r="N1788" s="9" t="str">
        <f>HYPERLINK("https://ceds.ed.gov/elementComment.aspx?elementName=State Poverty Designation &amp;elementID=13578", "Click here to submit comment")</f>
        <v>Click here to submit comment</v>
      </c>
    </row>
    <row r="1789" spans="1:14" ht="45" x14ac:dyDescent="0.25">
      <c r="A1789" s="9" t="s">
        <v>5700</v>
      </c>
      <c r="B1789" s="9" t="s">
        <v>5701</v>
      </c>
      <c r="C1789" s="9" t="s">
        <v>6106</v>
      </c>
      <c r="D1789" s="9" t="s">
        <v>2180</v>
      </c>
      <c r="E1789" s="9"/>
      <c r="F1789" s="9"/>
      <c r="G1789" s="9"/>
      <c r="H1789" s="9"/>
      <c r="I1789" s="9" t="s">
        <v>5702</v>
      </c>
      <c r="J1789" s="9"/>
      <c r="K1789" s="9" t="s">
        <v>5703</v>
      </c>
      <c r="L1789" s="9" t="s">
        <v>188</v>
      </c>
      <c r="M1789" s="9" t="str">
        <f>HYPERLINK("https://ceds.ed.gov/cedselementdetails.aspx?termid=13435")</f>
        <v>https://ceds.ed.gov/cedselementdetails.aspx?termid=13435</v>
      </c>
      <c r="N1789" s="9" t="str">
        <f>HYPERLINK("https://ceds.ed.gov/elementComment.aspx?elementName=State Transferability of Funds &amp;elementID=13435", "Click here to submit comment")</f>
        <v>Click here to submit comment</v>
      </c>
    </row>
    <row r="1790" spans="1:14" ht="409.5" x14ac:dyDescent="0.25">
      <c r="A1790" s="9" t="s">
        <v>5704</v>
      </c>
      <c r="B1790" s="9" t="s">
        <v>5705</v>
      </c>
      <c r="C1790" s="9" t="s">
        <v>12</v>
      </c>
      <c r="D1790" s="9" t="s">
        <v>6289</v>
      </c>
      <c r="E1790" s="9"/>
      <c r="F1790" s="9" t="s">
        <v>73</v>
      </c>
      <c r="G1790" s="9"/>
      <c r="H1790" s="9" t="s">
        <v>11745</v>
      </c>
      <c r="I1790" s="9" t="s">
        <v>5706</v>
      </c>
      <c r="J1790" s="9"/>
      <c r="K1790" s="9" t="s">
        <v>5707</v>
      </c>
      <c r="L1790" s="9"/>
      <c r="M1790" s="9" t="str">
        <f>HYPERLINK("https://ceds.ed.gov/cedselementdetails.aspx?termid=14193")</f>
        <v>https://ceds.ed.gov/cedselementdetails.aspx?termid=14193</v>
      </c>
      <c r="N1790" s="9" t="str">
        <f>HYPERLINK("https://ceds.ed.gov/elementComment.aspx?elementName=Status End Date &amp;elementID=14193", "Click here to submit comment")</f>
        <v>Click here to submit comment</v>
      </c>
    </row>
    <row r="1791" spans="1:14" ht="90" x14ac:dyDescent="0.25">
      <c r="A1791" s="9" t="s">
        <v>5708</v>
      </c>
      <c r="B1791" s="9" t="s">
        <v>5709</v>
      </c>
      <c r="C1791" s="9" t="s">
        <v>12</v>
      </c>
      <c r="D1791" s="9" t="s">
        <v>6289</v>
      </c>
      <c r="E1791" s="9"/>
      <c r="F1791" s="9" t="s">
        <v>73</v>
      </c>
      <c r="G1791" s="9"/>
      <c r="H1791" s="9"/>
      <c r="I1791" s="9" t="s">
        <v>5710</v>
      </c>
      <c r="J1791" s="9"/>
      <c r="K1791" s="9" t="s">
        <v>5711</v>
      </c>
      <c r="L1791" s="9"/>
      <c r="M1791" s="9" t="str">
        <f>HYPERLINK("https://ceds.ed.gov/cedselementdetails.aspx?termid=14192")</f>
        <v>https://ceds.ed.gov/cedselementdetails.aspx?termid=14192</v>
      </c>
      <c r="N1791" s="9" t="str">
        <f>HYPERLINK("https://ceds.ed.gov/elementComment.aspx?elementName=Status Start Date &amp;elementID=14192", "Click here to submit comment")</f>
        <v>Click here to submit comment</v>
      </c>
    </row>
    <row r="1792" spans="1:14" ht="120" x14ac:dyDescent="0.25">
      <c r="A1792" s="9" t="s">
        <v>5712</v>
      </c>
      <c r="B1792" s="9" t="s">
        <v>5713</v>
      </c>
      <c r="C1792" s="9" t="s">
        <v>12</v>
      </c>
      <c r="D1792" s="9" t="s">
        <v>7</v>
      </c>
      <c r="E1792" s="9"/>
      <c r="F1792" s="9" t="s">
        <v>11746</v>
      </c>
      <c r="G1792" s="9"/>
      <c r="H1792" s="9"/>
      <c r="I1792" s="9" t="s">
        <v>5714</v>
      </c>
      <c r="J1792" s="9"/>
      <c r="K1792" s="9" t="s">
        <v>5715</v>
      </c>
      <c r="L1792" s="9" t="s">
        <v>199</v>
      </c>
      <c r="M1792" s="9" t="str">
        <f>HYPERLINK("https://ceds.ed.gov/cedselementdetails.aspx?termid=13271")</f>
        <v>https://ceds.ed.gov/cedselementdetails.aspx?termid=13271</v>
      </c>
      <c r="N1792" s="9" t="str">
        <f>HYPERLINK("https://ceds.ed.gov/elementComment.aspx?elementName=Student Attendance Rate &amp;elementID=13271", "Click here to submit comment")</f>
        <v>Click here to submit comment</v>
      </c>
    </row>
    <row r="1793" spans="1:14" ht="405" x14ac:dyDescent="0.25">
      <c r="A1793" s="9" t="s">
        <v>5716</v>
      </c>
      <c r="B1793" s="9" t="s">
        <v>5717</v>
      </c>
      <c r="C1793" s="9" t="s">
        <v>12</v>
      </c>
      <c r="D1793" s="9" t="s">
        <v>11747</v>
      </c>
      <c r="E1793" s="9"/>
      <c r="F1793" s="9" t="s">
        <v>1900</v>
      </c>
      <c r="G1793" s="9"/>
      <c r="H1793" s="9"/>
      <c r="I1793" s="9" t="s">
        <v>5718</v>
      </c>
      <c r="J1793" s="9"/>
      <c r="K1793" s="9" t="s">
        <v>5719</v>
      </c>
      <c r="L1793" s="9" t="s">
        <v>6109</v>
      </c>
      <c r="M1793" s="9" t="str">
        <f>HYPERLINK("https://ceds.ed.gov/cedselementdetails.aspx?termid=13124")</f>
        <v>https://ceds.ed.gov/cedselementdetails.aspx?termid=13124</v>
      </c>
      <c r="N1793" s="9" t="str">
        <f>HYPERLINK("https://ceds.ed.gov/elementComment.aspx?elementName=Student Course Section Grade Earned &amp;elementID=13124", "Click here to submit comment")</f>
        <v>Click here to submit comment</v>
      </c>
    </row>
    <row r="1794" spans="1:14" ht="180" x14ac:dyDescent="0.25">
      <c r="A1794" s="9" t="s">
        <v>5720</v>
      </c>
      <c r="B1794" s="9" t="s">
        <v>5721</v>
      </c>
      <c r="C1794" s="9" t="s">
        <v>12</v>
      </c>
      <c r="D1794" s="9" t="s">
        <v>11748</v>
      </c>
      <c r="E1794" s="9"/>
      <c r="F1794" s="9" t="s">
        <v>68</v>
      </c>
      <c r="G1794" s="9"/>
      <c r="H1794" s="9"/>
      <c r="I1794" s="9" t="s">
        <v>5722</v>
      </c>
      <c r="J1794" s="9"/>
      <c r="K1794" s="9" t="s">
        <v>5723</v>
      </c>
      <c r="L1794" s="9"/>
      <c r="M1794" s="9" t="str">
        <f>HYPERLINK("https://ceds.ed.gov/cedselementdetails.aspx?termid=14552")</f>
        <v>https://ceds.ed.gov/cedselementdetails.aspx?termid=14552</v>
      </c>
      <c r="N1794" s="9" t="str">
        <f>HYPERLINK("https://ceds.ed.gov/elementComment.aspx?elementName=Student Course Section Grade Narrative &amp;elementID=14552", "Click here to submit comment")</f>
        <v>Click here to submit comment</v>
      </c>
    </row>
    <row r="1795" spans="1:14" ht="210" x14ac:dyDescent="0.25">
      <c r="A1795" s="9" t="s">
        <v>5724</v>
      </c>
      <c r="B1795" s="9" t="s">
        <v>5725</v>
      </c>
      <c r="C1795" s="9" t="s">
        <v>6106</v>
      </c>
      <c r="D1795" s="9" t="s">
        <v>11632</v>
      </c>
      <c r="E1795" s="9"/>
      <c r="F1795" s="9"/>
      <c r="G1795" s="9"/>
      <c r="H1795" s="9"/>
      <c r="I1795" s="9" t="s">
        <v>5726</v>
      </c>
      <c r="J1795" s="9"/>
      <c r="K1795" s="9" t="s">
        <v>5727</v>
      </c>
      <c r="L1795" s="9"/>
      <c r="M1795" s="9" t="str">
        <f>HYPERLINK("https://ceds.ed.gov/cedselementdetails.aspx?termid=14191")</f>
        <v>https://ceds.ed.gov/cedselementdetails.aspx?termid=14191</v>
      </c>
      <c r="N1795" s="9" t="str">
        <f>HYPERLINK("https://ceds.ed.gov/elementComment.aspx?elementName=Student Course Section Mark Final Indicator &amp;elementID=14191", "Click here to submit comment")</f>
        <v>Click here to submit comment</v>
      </c>
    </row>
    <row r="1796" spans="1:14" ht="90" x14ac:dyDescent="0.25">
      <c r="A1796" s="9" t="s">
        <v>11749</v>
      </c>
      <c r="B1796" s="9" t="s">
        <v>11750</v>
      </c>
      <c r="C1796" s="10" t="s">
        <v>11909</v>
      </c>
      <c r="D1796" s="9" t="s">
        <v>11751</v>
      </c>
      <c r="E1796" s="9" t="s">
        <v>1457</v>
      </c>
      <c r="F1796" s="9"/>
      <c r="G1796" s="9"/>
      <c r="H1796" s="9"/>
      <c r="I1796" s="9" t="s">
        <v>11752</v>
      </c>
      <c r="J1796" s="9"/>
      <c r="K1796" s="9" t="s">
        <v>11753</v>
      </c>
      <c r="L1796" s="9"/>
      <c r="M1796" s="9" t="str">
        <f>HYPERLINK("https://ceds.ed.gov/cedselementdetails.aspx?termid=14843")</f>
        <v>https://ceds.ed.gov/cedselementdetails.aspx?termid=14843</v>
      </c>
      <c r="N1796" s="9" t="str">
        <f>HYPERLINK("https://ceds.ed.gov/elementComment.aspx?elementName=Student Enrollment Access Type &amp;elementID=14843", "Click here to submit comment")</f>
        <v>Click here to submit comment</v>
      </c>
    </row>
    <row r="1797" spans="1:14" ht="409.5" x14ac:dyDescent="0.25">
      <c r="A1797" s="9" t="s">
        <v>5728</v>
      </c>
      <c r="B1797" s="9" t="s">
        <v>5729</v>
      </c>
      <c r="C1797" s="10" t="s">
        <v>6706</v>
      </c>
      <c r="D1797" s="9" t="s">
        <v>11754</v>
      </c>
      <c r="E1797" s="9"/>
      <c r="F1797" s="9"/>
      <c r="G1797" s="9"/>
      <c r="H1797" s="9"/>
      <c r="I1797" s="9" t="s">
        <v>5730</v>
      </c>
      <c r="J1797" s="9"/>
      <c r="K1797" s="9" t="s">
        <v>5731</v>
      </c>
      <c r="L1797" s="9" t="s">
        <v>6290</v>
      </c>
      <c r="M1797" s="9" t="str">
        <f>HYPERLINK("https://ceds.ed.gov/cedselementdetails.aspx?termid=13163")</f>
        <v>https://ceds.ed.gov/cedselementdetails.aspx?termid=13163</v>
      </c>
      <c r="N1797" s="9" t="str">
        <f>HYPERLINK("https://ceds.ed.gov/elementComment.aspx?elementName=Student Identification System &amp;elementID=13163", "Click here to submit comment")</f>
        <v>Click here to submit comment</v>
      </c>
    </row>
    <row r="1798" spans="1:14" ht="105" x14ac:dyDescent="0.25">
      <c r="A1798" s="18" t="s">
        <v>5732</v>
      </c>
      <c r="B1798" s="18" t="s">
        <v>5733</v>
      </c>
      <c r="C1798" s="18" t="s">
        <v>12</v>
      </c>
      <c r="D1798" s="18" t="s">
        <v>11754</v>
      </c>
      <c r="E1798" s="18"/>
      <c r="F1798" s="18" t="s">
        <v>119</v>
      </c>
      <c r="G1798" s="18"/>
      <c r="H1798" s="9" t="s">
        <v>120</v>
      </c>
      <c r="I1798" s="18" t="s">
        <v>5734</v>
      </c>
      <c r="J1798" s="18"/>
      <c r="K1798" s="18" t="s">
        <v>5735</v>
      </c>
      <c r="L1798" s="18" t="s">
        <v>6290</v>
      </c>
      <c r="M1798" s="18" t="str">
        <f>HYPERLINK("https://ceds.ed.gov/cedselementdetails.aspx?termid=13157")</f>
        <v>https://ceds.ed.gov/cedselementdetails.aspx?termid=13157</v>
      </c>
      <c r="N1798" s="18" t="str">
        <f>HYPERLINK("https://ceds.ed.gov/elementComment.aspx?elementName=Student Identifier &amp;elementID=13157", "Click here to submit comment")</f>
        <v>Click here to submit comment</v>
      </c>
    </row>
    <row r="1799" spans="1:14" x14ac:dyDescent="0.25">
      <c r="A1799" s="18"/>
      <c r="B1799" s="18"/>
      <c r="C1799" s="18"/>
      <c r="D1799" s="18"/>
      <c r="E1799" s="18"/>
      <c r="F1799" s="18"/>
      <c r="G1799" s="18"/>
      <c r="H1799" s="9"/>
      <c r="I1799" s="18"/>
      <c r="J1799" s="18"/>
      <c r="K1799" s="18"/>
      <c r="L1799" s="18"/>
      <c r="M1799" s="18"/>
      <c r="N1799" s="18"/>
    </row>
    <row r="1800" spans="1:14" ht="90" x14ac:dyDescent="0.25">
      <c r="A1800" s="18"/>
      <c r="B1800" s="18"/>
      <c r="C1800" s="18"/>
      <c r="D1800" s="18"/>
      <c r="E1800" s="18"/>
      <c r="F1800" s="18"/>
      <c r="G1800" s="18"/>
      <c r="H1800" s="9" t="s">
        <v>121</v>
      </c>
      <c r="I1800" s="18"/>
      <c r="J1800" s="18"/>
      <c r="K1800" s="18"/>
      <c r="L1800" s="18"/>
      <c r="M1800" s="18"/>
      <c r="N1800" s="18"/>
    </row>
    <row r="1801" spans="1:14" ht="90" x14ac:dyDescent="0.25">
      <c r="A1801" s="9" t="s">
        <v>5736</v>
      </c>
      <c r="B1801" s="9" t="s">
        <v>5737</v>
      </c>
      <c r="C1801" s="10" t="s">
        <v>6707</v>
      </c>
      <c r="D1801" s="9" t="s">
        <v>1808</v>
      </c>
      <c r="E1801" s="9"/>
      <c r="F1801" s="9"/>
      <c r="G1801" s="9"/>
      <c r="H1801" s="9"/>
      <c r="I1801" s="9" t="s">
        <v>5738</v>
      </c>
      <c r="J1801" s="9"/>
      <c r="K1801" s="9" t="s">
        <v>5739</v>
      </c>
      <c r="L1801" s="9" t="s">
        <v>6115</v>
      </c>
      <c r="M1801" s="9" t="str">
        <f>HYPERLINK("https://ceds.ed.gov/cedselementdetails.aspx?termid=13272")</f>
        <v>https://ceds.ed.gov/cedselementdetails.aspx?termid=13272</v>
      </c>
      <c r="N1801" s="9" t="str">
        <f>HYPERLINK("https://ceds.ed.gov/elementComment.aspx?elementName=Student Level &amp;elementID=13272", "Click here to submit comment")</f>
        <v>Click here to submit comment</v>
      </c>
    </row>
    <row r="1802" spans="1:14" ht="409.5" x14ac:dyDescent="0.25">
      <c r="A1802" s="9" t="s">
        <v>5740</v>
      </c>
      <c r="B1802" s="9" t="s">
        <v>5741</v>
      </c>
      <c r="C1802" s="10" t="s">
        <v>6708</v>
      </c>
      <c r="D1802" s="9" t="s">
        <v>11755</v>
      </c>
      <c r="E1802" s="9"/>
      <c r="F1802" s="9"/>
      <c r="G1802" s="9"/>
      <c r="H1802" s="9"/>
      <c r="I1802" s="9" t="s">
        <v>5742</v>
      </c>
      <c r="J1802" s="9"/>
      <c r="K1802" s="9" t="s">
        <v>5743</v>
      </c>
      <c r="L1802" s="9"/>
      <c r="M1802" s="9" t="str">
        <f>HYPERLINK("https://ceds.ed.gov/cedselementdetails.aspx?termid=13273")</f>
        <v>https://ceds.ed.gov/cedselementdetails.aspx?termid=13273</v>
      </c>
      <c r="N1802" s="9" t="str">
        <f>HYPERLINK("https://ceds.ed.gov/elementComment.aspx?elementName=Student Support Service Type &amp;elementID=13273", "Click here to submit comment")</f>
        <v>Click here to submit comment</v>
      </c>
    </row>
    <row r="1803" spans="1:14" ht="105" x14ac:dyDescent="0.25">
      <c r="A1803" s="9" t="s">
        <v>11756</v>
      </c>
      <c r="B1803" s="9" t="s">
        <v>9033</v>
      </c>
      <c r="C1803" s="9" t="s">
        <v>12</v>
      </c>
      <c r="D1803" s="9" t="s">
        <v>10927</v>
      </c>
      <c r="E1803" s="9"/>
      <c r="F1803" s="9" t="s">
        <v>73</v>
      </c>
      <c r="G1803" s="9"/>
      <c r="H1803" s="9" t="s">
        <v>10928</v>
      </c>
      <c r="I1803" s="9" t="s">
        <v>11757</v>
      </c>
      <c r="J1803" s="9"/>
      <c r="K1803" s="9" t="s">
        <v>11758</v>
      </c>
      <c r="L1803" s="9"/>
      <c r="M1803" s="9" t="str">
        <f>HYPERLINK("https://ceds.ed.gov/cedselementdetails.aspx?termid=14739")</f>
        <v>https://ceds.ed.gov/cedselementdetails.aspx?termid=14739</v>
      </c>
      <c r="N1803" s="9" t="str">
        <f>HYPERLINK("https://ceds.ed.gov/elementComment.aspx?elementName=Submission Date &amp;elementID=14739", "Click here to submit comment")</f>
        <v>Click here to submit comment</v>
      </c>
    </row>
    <row r="1804" spans="1:14" ht="75" x14ac:dyDescent="0.25">
      <c r="A1804" s="9" t="s">
        <v>5744</v>
      </c>
      <c r="B1804" s="9" t="s">
        <v>5745</v>
      </c>
      <c r="C1804" s="10" t="s">
        <v>6340</v>
      </c>
      <c r="D1804" s="9" t="s">
        <v>326</v>
      </c>
      <c r="E1804" s="9"/>
      <c r="F1804" s="9"/>
      <c r="G1804" s="9"/>
      <c r="H1804" s="9"/>
      <c r="I1804" s="9" t="s">
        <v>5746</v>
      </c>
      <c r="J1804" s="9"/>
      <c r="K1804" s="9" t="s">
        <v>5747</v>
      </c>
      <c r="L1804" s="9" t="s">
        <v>329</v>
      </c>
      <c r="M1804" s="9" t="str">
        <f>HYPERLINK("https://ceds.ed.gov/cedselementdetails.aspx?termid=13754")</f>
        <v>https://ceds.ed.gov/cedselementdetails.aspx?termid=13754</v>
      </c>
      <c r="N1804" s="9" t="str">
        <f>HYPERLINK("https://ceds.ed.gov/elementComment.aspx?elementName=Supervised Clinical Experience &amp;elementID=13754", "Click here to submit comment")</f>
        <v>Click here to submit comment</v>
      </c>
    </row>
    <row r="1805" spans="1:14" ht="60" x14ac:dyDescent="0.25">
      <c r="A1805" s="9" t="s">
        <v>5748</v>
      </c>
      <c r="B1805" s="9" t="s">
        <v>5749</v>
      </c>
      <c r="C1805" s="9" t="s">
        <v>12</v>
      </c>
      <c r="D1805" s="9" t="s">
        <v>326</v>
      </c>
      <c r="E1805" s="9"/>
      <c r="F1805" s="9" t="s">
        <v>10489</v>
      </c>
      <c r="G1805" s="9"/>
      <c r="H1805" s="9"/>
      <c r="I1805" s="9" t="s">
        <v>5750</v>
      </c>
      <c r="J1805" s="9"/>
      <c r="K1805" s="9" t="s">
        <v>5751</v>
      </c>
      <c r="L1805" s="9" t="s">
        <v>329</v>
      </c>
      <c r="M1805" s="9" t="str">
        <f>HYPERLINK("https://ceds.ed.gov/cedselementdetails.aspx?termid=13755")</f>
        <v>https://ceds.ed.gov/cedselementdetails.aspx?termid=13755</v>
      </c>
      <c r="N1805" s="9" t="str">
        <f>HYPERLINK("https://ceds.ed.gov/elementComment.aspx?elementName=Supervised Clinical Experience Clock Hours &amp;elementID=13755", "Click here to submit comment")</f>
        <v>Click here to submit comment</v>
      </c>
    </row>
    <row r="1806" spans="1:14" ht="60" x14ac:dyDescent="0.25">
      <c r="A1806" s="9" t="s">
        <v>5752</v>
      </c>
      <c r="B1806" s="9" t="s">
        <v>5753</v>
      </c>
      <c r="C1806" s="9" t="s">
        <v>12</v>
      </c>
      <c r="D1806" s="9" t="s">
        <v>11363</v>
      </c>
      <c r="E1806" s="9"/>
      <c r="F1806" s="9" t="s">
        <v>1513</v>
      </c>
      <c r="G1806" s="9"/>
      <c r="H1806" s="9"/>
      <c r="I1806" s="9" t="s">
        <v>5754</v>
      </c>
      <c r="J1806" s="9" t="s">
        <v>5755</v>
      </c>
      <c r="K1806" s="9" t="s">
        <v>5756</v>
      </c>
      <c r="L1806" s="9" t="s">
        <v>199</v>
      </c>
      <c r="M1806" s="9" t="str">
        <f>HYPERLINK("https://ceds.ed.gov/cedselementdetails.aspx?termid=13566")</f>
        <v>https://ceds.ed.gov/cedselementdetails.aspx?termid=13566</v>
      </c>
      <c r="N1806" s="9" t="str">
        <f>HYPERLINK("https://ceds.ed.gov/elementComment.aspx?elementName=Supplemental Education Services Public School Choice Twenty Percent Obligation &amp;elementID=13566", "Click here to submit comment")</f>
        <v>Click here to submit comment</v>
      </c>
    </row>
    <row r="1807" spans="1:14" ht="75" x14ac:dyDescent="0.25">
      <c r="A1807" s="9" t="s">
        <v>5757</v>
      </c>
      <c r="B1807" s="9" t="s">
        <v>5758</v>
      </c>
      <c r="C1807" s="9" t="s">
        <v>12</v>
      </c>
      <c r="D1807" s="9" t="s">
        <v>11363</v>
      </c>
      <c r="E1807" s="9"/>
      <c r="F1807" s="9" t="s">
        <v>1513</v>
      </c>
      <c r="G1807" s="9"/>
      <c r="H1807" s="9"/>
      <c r="I1807" s="9" t="s">
        <v>5759</v>
      </c>
      <c r="J1807" s="9" t="s">
        <v>5760</v>
      </c>
      <c r="K1807" s="9" t="s">
        <v>5761</v>
      </c>
      <c r="L1807" s="9" t="s">
        <v>199</v>
      </c>
      <c r="M1807" s="9" t="str">
        <f>HYPERLINK("https://ceds.ed.gov/cedselementdetails.aspx?termid=13559")</f>
        <v>https://ceds.ed.gov/cedselementdetails.aspx?termid=13559</v>
      </c>
      <c r="N1807" s="9" t="str">
        <f>HYPERLINK("https://ceds.ed.gov/elementComment.aspx?elementName=Supplemental Educational Services Funds Spent &amp;elementID=13559", "Click here to submit comment")</f>
        <v>Click here to submit comment</v>
      </c>
    </row>
    <row r="1808" spans="1:14" ht="60" x14ac:dyDescent="0.25">
      <c r="A1808" s="9" t="s">
        <v>5762</v>
      </c>
      <c r="B1808" s="9" t="s">
        <v>5763</v>
      </c>
      <c r="C1808" s="9" t="s">
        <v>12</v>
      </c>
      <c r="D1808" s="9" t="s">
        <v>11363</v>
      </c>
      <c r="E1808" s="9"/>
      <c r="F1808" s="9" t="s">
        <v>1513</v>
      </c>
      <c r="G1808" s="9"/>
      <c r="H1808" s="9"/>
      <c r="I1808" s="9" t="s">
        <v>5764</v>
      </c>
      <c r="J1808" s="9" t="s">
        <v>5765</v>
      </c>
      <c r="K1808" s="9" t="s">
        <v>5766</v>
      </c>
      <c r="L1808" s="9" t="s">
        <v>199</v>
      </c>
      <c r="M1808" s="9" t="str">
        <f>HYPERLINK("https://ceds.ed.gov/cedselementdetails.aspx?termid=13567")</f>
        <v>https://ceds.ed.gov/cedselementdetails.aspx?termid=13567</v>
      </c>
      <c r="N1808" s="9" t="str">
        <f>HYPERLINK("https://ceds.ed.gov/elementComment.aspx?elementName=Supplemental Educational Services Per Pupil Expenditure &amp;elementID=13567", "Click here to submit comment")</f>
        <v>Click here to submit comment</v>
      </c>
    </row>
    <row r="1809" spans="1:14" x14ac:dyDescent="0.25">
      <c r="A1809" s="18" t="s">
        <v>5767</v>
      </c>
      <c r="B1809" s="18" t="s">
        <v>5768</v>
      </c>
      <c r="C1809" s="18" t="s">
        <v>12</v>
      </c>
      <c r="D1809" s="18" t="s">
        <v>326</v>
      </c>
      <c r="E1809" s="18"/>
      <c r="F1809" s="18" t="s">
        <v>87</v>
      </c>
      <c r="G1809" s="18"/>
      <c r="H1809" s="9" t="s">
        <v>5769</v>
      </c>
      <c r="I1809" s="18" t="s">
        <v>5776</v>
      </c>
      <c r="J1809" s="18"/>
      <c r="K1809" s="18" t="s">
        <v>5777</v>
      </c>
      <c r="L1809" s="18" t="s">
        <v>329</v>
      </c>
      <c r="M1809" s="18" t="str">
        <f>HYPERLINK("https://ceds.ed.gov/cedselementdetails.aspx?termid=13757")</f>
        <v>https://ceds.ed.gov/cedselementdetails.aspx?termid=13757</v>
      </c>
      <c r="N1809" s="18" t="str">
        <f>HYPERLINK("https://ceds.ed.gov/elementComment.aspx?elementName=Teacher Education Credential Exam Score Type &amp;elementID=13757", "Click here to submit comment")</f>
        <v>Click here to submit comment</v>
      </c>
    </row>
    <row r="1810" spans="1:14" x14ac:dyDescent="0.25">
      <c r="A1810" s="18"/>
      <c r="B1810" s="18"/>
      <c r="C1810" s="18"/>
      <c r="D1810" s="18"/>
      <c r="E1810" s="18"/>
      <c r="F1810" s="18"/>
      <c r="G1810" s="18"/>
      <c r="H1810" s="9" t="s">
        <v>5770</v>
      </c>
      <c r="I1810" s="18"/>
      <c r="J1810" s="18"/>
      <c r="K1810" s="18"/>
      <c r="L1810" s="18"/>
      <c r="M1810" s="18"/>
      <c r="N1810" s="18"/>
    </row>
    <row r="1811" spans="1:14" x14ac:dyDescent="0.25">
      <c r="A1811" s="18"/>
      <c r="B1811" s="18"/>
      <c r="C1811" s="18"/>
      <c r="D1811" s="18"/>
      <c r="E1811" s="18"/>
      <c r="F1811" s="18"/>
      <c r="G1811" s="18"/>
      <c r="H1811" s="9" t="s">
        <v>5771</v>
      </c>
      <c r="I1811" s="18"/>
      <c r="J1811" s="18"/>
      <c r="K1811" s="18"/>
      <c r="L1811" s="18"/>
      <c r="M1811" s="18"/>
      <c r="N1811" s="18"/>
    </row>
    <row r="1812" spans="1:14" x14ac:dyDescent="0.25">
      <c r="A1812" s="18"/>
      <c r="B1812" s="18"/>
      <c r="C1812" s="18"/>
      <c r="D1812" s="18"/>
      <c r="E1812" s="18"/>
      <c r="F1812" s="18"/>
      <c r="G1812" s="18"/>
      <c r="H1812" s="9" t="s">
        <v>5772</v>
      </c>
      <c r="I1812" s="18"/>
      <c r="J1812" s="18"/>
      <c r="K1812" s="18"/>
      <c r="L1812" s="18"/>
      <c r="M1812" s="18"/>
      <c r="N1812" s="18"/>
    </row>
    <row r="1813" spans="1:14" x14ac:dyDescent="0.25">
      <c r="A1813" s="18"/>
      <c r="B1813" s="18"/>
      <c r="C1813" s="18"/>
      <c r="D1813" s="18"/>
      <c r="E1813" s="18"/>
      <c r="F1813" s="18"/>
      <c r="G1813" s="18"/>
      <c r="H1813" s="9"/>
      <c r="I1813" s="18"/>
      <c r="J1813" s="18"/>
      <c r="K1813" s="18"/>
      <c r="L1813" s="18"/>
      <c r="M1813" s="18"/>
      <c r="N1813" s="18"/>
    </row>
    <row r="1814" spans="1:14" x14ac:dyDescent="0.25">
      <c r="A1814" s="18"/>
      <c r="B1814" s="18"/>
      <c r="C1814" s="18"/>
      <c r="D1814" s="18"/>
      <c r="E1814" s="18"/>
      <c r="F1814" s="18"/>
      <c r="G1814" s="18"/>
      <c r="H1814" s="9" t="s">
        <v>5773</v>
      </c>
      <c r="I1814" s="18"/>
      <c r="J1814" s="18"/>
      <c r="K1814" s="18"/>
      <c r="L1814" s="18"/>
      <c r="M1814" s="18"/>
      <c r="N1814" s="18"/>
    </row>
    <row r="1815" spans="1:14" ht="45" x14ac:dyDescent="0.25">
      <c r="A1815" s="18"/>
      <c r="B1815" s="18"/>
      <c r="C1815" s="18"/>
      <c r="D1815" s="18"/>
      <c r="E1815" s="18"/>
      <c r="F1815" s="18"/>
      <c r="G1815" s="18"/>
      <c r="H1815" s="9" t="s">
        <v>5774</v>
      </c>
      <c r="I1815" s="18"/>
      <c r="J1815" s="18"/>
      <c r="K1815" s="18"/>
      <c r="L1815" s="18"/>
      <c r="M1815" s="18"/>
      <c r="N1815" s="18"/>
    </row>
    <row r="1816" spans="1:14" x14ac:dyDescent="0.25">
      <c r="A1816" s="18"/>
      <c r="B1816" s="18"/>
      <c r="C1816" s="18"/>
      <c r="D1816" s="18"/>
      <c r="E1816" s="18"/>
      <c r="F1816" s="18"/>
      <c r="G1816" s="18"/>
      <c r="H1816" s="9"/>
      <c r="I1816" s="18"/>
      <c r="J1816" s="18"/>
      <c r="K1816" s="18"/>
      <c r="L1816" s="18"/>
      <c r="M1816" s="18"/>
      <c r="N1816" s="18"/>
    </row>
    <row r="1817" spans="1:14" ht="30" x14ac:dyDescent="0.25">
      <c r="A1817" s="18"/>
      <c r="B1817" s="18"/>
      <c r="C1817" s="18"/>
      <c r="D1817" s="18"/>
      <c r="E1817" s="18"/>
      <c r="F1817" s="18"/>
      <c r="G1817" s="18"/>
      <c r="H1817" s="9" t="s">
        <v>5775</v>
      </c>
      <c r="I1817" s="18"/>
      <c r="J1817" s="18"/>
      <c r="K1817" s="18"/>
      <c r="L1817" s="18"/>
      <c r="M1817" s="18"/>
      <c r="N1817" s="18"/>
    </row>
    <row r="1818" spans="1:14" ht="90" x14ac:dyDescent="0.25">
      <c r="A1818" s="9" t="s">
        <v>5778</v>
      </c>
      <c r="B1818" s="9" t="s">
        <v>5779</v>
      </c>
      <c r="C1818" s="10" t="s">
        <v>6709</v>
      </c>
      <c r="D1818" s="9" t="s">
        <v>326</v>
      </c>
      <c r="E1818" s="9"/>
      <c r="F1818" s="9"/>
      <c r="G1818" s="9"/>
      <c r="H1818" s="9"/>
      <c r="I1818" s="9" t="s">
        <v>5780</v>
      </c>
      <c r="J1818" s="9"/>
      <c r="K1818" s="9" t="s">
        <v>5781</v>
      </c>
      <c r="L1818" s="9" t="s">
        <v>329</v>
      </c>
      <c r="M1818" s="9" t="str">
        <f>HYPERLINK("https://ceds.ed.gov/cedselementdetails.aspx?termid=13756")</f>
        <v>https://ceds.ed.gov/cedselementdetails.aspx?termid=13756</v>
      </c>
      <c r="N1818" s="9" t="str">
        <f>HYPERLINK("https://ceds.ed.gov/elementComment.aspx?elementName=Teacher Education Credential Exam Type &amp;elementID=13756", "Click here to submit comment")</f>
        <v>Click here to submit comment</v>
      </c>
    </row>
    <row r="1819" spans="1:14" ht="165" x14ac:dyDescent="0.25">
      <c r="A1819" s="9" t="s">
        <v>5782</v>
      </c>
      <c r="B1819" s="9" t="s">
        <v>5783</v>
      </c>
      <c r="C1819" s="10" t="s">
        <v>6710</v>
      </c>
      <c r="D1819" s="9" t="s">
        <v>326</v>
      </c>
      <c r="E1819" s="9"/>
      <c r="F1819" s="9"/>
      <c r="G1819" s="9"/>
      <c r="H1819" s="9"/>
      <c r="I1819" s="9" t="s">
        <v>5784</v>
      </c>
      <c r="J1819" s="9"/>
      <c r="K1819" s="9" t="s">
        <v>5785</v>
      </c>
      <c r="L1819" s="9" t="s">
        <v>329</v>
      </c>
      <c r="M1819" s="9" t="str">
        <f>HYPERLINK("https://ceds.ed.gov/cedselementdetails.aspx?termid=13748")</f>
        <v>https://ceds.ed.gov/cedselementdetails.aspx?termid=13748</v>
      </c>
      <c r="N1819" s="9" t="str">
        <f>HYPERLINK("https://ceds.ed.gov/elementComment.aspx?elementName=Teacher Education Test Company &amp;elementID=13748", "Click here to submit comment")</f>
        <v>Click here to submit comment</v>
      </c>
    </row>
    <row r="1820" spans="1:14" ht="105" x14ac:dyDescent="0.25">
      <c r="A1820" s="9" t="s">
        <v>5786</v>
      </c>
      <c r="B1820" s="9" t="s">
        <v>5787</v>
      </c>
      <c r="C1820" s="9" t="s">
        <v>6106</v>
      </c>
      <c r="D1820" s="9" t="s">
        <v>11759</v>
      </c>
      <c r="E1820" s="9"/>
      <c r="F1820" s="9"/>
      <c r="G1820" s="9"/>
      <c r="H1820" s="9" t="s">
        <v>5788</v>
      </c>
      <c r="I1820" s="9" t="s">
        <v>5789</v>
      </c>
      <c r="J1820" s="9"/>
      <c r="K1820" s="9" t="s">
        <v>5790</v>
      </c>
      <c r="L1820" s="9" t="s">
        <v>5791</v>
      </c>
      <c r="M1820" s="9" t="str">
        <f>HYPERLINK("https://ceds.ed.gov/cedselementdetails.aspx?termid=13649")</f>
        <v>https://ceds.ed.gov/cedselementdetails.aspx?termid=13649</v>
      </c>
      <c r="N1820" s="9" t="str">
        <f>HYPERLINK("https://ceds.ed.gov/elementComment.aspx?elementName=Teacher of Record &amp;elementID=13649", "Click here to submit comment")</f>
        <v>Click here to submit comment</v>
      </c>
    </row>
    <row r="1821" spans="1:14" ht="120" x14ac:dyDescent="0.25">
      <c r="A1821" s="9" t="s">
        <v>5792</v>
      </c>
      <c r="B1821" s="9" t="s">
        <v>5793</v>
      </c>
      <c r="C1821" s="10" t="s">
        <v>6340</v>
      </c>
      <c r="D1821" s="9" t="s">
        <v>326</v>
      </c>
      <c r="E1821" s="9"/>
      <c r="F1821" s="9"/>
      <c r="G1821" s="9"/>
      <c r="H1821" s="9"/>
      <c r="I1821" s="9" t="s">
        <v>5794</v>
      </c>
      <c r="J1821" s="9"/>
      <c r="K1821" s="9" t="s">
        <v>5795</v>
      </c>
      <c r="L1821" s="9" t="s">
        <v>329</v>
      </c>
      <c r="M1821" s="9" t="str">
        <f>HYPERLINK("https://ceds.ed.gov/cedselementdetails.aspx?termid=13750")</f>
        <v>https://ceds.ed.gov/cedselementdetails.aspx?termid=13750</v>
      </c>
      <c r="N1821" s="9" t="str">
        <f>HYPERLINK("https://ceds.ed.gov/elementComment.aspx?elementName=Teacher Preparation Program Completer Status &amp;elementID=13750", "Click here to submit comment")</f>
        <v>Click here to submit comment</v>
      </c>
    </row>
    <row r="1822" spans="1:14" ht="60" x14ac:dyDescent="0.25">
      <c r="A1822" s="9" t="s">
        <v>5796</v>
      </c>
      <c r="B1822" s="9" t="s">
        <v>5797</v>
      </c>
      <c r="C1822" s="10" t="s">
        <v>6711</v>
      </c>
      <c r="D1822" s="9" t="s">
        <v>326</v>
      </c>
      <c r="E1822" s="9"/>
      <c r="F1822" s="9"/>
      <c r="G1822" s="9"/>
      <c r="H1822" s="9"/>
      <c r="I1822" s="9" t="s">
        <v>5798</v>
      </c>
      <c r="J1822" s="9"/>
      <c r="K1822" s="9" t="s">
        <v>5799</v>
      </c>
      <c r="L1822" s="9" t="s">
        <v>329</v>
      </c>
      <c r="M1822" s="9" t="str">
        <f>HYPERLINK("https://ceds.ed.gov/cedselementdetails.aspx?termid=13749")</f>
        <v>https://ceds.ed.gov/cedselementdetails.aspx?termid=13749</v>
      </c>
      <c r="N1822" s="9" t="str">
        <f>HYPERLINK("https://ceds.ed.gov/elementComment.aspx?elementName=Teacher Preparation Program Enrollment Status &amp;elementID=13749", "Click here to submit comment")</f>
        <v>Click here to submit comment</v>
      </c>
    </row>
    <row r="1823" spans="1:14" ht="105" x14ac:dyDescent="0.25">
      <c r="A1823" s="9" t="s">
        <v>5800</v>
      </c>
      <c r="B1823" s="9" t="s">
        <v>5801</v>
      </c>
      <c r="C1823" s="9" t="s">
        <v>6106</v>
      </c>
      <c r="D1823" s="9" t="s">
        <v>11760</v>
      </c>
      <c r="E1823" s="9"/>
      <c r="F1823" s="9"/>
      <c r="G1823" s="9"/>
      <c r="H1823" s="9" t="s">
        <v>5802</v>
      </c>
      <c r="I1823" s="9" t="s">
        <v>5803</v>
      </c>
      <c r="J1823" s="9"/>
      <c r="K1823" s="9" t="s">
        <v>5804</v>
      </c>
      <c r="L1823" s="9"/>
      <c r="M1823" s="9" t="str">
        <f>HYPERLINK("https://ceds.ed.gov/cedselementdetails.aspx?termid=13973")</f>
        <v>https://ceds.ed.gov/cedselementdetails.aspx?termid=13973</v>
      </c>
      <c r="N1823" s="9" t="str">
        <f>HYPERLINK("https://ceds.ed.gov/elementComment.aspx?elementName=Teacher Student Data Link Exclusion Flag &amp;elementID=13973", "Click here to submit comment")</f>
        <v>Click here to submit comment</v>
      </c>
    </row>
    <row r="1824" spans="1:14" ht="105" x14ac:dyDescent="0.25">
      <c r="A1824" s="9" t="s">
        <v>5805</v>
      </c>
      <c r="B1824" s="9" t="s">
        <v>5806</v>
      </c>
      <c r="C1824" s="9" t="s">
        <v>12</v>
      </c>
      <c r="D1824" s="9" t="s">
        <v>11759</v>
      </c>
      <c r="E1824" s="9"/>
      <c r="F1824" s="9" t="s">
        <v>10496</v>
      </c>
      <c r="G1824" s="9"/>
      <c r="H1824" s="9"/>
      <c r="I1824" s="9" t="s">
        <v>5807</v>
      </c>
      <c r="J1824" s="9"/>
      <c r="K1824" s="9" t="s">
        <v>5808</v>
      </c>
      <c r="L1824" s="9" t="s">
        <v>5791</v>
      </c>
      <c r="M1824" s="9" t="str">
        <f>HYPERLINK("https://ceds.ed.gov/cedselementdetails.aspx?termid=13651")</f>
        <v>https://ceds.ed.gov/cedselementdetails.aspx?termid=13651</v>
      </c>
      <c r="N1824" s="9" t="str">
        <f>HYPERLINK("https://ceds.ed.gov/elementComment.aspx?elementName=Teaching Assignment Contribution Percentage &amp;elementID=13651", "Click here to submit comment")</f>
        <v>Click here to submit comment</v>
      </c>
    </row>
    <row r="1825" spans="1:14" ht="45" x14ac:dyDescent="0.25">
      <c r="A1825" s="9" t="s">
        <v>5809</v>
      </c>
      <c r="B1825" s="9" t="s">
        <v>5810</v>
      </c>
      <c r="C1825" s="9" t="s">
        <v>12</v>
      </c>
      <c r="D1825" s="9" t="s">
        <v>3564</v>
      </c>
      <c r="E1825" s="9"/>
      <c r="F1825" s="9" t="s">
        <v>73</v>
      </c>
      <c r="G1825" s="9"/>
      <c r="H1825" s="9"/>
      <c r="I1825" s="9" t="s">
        <v>5811</v>
      </c>
      <c r="J1825" s="9"/>
      <c r="K1825" s="9" t="s">
        <v>5812</v>
      </c>
      <c r="L1825" s="9" t="s">
        <v>5791</v>
      </c>
      <c r="M1825" s="9" t="str">
        <f>HYPERLINK("https://ceds.ed.gov/cedselementdetails.aspx?termid=13648")</f>
        <v>https://ceds.ed.gov/cedselementdetails.aspx?termid=13648</v>
      </c>
      <c r="N1825" s="9" t="str">
        <f>HYPERLINK("https://ceds.ed.gov/elementComment.aspx?elementName=Teaching Assignment End Date &amp;elementID=13648", "Click here to submit comment")</f>
        <v>Click here to submit comment</v>
      </c>
    </row>
    <row r="1826" spans="1:14" ht="105" x14ac:dyDescent="0.25">
      <c r="A1826" s="9" t="s">
        <v>5813</v>
      </c>
      <c r="B1826" s="9" t="s">
        <v>5814</v>
      </c>
      <c r="C1826" s="10" t="s">
        <v>6712</v>
      </c>
      <c r="D1826" s="9" t="s">
        <v>11759</v>
      </c>
      <c r="E1826" s="9"/>
      <c r="F1826" s="9"/>
      <c r="G1826" s="9"/>
      <c r="H1826" s="9"/>
      <c r="I1826" s="9" t="s">
        <v>5815</v>
      </c>
      <c r="J1826" s="9"/>
      <c r="K1826" s="9" t="s">
        <v>5816</v>
      </c>
      <c r="L1826" s="9" t="s">
        <v>5791</v>
      </c>
      <c r="M1826" s="9" t="str">
        <f>HYPERLINK("https://ceds.ed.gov/cedselementdetails.aspx?termid=13650")</f>
        <v>https://ceds.ed.gov/cedselementdetails.aspx?termid=13650</v>
      </c>
      <c r="N1826" s="9" t="str">
        <f>HYPERLINK("https://ceds.ed.gov/elementComment.aspx?elementName=Teaching Assignment Role &amp;elementID=13650", "Click here to submit comment")</f>
        <v>Click here to submit comment</v>
      </c>
    </row>
    <row r="1827" spans="1:14" ht="45" x14ac:dyDescent="0.25">
      <c r="A1827" s="9" t="s">
        <v>5817</v>
      </c>
      <c r="B1827" s="9" t="s">
        <v>5818</v>
      </c>
      <c r="C1827" s="9" t="s">
        <v>12</v>
      </c>
      <c r="D1827" s="9" t="s">
        <v>3564</v>
      </c>
      <c r="E1827" s="9"/>
      <c r="F1827" s="9" t="s">
        <v>73</v>
      </c>
      <c r="G1827" s="9"/>
      <c r="H1827" s="9"/>
      <c r="I1827" s="9" t="s">
        <v>5819</v>
      </c>
      <c r="J1827" s="9"/>
      <c r="K1827" s="9" t="s">
        <v>5820</v>
      </c>
      <c r="L1827" s="9" t="s">
        <v>5791</v>
      </c>
      <c r="M1827" s="9" t="str">
        <f>HYPERLINK("https://ceds.ed.gov/cedselementdetails.aspx?termid=13647")</f>
        <v>https://ceds.ed.gov/cedselementdetails.aspx?termid=13647</v>
      </c>
      <c r="N1827" s="9" t="str">
        <f>HYPERLINK("https://ceds.ed.gov/elementComment.aspx?elementName=Teaching Assignment Start Date &amp;elementID=13647", "Click here to submit comment")</f>
        <v>Click here to submit comment</v>
      </c>
    </row>
    <row r="1828" spans="1:14" ht="240" x14ac:dyDescent="0.25">
      <c r="A1828" s="9" t="s">
        <v>5821</v>
      </c>
      <c r="B1828" s="9" t="s">
        <v>5822</v>
      </c>
      <c r="C1828" s="10" t="s">
        <v>6713</v>
      </c>
      <c r="D1828" s="9" t="s">
        <v>6291</v>
      </c>
      <c r="E1828" s="9"/>
      <c r="F1828" s="9"/>
      <c r="G1828" s="9"/>
      <c r="H1828" s="9"/>
      <c r="I1828" s="9" t="s">
        <v>5823</v>
      </c>
      <c r="J1828" s="9"/>
      <c r="K1828" s="9" t="s">
        <v>5824</v>
      </c>
      <c r="L1828" s="9" t="s">
        <v>329</v>
      </c>
      <c r="M1828" s="9" t="str">
        <f>HYPERLINK("https://ceds.ed.gov/cedselementdetails.aspx?termid=13277")</f>
        <v>https://ceds.ed.gov/cedselementdetails.aspx?termid=13277</v>
      </c>
      <c r="N1828" s="9" t="str">
        <f>HYPERLINK("https://ceds.ed.gov/elementComment.aspx?elementName=Teaching Credential Basis &amp;elementID=13277", "Click here to submit comment")</f>
        <v>Click here to submit comment</v>
      </c>
    </row>
    <row r="1829" spans="1:14" ht="225" x14ac:dyDescent="0.25">
      <c r="A1829" s="9" t="s">
        <v>5825</v>
      </c>
      <c r="B1829" s="9" t="s">
        <v>5826</v>
      </c>
      <c r="C1829" s="10" t="s">
        <v>6714</v>
      </c>
      <c r="D1829" s="9" t="s">
        <v>6292</v>
      </c>
      <c r="E1829" s="9"/>
      <c r="F1829" s="9"/>
      <c r="G1829" s="9"/>
      <c r="H1829" s="9"/>
      <c r="I1829" s="9" t="s">
        <v>5827</v>
      </c>
      <c r="J1829" s="9"/>
      <c r="K1829" s="9" t="s">
        <v>5828</v>
      </c>
      <c r="L1829" s="9" t="s">
        <v>329</v>
      </c>
      <c r="M1829" s="9" t="str">
        <f>HYPERLINK("https://ceds.ed.gov/cedselementdetails.aspx?termid=13278")</f>
        <v>https://ceds.ed.gov/cedselementdetails.aspx?termid=13278</v>
      </c>
      <c r="N1829" s="9" t="str">
        <f>HYPERLINK("https://ceds.ed.gov/elementComment.aspx?elementName=Teaching Credential Type &amp;elementID=13278", "Click here to submit comment")</f>
        <v>Click here to submit comment</v>
      </c>
    </row>
    <row r="1830" spans="1:14" ht="135" x14ac:dyDescent="0.25">
      <c r="A1830" s="9" t="s">
        <v>5829</v>
      </c>
      <c r="B1830" s="9" t="s">
        <v>5830</v>
      </c>
      <c r="C1830" s="9" t="s">
        <v>6106</v>
      </c>
      <c r="D1830" s="9" t="s">
        <v>6293</v>
      </c>
      <c r="E1830" s="9"/>
      <c r="F1830" s="9"/>
      <c r="G1830" s="9"/>
      <c r="H1830" s="9"/>
      <c r="I1830" s="9" t="s">
        <v>5831</v>
      </c>
      <c r="J1830" s="9"/>
      <c r="K1830" s="9" t="s">
        <v>5832</v>
      </c>
      <c r="L1830" s="9"/>
      <c r="M1830" s="9" t="str">
        <f>HYPERLINK("https://ceds.ed.gov/cedselementdetails.aspx?termid=14465")</f>
        <v>https://ceds.ed.gov/cedselementdetails.aspx?termid=14465</v>
      </c>
      <c r="N1830" s="9" t="str">
        <f>HYPERLINK("https://ceds.ed.gov/elementComment.aspx?elementName=Technical Assistance Approved Indicator &amp;elementID=14465", "Click here to submit comment")</f>
        <v>Click here to submit comment</v>
      </c>
    </row>
    <row r="1831" spans="1:14" ht="135" x14ac:dyDescent="0.25">
      <c r="A1831" s="9" t="s">
        <v>5833</v>
      </c>
      <c r="B1831" s="9" t="s">
        <v>5834</v>
      </c>
      <c r="C1831" s="10" t="s">
        <v>6655</v>
      </c>
      <c r="D1831" s="9" t="s">
        <v>6293</v>
      </c>
      <c r="E1831" s="9"/>
      <c r="F1831" s="9"/>
      <c r="G1831" s="9"/>
      <c r="H1831" s="9"/>
      <c r="I1831" s="9" t="s">
        <v>5835</v>
      </c>
      <c r="J1831" s="9"/>
      <c r="K1831" s="9" t="s">
        <v>5836</v>
      </c>
      <c r="L1831" s="9"/>
      <c r="M1831" s="9" t="str">
        <f>HYPERLINK("https://ceds.ed.gov/cedselementdetails.aspx?termid=14466")</f>
        <v>https://ceds.ed.gov/cedselementdetails.aspx?termid=14466</v>
      </c>
      <c r="N1831" s="9" t="str">
        <f>HYPERLINK("https://ceds.ed.gov/elementComment.aspx?elementName=Technical Assistance Delivery Type &amp;elementID=14466", "Click here to submit comment")</f>
        <v>Click here to submit comment</v>
      </c>
    </row>
    <row r="1832" spans="1:14" ht="375" x14ac:dyDescent="0.25">
      <c r="A1832" s="9" t="s">
        <v>5837</v>
      </c>
      <c r="B1832" s="9" t="s">
        <v>5838</v>
      </c>
      <c r="C1832" s="10" t="s">
        <v>6715</v>
      </c>
      <c r="D1832" s="9" t="s">
        <v>6293</v>
      </c>
      <c r="E1832" s="9"/>
      <c r="F1832" s="9"/>
      <c r="G1832" s="9"/>
      <c r="H1832" s="9"/>
      <c r="I1832" s="9" t="s">
        <v>5839</v>
      </c>
      <c r="J1832" s="9"/>
      <c r="K1832" s="9" t="s">
        <v>5840</v>
      </c>
      <c r="L1832" s="9"/>
      <c r="M1832" s="9" t="str">
        <f>HYPERLINK("https://ceds.ed.gov/cedselementdetails.aspx?termid=14467")</f>
        <v>https://ceds.ed.gov/cedselementdetails.aspx?termid=14467</v>
      </c>
      <c r="N1832" s="9" t="str">
        <f>HYPERLINK("https://ceds.ed.gov/elementComment.aspx?elementName=Technical Assistance Type &amp;elementID=14467", "Click here to submit comment")</f>
        <v>Click here to submit comment</v>
      </c>
    </row>
    <row r="1833" spans="1:14" ht="75" x14ac:dyDescent="0.25">
      <c r="A1833" s="9" t="s">
        <v>5841</v>
      </c>
      <c r="B1833" s="9" t="s">
        <v>5842</v>
      </c>
      <c r="C1833" s="10" t="s">
        <v>6716</v>
      </c>
      <c r="D1833" s="9" t="s">
        <v>28</v>
      </c>
      <c r="E1833" s="9"/>
      <c r="F1833" s="9"/>
      <c r="G1833" s="9"/>
      <c r="H1833" s="9"/>
      <c r="I1833" s="9" t="s">
        <v>5843</v>
      </c>
      <c r="J1833" s="9"/>
      <c r="K1833" s="9" t="s">
        <v>5844</v>
      </c>
      <c r="L1833" s="9" t="s">
        <v>199</v>
      </c>
      <c r="M1833" s="9" t="str">
        <f>HYPERLINK("https://ceds.ed.gov/cedselementdetails.aspx?termid=13558")</f>
        <v>https://ceds.ed.gov/cedselementdetails.aspx?termid=13558</v>
      </c>
      <c r="N1833" s="9" t="str">
        <f>HYPERLINK("https://ceds.ed.gov/elementComment.aspx?elementName=Technology Literacy Status in 8th Grade &amp;elementID=13558", "Click here to submit comment")</f>
        <v>Click here to submit comment</v>
      </c>
    </row>
    <row r="1834" spans="1:14" ht="60" x14ac:dyDescent="0.25">
      <c r="A1834" s="9" t="s">
        <v>5845</v>
      </c>
      <c r="B1834" s="9" t="s">
        <v>5846</v>
      </c>
      <c r="C1834" s="9" t="s">
        <v>6106</v>
      </c>
      <c r="D1834" s="9" t="s">
        <v>2754</v>
      </c>
      <c r="E1834" s="9"/>
      <c r="F1834" s="9"/>
      <c r="G1834" s="9"/>
      <c r="H1834" s="9"/>
      <c r="I1834" s="9" t="s">
        <v>5847</v>
      </c>
      <c r="J1834" s="9"/>
      <c r="K1834" s="9" t="s">
        <v>5848</v>
      </c>
      <c r="L1834" s="9" t="s">
        <v>199</v>
      </c>
      <c r="M1834" s="9" t="str">
        <f>HYPERLINK("https://ceds.ed.gov/cedselementdetails.aspx?termid=13537")</f>
        <v>https://ceds.ed.gov/cedselementdetails.aspx?termid=13537</v>
      </c>
      <c r="N1834" s="9" t="str">
        <f>HYPERLINK("https://ceds.ed.gov/elementComment.aspx?elementName=Technology Skills Standards Met &amp;elementID=13537", "Click here to submit comment")</f>
        <v>Click here to submit comment</v>
      </c>
    </row>
    <row r="1835" spans="1:14" ht="409.5" x14ac:dyDescent="0.25">
      <c r="A1835" s="9" t="s">
        <v>5849</v>
      </c>
      <c r="B1835" s="9" t="s">
        <v>5850</v>
      </c>
      <c r="C1835" s="9" t="s">
        <v>12</v>
      </c>
      <c r="D1835" s="9" t="s">
        <v>11761</v>
      </c>
      <c r="E1835" s="9"/>
      <c r="F1835" s="9" t="s">
        <v>5851</v>
      </c>
      <c r="G1835" s="9"/>
      <c r="H1835" s="9"/>
      <c r="I1835" s="9" t="s">
        <v>5852</v>
      </c>
      <c r="J1835" s="9"/>
      <c r="K1835" s="9" t="s">
        <v>5853</v>
      </c>
      <c r="L1835" s="9" t="s">
        <v>6109</v>
      </c>
      <c r="M1835" s="9" t="str">
        <f>HYPERLINK("https://ceds.ed.gov/cedselementdetails.aspx?termid=13279")</f>
        <v>https://ceds.ed.gov/cedselementdetails.aspx?termid=13279</v>
      </c>
      <c r="N1835" s="9" t="str">
        <f>HYPERLINK("https://ceds.ed.gov/elementComment.aspx?elementName=Telephone Number &amp;elementID=13279", "Click here to submit comment")</f>
        <v>Click here to submit comment</v>
      </c>
    </row>
    <row r="1836" spans="1:14" ht="409.5" x14ac:dyDescent="0.25">
      <c r="A1836" s="9" t="s">
        <v>5854</v>
      </c>
      <c r="B1836" s="9" t="s">
        <v>5855</v>
      </c>
      <c r="C1836" s="10" t="s">
        <v>6717</v>
      </c>
      <c r="D1836" s="9" t="s">
        <v>11762</v>
      </c>
      <c r="E1836" s="9"/>
      <c r="F1836" s="9" t="s">
        <v>1900</v>
      </c>
      <c r="G1836" s="9"/>
      <c r="H1836" s="9"/>
      <c r="I1836" s="9" t="s">
        <v>5856</v>
      </c>
      <c r="J1836" s="9"/>
      <c r="K1836" s="9" t="s">
        <v>5857</v>
      </c>
      <c r="L1836" s="9" t="s">
        <v>6109</v>
      </c>
      <c r="M1836" s="9" t="str">
        <f>HYPERLINK("https://ceds.ed.gov/cedselementdetails.aspx?termid=13280")</f>
        <v>https://ceds.ed.gov/cedselementdetails.aspx?termid=13280</v>
      </c>
      <c r="N1836" s="9" t="str">
        <f>HYPERLINK("https://ceds.ed.gov/elementComment.aspx?elementName=Telephone Number Type &amp;elementID=13280", "Click here to submit comment")</f>
        <v>Click here to submit comment</v>
      </c>
    </row>
    <row r="1837" spans="1:14" ht="45" x14ac:dyDescent="0.25">
      <c r="A1837" s="9" t="s">
        <v>5858</v>
      </c>
      <c r="B1837" s="9" t="s">
        <v>5859</v>
      </c>
      <c r="C1837" s="9" t="s">
        <v>6106</v>
      </c>
      <c r="D1837" s="9" t="s">
        <v>1664</v>
      </c>
      <c r="E1837" s="9"/>
      <c r="F1837" s="9"/>
      <c r="G1837" s="9"/>
      <c r="H1837" s="9"/>
      <c r="I1837" s="9" t="s">
        <v>5860</v>
      </c>
      <c r="J1837" s="9"/>
      <c r="K1837" s="9" t="s">
        <v>5861</v>
      </c>
      <c r="L1837" s="9" t="s">
        <v>37</v>
      </c>
      <c r="M1837" s="9" t="str">
        <f>HYPERLINK("https://ceds.ed.gov/cedselementdetails.aspx?termid=13715")</f>
        <v>https://ceds.ed.gov/cedselementdetails.aspx?termid=13715</v>
      </c>
      <c r="N1837" s="9" t="str">
        <f>HYPERLINK("https://ceds.ed.gov/elementComment.aspx?elementName=Tenure System &amp;elementID=13715", "Click here to submit comment")</f>
        <v>Click here to submit comment</v>
      </c>
    </row>
    <row r="1838" spans="1:14" ht="45" x14ac:dyDescent="0.25">
      <c r="A1838" s="9" t="s">
        <v>5862</v>
      </c>
      <c r="B1838" s="9" t="s">
        <v>5863</v>
      </c>
      <c r="C1838" s="9" t="s">
        <v>6106</v>
      </c>
      <c r="D1838" s="9" t="s">
        <v>1522</v>
      </c>
      <c r="E1838" s="9"/>
      <c r="F1838" s="9"/>
      <c r="G1838" s="9"/>
      <c r="H1838" s="9"/>
      <c r="I1838" s="9" t="s">
        <v>5864</v>
      </c>
      <c r="J1838" s="9"/>
      <c r="K1838" s="9" t="s">
        <v>5865</v>
      </c>
      <c r="L1838" s="9" t="s">
        <v>188</v>
      </c>
      <c r="M1838" s="9" t="str">
        <f>HYPERLINK("https://ceds.ed.gov/cedselementdetails.aspx?termid=13473")</f>
        <v>https://ceds.ed.gov/cedselementdetails.aspx?termid=13473</v>
      </c>
      <c r="N1838" s="9" t="str">
        <f>HYPERLINK("https://ceds.ed.gov/elementComment.aspx?elementName=Terminated Title III Programs Due to Failure &amp;elementID=13473", "Click here to submit comment")</f>
        <v>Click here to submit comment</v>
      </c>
    </row>
    <row r="1839" spans="1:14" ht="45" x14ac:dyDescent="0.25">
      <c r="A1839" s="9" t="s">
        <v>5866</v>
      </c>
      <c r="B1839" s="9" t="s">
        <v>5867</v>
      </c>
      <c r="C1839" s="9" t="s">
        <v>12</v>
      </c>
      <c r="D1839" s="9" t="s">
        <v>2351</v>
      </c>
      <c r="E1839" s="9"/>
      <c r="F1839" s="9" t="s">
        <v>303</v>
      </c>
      <c r="G1839" s="9"/>
      <c r="H1839" s="9"/>
      <c r="I1839" s="9" t="s">
        <v>5868</v>
      </c>
      <c r="J1839" s="9"/>
      <c r="K1839" s="9" t="s">
        <v>5869</v>
      </c>
      <c r="L1839" s="9"/>
      <c r="M1839" s="9" t="str">
        <f>HYPERLINK("https://ceds.ed.gov/cedselementdetails.aspx?termid=14468")</f>
        <v>https://ceds.ed.gov/cedselementdetails.aspx?termid=14468</v>
      </c>
      <c r="N1839" s="9" t="str">
        <f>HYPERLINK("https://ceds.ed.gov/elementComment.aspx?elementName=Thesis or Dissertation Title &amp;elementID=14468", "Click here to submit comment")</f>
        <v>Click here to submit comment</v>
      </c>
    </row>
    <row r="1840" spans="1:14" ht="105" x14ac:dyDescent="0.25">
      <c r="A1840" s="18" t="s">
        <v>5870</v>
      </c>
      <c r="B1840" s="18" t="s">
        <v>5871</v>
      </c>
      <c r="C1840" s="18" t="s">
        <v>12</v>
      </c>
      <c r="D1840" s="18" t="s">
        <v>10731</v>
      </c>
      <c r="E1840" s="18"/>
      <c r="F1840" s="18" t="s">
        <v>119</v>
      </c>
      <c r="G1840" s="18"/>
      <c r="H1840" s="9" t="s">
        <v>120</v>
      </c>
      <c r="I1840" s="18" t="s">
        <v>5872</v>
      </c>
      <c r="J1840" s="18"/>
      <c r="K1840" s="18" t="s">
        <v>5873</v>
      </c>
      <c r="L1840" s="18"/>
      <c r="M1840" s="18" t="str">
        <f>HYPERLINK("https://ceds.ed.gov/cedselementdetails.aspx?termid=13514")</f>
        <v>https://ceds.ed.gov/cedselementdetails.aspx?termid=13514</v>
      </c>
      <c r="N1840" s="18" t="str">
        <f>HYPERLINK("https://ceds.ed.gov/elementComment.aspx?elementName=Timetable Day Identifier &amp;elementID=13514", "Click here to submit comment")</f>
        <v>Click here to submit comment</v>
      </c>
    </row>
    <row r="1841" spans="1:14" x14ac:dyDescent="0.25">
      <c r="A1841" s="18"/>
      <c r="B1841" s="18"/>
      <c r="C1841" s="18"/>
      <c r="D1841" s="18"/>
      <c r="E1841" s="18"/>
      <c r="F1841" s="18"/>
      <c r="G1841" s="18"/>
      <c r="H1841" s="9"/>
      <c r="I1841" s="18"/>
      <c r="J1841" s="18"/>
      <c r="K1841" s="18"/>
      <c r="L1841" s="18"/>
      <c r="M1841" s="18"/>
      <c r="N1841" s="18"/>
    </row>
    <row r="1842" spans="1:14" ht="90" x14ac:dyDescent="0.25">
      <c r="A1842" s="18"/>
      <c r="B1842" s="18"/>
      <c r="C1842" s="18"/>
      <c r="D1842" s="18"/>
      <c r="E1842" s="18"/>
      <c r="F1842" s="18"/>
      <c r="G1842" s="18"/>
      <c r="H1842" s="9" t="s">
        <v>121</v>
      </c>
      <c r="I1842" s="18"/>
      <c r="J1842" s="18"/>
      <c r="K1842" s="18"/>
      <c r="L1842" s="18"/>
      <c r="M1842" s="18"/>
      <c r="N1842" s="18"/>
    </row>
    <row r="1843" spans="1:14" ht="120" x14ac:dyDescent="0.25">
      <c r="A1843" s="9" t="s">
        <v>5874</v>
      </c>
      <c r="B1843" s="9" t="s">
        <v>5875</v>
      </c>
      <c r="C1843" s="10" t="s">
        <v>6718</v>
      </c>
      <c r="D1843" s="9" t="s">
        <v>5296</v>
      </c>
      <c r="E1843" s="9"/>
      <c r="F1843" s="9"/>
      <c r="G1843" s="9"/>
      <c r="H1843" s="9"/>
      <c r="I1843" s="9" t="s">
        <v>5876</v>
      </c>
      <c r="J1843" s="9"/>
      <c r="K1843" s="9" t="s">
        <v>5877</v>
      </c>
      <c r="L1843" s="9" t="s">
        <v>6109</v>
      </c>
      <c r="M1843" s="9" t="str">
        <f>HYPERLINK("https://ceds.ed.gov/cedselementdetails.aspx?termid=13281")</f>
        <v>https://ceds.ed.gov/cedselementdetails.aspx?termid=13281</v>
      </c>
      <c r="N1843" s="9" t="str">
        <f>HYPERLINK("https://ceds.ed.gov/elementComment.aspx?elementName=Title I Indicator &amp;elementID=13281", "Click here to submit comment")</f>
        <v>Click here to submit comment</v>
      </c>
    </row>
    <row r="1844" spans="1:14" ht="135" x14ac:dyDescent="0.25">
      <c r="A1844" s="9" t="s">
        <v>5878</v>
      </c>
      <c r="B1844" s="9" t="s">
        <v>5879</v>
      </c>
      <c r="C1844" s="10" t="s">
        <v>6719</v>
      </c>
      <c r="D1844" s="9" t="s">
        <v>3578</v>
      </c>
      <c r="E1844" s="9"/>
      <c r="F1844" s="9"/>
      <c r="G1844" s="9"/>
      <c r="H1844" s="9"/>
      <c r="I1844" s="9" t="s">
        <v>5880</v>
      </c>
      <c r="J1844" s="9"/>
      <c r="K1844" s="9" t="s">
        <v>5881</v>
      </c>
      <c r="L1844" s="9" t="s">
        <v>199</v>
      </c>
      <c r="M1844" s="9" t="str">
        <f>HYPERLINK("https://ceds.ed.gov/cedselementdetails.aspx?termid=13282")</f>
        <v>https://ceds.ed.gov/cedselementdetails.aspx?termid=13282</v>
      </c>
      <c r="N1844" s="9" t="str">
        <f>HYPERLINK("https://ceds.ed.gov/elementComment.aspx?elementName=Title I Instructional Services &amp;elementID=13282", "Click here to submit comment")</f>
        <v>Click here to submit comment</v>
      </c>
    </row>
    <row r="1845" spans="1:14" ht="150" x14ac:dyDescent="0.25">
      <c r="A1845" s="9" t="s">
        <v>5882</v>
      </c>
      <c r="B1845" s="9" t="s">
        <v>5883</v>
      </c>
      <c r="C1845" s="10" t="s">
        <v>6720</v>
      </c>
      <c r="D1845" s="9" t="s">
        <v>3564</v>
      </c>
      <c r="E1845" s="9"/>
      <c r="F1845" s="9"/>
      <c r="G1845" s="9"/>
      <c r="H1845" s="9"/>
      <c r="I1845" s="9" t="s">
        <v>5884</v>
      </c>
      <c r="J1845" s="9"/>
      <c r="K1845" s="9" t="s">
        <v>5885</v>
      </c>
      <c r="L1845" s="9" t="s">
        <v>199</v>
      </c>
      <c r="M1845" s="9" t="str">
        <f>HYPERLINK("https://ceds.ed.gov/cedselementdetails.aspx?termid=13283")</f>
        <v>https://ceds.ed.gov/cedselementdetails.aspx?termid=13283</v>
      </c>
      <c r="N1845" s="9" t="str">
        <f>HYPERLINK("https://ceds.ed.gov/elementComment.aspx?elementName=Title I Program Staff Category &amp;elementID=13283", "Click here to submit comment")</f>
        <v>Click here to submit comment</v>
      </c>
    </row>
    <row r="1846" spans="1:14" ht="135" x14ac:dyDescent="0.25">
      <c r="A1846" s="9" t="s">
        <v>5886</v>
      </c>
      <c r="B1846" s="9" t="s">
        <v>5887</v>
      </c>
      <c r="C1846" s="10" t="s">
        <v>6721</v>
      </c>
      <c r="D1846" s="9" t="s">
        <v>6294</v>
      </c>
      <c r="E1846" s="9"/>
      <c r="F1846" s="9"/>
      <c r="G1846" s="9"/>
      <c r="H1846" s="9"/>
      <c r="I1846" s="9" t="s">
        <v>5888</v>
      </c>
      <c r="J1846" s="9"/>
      <c r="K1846" s="9" t="s">
        <v>5889</v>
      </c>
      <c r="L1846" s="9" t="s">
        <v>199</v>
      </c>
      <c r="M1846" s="9" t="str">
        <f>HYPERLINK("https://ceds.ed.gov/cedselementdetails.aspx?termid=13284")</f>
        <v>https://ceds.ed.gov/cedselementdetails.aspx?termid=13284</v>
      </c>
      <c r="N1846" s="9" t="str">
        <f>HYPERLINK("https://ceds.ed.gov/elementComment.aspx?elementName=Title I Program Type &amp;elementID=13284", "Click here to submit comment")</f>
        <v>Click here to submit comment</v>
      </c>
    </row>
    <row r="1847" spans="1:14" ht="195" x14ac:dyDescent="0.25">
      <c r="A1847" s="9" t="s">
        <v>5890</v>
      </c>
      <c r="B1847" s="9" t="s">
        <v>5891</v>
      </c>
      <c r="C1847" s="10" t="s">
        <v>6722</v>
      </c>
      <c r="D1847" s="9" t="s">
        <v>67</v>
      </c>
      <c r="E1847" s="9"/>
      <c r="F1847" s="9"/>
      <c r="G1847" s="9"/>
      <c r="H1847" s="9"/>
      <c r="I1847" s="9" t="s">
        <v>5892</v>
      </c>
      <c r="J1847" s="9"/>
      <c r="K1847" s="9" t="s">
        <v>5893</v>
      </c>
      <c r="L1847" s="9" t="s">
        <v>199</v>
      </c>
      <c r="M1847" s="9" t="str">
        <f>HYPERLINK("https://ceds.ed.gov/cedselementdetails.aspx?termid=13285")</f>
        <v>https://ceds.ed.gov/cedselementdetails.aspx?termid=13285</v>
      </c>
      <c r="N1847" s="9" t="str">
        <f>HYPERLINK("https://ceds.ed.gov/elementComment.aspx?elementName=Title I School Status &amp;elementID=13285", "Click here to submit comment")</f>
        <v>Click here to submit comment</v>
      </c>
    </row>
    <row r="1848" spans="1:14" ht="90" x14ac:dyDescent="0.25">
      <c r="A1848" s="9" t="s">
        <v>5894</v>
      </c>
      <c r="B1848" s="9" t="s">
        <v>5895</v>
      </c>
      <c r="C1848" s="9" t="s">
        <v>6106</v>
      </c>
      <c r="D1848" s="9" t="s">
        <v>5296</v>
      </c>
      <c r="E1848" s="9"/>
      <c r="F1848" s="9"/>
      <c r="G1848" s="9"/>
      <c r="H1848" s="9"/>
      <c r="I1848" s="9" t="s">
        <v>5896</v>
      </c>
      <c r="J1848" s="9"/>
      <c r="K1848" s="9" t="s">
        <v>5897</v>
      </c>
      <c r="L1848" s="9" t="s">
        <v>199</v>
      </c>
      <c r="M1848" s="9" t="str">
        <f>HYPERLINK("https://ceds.ed.gov/cedselementdetails.aspx?termid=13286")</f>
        <v>https://ceds.ed.gov/cedselementdetails.aspx?termid=13286</v>
      </c>
      <c r="N1848" s="9" t="str">
        <f>HYPERLINK("https://ceds.ed.gov/elementComment.aspx?elementName=Title I School Supplemental Services Applied Status &amp;elementID=13286", "Click here to submit comment")</f>
        <v>Click here to submit comment</v>
      </c>
    </row>
    <row r="1849" spans="1:14" ht="75" x14ac:dyDescent="0.25">
      <c r="A1849" s="9" t="s">
        <v>5898</v>
      </c>
      <c r="B1849" s="9" t="s">
        <v>5899</v>
      </c>
      <c r="C1849" s="9" t="s">
        <v>6106</v>
      </c>
      <c r="D1849" s="9" t="s">
        <v>5296</v>
      </c>
      <c r="E1849" s="9"/>
      <c r="F1849" s="9"/>
      <c r="G1849" s="9"/>
      <c r="H1849" s="9"/>
      <c r="I1849" s="9" t="s">
        <v>5900</v>
      </c>
      <c r="J1849" s="9"/>
      <c r="K1849" s="9" t="s">
        <v>5901</v>
      </c>
      <c r="L1849" s="9" t="s">
        <v>199</v>
      </c>
      <c r="M1849" s="9" t="str">
        <f>HYPERLINK("https://ceds.ed.gov/cedselementdetails.aspx?termid=13287")</f>
        <v>https://ceds.ed.gov/cedselementdetails.aspx?termid=13287</v>
      </c>
      <c r="N1849" s="9" t="str">
        <f>HYPERLINK("https://ceds.ed.gov/elementComment.aspx?elementName=Title I School Supplemental Services Eligible Status &amp;elementID=13287", "Click here to submit comment")</f>
        <v>Click here to submit comment</v>
      </c>
    </row>
    <row r="1850" spans="1:14" ht="75" x14ac:dyDescent="0.25">
      <c r="A1850" s="9" t="s">
        <v>5902</v>
      </c>
      <c r="B1850" s="9" t="s">
        <v>5903</v>
      </c>
      <c r="C1850" s="9" t="s">
        <v>6106</v>
      </c>
      <c r="D1850" s="9" t="s">
        <v>5296</v>
      </c>
      <c r="E1850" s="9"/>
      <c r="F1850" s="9"/>
      <c r="G1850" s="9"/>
      <c r="H1850" s="9"/>
      <c r="I1850" s="9" t="s">
        <v>5904</v>
      </c>
      <c r="J1850" s="9"/>
      <c r="K1850" s="9" t="s">
        <v>5905</v>
      </c>
      <c r="L1850" s="9" t="s">
        <v>199</v>
      </c>
      <c r="M1850" s="9" t="str">
        <f>HYPERLINK("https://ceds.ed.gov/cedselementdetails.aspx?termid=13288")</f>
        <v>https://ceds.ed.gov/cedselementdetails.aspx?termid=13288</v>
      </c>
      <c r="N1850" s="9" t="str">
        <f>HYPERLINK("https://ceds.ed.gov/elementComment.aspx?elementName=Title I School Supplemental Services Received Status &amp;elementID=13288", "Click here to submit comment")</f>
        <v>Click here to submit comment</v>
      </c>
    </row>
    <row r="1851" spans="1:14" ht="60" x14ac:dyDescent="0.25">
      <c r="A1851" s="9" t="s">
        <v>5906</v>
      </c>
      <c r="B1851" s="9" t="s">
        <v>5907</v>
      </c>
      <c r="C1851" s="9" t="s">
        <v>6106</v>
      </c>
      <c r="D1851" s="9" t="s">
        <v>5296</v>
      </c>
      <c r="E1851" s="9"/>
      <c r="F1851" s="9"/>
      <c r="G1851" s="9"/>
      <c r="H1851" s="9"/>
      <c r="I1851" s="9" t="s">
        <v>5908</v>
      </c>
      <c r="J1851" s="9"/>
      <c r="K1851" s="9" t="s">
        <v>5909</v>
      </c>
      <c r="L1851" s="9" t="s">
        <v>199</v>
      </c>
      <c r="M1851" s="9" t="str">
        <f>HYPERLINK("https://ceds.ed.gov/cedselementdetails.aspx?termid=13541")</f>
        <v>https://ceds.ed.gov/cedselementdetails.aspx?termid=13541</v>
      </c>
      <c r="N1851" s="9" t="str">
        <f>HYPERLINK("https://ceds.ed.gov/elementComment.aspx?elementName=Title I Schoolwide Program Participation &amp;elementID=13541", "Click here to submit comment")</f>
        <v>Click here to submit comment</v>
      </c>
    </row>
    <row r="1852" spans="1:14" ht="90" x14ac:dyDescent="0.25">
      <c r="A1852" s="9" t="s">
        <v>5910</v>
      </c>
      <c r="B1852" s="9" t="s">
        <v>5911</v>
      </c>
      <c r="C1852" s="10" t="s">
        <v>6723</v>
      </c>
      <c r="D1852" s="9" t="s">
        <v>3578</v>
      </c>
      <c r="E1852" s="9"/>
      <c r="F1852" s="9"/>
      <c r="G1852" s="9"/>
      <c r="H1852" s="9"/>
      <c r="I1852" s="9" t="s">
        <v>5912</v>
      </c>
      <c r="J1852" s="9"/>
      <c r="K1852" s="9" t="s">
        <v>5913</v>
      </c>
      <c r="L1852" s="9" t="s">
        <v>199</v>
      </c>
      <c r="M1852" s="9" t="str">
        <f>HYPERLINK("https://ceds.ed.gov/cedselementdetails.aspx?termid=13289")</f>
        <v>https://ceds.ed.gov/cedselementdetails.aspx?termid=13289</v>
      </c>
      <c r="N1852" s="9" t="str">
        <f>HYPERLINK("https://ceds.ed.gov/elementComment.aspx?elementName=Title I Support Services &amp;elementID=13289", "Click here to submit comment")</f>
        <v>Click here to submit comment</v>
      </c>
    </row>
    <row r="1853" spans="1:14" ht="75" x14ac:dyDescent="0.25">
      <c r="A1853" s="9" t="s">
        <v>5914</v>
      </c>
      <c r="B1853" s="9" t="s">
        <v>5915</v>
      </c>
      <c r="C1853" s="9" t="s">
        <v>6106</v>
      </c>
      <c r="D1853" s="9" t="s">
        <v>5296</v>
      </c>
      <c r="E1853" s="9"/>
      <c r="F1853" s="9"/>
      <c r="G1853" s="9"/>
      <c r="H1853" s="9"/>
      <c r="I1853" s="9" t="s">
        <v>5916</v>
      </c>
      <c r="J1853" s="9"/>
      <c r="K1853" s="9" t="s">
        <v>5917</v>
      </c>
      <c r="L1853" s="9" t="s">
        <v>199</v>
      </c>
      <c r="M1853" s="9" t="str">
        <f>HYPERLINK("https://ceds.ed.gov/cedselementdetails.aspx?termid=13542")</f>
        <v>https://ceds.ed.gov/cedselementdetails.aspx?termid=13542</v>
      </c>
      <c r="N1853" s="9" t="str">
        <f>HYPERLINK("https://ceds.ed.gov/elementComment.aspx?elementName=Title I Targeted Assistance Participation &amp;elementID=13542", "Click here to submit comment")</f>
        <v>Click here to submit comment</v>
      </c>
    </row>
    <row r="1854" spans="1:14" ht="60" x14ac:dyDescent="0.25">
      <c r="A1854" s="9" t="s">
        <v>5918</v>
      </c>
      <c r="B1854" s="9" t="s">
        <v>5919</v>
      </c>
      <c r="C1854" s="9" t="s">
        <v>6106</v>
      </c>
      <c r="D1854" s="9" t="s">
        <v>1855</v>
      </c>
      <c r="E1854" s="9"/>
      <c r="F1854" s="9"/>
      <c r="G1854" s="9"/>
      <c r="H1854" s="9"/>
      <c r="I1854" s="9" t="s">
        <v>5920</v>
      </c>
      <c r="J1854" s="9"/>
      <c r="K1854" s="9" t="s">
        <v>5921</v>
      </c>
      <c r="L1854" s="9"/>
      <c r="M1854" s="9" t="str">
        <f>HYPERLINK("https://ceds.ed.gov/cedselementdetails.aspx?termid=13543")</f>
        <v>https://ceds.ed.gov/cedselementdetails.aspx?termid=13543</v>
      </c>
      <c r="N1854" s="9" t="str">
        <f>HYPERLINK("https://ceds.ed.gov/elementComment.aspx?elementName=Title I Targeted Assistance Staff Funded &amp;elementID=13543", "Click here to submit comment")</f>
        <v>Click here to submit comment</v>
      </c>
    </row>
    <row r="1855" spans="1:14" ht="60" x14ac:dyDescent="0.25">
      <c r="A1855" s="9" t="s">
        <v>5922</v>
      </c>
      <c r="B1855" s="9" t="s">
        <v>5923</v>
      </c>
      <c r="C1855" s="10" t="s">
        <v>6724</v>
      </c>
      <c r="D1855" s="9" t="s">
        <v>11144</v>
      </c>
      <c r="E1855" s="9"/>
      <c r="F1855" s="9"/>
      <c r="G1855" s="9"/>
      <c r="H1855" s="9"/>
      <c r="I1855" s="9" t="s">
        <v>5924</v>
      </c>
      <c r="J1855" s="9"/>
      <c r="K1855" s="9" t="s">
        <v>5925</v>
      </c>
      <c r="L1855" s="9" t="s">
        <v>199</v>
      </c>
      <c r="M1855" s="9" t="str">
        <f>HYPERLINK("https://ceds.ed.gov/cedselementdetails.aspx?termid=13527")</f>
        <v>https://ceds.ed.gov/cedselementdetails.aspx?termid=13527</v>
      </c>
      <c r="N1855" s="9" t="str">
        <f>HYPERLINK("https://ceds.ed.gov/elementComment.aspx?elementName=Title III Accountability Progress Status &amp;elementID=13527", "Click here to submit comment")</f>
        <v>Click here to submit comment</v>
      </c>
    </row>
    <row r="1856" spans="1:14" ht="75" x14ac:dyDescent="0.25">
      <c r="A1856" s="9" t="s">
        <v>11763</v>
      </c>
      <c r="B1856" s="9" t="s">
        <v>11764</v>
      </c>
      <c r="C1856" s="9" t="s">
        <v>6106</v>
      </c>
      <c r="D1856" s="9" t="s">
        <v>11144</v>
      </c>
      <c r="E1856" s="9" t="s">
        <v>91</v>
      </c>
      <c r="F1856" s="9"/>
      <c r="G1856" s="9" t="s">
        <v>11145</v>
      </c>
      <c r="H1856" s="9"/>
      <c r="I1856" s="9" t="s">
        <v>5938</v>
      </c>
      <c r="J1856" s="9" t="s">
        <v>5939</v>
      </c>
      <c r="K1856" s="9" t="s">
        <v>11765</v>
      </c>
      <c r="L1856" s="9" t="s">
        <v>199</v>
      </c>
      <c r="M1856" s="9" t="str">
        <f>HYPERLINK("https://ceds.ed.gov/cedselementdetails.aspx?termid=13557")</f>
        <v>https://ceds.ed.gov/cedselementdetails.aspx?termid=13557</v>
      </c>
      <c r="N1856" s="9" t="str">
        <f>HYPERLINK("https://ceds.ed.gov/elementComment.aspx?elementName=Title III English Learner Participation Status &amp;elementID=13557", "Click here to submit comment")</f>
        <v>Click here to submit comment</v>
      </c>
    </row>
    <row r="1857" spans="1:14" ht="90" x14ac:dyDescent="0.25">
      <c r="A1857" s="9" t="s">
        <v>5926</v>
      </c>
      <c r="B1857" s="9" t="s">
        <v>5927</v>
      </c>
      <c r="C1857" s="9" t="s">
        <v>6106</v>
      </c>
      <c r="D1857" s="9" t="s">
        <v>2928</v>
      </c>
      <c r="E1857" s="9"/>
      <c r="F1857" s="9"/>
      <c r="G1857" s="9"/>
      <c r="H1857" s="9"/>
      <c r="I1857" s="9" t="s">
        <v>5928</v>
      </c>
      <c r="J1857" s="9"/>
      <c r="K1857" s="9" t="s">
        <v>5929</v>
      </c>
      <c r="L1857" s="9" t="s">
        <v>199</v>
      </c>
      <c r="M1857" s="9" t="str">
        <f>HYPERLINK("https://ceds.ed.gov/cedselementdetails.aspx?termid=13290")</f>
        <v>https://ceds.ed.gov/cedselementdetails.aspx?termid=13290</v>
      </c>
      <c r="N1857" s="9" t="str">
        <f>HYPERLINK("https://ceds.ed.gov/elementComment.aspx?elementName=Title III Immigrant Participation Status &amp;elementID=13290", "Click here to submit comment")</f>
        <v>Click here to submit comment</v>
      </c>
    </row>
    <row r="1858" spans="1:14" ht="120" x14ac:dyDescent="0.25">
      <c r="A1858" s="9" t="s">
        <v>5930</v>
      </c>
      <c r="B1858" s="9" t="s">
        <v>5931</v>
      </c>
      <c r="C1858" s="9" t="s">
        <v>6106</v>
      </c>
      <c r="D1858" s="9" t="s">
        <v>2928</v>
      </c>
      <c r="E1858" s="9"/>
      <c r="F1858" s="9"/>
      <c r="G1858" s="9"/>
      <c r="H1858" s="9"/>
      <c r="I1858" s="9" t="s">
        <v>5932</v>
      </c>
      <c r="J1858" s="9"/>
      <c r="K1858" s="9" t="s">
        <v>5933</v>
      </c>
      <c r="L1858" s="9" t="s">
        <v>6109</v>
      </c>
      <c r="M1858" s="9" t="str">
        <f>HYPERLINK("https://ceds.ed.gov/cedselementdetails.aspx?termid=13291")</f>
        <v>https://ceds.ed.gov/cedselementdetails.aspx?termid=13291</v>
      </c>
      <c r="N1858" s="9" t="str">
        <f>HYPERLINK("https://ceds.ed.gov/elementComment.aspx?elementName=Title III Immigrant Status &amp;elementID=13291", "Click here to submit comment")</f>
        <v>Click here to submit comment</v>
      </c>
    </row>
    <row r="1859" spans="1:14" ht="270" x14ac:dyDescent="0.25">
      <c r="A1859" s="9" t="s">
        <v>5934</v>
      </c>
      <c r="B1859" s="9" t="s">
        <v>5935</v>
      </c>
      <c r="C1859" s="10" t="s">
        <v>6725</v>
      </c>
      <c r="D1859" s="9" t="s">
        <v>6294</v>
      </c>
      <c r="E1859" s="9"/>
      <c r="F1859" s="9"/>
      <c r="G1859" s="9"/>
      <c r="H1859" s="9"/>
      <c r="I1859" s="9" t="s">
        <v>5936</v>
      </c>
      <c r="J1859" s="9"/>
      <c r="K1859" s="9" t="s">
        <v>5937</v>
      </c>
      <c r="L1859" s="9" t="s">
        <v>188</v>
      </c>
      <c r="M1859" s="9" t="str">
        <f>HYPERLINK("https://ceds.ed.gov/cedselementdetails.aspx?termid=13437")</f>
        <v>https://ceds.ed.gov/cedselementdetails.aspx?termid=13437</v>
      </c>
      <c r="N1859" s="9" t="str">
        <f>HYPERLINK("https://ceds.ed.gov/elementComment.aspx?elementName=Title III Language Instruction Program Type &amp;elementID=13437", "Click here to submit comment")</f>
        <v>Click here to submit comment</v>
      </c>
    </row>
    <row r="1860" spans="1:14" ht="150" x14ac:dyDescent="0.25">
      <c r="A1860" s="9" t="s">
        <v>5940</v>
      </c>
      <c r="B1860" s="9" t="s">
        <v>5941</v>
      </c>
      <c r="C1860" s="10" t="s">
        <v>6726</v>
      </c>
      <c r="D1860" s="9" t="s">
        <v>55</v>
      </c>
      <c r="E1860" s="9"/>
      <c r="F1860" s="9"/>
      <c r="G1860" s="9"/>
      <c r="H1860" s="9"/>
      <c r="I1860" s="9" t="s">
        <v>5942</v>
      </c>
      <c r="J1860" s="9"/>
      <c r="K1860" s="9" t="s">
        <v>5943</v>
      </c>
      <c r="L1860" s="9" t="s">
        <v>188</v>
      </c>
      <c r="M1860" s="9" t="str">
        <f>HYPERLINK("https://ceds.ed.gov/cedselementdetails.aspx?termid=13478")</f>
        <v>https://ceds.ed.gov/cedselementdetails.aspx?termid=13478</v>
      </c>
      <c r="N1860" s="9" t="str">
        <f>HYPERLINK("https://ceds.ed.gov/elementComment.aspx?elementName=Title III Professional Development Type &amp;elementID=13478", "Click here to submit comment")</f>
        <v>Click here to submit comment</v>
      </c>
    </row>
    <row r="1861" spans="1:14" ht="210" x14ac:dyDescent="0.25">
      <c r="A1861" s="9" t="s">
        <v>5944</v>
      </c>
      <c r="B1861" s="9" t="s">
        <v>5945</v>
      </c>
      <c r="C1861" s="9" t="s">
        <v>6106</v>
      </c>
      <c r="D1861" s="9" t="s">
        <v>2340</v>
      </c>
      <c r="E1861" s="9"/>
      <c r="F1861" s="9"/>
      <c r="G1861" s="9"/>
      <c r="H1861" s="9"/>
      <c r="I1861" s="9" t="s">
        <v>5946</v>
      </c>
      <c r="J1861" s="9"/>
      <c r="K1861" s="9" t="s">
        <v>5947</v>
      </c>
      <c r="L1861" s="9" t="s">
        <v>6115</v>
      </c>
      <c r="M1861" s="9" t="str">
        <f>HYPERLINK("https://ceds.ed.gov/cedselementdetails.aspx?termid=13292")</f>
        <v>https://ceds.ed.gov/cedselementdetails.aspx?termid=13292</v>
      </c>
      <c r="N1861" s="9" t="str">
        <f>HYPERLINK("https://ceds.ed.gov/elementComment.aspx?elementName=Title IV Participant and Recipient &amp;elementID=13292", "Click here to submit comment")</f>
        <v>Click here to submit comment</v>
      </c>
    </row>
    <row r="1862" spans="1:14" ht="90" x14ac:dyDescent="0.25">
      <c r="A1862" s="9" t="s">
        <v>5948</v>
      </c>
      <c r="B1862" s="9" t="s">
        <v>5949</v>
      </c>
      <c r="C1862" s="9" t="s">
        <v>12</v>
      </c>
      <c r="D1862" s="9" t="s">
        <v>2385</v>
      </c>
      <c r="E1862" s="9"/>
      <c r="F1862" s="9" t="s">
        <v>1513</v>
      </c>
      <c r="G1862" s="9"/>
      <c r="H1862" s="9"/>
      <c r="I1862" s="9" t="s">
        <v>5950</v>
      </c>
      <c r="J1862" s="9"/>
      <c r="K1862" s="9" t="s">
        <v>5951</v>
      </c>
      <c r="L1862" s="9" t="s">
        <v>182</v>
      </c>
      <c r="M1862" s="9" t="str">
        <f>HYPERLINK("https://ceds.ed.gov/cedselementdetails.aspx?termid=13787")</f>
        <v>https://ceds.ed.gov/cedselementdetails.aspx?termid=13787</v>
      </c>
      <c r="N1862" s="9" t="str">
        <f>HYPERLINK("https://ceds.ed.gov/elementComment.aspx?elementName=Total Approved Early Childhood Credits Earned &amp;elementID=13787", "Click here to submit comment")</f>
        <v>Click here to submit comment</v>
      </c>
    </row>
    <row r="1863" spans="1:14" ht="135" x14ac:dyDescent="0.25">
      <c r="A1863" s="9" t="s">
        <v>5952</v>
      </c>
      <c r="B1863" s="9" t="s">
        <v>5953</v>
      </c>
      <c r="C1863" s="9" t="s">
        <v>12</v>
      </c>
      <c r="D1863" s="9" t="s">
        <v>11124</v>
      </c>
      <c r="E1863" s="9"/>
      <c r="F1863" s="9" t="s">
        <v>762</v>
      </c>
      <c r="G1863" s="9"/>
      <c r="H1863" s="9"/>
      <c r="I1863" s="9" t="s">
        <v>5954</v>
      </c>
      <c r="J1863" s="9"/>
      <c r="K1863" s="9" t="s">
        <v>5955</v>
      </c>
      <c r="L1863" s="9"/>
      <c r="M1863" s="9" t="str">
        <f>HYPERLINK("https://ceds.ed.gov/cedselementdetails.aspx?termid=14609")</f>
        <v>https://ceds.ed.gov/cedselementdetails.aspx?termid=14609</v>
      </c>
      <c r="N1863" s="9" t="str">
        <f>HYPERLINK("https://ceds.ed.gov/elementComment.aspx?elementName=Training and Technical Assistance Level &amp;elementID=14609", "Click here to submit comment")</f>
        <v>Click here to submit comment</v>
      </c>
    </row>
    <row r="1864" spans="1:14" ht="60" x14ac:dyDescent="0.25">
      <c r="A1864" s="9" t="s">
        <v>5956</v>
      </c>
      <c r="B1864" s="9" t="s">
        <v>5957</v>
      </c>
      <c r="C1864" s="9" t="s">
        <v>6213</v>
      </c>
      <c r="D1864" s="9" t="s">
        <v>2692</v>
      </c>
      <c r="E1864" s="9"/>
      <c r="F1864" s="9"/>
      <c r="G1864" s="9"/>
      <c r="H1864" s="9"/>
      <c r="I1864" s="9" t="s">
        <v>5958</v>
      </c>
      <c r="J1864" s="9"/>
      <c r="K1864" s="9" t="s">
        <v>5959</v>
      </c>
      <c r="L1864" s="9" t="s">
        <v>2250</v>
      </c>
      <c r="M1864" s="9" t="str">
        <f>HYPERLINK("https://ceds.ed.gov/cedselementdetails.aspx?termid=14610")</f>
        <v>https://ceds.ed.gov/cedselementdetails.aspx?termid=14610</v>
      </c>
      <c r="N1864" s="9" t="str">
        <f>HYPERLINK("https://ceds.ed.gov/elementComment.aspx?elementName=Transfer-out Indicator &amp;elementID=14610", "Click here to submit comment")</f>
        <v>Click here to submit comment</v>
      </c>
    </row>
    <row r="1865" spans="1:14" ht="75" x14ac:dyDescent="0.25">
      <c r="A1865" s="9" t="s">
        <v>5960</v>
      </c>
      <c r="B1865" s="9" t="s">
        <v>5961</v>
      </c>
      <c r="C1865" s="10" t="s">
        <v>6727</v>
      </c>
      <c r="D1865" s="9" t="s">
        <v>1808</v>
      </c>
      <c r="E1865" s="9"/>
      <c r="F1865" s="9"/>
      <c r="G1865" s="9"/>
      <c r="H1865" s="9"/>
      <c r="I1865" s="9" t="s">
        <v>5962</v>
      </c>
      <c r="J1865" s="9"/>
      <c r="K1865" s="9" t="s">
        <v>5963</v>
      </c>
      <c r="L1865" s="9" t="s">
        <v>6115</v>
      </c>
      <c r="M1865" s="9" t="str">
        <f>HYPERLINK("https://ceds.ed.gov/cedselementdetails.aspx?termid=13296")</f>
        <v>https://ceds.ed.gov/cedselementdetails.aspx?termid=13296</v>
      </c>
      <c r="N1865" s="9" t="str">
        <f>HYPERLINK("https://ceds.ed.gov/elementComment.aspx?elementName=Transfer-ready &amp;elementID=13296", "Click here to submit comment")</f>
        <v>Click here to submit comment</v>
      </c>
    </row>
    <row r="1866" spans="1:14" ht="60" x14ac:dyDescent="0.25">
      <c r="A1866" s="9" t="s">
        <v>5964</v>
      </c>
      <c r="B1866" s="9" t="s">
        <v>5965</v>
      </c>
      <c r="C1866" s="9" t="s">
        <v>12</v>
      </c>
      <c r="D1866" s="9" t="s">
        <v>2175</v>
      </c>
      <c r="E1866" s="9"/>
      <c r="F1866" s="9" t="s">
        <v>73</v>
      </c>
      <c r="G1866" s="9"/>
      <c r="H1866" s="9"/>
      <c r="I1866" s="9" t="s">
        <v>5966</v>
      </c>
      <c r="J1866" s="9"/>
      <c r="K1866" s="9" t="s">
        <v>5967</v>
      </c>
      <c r="L1866" s="9"/>
      <c r="M1866" s="9" t="str">
        <f>HYPERLINK("https://ceds.ed.gov/cedselementdetails.aspx?termid=14333")</f>
        <v>https://ceds.ed.gov/cedselementdetails.aspx?termid=14333</v>
      </c>
      <c r="N1866" s="9" t="str">
        <f>HYPERLINK("https://ceds.ed.gov/elementComment.aspx?elementName=Transition Conference Date &amp;elementID=14333", "Click here to submit comment")</f>
        <v>Click here to submit comment</v>
      </c>
    </row>
    <row r="1867" spans="1:14" ht="60" x14ac:dyDescent="0.25">
      <c r="A1867" s="9" t="s">
        <v>5968</v>
      </c>
      <c r="B1867" s="9" t="s">
        <v>5969</v>
      </c>
      <c r="C1867" s="9" t="s">
        <v>12</v>
      </c>
      <c r="D1867" s="9" t="s">
        <v>2175</v>
      </c>
      <c r="E1867" s="9"/>
      <c r="F1867" s="9" t="s">
        <v>73</v>
      </c>
      <c r="G1867" s="9"/>
      <c r="H1867" s="9"/>
      <c r="I1867" s="9" t="s">
        <v>5970</v>
      </c>
      <c r="J1867" s="9"/>
      <c r="K1867" s="9" t="s">
        <v>5971</v>
      </c>
      <c r="L1867" s="9"/>
      <c r="M1867" s="9" t="str">
        <f>HYPERLINK("https://ceds.ed.gov/cedselementdetails.aspx?termid=14334")</f>
        <v>https://ceds.ed.gov/cedselementdetails.aspx?termid=14334</v>
      </c>
      <c r="N1867" s="9" t="str">
        <f>HYPERLINK("https://ceds.ed.gov/elementComment.aspx?elementName=Transition Conference Decline Date &amp;elementID=14334", "Click here to submit comment")</f>
        <v>Click here to submit comment</v>
      </c>
    </row>
    <row r="1868" spans="1:14" ht="75" x14ac:dyDescent="0.25">
      <c r="A1868" s="9" t="s">
        <v>5972</v>
      </c>
      <c r="B1868" s="9" t="s">
        <v>5973</v>
      </c>
      <c r="C1868" s="9" t="s">
        <v>11766</v>
      </c>
      <c r="D1868" s="9" t="s">
        <v>1754</v>
      </c>
      <c r="E1868" s="9"/>
      <c r="F1868" s="9"/>
      <c r="G1868" s="9"/>
      <c r="H1868" s="9"/>
      <c r="I1868" s="9" t="s">
        <v>5974</v>
      </c>
      <c r="J1868" s="9"/>
      <c r="K1868" s="9" t="s">
        <v>5975</v>
      </c>
      <c r="L1868" s="9"/>
      <c r="M1868" s="9" t="str">
        <f>HYPERLINK("https://ceds.ed.gov/cedselementdetails.aspx?termid=14638")</f>
        <v>https://ceds.ed.gov/cedselementdetails.aspx?termid=14638</v>
      </c>
      <c r="N1868" s="9" t="str">
        <f>HYPERLINK("https://ceds.ed.gov/elementComment.aspx?elementName=Tribal Affiliation &amp;elementID=14638", "Click here to submit comment")</f>
        <v>Click here to submit comment</v>
      </c>
    </row>
    <row r="1869" spans="1:14" ht="90" x14ac:dyDescent="0.25">
      <c r="A1869" s="9" t="s">
        <v>5976</v>
      </c>
      <c r="B1869" s="9" t="s">
        <v>5977</v>
      </c>
      <c r="C1869" s="10" t="s">
        <v>6728</v>
      </c>
      <c r="D1869" s="9" t="s">
        <v>5978</v>
      </c>
      <c r="E1869" s="9"/>
      <c r="F1869" s="9"/>
      <c r="G1869" s="9"/>
      <c r="H1869" s="9"/>
      <c r="I1869" s="9" t="s">
        <v>5979</v>
      </c>
      <c r="J1869" s="9"/>
      <c r="K1869" s="9" t="s">
        <v>5980</v>
      </c>
      <c r="L1869" s="9"/>
      <c r="M1869" s="9" t="str">
        <f>HYPERLINK("https://ceds.ed.gov/cedselementdetails.aspx?termid=14611")</f>
        <v>https://ceds.ed.gov/cedselementdetails.aspx?termid=14611</v>
      </c>
      <c r="N1869" s="9" t="str">
        <f>HYPERLINK("https://ceds.ed.gov/elementComment.aspx?elementName=Trimester When Prenatal Care Began &amp;elementID=14611", "Click here to submit comment")</f>
        <v>Click here to submit comment</v>
      </c>
    </row>
    <row r="1870" spans="1:14" ht="135" x14ac:dyDescent="0.25">
      <c r="A1870" s="9" t="s">
        <v>5981</v>
      </c>
      <c r="B1870" s="9" t="s">
        <v>5982</v>
      </c>
      <c r="C1870" s="9" t="s">
        <v>6106</v>
      </c>
      <c r="D1870" s="9" t="s">
        <v>2335</v>
      </c>
      <c r="E1870" s="9"/>
      <c r="F1870" s="9"/>
      <c r="G1870" s="9" t="s">
        <v>11767</v>
      </c>
      <c r="H1870" s="11" t="s">
        <v>11768</v>
      </c>
      <c r="I1870" s="9" t="s">
        <v>5983</v>
      </c>
      <c r="J1870" s="9"/>
      <c r="K1870" s="9" t="s">
        <v>5984</v>
      </c>
      <c r="L1870" s="9" t="s">
        <v>199</v>
      </c>
      <c r="M1870" s="9" t="str">
        <f>HYPERLINK("https://ceds.ed.gov/cedselementdetails.aspx?termid=13561")</f>
        <v>https://ceds.ed.gov/cedselementdetails.aspx?termid=13561</v>
      </c>
      <c r="N1870" s="9" t="str">
        <f>HYPERLINK("https://ceds.ed.gov/elementComment.aspx?elementName=Truant Status &amp;elementID=13561", "Click here to submit comment")</f>
        <v>Click here to submit comment</v>
      </c>
    </row>
    <row r="1871" spans="1:14" ht="90" x14ac:dyDescent="0.25">
      <c r="A1871" s="9" t="s">
        <v>5985</v>
      </c>
      <c r="B1871" s="9" t="s">
        <v>5986</v>
      </c>
      <c r="C1871" s="9" t="s">
        <v>12</v>
      </c>
      <c r="D1871" s="9" t="s">
        <v>213</v>
      </c>
      <c r="E1871" s="9"/>
      <c r="F1871" s="9" t="s">
        <v>1513</v>
      </c>
      <c r="G1871" s="9"/>
      <c r="H1871" s="9" t="s">
        <v>5987</v>
      </c>
      <c r="I1871" s="9" t="s">
        <v>5988</v>
      </c>
      <c r="J1871" s="9"/>
      <c r="K1871" s="9" t="s">
        <v>5989</v>
      </c>
      <c r="L1871" s="9" t="s">
        <v>1552</v>
      </c>
      <c r="M1871" s="9" t="str">
        <f>HYPERLINK("https://ceds.ed.gov/cedselementdetails.aspx?termid=13723")</f>
        <v>https://ceds.ed.gov/cedselementdetails.aspx?termid=13723</v>
      </c>
      <c r="N1871" s="9" t="str">
        <f>HYPERLINK("https://ceds.ed.gov/elementComment.aspx?elementName=Tuition - Published &amp;elementID=13723", "Click here to submit comment")</f>
        <v>Click here to submit comment</v>
      </c>
    </row>
    <row r="1872" spans="1:14" ht="195" x14ac:dyDescent="0.25">
      <c r="A1872" s="9" t="s">
        <v>5990</v>
      </c>
      <c r="B1872" s="9" t="s">
        <v>5991</v>
      </c>
      <c r="C1872" s="9" t="s">
        <v>6106</v>
      </c>
      <c r="D1872" s="9" t="s">
        <v>11769</v>
      </c>
      <c r="E1872" s="9"/>
      <c r="F1872" s="9"/>
      <c r="G1872" s="9"/>
      <c r="H1872" s="9" t="s">
        <v>5992</v>
      </c>
      <c r="I1872" s="9" t="s">
        <v>5993</v>
      </c>
      <c r="J1872" s="9"/>
      <c r="K1872" s="9" t="s">
        <v>5994</v>
      </c>
      <c r="L1872" s="9"/>
      <c r="M1872" s="9" t="str">
        <f>HYPERLINK("https://ceds.ed.gov/cedselementdetails.aspx?termid=14554")</f>
        <v>https://ceds.ed.gov/cedselementdetails.aspx?termid=14554</v>
      </c>
      <c r="N1872" s="9" t="str">
        <f>HYPERLINK("https://ceds.ed.gov/elementComment.aspx?elementName=Tuition Funded &amp;elementID=14554", "Click here to submit comment")</f>
        <v>Click here to submit comment</v>
      </c>
    </row>
    <row r="1873" spans="1:14" ht="90" x14ac:dyDescent="0.25">
      <c r="A1873" s="9" t="s">
        <v>5995</v>
      </c>
      <c r="B1873" s="9" t="s">
        <v>5996</v>
      </c>
      <c r="C1873" s="10" t="s">
        <v>6729</v>
      </c>
      <c r="D1873" s="9" t="s">
        <v>1587</v>
      </c>
      <c r="E1873" s="9"/>
      <c r="F1873" s="9"/>
      <c r="G1873" s="9"/>
      <c r="H1873" s="9"/>
      <c r="I1873" s="9" t="s">
        <v>5997</v>
      </c>
      <c r="J1873" s="9"/>
      <c r="K1873" s="9" t="s">
        <v>5998</v>
      </c>
      <c r="L1873" s="9" t="s">
        <v>216</v>
      </c>
      <c r="M1873" s="9" t="str">
        <f>HYPERLINK("https://ceds.ed.gov/cedselementdetails.aspx?termid=13297")</f>
        <v>https://ceds.ed.gov/cedselementdetails.aspx?termid=13297</v>
      </c>
      <c r="N1873" s="9" t="str">
        <f>HYPERLINK("https://ceds.ed.gov/elementComment.aspx?elementName=Tuition Residency Type &amp;elementID=13297", "Click here to submit comment")</f>
        <v>Click here to submit comment</v>
      </c>
    </row>
    <row r="1874" spans="1:14" ht="90" x14ac:dyDescent="0.25">
      <c r="A1874" s="9" t="s">
        <v>5999</v>
      </c>
      <c r="B1874" s="9" t="s">
        <v>6000</v>
      </c>
      <c r="C1874" s="10" t="s">
        <v>6730</v>
      </c>
      <c r="D1874" s="9" t="s">
        <v>213</v>
      </c>
      <c r="E1874" s="9"/>
      <c r="F1874" s="9"/>
      <c r="G1874" s="9"/>
      <c r="H1874" s="9" t="s">
        <v>344</v>
      </c>
      <c r="I1874" s="9" t="s">
        <v>6001</v>
      </c>
      <c r="J1874" s="9"/>
      <c r="K1874" s="9" t="s">
        <v>6002</v>
      </c>
      <c r="L1874" s="9" t="s">
        <v>1552</v>
      </c>
      <c r="M1874" s="9" t="str">
        <f>HYPERLINK("https://ceds.ed.gov/cedselementdetails.aspx?termid=13725")</f>
        <v>https://ceds.ed.gov/cedselementdetails.aspx?termid=13725</v>
      </c>
      <c r="N1874" s="9" t="str">
        <f>HYPERLINK("https://ceds.ed.gov/elementComment.aspx?elementName=Tuition Unit &amp;elementID=13725", "Click here to submit comment")</f>
        <v>Click here to submit comment</v>
      </c>
    </row>
    <row r="1875" spans="1:14" ht="195" x14ac:dyDescent="0.25">
      <c r="A1875" s="9" t="s">
        <v>6003</v>
      </c>
      <c r="B1875" s="9" t="s">
        <v>6004</v>
      </c>
      <c r="C1875" s="10" t="s">
        <v>11910</v>
      </c>
      <c r="D1875" s="9" t="s">
        <v>11770</v>
      </c>
      <c r="E1875" s="9" t="s">
        <v>91</v>
      </c>
      <c r="F1875" s="9"/>
      <c r="G1875" s="9"/>
      <c r="H1875" s="9"/>
      <c r="I1875" s="9" t="s">
        <v>6005</v>
      </c>
      <c r="J1875" s="9" t="s">
        <v>6006</v>
      </c>
      <c r="K1875" s="9" t="s">
        <v>6007</v>
      </c>
      <c r="L1875" s="9" t="s">
        <v>188</v>
      </c>
      <c r="M1875" s="9" t="str">
        <f>HYPERLINK("https://ceds.ed.gov/cedselementdetails.aspx?termid=13477")</f>
        <v>https://ceds.ed.gov/cedselementdetails.aspx?termid=13477</v>
      </c>
      <c r="N1875" s="9" t="str">
        <f>HYPERLINK("https://ceds.ed.gov/elementComment.aspx?elementName=Type of Use of the Rural Low-Income Schools Program &amp;elementID=13477", "Click here to submit comment")</f>
        <v>Click here to submit comment</v>
      </c>
    </row>
    <row r="1876" spans="1:14" ht="45" x14ac:dyDescent="0.25">
      <c r="A1876" s="9" t="s">
        <v>6008</v>
      </c>
      <c r="B1876" s="9" t="s">
        <v>6009</v>
      </c>
      <c r="C1876" s="9" t="s">
        <v>12</v>
      </c>
      <c r="D1876" s="9" t="s">
        <v>2436</v>
      </c>
      <c r="E1876" s="9"/>
      <c r="F1876" s="9" t="s">
        <v>303</v>
      </c>
      <c r="G1876" s="9"/>
      <c r="H1876" s="9"/>
      <c r="I1876" s="9" t="s">
        <v>6010</v>
      </c>
      <c r="J1876" s="9"/>
      <c r="K1876" s="9" t="s">
        <v>6011</v>
      </c>
      <c r="L1876" s="9"/>
      <c r="M1876" s="9" t="str">
        <f>HYPERLINK("https://ceds.ed.gov/cedselementdetails.aspx?termid=14469")</f>
        <v>https://ceds.ed.gov/cedselementdetails.aspx?termid=14469</v>
      </c>
      <c r="N1876" s="9" t="str">
        <f>HYPERLINK("https://ceds.ed.gov/elementComment.aspx?elementName=Union Membership Name &amp;elementID=14469", "Click here to submit comment")</f>
        <v>Click here to submit comment</v>
      </c>
    </row>
    <row r="1877" spans="1:14" ht="45" x14ac:dyDescent="0.25">
      <c r="A1877" s="9" t="s">
        <v>6012</v>
      </c>
      <c r="B1877" s="9" t="s">
        <v>6013</v>
      </c>
      <c r="C1877" s="9" t="s">
        <v>6106</v>
      </c>
      <c r="D1877" s="9" t="s">
        <v>2436</v>
      </c>
      <c r="E1877" s="9"/>
      <c r="F1877" s="9"/>
      <c r="G1877" s="9"/>
      <c r="H1877" s="9"/>
      <c r="I1877" s="9" t="s">
        <v>6014</v>
      </c>
      <c r="J1877" s="9"/>
      <c r="K1877" s="9" t="s">
        <v>6015</v>
      </c>
      <c r="L1877" s="9" t="s">
        <v>182</v>
      </c>
      <c r="M1877" s="9" t="str">
        <f>HYPERLINK("https://ceds.ed.gov/cedselementdetails.aspx?termid=13798")</f>
        <v>https://ceds.ed.gov/cedselementdetails.aspx?termid=13798</v>
      </c>
      <c r="N1877" s="9" t="str">
        <f>HYPERLINK("https://ceds.ed.gov/elementComment.aspx?elementName=Union Membership Status &amp;elementID=13798", "Click here to submit comment")</f>
        <v>Click here to submit comment</v>
      </c>
    </row>
    <row r="1878" spans="1:14" ht="105" x14ac:dyDescent="0.25">
      <c r="A1878" s="9" t="s">
        <v>6016</v>
      </c>
      <c r="B1878" s="9" t="s">
        <v>6017</v>
      </c>
      <c r="C1878" s="10" t="s">
        <v>6731</v>
      </c>
      <c r="D1878" s="9" t="s">
        <v>6295</v>
      </c>
      <c r="E1878" s="9"/>
      <c r="F1878" s="9"/>
      <c r="G1878" s="9"/>
      <c r="H1878" s="9" t="s">
        <v>5470</v>
      </c>
      <c r="I1878" s="9" t="s">
        <v>6018</v>
      </c>
      <c r="J1878" s="9"/>
      <c r="K1878" s="9" t="s">
        <v>6019</v>
      </c>
      <c r="L1878" s="9" t="s">
        <v>6296</v>
      </c>
      <c r="M1878" s="9" t="str">
        <f>HYPERLINK("https://ceds.ed.gov/cedselementdetails.aspx?termid=13299")</f>
        <v>https://ceds.ed.gov/cedselementdetails.aspx?termid=13299</v>
      </c>
      <c r="N1878" s="9" t="str">
        <f>HYPERLINK("https://ceds.ed.gov/elementComment.aspx?elementName=United States Citizenship Status &amp;elementID=13299", "Click here to submit comment")</f>
        <v>Click here to submit comment</v>
      </c>
    </row>
    <row r="1879" spans="1:14" ht="345" x14ac:dyDescent="0.25">
      <c r="A1879" s="9" t="s">
        <v>6020</v>
      </c>
      <c r="B1879" s="9" t="s">
        <v>6021</v>
      </c>
      <c r="C1879" s="10" t="s">
        <v>6732</v>
      </c>
      <c r="D1879" s="9"/>
      <c r="E1879" s="9" t="s">
        <v>5167</v>
      </c>
      <c r="F1879" s="9"/>
      <c r="G1879" s="9" t="s">
        <v>11771</v>
      </c>
      <c r="H1879" s="9"/>
      <c r="I1879" s="9" t="s">
        <v>6022</v>
      </c>
      <c r="J1879" s="9"/>
      <c r="K1879" s="9" t="s">
        <v>6023</v>
      </c>
      <c r="L1879" s="9" t="s">
        <v>188</v>
      </c>
      <c r="M1879" s="9" t="str">
        <f>HYPERLINK("https://ceds.ed.gov/cedselementdetails.aspx?termid=13449")</f>
        <v>https://ceds.ed.gov/cedselementdetails.aspx?termid=13449</v>
      </c>
      <c r="N1879" s="9" t="str">
        <f>HYPERLINK("https://ceds.ed.gov/elementComment.aspx?elementName=Uses of Funds for Purposes other than Standards and Assessment Development &amp;elementID=13449", "Click here to submit comment")</f>
        <v>Click here to submit comment</v>
      </c>
    </row>
    <row r="1880" spans="1:14" ht="150" x14ac:dyDescent="0.25">
      <c r="A1880" s="9" t="s">
        <v>6024</v>
      </c>
      <c r="B1880" s="9" t="s">
        <v>6025</v>
      </c>
      <c r="C1880" s="9" t="s">
        <v>6106</v>
      </c>
      <c r="D1880" s="9" t="s">
        <v>11772</v>
      </c>
      <c r="E1880" s="9"/>
      <c r="F1880" s="9"/>
      <c r="G1880" s="9"/>
      <c r="H1880" s="9"/>
      <c r="I1880" s="9" t="s">
        <v>6026</v>
      </c>
      <c r="J1880" s="9"/>
      <c r="K1880" s="9" t="s">
        <v>6027</v>
      </c>
      <c r="L1880" s="9"/>
      <c r="M1880" s="9" t="str">
        <f>HYPERLINK("https://ceds.ed.gov/cedselementdetails.aspx?termid=14167")</f>
        <v>https://ceds.ed.gov/cedselementdetails.aspx?termid=14167</v>
      </c>
      <c r="N1880" s="9" t="str">
        <f>HYPERLINK("https://ceds.ed.gov/elementComment.aspx?elementName=Virtual Indicator &amp;elementID=14167", "Click here to submit comment")</f>
        <v>Click here to submit comment</v>
      </c>
    </row>
    <row r="1881" spans="1:14" ht="105" x14ac:dyDescent="0.25">
      <c r="A1881" s="9" t="s">
        <v>11773</v>
      </c>
      <c r="B1881" s="9" t="s">
        <v>11774</v>
      </c>
      <c r="C1881" s="10" t="s">
        <v>11911</v>
      </c>
      <c r="D1881" s="9" t="s">
        <v>11775</v>
      </c>
      <c r="E1881" s="9" t="s">
        <v>1457</v>
      </c>
      <c r="F1881" s="9"/>
      <c r="G1881" s="9"/>
      <c r="H1881" s="9"/>
      <c r="I1881" s="9" t="s">
        <v>11776</v>
      </c>
      <c r="J1881" s="9"/>
      <c r="K1881" s="9" t="s">
        <v>11777</v>
      </c>
      <c r="L1881" s="9"/>
      <c r="M1881" s="9" t="str">
        <f>HYPERLINK("https://ceds.ed.gov/cedselementdetails.aspx?termid=14747")</f>
        <v>https://ceds.ed.gov/cedselementdetails.aspx?termid=14747</v>
      </c>
      <c r="N1881" s="9" t="str">
        <f>HYPERLINK("https://ceds.ed.gov/elementComment.aspx?elementName=Virtual School Status &amp;elementID=14747", "Click here to submit comment")</f>
        <v>Click here to submit comment</v>
      </c>
    </row>
    <row r="1882" spans="1:14" ht="150" x14ac:dyDescent="0.25">
      <c r="A1882" s="9" t="s">
        <v>6028</v>
      </c>
      <c r="B1882" s="9" t="s">
        <v>6029</v>
      </c>
      <c r="C1882" s="10" t="s">
        <v>6733</v>
      </c>
      <c r="D1882" s="9" t="s">
        <v>1587</v>
      </c>
      <c r="E1882" s="9"/>
      <c r="F1882" s="9"/>
      <c r="G1882" s="9"/>
      <c r="H1882" s="9"/>
      <c r="I1882" s="9" t="s">
        <v>6030</v>
      </c>
      <c r="J1882" s="9"/>
      <c r="K1882" s="9" t="s">
        <v>6031</v>
      </c>
      <c r="L1882" s="9" t="s">
        <v>216</v>
      </c>
      <c r="M1882" s="9" t="str">
        <f>HYPERLINK("https://ceds.ed.gov/cedselementdetails.aspx?termid=13196")</f>
        <v>https://ceds.ed.gov/cedselementdetails.aspx?termid=13196</v>
      </c>
      <c r="N1882" s="9" t="str">
        <f>HYPERLINK("https://ceds.ed.gov/elementComment.aspx?elementName=Visa Type &amp;elementID=13196", "Click here to submit comment")</f>
        <v>Click here to submit comment</v>
      </c>
    </row>
    <row r="1883" spans="1:14" ht="60" x14ac:dyDescent="0.25">
      <c r="A1883" s="9" t="s">
        <v>6032</v>
      </c>
      <c r="B1883" s="9" t="s">
        <v>6033</v>
      </c>
      <c r="C1883" s="9" t="s">
        <v>12</v>
      </c>
      <c r="D1883" s="9" t="s">
        <v>11778</v>
      </c>
      <c r="E1883" s="9"/>
      <c r="F1883" s="9" t="s">
        <v>73</v>
      </c>
      <c r="G1883" s="9"/>
      <c r="H1883" s="9"/>
      <c r="I1883" s="9" t="s">
        <v>6034</v>
      </c>
      <c r="J1883" s="9"/>
      <c r="K1883" s="9" t="s">
        <v>6035</v>
      </c>
      <c r="L1883" s="9"/>
      <c r="M1883" s="9" t="str">
        <f>HYPERLINK("https://ceds.ed.gov/cedselementdetails.aspx?termid=13680")</f>
        <v>https://ceds.ed.gov/cedselementdetails.aspx?termid=13680</v>
      </c>
      <c r="N1883" s="9" t="str">
        <f>HYPERLINK("https://ceds.ed.gov/elementComment.aspx?elementName=Vision Screening Date &amp;elementID=13680", "Click here to submit comment")</f>
        <v>Click here to submit comment</v>
      </c>
    </row>
    <row r="1884" spans="1:14" ht="60" x14ac:dyDescent="0.25">
      <c r="A1884" s="9" t="s">
        <v>6036</v>
      </c>
      <c r="B1884" s="9" t="s">
        <v>6037</v>
      </c>
      <c r="C1884" s="10" t="s">
        <v>6530</v>
      </c>
      <c r="D1884" s="9" t="s">
        <v>11778</v>
      </c>
      <c r="E1884" s="9"/>
      <c r="F1884" s="9"/>
      <c r="G1884" s="9"/>
      <c r="H1884" s="9"/>
      <c r="I1884" s="9" t="s">
        <v>6038</v>
      </c>
      <c r="J1884" s="9"/>
      <c r="K1884" s="9" t="s">
        <v>6039</v>
      </c>
      <c r="L1884" s="9" t="s">
        <v>1714</v>
      </c>
      <c r="M1884" s="9" t="str">
        <f>HYPERLINK("https://ceds.ed.gov/cedselementdetails.aspx?termid=13308")</f>
        <v>https://ceds.ed.gov/cedselementdetails.aspx?termid=13308</v>
      </c>
      <c r="N1884" s="9" t="str">
        <f>HYPERLINK("https://ceds.ed.gov/elementComment.aspx?elementName=Vision Screening Status &amp;elementID=13308", "Click here to submit comment")</f>
        <v>Click here to submit comment</v>
      </c>
    </row>
    <row r="1885" spans="1:14" ht="135" x14ac:dyDescent="0.25">
      <c r="A1885" s="9" t="s">
        <v>6040</v>
      </c>
      <c r="B1885" s="9" t="s">
        <v>6041</v>
      </c>
      <c r="C1885" s="10" t="s">
        <v>6734</v>
      </c>
      <c r="D1885" s="9" t="s">
        <v>2436</v>
      </c>
      <c r="E1885" s="9"/>
      <c r="F1885" s="9"/>
      <c r="G1885" s="9"/>
      <c r="H1885" s="9"/>
      <c r="I1885" s="9" t="s">
        <v>6042</v>
      </c>
      <c r="J1885" s="9"/>
      <c r="K1885" s="9" t="s">
        <v>6043</v>
      </c>
      <c r="L1885" s="9" t="s">
        <v>182</v>
      </c>
      <c r="M1885" s="9" t="str">
        <f>HYPERLINK("https://ceds.ed.gov/cedselementdetails.aspx?termid=13797")</f>
        <v>https://ceds.ed.gov/cedselementdetails.aspx?termid=13797</v>
      </c>
      <c r="N1885" s="9" t="str">
        <f>HYPERLINK("https://ceds.ed.gov/elementComment.aspx?elementName=Wage Collection Code &amp;elementID=13797", "Click here to submit comment")</f>
        <v>Click here to submit comment</v>
      </c>
    </row>
    <row r="1886" spans="1:14" ht="60" x14ac:dyDescent="0.25">
      <c r="A1886" s="9" t="s">
        <v>6044</v>
      </c>
      <c r="B1886" s="9" t="s">
        <v>6045</v>
      </c>
      <c r="C1886" s="10" t="s">
        <v>6735</v>
      </c>
      <c r="D1886" s="9" t="s">
        <v>2436</v>
      </c>
      <c r="E1886" s="9"/>
      <c r="F1886" s="9"/>
      <c r="G1886" s="9"/>
      <c r="H1886" s="9"/>
      <c r="I1886" s="9" t="s">
        <v>6046</v>
      </c>
      <c r="J1886" s="9"/>
      <c r="K1886" s="9" t="s">
        <v>6047</v>
      </c>
      <c r="L1886" s="9" t="s">
        <v>182</v>
      </c>
      <c r="M1886" s="9" t="str">
        <f>HYPERLINK("https://ceds.ed.gov/cedselementdetails.aspx?termid=13818")</f>
        <v>https://ceds.ed.gov/cedselementdetails.aspx?termid=13818</v>
      </c>
      <c r="N1886" s="9" t="str">
        <f>HYPERLINK("https://ceds.ed.gov/elementComment.aspx?elementName=Wage Verification Code &amp;elementID=13818", "Click here to submit comment")</f>
        <v>Click here to submit comment</v>
      </c>
    </row>
    <row r="1887" spans="1:14" ht="60" x14ac:dyDescent="0.25">
      <c r="A1887" s="9" t="s">
        <v>6048</v>
      </c>
      <c r="B1887" s="9" t="s">
        <v>6049</v>
      </c>
      <c r="C1887" s="9" t="s">
        <v>6106</v>
      </c>
      <c r="D1887" s="9" t="s">
        <v>223</v>
      </c>
      <c r="E1887" s="9"/>
      <c r="F1887" s="9"/>
      <c r="G1887" s="9"/>
      <c r="H1887" s="9" t="s">
        <v>2909</v>
      </c>
      <c r="I1887" s="9" t="s">
        <v>6050</v>
      </c>
      <c r="J1887" s="9"/>
      <c r="K1887" s="9" t="s">
        <v>6051</v>
      </c>
      <c r="L1887" s="9" t="s">
        <v>227</v>
      </c>
      <c r="M1887" s="9" t="str">
        <f>HYPERLINK("https://ceds.ed.gov/cedselementdetails.aspx?termid=13738")</f>
        <v>https://ceds.ed.gov/cedselementdetails.aspx?termid=13738</v>
      </c>
      <c r="N1887" s="9" t="str">
        <f>HYPERLINK("https://ceds.ed.gov/elementComment.aspx?elementName=Wait Listed Student &amp;elementID=13738", "Click here to submit comment")</f>
        <v>Click here to submit comment</v>
      </c>
    </row>
    <row r="1888" spans="1:14" ht="285" x14ac:dyDescent="0.25">
      <c r="A1888" s="9" t="s">
        <v>6052</v>
      </c>
      <c r="B1888" s="9" t="s">
        <v>6053</v>
      </c>
      <c r="C1888" s="10" t="s">
        <v>6736</v>
      </c>
      <c r="D1888" s="9" t="s">
        <v>2919</v>
      </c>
      <c r="E1888" s="9"/>
      <c r="F1888" s="9"/>
      <c r="G1888" s="9"/>
      <c r="H1888" s="9" t="s">
        <v>6054</v>
      </c>
      <c r="I1888" s="9" t="s">
        <v>6055</v>
      </c>
      <c r="J1888" s="9"/>
      <c r="K1888" s="9" t="s">
        <v>6056</v>
      </c>
      <c r="L1888" s="9"/>
      <c r="M1888" s="9" t="str">
        <f>HYPERLINK("https://ceds.ed.gov/cedselementdetails.aspx?termid=14178")</f>
        <v>https://ceds.ed.gov/cedselementdetails.aspx?termid=14178</v>
      </c>
      <c r="N1888" s="9" t="str">
        <f>HYPERLINK("https://ceds.ed.gov/elementComment.aspx?elementName=Weapon Type &amp;elementID=14178", "Click here to submit comment")</f>
        <v>Click here to submit comment</v>
      </c>
    </row>
    <row r="1889" spans="1:14" ht="240" x14ac:dyDescent="0.25">
      <c r="A1889" s="9" t="s">
        <v>6057</v>
      </c>
      <c r="B1889" s="9" t="s">
        <v>6058</v>
      </c>
      <c r="C1889" s="9" t="s">
        <v>12</v>
      </c>
      <c r="D1889" s="9" t="s">
        <v>11779</v>
      </c>
      <c r="E1889" s="9"/>
      <c r="F1889" s="9" t="s">
        <v>68</v>
      </c>
      <c r="G1889" s="9"/>
      <c r="H1889" s="9"/>
      <c r="I1889" s="9" t="s">
        <v>6059</v>
      </c>
      <c r="J1889" s="9"/>
      <c r="K1889" s="9" t="s">
        <v>6060</v>
      </c>
      <c r="L1889" s="9" t="s">
        <v>199</v>
      </c>
      <c r="M1889" s="9" t="str">
        <f>HYPERLINK("https://ceds.ed.gov/cedselementdetails.aspx?termid=13300")</f>
        <v>https://ceds.ed.gov/cedselementdetails.aspx?termid=13300</v>
      </c>
      <c r="N1889" s="9" t="str">
        <f>HYPERLINK("https://ceds.ed.gov/elementComment.aspx?elementName=Web Site Address &amp;elementID=13300", "Click here to submit comment")</f>
        <v>Click here to submit comment</v>
      </c>
    </row>
    <row r="1890" spans="1:14" ht="45" x14ac:dyDescent="0.25">
      <c r="A1890" s="9" t="s">
        <v>6061</v>
      </c>
      <c r="B1890" s="9" t="s">
        <v>6062</v>
      </c>
      <c r="C1890" s="9" t="s">
        <v>12</v>
      </c>
      <c r="D1890" s="9" t="s">
        <v>2436</v>
      </c>
      <c r="E1890" s="9"/>
      <c r="F1890" s="9" t="s">
        <v>589</v>
      </c>
      <c r="G1890" s="9"/>
      <c r="H1890" s="9"/>
      <c r="I1890" s="9" t="s">
        <v>6063</v>
      </c>
      <c r="J1890" s="9"/>
      <c r="K1890" s="9" t="s">
        <v>6064</v>
      </c>
      <c r="L1890" s="9"/>
      <c r="M1890" s="9" t="str">
        <f>HYPERLINK("https://ceds.ed.gov/cedselementdetails.aspx?termid=14470")</f>
        <v>https://ceds.ed.gov/cedselementdetails.aspx?termid=14470</v>
      </c>
      <c r="N1890" s="9" t="str">
        <f>HYPERLINK("https://ceds.ed.gov/elementComment.aspx?elementName=Weeks Employed Per Year &amp;elementID=14470", "Click here to submit comment")</f>
        <v>Click here to submit comment</v>
      </c>
    </row>
    <row r="1891" spans="1:14" ht="45" x14ac:dyDescent="0.25">
      <c r="A1891" s="9" t="s">
        <v>6065</v>
      </c>
      <c r="B1891" s="9" t="s">
        <v>6066</v>
      </c>
      <c r="C1891" s="9" t="s">
        <v>12</v>
      </c>
      <c r="D1891" s="9" t="s">
        <v>5978</v>
      </c>
      <c r="E1891" s="9"/>
      <c r="F1891" s="9" t="s">
        <v>10489</v>
      </c>
      <c r="G1891" s="9"/>
      <c r="H1891" s="9"/>
      <c r="I1891" s="9" t="s">
        <v>6067</v>
      </c>
      <c r="J1891" s="9"/>
      <c r="K1891" s="9" t="s">
        <v>6068</v>
      </c>
      <c r="L1891" s="9" t="s">
        <v>1714</v>
      </c>
      <c r="M1891" s="9" t="str">
        <f>HYPERLINK("https://ceds.ed.gov/cedselementdetails.aspx?termid=13313")</f>
        <v>https://ceds.ed.gov/cedselementdetails.aspx?termid=13313</v>
      </c>
      <c r="N1891" s="9" t="str">
        <f>HYPERLINK("https://ceds.ed.gov/elementComment.aspx?elementName=Weeks of Gestation &amp;elementID=13313", "Click here to submit comment")</f>
        <v>Click here to submit comment</v>
      </c>
    </row>
    <row r="1892" spans="1:14" ht="45" x14ac:dyDescent="0.25">
      <c r="A1892" s="9" t="s">
        <v>6069</v>
      </c>
      <c r="B1892" s="9" t="s">
        <v>6070</v>
      </c>
      <c r="C1892" s="9" t="s">
        <v>12</v>
      </c>
      <c r="D1892" s="9" t="s">
        <v>5978</v>
      </c>
      <c r="E1892" s="9"/>
      <c r="F1892" s="9" t="s">
        <v>303</v>
      </c>
      <c r="G1892" s="9"/>
      <c r="H1892" s="9"/>
      <c r="I1892" s="9" t="s">
        <v>6071</v>
      </c>
      <c r="J1892" s="9"/>
      <c r="K1892" s="9" t="s">
        <v>6072</v>
      </c>
      <c r="L1892" s="9" t="s">
        <v>1714</v>
      </c>
      <c r="M1892" s="9" t="str">
        <f>HYPERLINK("https://ceds.ed.gov/cedselementdetails.aspx?termid=13312")</f>
        <v>https://ceds.ed.gov/cedselementdetails.aspx?termid=13312</v>
      </c>
      <c r="N1892" s="9" t="str">
        <f>HYPERLINK("https://ceds.ed.gov/elementComment.aspx?elementName=Weight at Birth &amp;elementID=13312", "Click here to submit comment")</f>
        <v>Click here to submit comment</v>
      </c>
    </row>
    <row r="1893" spans="1:14" ht="45" x14ac:dyDescent="0.25">
      <c r="A1893" s="9" t="s">
        <v>6073</v>
      </c>
      <c r="B1893" s="9" t="s">
        <v>6074</v>
      </c>
      <c r="C1893" s="9" t="s">
        <v>12</v>
      </c>
      <c r="D1893" s="9" t="s">
        <v>5291</v>
      </c>
      <c r="E1893" s="9"/>
      <c r="F1893" s="9" t="s">
        <v>73</v>
      </c>
      <c r="G1893" s="9"/>
      <c r="H1893" s="9"/>
      <c r="I1893" s="9" t="s">
        <v>6075</v>
      </c>
      <c r="J1893" s="9"/>
      <c r="K1893" s="9" t="s">
        <v>6076</v>
      </c>
      <c r="L1893" s="9"/>
      <c r="M1893" s="9" t="str">
        <f>HYPERLINK("https://ceds.ed.gov/cedselementdetails.aspx?termid=14612")</f>
        <v>https://ceds.ed.gov/cedselementdetails.aspx?termid=14612</v>
      </c>
      <c r="N1893" s="9" t="str">
        <f>HYPERLINK("https://ceds.ed.gov/elementComment.aspx?elementName=Well Child Screening Received Date &amp;elementID=14612", "Click here to submit comment")</f>
        <v>Click here to submit comment</v>
      </c>
    </row>
    <row r="1894" spans="1:14" ht="30" x14ac:dyDescent="0.25">
      <c r="A1894" s="18" t="s">
        <v>6077</v>
      </c>
      <c r="B1894" s="18" t="s">
        <v>6078</v>
      </c>
      <c r="C1894" s="19" t="s">
        <v>6342</v>
      </c>
      <c r="D1894" s="18" t="s">
        <v>6120</v>
      </c>
      <c r="E1894" s="18"/>
      <c r="F1894" s="18"/>
      <c r="G1894" s="18"/>
      <c r="H1894" s="9" t="s">
        <v>336</v>
      </c>
      <c r="I1894" s="18" t="s">
        <v>6079</v>
      </c>
      <c r="J1894" s="18"/>
      <c r="K1894" s="18" t="s">
        <v>6077</v>
      </c>
      <c r="L1894" s="18" t="s">
        <v>6121</v>
      </c>
      <c r="M1894" s="18" t="str">
        <f>HYPERLINK("https://ceds.ed.gov/cedselementdetails.aspx?termid=13659")</f>
        <v>https://ceds.ed.gov/cedselementdetails.aspx?termid=13659</v>
      </c>
      <c r="N1894" s="18" t="str">
        <f>HYPERLINK("https://ceds.ed.gov/elementComment.aspx?elementName=White &amp;elementID=13659", "Click here to submit comment")</f>
        <v>Click here to submit comment</v>
      </c>
    </row>
    <row r="1895" spans="1:14" x14ac:dyDescent="0.25">
      <c r="A1895" s="18"/>
      <c r="B1895" s="18"/>
      <c r="C1895" s="19"/>
      <c r="D1895" s="18"/>
      <c r="E1895" s="18"/>
      <c r="F1895" s="18"/>
      <c r="G1895" s="18"/>
      <c r="H1895" s="9"/>
      <c r="I1895" s="18"/>
      <c r="J1895" s="18"/>
      <c r="K1895" s="18"/>
      <c r="L1895" s="18"/>
      <c r="M1895" s="18"/>
      <c r="N1895" s="18"/>
    </row>
    <row r="1896" spans="1:14" x14ac:dyDescent="0.25">
      <c r="A1896" s="18"/>
      <c r="B1896" s="18"/>
      <c r="C1896" s="19"/>
      <c r="D1896" s="18"/>
      <c r="E1896" s="18"/>
      <c r="F1896" s="18"/>
      <c r="G1896" s="18"/>
      <c r="H1896" s="9" t="s">
        <v>337</v>
      </c>
      <c r="I1896" s="18"/>
      <c r="J1896" s="18"/>
      <c r="K1896" s="18"/>
      <c r="L1896" s="18"/>
      <c r="M1896" s="18"/>
      <c r="N1896" s="18"/>
    </row>
    <row r="1897" spans="1:14" ht="30" x14ac:dyDescent="0.25">
      <c r="A1897" s="18"/>
      <c r="B1897" s="18"/>
      <c r="C1897" s="19"/>
      <c r="D1897" s="18"/>
      <c r="E1897" s="18"/>
      <c r="F1897" s="18"/>
      <c r="G1897" s="18"/>
      <c r="H1897" s="9" t="s">
        <v>338</v>
      </c>
      <c r="I1897" s="18"/>
      <c r="J1897" s="18"/>
      <c r="K1897" s="18"/>
      <c r="L1897" s="18"/>
      <c r="M1897" s="18"/>
      <c r="N1897" s="18"/>
    </row>
    <row r="1898" spans="1:14" x14ac:dyDescent="0.25">
      <c r="A1898" s="18"/>
      <c r="B1898" s="18"/>
      <c r="C1898" s="19"/>
      <c r="D1898" s="18"/>
      <c r="E1898" s="18"/>
      <c r="F1898" s="18"/>
      <c r="G1898" s="18"/>
      <c r="H1898" s="9" t="s">
        <v>339</v>
      </c>
      <c r="I1898" s="18"/>
      <c r="J1898" s="18"/>
      <c r="K1898" s="18"/>
      <c r="L1898" s="18"/>
      <c r="M1898" s="18"/>
      <c r="N1898" s="18"/>
    </row>
    <row r="1899" spans="1:14" ht="240" x14ac:dyDescent="0.25">
      <c r="A1899" s="9" t="s">
        <v>6080</v>
      </c>
      <c r="B1899" s="9" t="s">
        <v>6081</v>
      </c>
      <c r="C1899" s="10" t="s">
        <v>6737</v>
      </c>
      <c r="D1899" s="9" t="s">
        <v>11780</v>
      </c>
      <c r="E1899" s="9"/>
      <c r="F1899" s="9"/>
      <c r="G1899" s="9"/>
      <c r="H1899" s="9"/>
      <c r="I1899" s="9" t="s">
        <v>6082</v>
      </c>
      <c r="J1899" s="9"/>
      <c r="K1899" s="9" t="s">
        <v>6083</v>
      </c>
      <c r="L1899" s="9"/>
      <c r="M1899" s="9" t="str">
        <f>HYPERLINK("https://ceds.ed.gov/cedselementdetails.aspx?termid=14471")</f>
        <v>https://ceds.ed.gov/cedselementdetails.aspx?termid=14471</v>
      </c>
      <c r="N1899" s="9" t="str">
        <f>HYPERLINK("https://ceds.ed.gov/elementComment.aspx?elementName=Work-based Learning Opportunity Type &amp;elementID=14471", "Click here to submit comment")</f>
        <v>Click here to submit comment</v>
      </c>
    </row>
    <row r="1900" spans="1:14" ht="180" x14ac:dyDescent="0.25">
      <c r="A1900" s="9" t="s">
        <v>6088</v>
      </c>
      <c r="B1900" s="9" t="s">
        <v>6089</v>
      </c>
      <c r="C1900" s="9" t="s">
        <v>12</v>
      </c>
      <c r="D1900" s="9" t="s">
        <v>6085</v>
      </c>
      <c r="E1900" s="9"/>
      <c r="F1900" s="9" t="s">
        <v>73</v>
      </c>
      <c r="G1900" s="9"/>
      <c r="H1900" s="9" t="s">
        <v>6090</v>
      </c>
      <c r="I1900" s="9" t="s">
        <v>6091</v>
      </c>
      <c r="J1900" s="9"/>
      <c r="K1900" s="9" t="s">
        <v>6092</v>
      </c>
      <c r="L1900" s="9"/>
      <c r="M1900" s="9" t="str">
        <f>HYPERLINK("https://ceds.ed.gov/cedselementdetails.aspx?termid=14002")</f>
        <v>https://ceds.ed.gov/cedselementdetails.aspx?termid=14002</v>
      </c>
      <c r="N1900" s="9" t="str">
        <f>HYPERLINK("https://ceds.ed.gov/elementComment.aspx?elementName=Workforce Program Participation End Date &amp;elementID=14002", "Click here to submit comment")</f>
        <v>Click here to submit comment</v>
      </c>
    </row>
    <row r="1901" spans="1:14" ht="180" x14ac:dyDescent="0.25">
      <c r="A1901" s="9" t="s">
        <v>6093</v>
      </c>
      <c r="B1901" s="9" t="s">
        <v>6094</v>
      </c>
      <c r="C1901" s="9" t="s">
        <v>12</v>
      </c>
      <c r="D1901" s="9" t="s">
        <v>6085</v>
      </c>
      <c r="E1901" s="9"/>
      <c r="F1901" s="9" t="s">
        <v>73</v>
      </c>
      <c r="G1901" s="9"/>
      <c r="H1901" s="9" t="s">
        <v>6090</v>
      </c>
      <c r="I1901" s="9" t="s">
        <v>6095</v>
      </c>
      <c r="J1901" s="9"/>
      <c r="K1901" s="9" t="s">
        <v>6096</v>
      </c>
      <c r="L1901" s="9"/>
      <c r="M1901" s="9" t="str">
        <f>HYPERLINK("https://ceds.ed.gov/cedselementdetails.aspx?termid=14001")</f>
        <v>https://ceds.ed.gov/cedselementdetails.aspx?termid=14001</v>
      </c>
      <c r="N1901" s="9" t="str">
        <f>HYPERLINK("https://ceds.ed.gov/elementComment.aspx?elementName=Workforce Program Participation Start Date &amp;elementID=14001", "Click here to submit comment")</f>
        <v>Click here to submit comment</v>
      </c>
    </row>
    <row r="1902" spans="1:14" ht="409.5" x14ac:dyDescent="0.25">
      <c r="A1902" s="9" t="s">
        <v>11781</v>
      </c>
      <c r="B1902" s="9" t="s">
        <v>6084</v>
      </c>
      <c r="C1902" s="10" t="s">
        <v>6738</v>
      </c>
      <c r="D1902" s="9" t="s">
        <v>6085</v>
      </c>
      <c r="E1902" s="9"/>
      <c r="F1902" s="9"/>
      <c r="G1902" s="9"/>
      <c r="H1902" s="9" t="s">
        <v>6086</v>
      </c>
      <c r="I1902" s="9" t="s">
        <v>6087</v>
      </c>
      <c r="J1902" s="9"/>
      <c r="K1902" s="9" t="s">
        <v>11782</v>
      </c>
      <c r="L1902" s="9"/>
      <c r="M1902" s="9" t="str">
        <f>HYPERLINK("https://ceds.ed.gov/cedselementdetails.aspx?termid=14000")</f>
        <v>https://ceds.ed.gov/cedselementdetails.aspx?termid=14000</v>
      </c>
      <c r="N1902" s="9" t="str">
        <f>HYPERLINK("https://ceds.ed.gov/elementComment.aspx?elementName=Workforce Program Type &amp;elementID=14000", "Click here to submit comment")</f>
        <v>Click here to submit comment</v>
      </c>
    </row>
    <row r="1903" spans="1:14" ht="60" x14ac:dyDescent="0.25">
      <c r="A1903" s="9" t="s">
        <v>6097</v>
      </c>
      <c r="B1903" s="9" t="s">
        <v>6098</v>
      </c>
      <c r="C1903" s="9" t="s">
        <v>12</v>
      </c>
      <c r="D1903" s="9" t="s">
        <v>6099</v>
      </c>
      <c r="E1903" s="9"/>
      <c r="F1903" s="9" t="s">
        <v>1513</v>
      </c>
      <c r="G1903" s="9"/>
      <c r="H1903" s="9"/>
      <c r="I1903" s="9" t="s">
        <v>6100</v>
      </c>
      <c r="J1903" s="9"/>
      <c r="K1903" s="9" t="s">
        <v>6101</v>
      </c>
      <c r="L1903" s="9"/>
      <c r="M1903" s="9" t="str">
        <f>HYPERLINK("https://ceds.ed.gov/cedselementdetails.aspx?termid=13774")</f>
        <v>https://ceds.ed.gov/cedselementdetails.aspx?termid=13774</v>
      </c>
      <c r="N1903" s="9" t="str">
        <f>HYPERLINK("https://ceds.ed.gov/elementComment.aspx?elementName=Years of Prior Adult Education Teaching Experience &amp;elementID=13774", "Click here to submit comment")</f>
        <v>Click here to submit comment</v>
      </c>
    </row>
    <row r="1904" spans="1:14" ht="45" x14ac:dyDescent="0.25">
      <c r="A1904" s="9" t="s">
        <v>6102</v>
      </c>
      <c r="B1904" s="9" t="s">
        <v>6103</v>
      </c>
      <c r="C1904" s="9" t="s">
        <v>12</v>
      </c>
      <c r="D1904" s="9" t="s">
        <v>3137</v>
      </c>
      <c r="E1904" s="9"/>
      <c r="F1904" s="9" t="s">
        <v>1513</v>
      </c>
      <c r="G1904" s="9"/>
      <c r="H1904" s="9"/>
      <c r="I1904" s="9" t="s">
        <v>6104</v>
      </c>
      <c r="J1904" s="9"/>
      <c r="K1904" s="9" t="s">
        <v>6105</v>
      </c>
      <c r="L1904" s="9" t="s">
        <v>1858</v>
      </c>
      <c r="M1904" s="9" t="str">
        <f>HYPERLINK("https://ceds.ed.gov/cedselementdetails.aspx?termid=13302")</f>
        <v>https://ceds.ed.gov/cedselementdetails.aspx?termid=13302</v>
      </c>
      <c r="N1904" s="9" t="str">
        <f>HYPERLINK("https://ceds.ed.gov/elementComment.aspx?elementName=Years of Prior Teaching Experience &amp;elementID=13302", "Click here to submit comment")</f>
        <v>Click here to submit comment</v>
      </c>
    </row>
  </sheetData>
  <autoFilter ref="A1:N1904" xr:uid="{A13338AC-93B9-48A8-834A-4585B49C0C1C}"/>
  <mergeCells count="1053">
    <mergeCell ref="N1894:N1898"/>
    <mergeCell ref="G1894:G1898"/>
    <mergeCell ref="I1894:I1898"/>
    <mergeCell ref="J1894:J1898"/>
    <mergeCell ref="K1894:K1898"/>
    <mergeCell ref="L1894:L1898"/>
    <mergeCell ref="M1894:M1898"/>
    <mergeCell ref="K1840:K1842"/>
    <mergeCell ref="L1840:L1842"/>
    <mergeCell ref="M1840:M1842"/>
    <mergeCell ref="N1840:N1842"/>
    <mergeCell ref="A1894:A1898"/>
    <mergeCell ref="B1894:B1898"/>
    <mergeCell ref="C1894:C1898"/>
    <mergeCell ref="D1894:D1898"/>
    <mergeCell ref="E1894:E1898"/>
    <mergeCell ref="F1894:F1898"/>
    <mergeCell ref="N1809:N1817"/>
    <mergeCell ref="A1840:A1842"/>
    <mergeCell ref="B1840:B1842"/>
    <mergeCell ref="C1840:C1842"/>
    <mergeCell ref="D1840:D1842"/>
    <mergeCell ref="E1840:E1842"/>
    <mergeCell ref="F1840:F1842"/>
    <mergeCell ref="G1840:G1842"/>
    <mergeCell ref="I1840:I1842"/>
    <mergeCell ref="J1840:J1842"/>
    <mergeCell ref="G1809:G1817"/>
    <mergeCell ref="I1809:I1817"/>
    <mergeCell ref="J1809:J1817"/>
    <mergeCell ref="K1809:K1817"/>
    <mergeCell ref="L1809:L1817"/>
    <mergeCell ref="M1809:M1817"/>
    <mergeCell ref="K1798:K1800"/>
    <mergeCell ref="L1798:L1800"/>
    <mergeCell ref="M1798:M1800"/>
    <mergeCell ref="N1798:N1800"/>
    <mergeCell ref="A1809:A1817"/>
    <mergeCell ref="B1809:B1817"/>
    <mergeCell ref="C1809:C1817"/>
    <mergeCell ref="D1809:D1817"/>
    <mergeCell ref="E1809:E1817"/>
    <mergeCell ref="F1809:F1817"/>
    <mergeCell ref="N1775:N1777"/>
    <mergeCell ref="A1798:A1800"/>
    <mergeCell ref="B1798:B1800"/>
    <mergeCell ref="C1798:C1800"/>
    <mergeCell ref="D1798:D1800"/>
    <mergeCell ref="E1798:E1800"/>
    <mergeCell ref="F1798:F1800"/>
    <mergeCell ref="G1798:G1800"/>
    <mergeCell ref="I1798:I1800"/>
    <mergeCell ref="J1798:J1800"/>
    <mergeCell ref="G1775:G1777"/>
    <mergeCell ref="I1775:I1777"/>
    <mergeCell ref="J1775:J1777"/>
    <mergeCell ref="K1775:K1777"/>
    <mergeCell ref="L1775:L1777"/>
    <mergeCell ref="M1775:M1777"/>
    <mergeCell ref="K1765:K1767"/>
    <mergeCell ref="L1765:L1767"/>
    <mergeCell ref="M1765:M1767"/>
    <mergeCell ref="N1765:N1767"/>
    <mergeCell ref="A1775:A1777"/>
    <mergeCell ref="B1775:B1777"/>
    <mergeCell ref="C1775:C1777"/>
    <mergeCell ref="D1775:D1777"/>
    <mergeCell ref="E1775:E1777"/>
    <mergeCell ref="F1775:F1777"/>
    <mergeCell ref="N1734:N1736"/>
    <mergeCell ref="A1765:A1767"/>
    <mergeCell ref="B1765:B1767"/>
    <mergeCell ref="C1765:C1767"/>
    <mergeCell ref="D1765:D1767"/>
    <mergeCell ref="E1765:E1767"/>
    <mergeCell ref="F1765:F1767"/>
    <mergeCell ref="G1765:G1767"/>
    <mergeCell ref="I1765:I1767"/>
    <mergeCell ref="J1765:J1767"/>
    <mergeCell ref="G1734:G1736"/>
    <mergeCell ref="I1734:I1736"/>
    <mergeCell ref="J1734:J1736"/>
    <mergeCell ref="K1734:K1736"/>
    <mergeCell ref="L1734:L1736"/>
    <mergeCell ref="M1734:M1736"/>
    <mergeCell ref="K1689:K1691"/>
    <mergeCell ref="L1689:L1691"/>
    <mergeCell ref="M1689:M1691"/>
    <mergeCell ref="N1689:N1691"/>
    <mergeCell ref="A1734:A1736"/>
    <mergeCell ref="B1734:B1736"/>
    <mergeCell ref="C1734:C1736"/>
    <mergeCell ref="D1734:D1736"/>
    <mergeCell ref="E1734:E1736"/>
    <mergeCell ref="F1734:F1736"/>
    <mergeCell ref="N1662:N1664"/>
    <mergeCell ref="A1689:A1691"/>
    <mergeCell ref="B1689:B1691"/>
    <mergeCell ref="C1689:C1691"/>
    <mergeCell ref="D1689:D1691"/>
    <mergeCell ref="E1689:E1691"/>
    <mergeCell ref="F1689:F1691"/>
    <mergeCell ref="G1689:G1691"/>
    <mergeCell ref="I1689:I1691"/>
    <mergeCell ref="J1689:J1691"/>
    <mergeCell ref="G1662:G1664"/>
    <mergeCell ref="I1662:I1664"/>
    <mergeCell ref="J1662:J1664"/>
    <mergeCell ref="K1662:K1664"/>
    <mergeCell ref="L1662:L1664"/>
    <mergeCell ref="M1662:M1664"/>
    <mergeCell ref="K1645:K1647"/>
    <mergeCell ref="L1645:L1647"/>
    <mergeCell ref="M1645:M1647"/>
    <mergeCell ref="N1645:N1647"/>
    <mergeCell ref="A1662:A1664"/>
    <mergeCell ref="B1662:B1664"/>
    <mergeCell ref="C1662:C1664"/>
    <mergeCell ref="D1662:D1664"/>
    <mergeCell ref="E1662:E1664"/>
    <mergeCell ref="F1662:F1664"/>
    <mergeCell ref="N1639:N1643"/>
    <mergeCell ref="A1645:A1647"/>
    <mergeCell ref="B1645:B1647"/>
    <mergeCell ref="C1645:C1647"/>
    <mergeCell ref="D1645:D1647"/>
    <mergeCell ref="E1645:E1647"/>
    <mergeCell ref="F1645:F1647"/>
    <mergeCell ref="G1645:G1647"/>
    <mergeCell ref="I1645:I1647"/>
    <mergeCell ref="J1645:J1647"/>
    <mergeCell ref="G1639:G1643"/>
    <mergeCell ref="I1639:I1643"/>
    <mergeCell ref="J1639:J1643"/>
    <mergeCell ref="K1639:K1643"/>
    <mergeCell ref="L1639:L1643"/>
    <mergeCell ref="M1639:M1643"/>
    <mergeCell ref="K1635:K1637"/>
    <mergeCell ref="L1635:L1637"/>
    <mergeCell ref="M1635:M1637"/>
    <mergeCell ref="N1635:N1637"/>
    <mergeCell ref="A1639:A1643"/>
    <mergeCell ref="B1639:B1643"/>
    <mergeCell ref="C1639:C1643"/>
    <mergeCell ref="D1639:D1643"/>
    <mergeCell ref="E1639:E1643"/>
    <mergeCell ref="F1639:F1643"/>
    <mergeCell ref="N1629:N1631"/>
    <mergeCell ref="A1635:A1637"/>
    <mergeCell ref="B1635:B1637"/>
    <mergeCell ref="C1635:C1637"/>
    <mergeCell ref="D1635:D1637"/>
    <mergeCell ref="E1635:E1637"/>
    <mergeCell ref="F1635:F1637"/>
    <mergeCell ref="G1635:G1637"/>
    <mergeCell ref="I1635:I1637"/>
    <mergeCell ref="J1635:J1637"/>
    <mergeCell ref="G1629:G1631"/>
    <mergeCell ref="I1629:I1631"/>
    <mergeCell ref="J1629:J1631"/>
    <mergeCell ref="K1629:K1631"/>
    <mergeCell ref="L1629:L1631"/>
    <mergeCell ref="M1629:M1631"/>
    <mergeCell ref="K1570:K1572"/>
    <mergeCell ref="L1570:L1572"/>
    <mergeCell ref="M1570:M1572"/>
    <mergeCell ref="N1570:N1572"/>
    <mergeCell ref="A1629:A1631"/>
    <mergeCell ref="B1629:B1631"/>
    <mergeCell ref="C1629:C1631"/>
    <mergeCell ref="D1629:D1631"/>
    <mergeCell ref="E1629:E1631"/>
    <mergeCell ref="F1629:F1631"/>
    <mergeCell ref="N1553:N1555"/>
    <mergeCell ref="A1570:A1572"/>
    <mergeCell ref="B1570:B1572"/>
    <mergeCell ref="C1570:C1572"/>
    <mergeCell ref="D1570:D1572"/>
    <mergeCell ref="E1570:E1572"/>
    <mergeCell ref="F1570:F1572"/>
    <mergeCell ref="G1570:G1572"/>
    <mergeCell ref="I1570:I1572"/>
    <mergeCell ref="J1570:J1572"/>
    <mergeCell ref="G1553:G1555"/>
    <mergeCell ref="I1553:I1555"/>
    <mergeCell ref="J1553:J1555"/>
    <mergeCell ref="K1553:K1555"/>
    <mergeCell ref="L1553:L1555"/>
    <mergeCell ref="M1553:M1555"/>
    <mergeCell ref="K1541:K1543"/>
    <mergeCell ref="L1541:L1543"/>
    <mergeCell ref="M1541:M1543"/>
    <mergeCell ref="N1541:N1543"/>
    <mergeCell ref="A1553:A1555"/>
    <mergeCell ref="B1553:B1555"/>
    <mergeCell ref="C1553:C1555"/>
    <mergeCell ref="D1553:D1555"/>
    <mergeCell ref="E1553:E1555"/>
    <mergeCell ref="F1553:F1555"/>
    <mergeCell ref="N1484:N1486"/>
    <mergeCell ref="A1541:A1543"/>
    <mergeCell ref="B1541:B1543"/>
    <mergeCell ref="C1541:C1543"/>
    <mergeCell ref="D1541:D1543"/>
    <mergeCell ref="E1541:E1543"/>
    <mergeCell ref="F1541:F1543"/>
    <mergeCell ref="G1541:G1543"/>
    <mergeCell ref="I1541:I1543"/>
    <mergeCell ref="J1541:J1543"/>
    <mergeCell ref="G1484:G1486"/>
    <mergeCell ref="I1484:I1486"/>
    <mergeCell ref="J1484:J1486"/>
    <mergeCell ref="K1484:K1486"/>
    <mergeCell ref="L1484:L1486"/>
    <mergeCell ref="M1484:M1486"/>
    <mergeCell ref="K1456:K1458"/>
    <mergeCell ref="L1456:L1458"/>
    <mergeCell ref="M1456:M1458"/>
    <mergeCell ref="N1456:N1458"/>
    <mergeCell ref="A1484:A1486"/>
    <mergeCell ref="B1484:B1486"/>
    <mergeCell ref="C1484:C1486"/>
    <mergeCell ref="D1484:D1486"/>
    <mergeCell ref="E1484:E1486"/>
    <mergeCell ref="F1484:F1486"/>
    <mergeCell ref="N1444:N1446"/>
    <mergeCell ref="A1456:A1458"/>
    <mergeCell ref="B1456:B1458"/>
    <mergeCell ref="C1456:C1458"/>
    <mergeCell ref="D1456:D1458"/>
    <mergeCell ref="E1456:E1458"/>
    <mergeCell ref="F1456:F1458"/>
    <mergeCell ref="G1456:G1458"/>
    <mergeCell ref="I1456:I1458"/>
    <mergeCell ref="J1456:J1458"/>
    <mergeCell ref="G1444:G1446"/>
    <mergeCell ref="I1444:I1446"/>
    <mergeCell ref="J1444:J1446"/>
    <mergeCell ref="K1444:K1446"/>
    <mergeCell ref="L1444:L1446"/>
    <mergeCell ref="M1444:M1446"/>
    <mergeCell ref="K1413:K1414"/>
    <mergeCell ref="L1413:L1414"/>
    <mergeCell ref="M1413:M1414"/>
    <mergeCell ref="N1413:N1414"/>
    <mergeCell ref="A1444:A1446"/>
    <mergeCell ref="B1444:B1446"/>
    <mergeCell ref="C1444:C1446"/>
    <mergeCell ref="D1444:D1446"/>
    <mergeCell ref="E1444:E1446"/>
    <mergeCell ref="F1444:F1446"/>
    <mergeCell ref="N1411:N1412"/>
    <mergeCell ref="A1413:A1414"/>
    <mergeCell ref="B1413:B1414"/>
    <mergeCell ref="C1413:C1414"/>
    <mergeCell ref="D1413:D1414"/>
    <mergeCell ref="E1413:E1414"/>
    <mergeCell ref="F1413:F1414"/>
    <mergeCell ref="G1413:G1414"/>
    <mergeCell ref="I1413:I1414"/>
    <mergeCell ref="J1413:J1414"/>
    <mergeCell ref="G1411:G1412"/>
    <mergeCell ref="I1411:I1412"/>
    <mergeCell ref="J1411:J1412"/>
    <mergeCell ref="K1411:K1412"/>
    <mergeCell ref="L1411:L1412"/>
    <mergeCell ref="M1411:M1412"/>
    <mergeCell ref="K1405:K1409"/>
    <mergeCell ref="L1405:L1409"/>
    <mergeCell ref="M1405:M1409"/>
    <mergeCell ref="N1405:N1409"/>
    <mergeCell ref="A1411:A1412"/>
    <mergeCell ref="B1411:B1412"/>
    <mergeCell ref="C1411:C1412"/>
    <mergeCell ref="D1411:D1412"/>
    <mergeCell ref="E1411:E1412"/>
    <mergeCell ref="F1411:F1412"/>
    <mergeCell ref="N1374:N1375"/>
    <mergeCell ref="A1405:A1409"/>
    <mergeCell ref="B1405:B1409"/>
    <mergeCell ref="C1405:C1409"/>
    <mergeCell ref="D1405:D1409"/>
    <mergeCell ref="E1405:E1409"/>
    <mergeCell ref="F1405:F1409"/>
    <mergeCell ref="G1405:G1409"/>
    <mergeCell ref="I1405:I1409"/>
    <mergeCell ref="J1405:J1409"/>
    <mergeCell ref="G1374:G1375"/>
    <mergeCell ref="I1374:I1375"/>
    <mergeCell ref="J1374:J1375"/>
    <mergeCell ref="K1374:K1375"/>
    <mergeCell ref="L1374:L1375"/>
    <mergeCell ref="M1374:M1375"/>
    <mergeCell ref="K1361:K1362"/>
    <mergeCell ref="L1361:L1362"/>
    <mergeCell ref="M1361:M1362"/>
    <mergeCell ref="N1361:N1362"/>
    <mergeCell ref="A1374:A1375"/>
    <mergeCell ref="B1374:B1375"/>
    <mergeCell ref="C1374:C1375"/>
    <mergeCell ref="D1374:D1375"/>
    <mergeCell ref="E1374:E1375"/>
    <mergeCell ref="F1374:F1375"/>
    <mergeCell ref="N1354:N1356"/>
    <mergeCell ref="A1361:A1362"/>
    <mergeCell ref="B1361:B1362"/>
    <mergeCell ref="C1361:C1362"/>
    <mergeCell ref="D1361:D1362"/>
    <mergeCell ref="E1361:E1362"/>
    <mergeCell ref="F1361:F1362"/>
    <mergeCell ref="G1361:G1362"/>
    <mergeCell ref="I1361:I1362"/>
    <mergeCell ref="J1361:J1362"/>
    <mergeCell ref="G1354:G1356"/>
    <mergeCell ref="I1354:I1356"/>
    <mergeCell ref="J1354:J1356"/>
    <mergeCell ref="K1354:K1356"/>
    <mergeCell ref="L1354:L1356"/>
    <mergeCell ref="M1354:M1356"/>
    <mergeCell ref="K1319:K1320"/>
    <mergeCell ref="L1319:L1320"/>
    <mergeCell ref="M1319:M1320"/>
    <mergeCell ref="N1319:N1320"/>
    <mergeCell ref="A1354:A1356"/>
    <mergeCell ref="B1354:B1356"/>
    <mergeCell ref="C1354:C1356"/>
    <mergeCell ref="D1354:D1356"/>
    <mergeCell ref="E1354:E1356"/>
    <mergeCell ref="F1354:F1356"/>
    <mergeCell ref="N1269:N1271"/>
    <mergeCell ref="A1319:A1320"/>
    <mergeCell ref="B1319:B1320"/>
    <mergeCell ref="C1319:C1320"/>
    <mergeCell ref="D1319:D1320"/>
    <mergeCell ref="E1319:E1320"/>
    <mergeCell ref="F1319:F1320"/>
    <mergeCell ref="G1319:G1320"/>
    <mergeCell ref="I1319:I1320"/>
    <mergeCell ref="J1319:J1320"/>
    <mergeCell ref="G1269:G1271"/>
    <mergeCell ref="I1269:I1271"/>
    <mergeCell ref="J1269:J1271"/>
    <mergeCell ref="K1269:K1271"/>
    <mergeCell ref="L1269:L1271"/>
    <mergeCell ref="M1269:M1271"/>
    <mergeCell ref="K1264:K1266"/>
    <mergeCell ref="L1264:L1266"/>
    <mergeCell ref="M1264:M1266"/>
    <mergeCell ref="N1264:N1266"/>
    <mergeCell ref="A1269:A1271"/>
    <mergeCell ref="B1269:B1271"/>
    <mergeCell ref="C1269:C1271"/>
    <mergeCell ref="D1269:D1271"/>
    <mergeCell ref="E1269:E1271"/>
    <mergeCell ref="F1269:F1271"/>
    <mergeCell ref="N1259:N1260"/>
    <mergeCell ref="A1264:A1266"/>
    <mergeCell ref="B1264:B1266"/>
    <mergeCell ref="C1264:C1266"/>
    <mergeCell ref="D1264:D1266"/>
    <mergeCell ref="E1264:E1266"/>
    <mergeCell ref="F1264:F1266"/>
    <mergeCell ref="G1264:G1266"/>
    <mergeCell ref="I1264:I1266"/>
    <mergeCell ref="J1264:J1266"/>
    <mergeCell ref="G1259:G1260"/>
    <mergeCell ref="I1259:I1260"/>
    <mergeCell ref="J1259:J1260"/>
    <mergeCell ref="K1259:K1260"/>
    <mergeCell ref="L1259:L1260"/>
    <mergeCell ref="M1259:M1260"/>
    <mergeCell ref="K1168:K1170"/>
    <mergeCell ref="L1168:L1170"/>
    <mergeCell ref="M1168:M1170"/>
    <mergeCell ref="N1168:N1170"/>
    <mergeCell ref="A1259:A1260"/>
    <mergeCell ref="B1259:B1260"/>
    <mergeCell ref="C1259:C1260"/>
    <mergeCell ref="D1259:D1260"/>
    <mergeCell ref="E1259:E1260"/>
    <mergeCell ref="F1259:F1260"/>
    <mergeCell ref="N1164:N1166"/>
    <mergeCell ref="A1168:A1170"/>
    <mergeCell ref="B1168:B1170"/>
    <mergeCell ref="C1168:C1170"/>
    <mergeCell ref="D1168:D1170"/>
    <mergeCell ref="E1168:E1170"/>
    <mergeCell ref="F1168:F1170"/>
    <mergeCell ref="G1168:G1170"/>
    <mergeCell ref="I1168:I1170"/>
    <mergeCell ref="J1168:J1170"/>
    <mergeCell ref="G1164:G1166"/>
    <mergeCell ref="I1164:I1166"/>
    <mergeCell ref="J1164:J1166"/>
    <mergeCell ref="K1164:K1166"/>
    <mergeCell ref="L1164:L1166"/>
    <mergeCell ref="M1164:M1166"/>
    <mergeCell ref="K1152:K1154"/>
    <mergeCell ref="L1152:L1154"/>
    <mergeCell ref="M1152:M1154"/>
    <mergeCell ref="N1152:N1154"/>
    <mergeCell ref="A1164:A1166"/>
    <mergeCell ref="B1164:B1166"/>
    <mergeCell ref="C1164:C1166"/>
    <mergeCell ref="D1164:D1166"/>
    <mergeCell ref="E1164:E1166"/>
    <mergeCell ref="F1164:F1166"/>
    <mergeCell ref="N1146:N1148"/>
    <mergeCell ref="A1152:A1154"/>
    <mergeCell ref="B1152:B1154"/>
    <mergeCell ref="C1152:C1154"/>
    <mergeCell ref="D1152:D1154"/>
    <mergeCell ref="E1152:E1154"/>
    <mergeCell ref="F1152:F1154"/>
    <mergeCell ref="G1152:G1154"/>
    <mergeCell ref="I1152:I1154"/>
    <mergeCell ref="J1152:J1154"/>
    <mergeCell ref="G1146:G1148"/>
    <mergeCell ref="I1146:I1148"/>
    <mergeCell ref="J1146:J1148"/>
    <mergeCell ref="K1146:K1148"/>
    <mergeCell ref="L1146:L1148"/>
    <mergeCell ref="M1146:M1148"/>
    <mergeCell ref="K1095:K1099"/>
    <mergeCell ref="L1095:L1099"/>
    <mergeCell ref="M1095:M1099"/>
    <mergeCell ref="N1095:N1099"/>
    <mergeCell ref="A1146:A1148"/>
    <mergeCell ref="B1146:B1148"/>
    <mergeCell ref="C1146:C1148"/>
    <mergeCell ref="D1146:D1148"/>
    <mergeCell ref="E1146:E1148"/>
    <mergeCell ref="F1146:F1148"/>
    <mergeCell ref="N1088:N1089"/>
    <mergeCell ref="A1095:A1099"/>
    <mergeCell ref="B1095:B1099"/>
    <mergeCell ref="C1095:C1099"/>
    <mergeCell ref="D1095:D1099"/>
    <mergeCell ref="E1095:E1099"/>
    <mergeCell ref="F1095:F1099"/>
    <mergeCell ref="G1095:G1099"/>
    <mergeCell ref="I1095:I1099"/>
    <mergeCell ref="J1095:J1099"/>
    <mergeCell ref="G1088:G1089"/>
    <mergeCell ref="I1088:I1089"/>
    <mergeCell ref="J1088:J1089"/>
    <mergeCell ref="K1088:K1089"/>
    <mergeCell ref="L1088:L1089"/>
    <mergeCell ref="M1088:M1089"/>
    <mergeCell ref="K1043:K1044"/>
    <mergeCell ref="L1043:L1044"/>
    <mergeCell ref="M1043:M1044"/>
    <mergeCell ref="N1043:N1044"/>
    <mergeCell ref="A1088:A1089"/>
    <mergeCell ref="B1088:B1089"/>
    <mergeCell ref="C1088:C1089"/>
    <mergeCell ref="D1088:D1089"/>
    <mergeCell ref="E1088:E1089"/>
    <mergeCell ref="F1088:F1089"/>
    <mergeCell ref="N1011:N1019"/>
    <mergeCell ref="A1043:A1044"/>
    <mergeCell ref="B1043:B1044"/>
    <mergeCell ref="C1043:C1044"/>
    <mergeCell ref="D1043:D1044"/>
    <mergeCell ref="E1043:E1044"/>
    <mergeCell ref="F1043:F1044"/>
    <mergeCell ref="G1043:G1044"/>
    <mergeCell ref="I1043:I1044"/>
    <mergeCell ref="J1043:J1044"/>
    <mergeCell ref="G1011:G1019"/>
    <mergeCell ref="I1011:I1019"/>
    <mergeCell ref="J1011:J1019"/>
    <mergeCell ref="K1011:K1019"/>
    <mergeCell ref="L1011:L1019"/>
    <mergeCell ref="M1011:M1019"/>
    <mergeCell ref="K1002:K1003"/>
    <mergeCell ref="L1002:L1003"/>
    <mergeCell ref="M1002:M1003"/>
    <mergeCell ref="N1002:N1003"/>
    <mergeCell ref="A1011:A1019"/>
    <mergeCell ref="B1011:B1019"/>
    <mergeCell ref="C1011:C1019"/>
    <mergeCell ref="D1011:D1019"/>
    <mergeCell ref="E1011:E1019"/>
    <mergeCell ref="F1011:F1019"/>
    <mergeCell ref="N1000:N1001"/>
    <mergeCell ref="A1002:A1003"/>
    <mergeCell ref="B1002:B1003"/>
    <mergeCell ref="C1002:C1003"/>
    <mergeCell ref="D1002:D1003"/>
    <mergeCell ref="E1002:E1003"/>
    <mergeCell ref="F1002:F1003"/>
    <mergeCell ref="G1002:G1003"/>
    <mergeCell ref="I1002:I1003"/>
    <mergeCell ref="J1002:J1003"/>
    <mergeCell ref="G1000:G1001"/>
    <mergeCell ref="I1000:I1001"/>
    <mergeCell ref="J1000:J1001"/>
    <mergeCell ref="K1000:K1001"/>
    <mergeCell ref="L1000:L1001"/>
    <mergeCell ref="M1000:M1001"/>
    <mergeCell ref="K998:K999"/>
    <mergeCell ref="L998:L999"/>
    <mergeCell ref="M998:M999"/>
    <mergeCell ref="N998:N999"/>
    <mergeCell ref="A1000:A1001"/>
    <mergeCell ref="B1000:B1001"/>
    <mergeCell ref="C1000:C1001"/>
    <mergeCell ref="D1000:D1001"/>
    <mergeCell ref="E1000:E1001"/>
    <mergeCell ref="F1000:F1001"/>
    <mergeCell ref="N995:N996"/>
    <mergeCell ref="A998:A999"/>
    <mergeCell ref="B998:B999"/>
    <mergeCell ref="C998:C999"/>
    <mergeCell ref="D998:D999"/>
    <mergeCell ref="E998:E999"/>
    <mergeCell ref="F998:F999"/>
    <mergeCell ref="G998:G999"/>
    <mergeCell ref="I998:I999"/>
    <mergeCell ref="J998:J999"/>
    <mergeCell ref="G995:G996"/>
    <mergeCell ref="I995:I996"/>
    <mergeCell ref="J995:J996"/>
    <mergeCell ref="K995:K996"/>
    <mergeCell ref="L995:L996"/>
    <mergeCell ref="M995:M996"/>
    <mergeCell ref="K983:K985"/>
    <mergeCell ref="L983:L985"/>
    <mergeCell ref="M983:M985"/>
    <mergeCell ref="N983:N985"/>
    <mergeCell ref="A995:A996"/>
    <mergeCell ref="B995:B996"/>
    <mergeCell ref="C995:C996"/>
    <mergeCell ref="D995:D996"/>
    <mergeCell ref="E995:E996"/>
    <mergeCell ref="F995:F996"/>
    <mergeCell ref="N970:N972"/>
    <mergeCell ref="A983:A985"/>
    <mergeCell ref="B983:B985"/>
    <mergeCell ref="C983:C985"/>
    <mergeCell ref="D983:D985"/>
    <mergeCell ref="E983:E985"/>
    <mergeCell ref="F983:F985"/>
    <mergeCell ref="G983:G985"/>
    <mergeCell ref="I983:I985"/>
    <mergeCell ref="J983:J985"/>
    <mergeCell ref="G970:G972"/>
    <mergeCell ref="I970:I972"/>
    <mergeCell ref="J970:J972"/>
    <mergeCell ref="K970:K972"/>
    <mergeCell ref="L970:L972"/>
    <mergeCell ref="M970:M972"/>
    <mergeCell ref="K901:K903"/>
    <mergeCell ref="L901:L903"/>
    <mergeCell ref="M901:M903"/>
    <mergeCell ref="N901:N903"/>
    <mergeCell ref="A970:A972"/>
    <mergeCell ref="B970:B972"/>
    <mergeCell ref="C970:C972"/>
    <mergeCell ref="D970:D972"/>
    <mergeCell ref="E970:E972"/>
    <mergeCell ref="F970:F972"/>
    <mergeCell ref="N826:N828"/>
    <mergeCell ref="A901:A903"/>
    <mergeCell ref="B901:B903"/>
    <mergeCell ref="C901:C903"/>
    <mergeCell ref="D901:D903"/>
    <mergeCell ref="E901:E903"/>
    <mergeCell ref="F901:F903"/>
    <mergeCell ref="G901:G903"/>
    <mergeCell ref="I901:I903"/>
    <mergeCell ref="J901:J903"/>
    <mergeCell ref="G826:G828"/>
    <mergeCell ref="I826:I828"/>
    <mergeCell ref="J826:J828"/>
    <mergeCell ref="K826:K828"/>
    <mergeCell ref="L826:L828"/>
    <mergeCell ref="M826:M828"/>
    <mergeCell ref="K819:K821"/>
    <mergeCell ref="L819:L821"/>
    <mergeCell ref="M819:M821"/>
    <mergeCell ref="N819:N821"/>
    <mergeCell ref="A826:A828"/>
    <mergeCell ref="B826:B828"/>
    <mergeCell ref="C826:C828"/>
    <mergeCell ref="D826:D828"/>
    <mergeCell ref="E826:E828"/>
    <mergeCell ref="F826:F828"/>
    <mergeCell ref="N814:N816"/>
    <mergeCell ref="A819:A821"/>
    <mergeCell ref="B819:B821"/>
    <mergeCell ref="C819:C821"/>
    <mergeCell ref="D819:D821"/>
    <mergeCell ref="E819:E821"/>
    <mergeCell ref="F819:F821"/>
    <mergeCell ref="G819:G821"/>
    <mergeCell ref="I819:I821"/>
    <mergeCell ref="J819:J821"/>
    <mergeCell ref="G814:G816"/>
    <mergeCell ref="I814:I816"/>
    <mergeCell ref="J814:J816"/>
    <mergeCell ref="K814:K816"/>
    <mergeCell ref="L814:L816"/>
    <mergeCell ref="M814:M816"/>
    <mergeCell ref="K773:K775"/>
    <mergeCell ref="L773:L775"/>
    <mergeCell ref="M773:M775"/>
    <mergeCell ref="N773:N775"/>
    <mergeCell ref="A814:A816"/>
    <mergeCell ref="B814:B816"/>
    <mergeCell ref="C814:C816"/>
    <mergeCell ref="D814:D816"/>
    <mergeCell ref="E814:E816"/>
    <mergeCell ref="F814:F816"/>
    <mergeCell ref="N687:N689"/>
    <mergeCell ref="A773:A775"/>
    <mergeCell ref="B773:B775"/>
    <mergeCell ref="C773:C775"/>
    <mergeCell ref="D773:D775"/>
    <mergeCell ref="E773:E775"/>
    <mergeCell ref="F773:F775"/>
    <mergeCell ref="G773:G775"/>
    <mergeCell ref="I773:I775"/>
    <mergeCell ref="J773:J775"/>
    <mergeCell ref="G687:G689"/>
    <mergeCell ref="I687:I689"/>
    <mergeCell ref="J687:J689"/>
    <mergeCell ref="K687:K689"/>
    <mergeCell ref="L687:L689"/>
    <mergeCell ref="M687:M689"/>
    <mergeCell ref="K665:K667"/>
    <mergeCell ref="L665:L667"/>
    <mergeCell ref="M665:M667"/>
    <mergeCell ref="N665:N667"/>
    <mergeCell ref="A687:A689"/>
    <mergeCell ref="B687:B689"/>
    <mergeCell ref="C687:C689"/>
    <mergeCell ref="D687:D689"/>
    <mergeCell ref="E687:E689"/>
    <mergeCell ref="F687:F689"/>
    <mergeCell ref="N603:N609"/>
    <mergeCell ref="A665:A667"/>
    <mergeCell ref="B665:B667"/>
    <mergeCell ref="C665:C667"/>
    <mergeCell ref="D665:D667"/>
    <mergeCell ref="E665:E667"/>
    <mergeCell ref="F665:F667"/>
    <mergeCell ref="G665:G667"/>
    <mergeCell ref="I665:I667"/>
    <mergeCell ref="J665:J667"/>
    <mergeCell ref="G603:G609"/>
    <mergeCell ref="I603:I609"/>
    <mergeCell ref="J603:J609"/>
    <mergeCell ref="K603:K609"/>
    <mergeCell ref="L603:L609"/>
    <mergeCell ref="M603:M609"/>
    <mergeCell ref="K598:K600"/>
    <mergeCell ref="L598:L600"/>
    <mergeCell ref="M598:M600"/>
    <mergeCell ref="N598:N600"/>
    <mergeCell ref="A603:A609"/>
    <mergeCell ref="B603:B609"/>
    <mergeCell ref="C603:C609"/>
    <mergeCell ref="D603:D609"/>
    <mergeCell ref="E603:E609"/>
    <mergeCell ref="F603:F609"/>
    <mergeCell ref="N588:N590"/>
    <mergeCell ref="A598:A600"/>
    <mergeCell ref="B598:B600"/>
    <mergeCell ref="C598:C600"/>
    <mergeCell ref="D598:D600"/>
    <mergeCell ref="E598:E600"/>
    <mergeCell ref="F598:F600"/>
    <mergeCell ref="G598:G600"/>
    <mergeCell ref="I598:I600"/>
    <mergeCell ref="J598:J600"/>
    <mergeCell ref="G588:G590"/>
    <mergeCell ref="I588:I590"/>
    <mergeCell ref="J588:J590"/>
    <mergeCell ref="K588:K590"/>
    <mergeCell ref="L588:L590"/>
    <mergeCell ref="M588:M590"/>
    <mergeCell ref="K561:K564"/>
    <mergeCell ref="L561:L564"/>
    <mergeCell ref="M561:M564"/>
    <mergeCell ref="N561:N564"/>
    <mergeCell ref="A588:A590"/>
    <mergeCell ref="B588:B590"/>
    <mergeCell ref="C588:C590"/>
    <mergeCell ref="D588:D590"/>
    <mergeCell ref="E588:E590"/>
    <mergeCell ref="F588:F590"/>
    <mergeCell ref="N546:N548"/>
    <mergeCell ref="A561:A564"/>
    <mergeCell ref="B561:B564"/>
    <mergeCell ref="C561:C564"/>
    <mergeCell ref="D561:D564"/>
    <mergeCell ref="E561:E564"/>
    <mergeCell ref="F561:F564"/>
    <mergeCell ref="G561:G564"/>
    <mergeCell ref="I561:I564"/>
    <mergeCell ref="J561:J564"/>
    <mergeCell ref="G546:G548"/>
    <mergeCell ref="I546:I548"/>
    <mergeCell ref="J546:J548"/>
    <mergeCell ref="K546:K548"/>
    <mergeCell ref="L546:L548"/>
    <mergeCell ref="M546:M548"/>
    <mergeCell ref="K528:K530"/>
    <mergeCell ref="L528:L530"/>
    <mergeCell ref="M528:M530"/>
    <mergeCell ref="N528:N530"/>
    <mergeCell ref="A546:A548"/>
    <mergeCell ref="B546:B548"/>
    <mergeCell ref="C546:C548"/>
    <mergeCell ref="D546:D548"/>
    <mergeCell ref="E546:E548"/>
    <mergeCell ref="F546:F548"/>
    <mergeCell ref="N419:N421"/>
    <mergeCell ref="A528:A530"/>
    <mergeCell ref="B528:B530"/>
    <mergeCell ref="C528:C530"/>
    <mergeCell ref="D528:D530"/>
    <mergeCell ref="E528:E530"/>
    <mergeCell ref="F528:F530"/>
    <mergeCell ref="G528:G530"/>
    <mergeCell ref="I528:I530"/>
    <mergeCell ref="J528:J530"/>
    <mergeCell ref="G419:G421"/>
    <mergeCell ref="I419:I421"/>
    <mergeCell ref="J419:J421"/>
    <mergeCell ref="K419:K421"/>
    <mergeCell ref="L419:L421"/>
    <mergeCell ref="M419:M421"/>
    <mergeCell ref="K414:K418"/>
    <mergeCell ref="L414:L418"/>
    <mergeCell ref="M414:M418"/>
    <mergeCell ref="N414:N418"/>
    <mergeCell ref="A419:A421"/>
    <mergeCell ref="B419:B421"/>
    <mergeCell ref="C419:C421"/>
    <mergeCell ref="D419:D421"/>
    <mergeCell ref="E419:E421"/>
    <mergeCell ref="F419:F421"/>
    <mergeCell ref="N392:N394"/>
    <mergeCell ref="A414:A418"/>
    <mergeCell ref="B414:B418"/>
    <mergeCell ref="C414:C418"/>
    <mergeCell ref="D414:D418"/>
    <mergeCell ref="E414:E418"/>
    <mergeCell ref="F414:F418"/>
    <mergeCell ref="G414:G418"/>
    <mergeCell ref="I414:I418"/>
    <mergeCell ref="J414:J418"/>
    <mergeCell ref="G392:G394"/>
    <mergeCell ref="I392:I394"/>
    <mergeCell ref="J392:J394"/>
    <mergeCell ref="K392:K394"/>
    <mergeCell ref="L392:L394"/>
    <mergeCell ref="M392:M394"/>
    <mergeCell ref="K372:K374"/>
    <mergeCell ref="L372:L374"/>
    <mergeCell ref="M372:M374"/>
    <mergeCell ref="N372:N374"/>
    <mergeCell ref="A392:A394"/>
    <mergeCell ref="B392:B394"/>
    <mergeCell ref="C392:C394"/>
    <mergeCell ref="D392:D394"/>
    <mergeCell ref="E392:E394"/>
    <mergeCell ref="F392:F394"/>
    <mergeCell ref="N356:N360"/>
    <mergeCell ref="A372:A374"/>
    <mergeCell ref="B372:B374"/>
    <mergeCell ref="C372:C374"/>
    <mergeCell ref="D372:D374"/>
    <mergeCell ref="E372:E374"/>
    <mergeCell ref="F372:F374"/>
    <mergeCell ref="G372:G374"/>
    <mergeCell ref="I372:I374"/>
    <mergeCell ref="J372:J374"/>
    <mergeCell ref="G356:G360"/>
    <mergeCell ref="I356:I360"/>
    <mergeCell ref="J356:J360"/>
    <mergeCell ref="K356:K360"/>
    <mergeCell ref="L356:L360"/>
    <mergeCell ref="M356:M360"/>
    <mergeCell ref="K351:K353"/>
    <mergeCell ref="L351:L353"/>
    <mergeCell ref="M351:M353"/>
    <mergeCell ref="N351:N353"/>
    <mergeCell ref="A356:A360"/>
    <mergeCell ref="B356:B360"/>
    <mergeCell ref="C356:C360"/>
    <mergeCell ref="D356:D360"/>
    <mergeCell ref="E356:E360"/>
    <mergeCell ref="F356:F360"/>
    <mergeCell ref="N326:N330"/>
    <mergeCell ref="A351:A353"/>
    <mergeCell ref="B351:B353"/>
    <mergeCell ref="C351:C353"/>
    <mergeCell ref="D351:D353"/>
    <mergeCell ref="E351:E353"/>
    <mergeCell ref="F351:F353"/>
    <mergeCell ref="G351:G353"/>
    <mergeCell ref="I351:I353"/>
    <mergeCell ref="J351:J353"/>
    <mergeCell ref="G326:G330"/>
    <mergeCell ref="I326:I330"/>
    <mergeCell ref="J326:J330"/>
    <mergeCell ref="K326:K330"/>
    <mergeCell ref="L326:L330"/>
    <mergeCell ref="M326:M330"/>
    <mergeCell ref="K312:K316"/>
    <mergeCell ref="L312:L316"/>
    <mergeCell ref="M312:M316"/>
    <mergeCell ref="N312:N316"/>
    <mergeCell ref="A326:A330"/>
    <mergeCell ref="B326:B330"/>
    <mergeCell ref="C326:C330"/>
    <mergeCell ref="D326:D330"/>
    <mergeCell ref="E326:E330"/>
    <mergeCell ref="F326:F330"/>
    <mergeCell ref="N301:N303"/>
    <mergeCell ref="A312:A316"/>
    <mergeCell ref="B312:B316"/>
    <mergeCell ref="C312:C316"/>
    <mergeCell ref="D312:D316"/>
    <mergeCell ref="E312:E316"/>
    <mergeCell ref="F312:F316"/>
    <mergeCell ref="G312:G316"/>
    <mergeCell ref="I312:I316"/>
    <mergeCell ref="J312:J316"/>
    <mergeCell ref="G301:G303"/>
    <mergeCell ref="I301:I303"/>
    <mergeCell ref="J301:J303"/>
    <mergeCell ref="K301:K303"/>
    <mergeCell ref="L301:L303"/>
    <mergeCell ref="M301:M303"/>
    <mergeCell ref="K292:K294"/>
    <mergeCell ref="L292:L294"/>
    <mergeCell ref="M292:M294"/>
    <mergeCell ref="N292:N294"/>
    <mergeCell ref="A301:A303"/>
    <mergeCell ref="B301:B303"/>
    <mergeCell ref="C301:C303"/>
    <mergeCell ref="D301:D303"/>
    <mergeCell ref="E301:E303"/>
    <mergeCell ref="F301:F303"/>
    <mergeCell ref="N204:N206"/>
    <mergeCell ref="A292:A294"/>
    <mergeCell ref="B292:B294"/>
    <mergeCell ref="C292:C294"/>
    <mergeCell ref="D292:D294"/>
    <mergeCell ref="E292:E294"/>
    <mergeCell ref="F292:F294"/>
    <mergeCell ref="G292:G294"/>
    <mergeCell ref="I292:I294"/>
    <mergeCell ref="J292:J294"/>
    <mergeCell ref="G204:G206"/>
    <mergeCell ref="I204:I206"/>
    <mergeCell ref="J204:J206"/>
    <mergeCell ref="K204:K206"/>
    <mergeCell ref="L204:L206"/>
    <mergeCell ref="M204:M206"/>
    <mergeCell ref="K174:K176"/>
    <mergeCell ref="L174:L176"/>
    <mergeCell ref="M174:M176"/>
    <mergeCell ref="N174:N176"/>
    <mergeCell ref="A204:A206"/>
    <mergeCell ref="B204:B206"/>
    <mergeCell ref="C204:C206"/>
    <mergeCell ref="D204:D206"/>
    <mergeCell ref="E204:E206"/>
    <mergeCell ref="F204:F206"/>
    <mergeCell ref="N161:N163"/>
    <mergeCell ref="A174:A176"/>
    <mergeCell ref="B174:B176"/>
    <mergeCell ref="C174:C176"/>
    <mergeCell ref="D174:D176"/>
    <mergeCell ref="E174:E176"/>
    <mergeCell ref="F174:F176"/>
    <mergeCell ref="G174:G176"/>
    <mergeCell ref="I174:I176"/>
    <mergeCell ref="J174:J176"/>
    <mergeCell ref="G161:G163"/>
    <mergeCell ref="I161:I163"/>
    <mergeCell ref="J161:J163"/>
    <mergeCell ref="K161:K163"/>
    <mergeCell ref="L161:L163"/>
    <mergeCell ref="M161:M163"/>
    <mergeCell ref="K157:K159"/>
    <mergeCell ref="L157:L159"/>
    <mergeCell ref="M157:M159"/>
    <mergeCell ref="N157:N159"/>
    <mergeCell ref="A161:A163"/>
    <mergeCell ref="B161:B163"/>
    <mergeCell ref="C161:C163"/>
    <mergeCell ref="D161:D163"/>
    <mergeCell ref="E161:E163"/>
    <mergeCell ref="F161:F163"/>
    <mergeCell ref="N142:N144"/>
    <mergeCell ref="A157:A159"/>
    <mergeCell ref="B157:B159"/>
    <mergeCell ref="C157:C159"/>
    <mergeCell ref="D157:D159"/>
    <mergeCell ref="E157:E159"/>
    <mergeCell ref="F157:F159"/>
    <mergeCell ref="G157:G159"/>
    <mergeCell ref="I157:I159"/>
    <mergeCell ref="J157:J159"/>
    <mergeCell ref="G142:G144"/>
    <mergeCell ref="I142:I144"/>
    <mergeCell ref="J142:J144"/>
    <mergeCell ref="K142:K144"/>
    <mergeCell ref="L142:L144"/>
    <mergeCell ref="M142:M144"/>
    <mergeCell ref="K139:K141"/>
    <mergeCell ref="L139:L141"/>
    <mergeCell ref="M139:M141"/>
    <mergeCell ref="N139:N141"/>
    <mergeCell ref="A142:A144"/>
    <mergeCell ref="B142:B144"/>
    <mergeCell ref="C142:C144"/>
    <mergeCell ref="D142:D144"/>
    <mergeCell ref="E142:E144"/>
    <mergeCell ref="F142:F144"/>
    <mergeCell ref="N132:N134"/>
    <mergeCell ref="A139:A141"/>
    <mergeCell ref="B139:B141"/>
    <mergeCell ref="C139:C141"/>
    <mergeCell ref="D139:D141"/>
    <mergeCell ref="E139:E141"/>
    <mergeCell ref="F139:F141"/>
    <mergeCell ref="G139:G141"/>
    <mergeCell ref="I139:I141"/>
    <mergeCell ref="J139:J141"/>
    <mergeCell ref="G132:G134"/>
    <mergeCell ref="I132:I134"/>
    <mergeCell ref="J132:J134"/>
    <mergeCell ref="K132:K134"/>
    <mergeCell ref="L132:L134"/>
    <mergeCell ref="M132:M134"/>
    <mergeCell ref="K126:K130"/>
    <mergeCell ref="L126:L130"/>
    <mergeCell ref="M126:M130"/>
    <mergeCell ref="N126:N130"/>
    <mergeCell ref="A132:A134"/>
    <mergeCell ref="B132:B134"/>
    <mergeCell ref="C132:C134"/>
    <mergeCell ref="D132:D134"/>
    <mergeCell ref="E132:E134"/>
    <mergeCell ref="F132:F134"/>
    <mergeCell ref="N115:N121"/>
    <mergeCell ref="A126:A130"/>
    <mergeCell ref="B126:B130"/>
    <mergeCell ref="C126:C130"/>
    <mergeCell ref="D126:D130"/>
    <mergeCell ref="E126:E130"/>
    <mergeCell ref="F126:F130"/>
    <mergeCell ref="G126:G130"/>
    <mergeCell ref="I126:I130"/>
    <mergeCell ref="J126:J130"/>
    <mergeCell ref="G115:G121"/>
    <mergeCell ref="I115:I121"/>
    <mergeCell ref="J115:J121"/>
    <mergeCell ref="K115:K121"/>
    <mergeCell ref="L115:L121"/>
    <mergeCell ref="M115:M121"/>
    <mergeCell ref="K105:K107"/>
    <mergeCell ref="L105:L107"/>
    <mergeCell ref="M105:M107"/>
    <mergeCell ref="N105:N107"/>
    <mergeCell ref="A115:A121"/>
    <mergeCell ref="B115:B121"/>
    <mergeCell ref="C115:C121"/>
    <mergeCell ref="D115:D121"/>
    <mergeCell ref="E115:E121"/>
    <mergeCell ref="F115:F121"/>
    <mergeCell ref="N86:N90"/>
    <mergeCell ref="A105:A107"/>
    <mergeCell ref="B105:B107"/>
    <mergeCell ref="C105:C107"/>
    <mergeCell ref="D105:D107"/>
    <mergeCell ref="E105:E107"/>
    <mergeCell ref="F105:F107"/>
    <mergeCell ref="G105:G107"/>
    <mergeCell ref="I105:I107"/>
    <mergeCell ref="J105:J107"/>
    <mergeCell ref="G86:G90"/>
    <mergeCell ref="I86:I90"/>
    <mergeCell ref="J86:J90"/>
    <mergeCell ref="K86:K90"/>
    <mergeCell ref="L86:L90"/>
    <mergeCell ref="M86:M90"/>
    <mergeCell ref="K74:K78"/>
    <mergeCell ref="L74:L78"/>
    <mergeCell ref="M74:M78"/>
    <mergeCell ref="N74:N78"/>
    <mergeCell ref="A86:A90"/>
    <mergeCell ref="B86:B90"/>
    <mergeCell ref="C86:C90"/>
    <mergeCell ref="D86:D90"/>
    <mergeCell ref="E86:E90"/>
    <mergeCell ref="F86:F90"/>
    <mergeCell ref="N64:N66"/>
    <mergeCell ref="A74:A78"/>
    <mergeCell ref="B74:B78"/>
    <mergeCell ref="C74:C78"/>
    <mergeCell ref="D74:D78"/>
    <mergeCell ref="E74:E78"/>
    <mergeCell ref="F74:F78"/>
    <mergeCell ref="G74:G78"/>
    <mergeCell ref="I74:I78"/>
    <mergeCell ref="J74:J78"/>
    <mergeCell ref="G64:G66"/>
    <mergeCell ref="I64:I66"/>
    <mergeCell ref="J64:J66"/>
    <mergeCell ref="K64:K66"/>
    <mergeCell ref="L64:L66"/>
    <mergeCell ref="M64:M66"/>
    <mergeCell ref="K53:K55"/>
    <mergeCell ref="L53:L55"/>
    <mergeCell ref="M53:M55"/>
    <mergeCell ref="N53:N55"/>
    <mergeCell ref="A64:A66"/>
    <mergeCell ref="B64:B66"/>
    <mergeCell ref="C64:C66"/>
    <mergeCell ref="D64:D66"/>
    <mergeCell ref="E64:E66"/>
    <mergeCell ref="F64:F66"/>
    <mergeCell ref="N22:N24"/>
    <mergeCell ref="A53:A55"/>
    <mergeCell ref="B53:B55"/>
    <mergeCell ref="C53:C55"/>
    <mergeCell ref="D53:D55"/>
    <mergeCell ref="E53:E55"/>
    <mergeCell ref="F53:F55"/>
    <mergeCell ref="G53:G55"/>
    <mergeCell ref="I53:I55"/>
    <mergeCell ref="J53:J55"/>
    <mergeCell ref="G22:G24"/>
    <mergeCell ref="I22:I24"/>
    <mergeCell ref="J22:J24"/>
    <mergeCell ref="K22:K24"/>
    <mergeCell ref="L22:L24"/>
    <mergeCell ref="M22:M24"/>
    <mergeCell ref="A22:A24"/>
    <mergeCell ref="B22:B24"/>
    <mergeCell ref="C22:C24"/>
    <mergeCell ref="D22:D24"/>
    <mergeCell ref="E22:E24"/>
    <mergeCell ref="F22:F24"/>
  </mergeCells>
  <hyperlinks>
    <hyperlink ref="C253" r:id="rId1" display="iso639-2LanguageCode.aspx" xr:uid="{1EFB3A15-3167-4AFC-AE99-67E68944C54A}"/>
    <hyperlink ref="H253" r:id="rId2" display="http://www.loc.gov/standards/iso639-2/langhome.html" xr:uid="{F8D86984-5146-4BA7-A54C-077129DB7C6B}"/>
    <hyperlink ref="C266" r:id="rId3" display="iso639-2LanguageCode.aspx" xr:uid="{64338B6D-25BE-4A01-9C8B-966391070A05}"/>
    <hyperlink ref="H266" r:id="rId4" display="http://www.loc.gov/standards/iso639-2/langhome.html" xr:uid="{FAC98729-937D-4281-9CC0-CE58F3E85349}"/>
    <hyperlink ref="C267" r:id="rId5" display="iso639-2LanguageCode.aspx" xr:uid="{757FE386-9CC7-4649-AB7C-452DB6A22204}"/>
    <hyperlink ref="H267" r:id="rId6" display="http://www.loc.gov/standards/iso639-2/langhome.html" xr:uid="{4AAE8A3E-C721-44F0-9DB5-E1EFBB3FE0A1}"/>
    <hyperlink ref="C268" r:id="rId7" display="iso639-2LanguageCode.aspx" xr:uid="{16010C82-84C2-49E6-A6B3-CDF02762091C}"/>
    <hyperlink ref="H268" r:id="rId8" display="http://www.loc.gov/standards/iso639-2/langhome.html" xr:uid="{799771E3-4350-45A0-B604-B9FFFC247FEE}"/>
    <hyperlink ref="C295" r:id="rId9" display="iso639-2LanguageCode.aspx" xr:uid="{11E44C21-ECDF-4A4C-926F-2F050DBD90BF}"/>
    <hyperlink ref="H295" r:id="rId10" display="http://www.loc.gov/standards/iso639-2/langhome.html" xr:uid="{16367608-7757-4905-83A2-6ED485FA18AA}"/>
    <hyperlink ref="C543" r:id="rId11" display="http://nces.ed.gov/ipeds/cipcode/browse.aspx?y=55" xr:uid="{0FAF6B2F-DD22-4A96-8C10-1F0D44011918}"/>
    <hyperlink ref="C570" r:id="rId12" display="iso639-2LanguageCode.aspx" xr:uid="{36532793-FA96-4F2A-89D2-24A8276688BE}"/>
    <hyperlink ref="H570" r:id="rId13" display="http://www.loc.gov/standards/iso639-2/langhome.html" xr:uid="{D4374114-7A33-4191-8EC5-E73D12E715B9}"/>
    <hyperlink ref="C591" r:id="rId14" display="iso639-2LanguageCode.aspx" xr:uid="{E132B4AA-54FE-4DB9-83C6-796D118F790A}"/>
    <hyperlink ref="H591" r:id="rId15" display="http://www.loc.gov/standards/iso639-2/langhome.html" xr:uid="{49120014-BB1B-45CC-8ED9-D7A776AACBB4}"/>
    <hyperlink ref="H643" r:id="rId16" display="http://www.iso.org/iso/country_codes.htm" xr:uid="{9FAAF0EA-6E72-4591-B78E-BDF7F8E05836}"/>
    <hyperlink ref="H644" r:id="rId17" display="http://www.iso.org/iso/country_codes.htm" xr:uid="{B50E6D9E-E624-4941-9622-F244A0D7DFDD}"/>
    <hyperlink ref="H721" r:id="rId18" location="RevocationList" display="http://openbadges.github.io/openbadges-specification/ - RevocationList" xr:uid="{12AC6A8E-F5F8-43CC-B9AD-75C9638C6425}"/>
    <hyperlink ref="H722" r:id="rId19" location="polygon" display="http://geojson.org/geojson-spec.html - polygon" xr:uid="{F8D2E3B6-012E-43D2-B8BF-656A3D746C79}"/>
    <hyperlink ref="H723" r:id="rId20" location="polygon" display="http://geojson.org/geojson-spec.html - polygon" xr:uid="{F7C53E3C-036B-4E93-A495-AC579B86BC19}"/>
    <hyperlink ref="H803" r:id="rId21" display="http://degreeprofile.org/" xr:uid="{502B8D42-7BEE-4523-B5C6-C7A0C2A8F951}"/>
    <hyperlink ref="H980" r:id="rId22" display="http://nces.ed.gov/pubs2015/fin_acct/chapter6_3.asp" xr:uid="{089C41E6-B6FA-458D-A5EC-124CE8C60071}"/>
    <hyperlink ref="H981" r:id="rId23" display="http://nces.ed.gov/pubs2015/fin_acct/chapter6_1.asp" xr:uid="{A5E88D1A-5065-4B38-ACE4-C90ED890DBF0}"/>
    <hyperlink ref="H982" r:id="rId24" display="http://nces.ed.gov/pubs2015/fin_acct/chapter6_2.asp" xr:uid="{D2F42C85-1B11-494D-B886-A00441915D7E}"/>
    <hyperlink ref="H983" r:id="rId25" display="http://nces.ed.gov/pubs2015/fin_acct/chapter6_4.asp" xr:uid="{2F697061-AC89-464F-A195-BECDC5248665}"/>
    <hyperlink ref="H1008" r:id="rId26" display="http://nces.ed.gov/pubs2015/fin_acct/chapter6_5.asp" xr:uid="{395685D2-DA17-4E7D-AEEE-32C4080A95C5}"/>
    <hyperlink ref="H1009" r:id="rId27" display="http://nces.ed.gov/pubs2015/fin_acct/chapter6_8.asp" xr:uid="{F80323ED-3B12-4BBC-83CE-6E8852C041CD}"/>
    <hyperlink ref="H1010" r:id="rId28" display="http://nces.ed.gov/pubs2015/fin_acct/chapter6_6.asp" xr:uid="{76424D0E-2257-467E-9F7A-A37FE3FE9543}"/>
    <hyperlink ref="H1011" r:id="rId29" display="http://nces.ed.gov/pubs2015/fin_acct/chapter6_7.asp" xr:uid="{CB457912-F362-4EF6-BCAD-103560E86EA1}"/>
    <hyperlink ref="H1118" r:id="rId30" xr:uid="{754DA83A-3512-46CD-A45E-32CFDB65FC52}"/>
    <hyperlink ref="C1213" r:id="rId31" display="iso639-2LanguageCode.aspx" xr:uid="{BB82F087-2FE1-44D6-AB58-C57C2BD7A712}"/>
    <hyperlink ref="H1213" r:id="rId32" display="http://www.loc.gov/standards/iso639-2/langhome.html" xr:uid="{36609318-A0D2-4482-8B1A-8E81594B7D19}"/>
    <hyperlink ref="C1247" r:id="rId33" display="iso639-2LanguageCode.aspx" xr:uid="{4096F40E-8DB4-4FAB-8CB2-FBE7179F59FD}"/>
    <hyperlink ref="H1247" r:id="rId34" display="http://www.loc.gov/standards/iso639-2/langhome.html" xr:uid="{EE6AAD83-3DEF-4D84-ADCD-C7A83AC13377}"/>
    <hyperlink ref="C1248" r:id="rId35" display="iso639-3LanguageCodev7.aspx" xr:uid="{3C7D3140-483E-476F-B33F-6A7BA58D2E71}"/>
    <hyperlink ref="H1248" r:id="rId36" display="http://www-01.sil.org/iso639-3/default.asp" xr:uid="{96E24890-0FEA-4D82-975E-683F013366B3}"/>
    <hyperlink ref="H1249" r:id="rId37" display="http://www.loc.gov/standards/iso639-5/index.html" xr:uid="{80968588-6B6A-465D-AEB5-8F1FE1B5E17C}"/>
    <hyperlink ref="H1273" r:id="rId38" display="https://w3id.org/xapi/adl" xr:uid="{AC786439-4D8F-4999-A079-B7E2AFDBDB7F}"/>
    <hyperlink ref="C1280" r:id="rId39" display="iso639-2LanguageCode.aspx" xr:uid="{A024D6A0-2C17-4605-82DB-5879E07F8CA3}"/>
    <hyperlink ref="H1280" r:id="rId40" display="http://www.loc.gov/standards/iso639-2/langhome.html" xr:uid="{AAD88BFB-4800-475E-8EFA-02698EE1A10C}"/>
    <hyperlink ref="C1319" r:id="rId41" display="iso639-2LanguageCode.aspx" xr:uid="{BD64B8F7-B492-4098-A5F7-8D2AC224A0AA}"/>
    <hyperlink ref="H1319" r:id="rId42" display="http://www.loc.gov/standards/iso639-2/langhome.html" xr:uid="{7732FF54-CC8A-434C-82B5-2EC073F5921D}"/>
    <hyperlink ref="H1436" r:id="rId43" xr:uid="{F3EFE98D-B4D1-418F-9DD8-D0C912B586DE}"/>
    <hyperlink ref="C1556" r:id="rId44" display="iso639-2LanguageCode.aspx" xr:uid="{798D2701-ADB3-463F-AA40-FC40C11738B4}"/>
    <hyperlink ref="H1556" r:id="rId45" display="http://www.loc.gov/standards/iso639-2/langhome.html" xr:uid="{E046BD1A-F5D4-4C54-A8FB-5C00424717B6}"/>
    <hyperlink ref="H1599" r:id="rId46" display="http://www.iso.org/iso/country_codes.htm" xr:uid="{C5AFD9F4-C508-470F-9850-D9D3C43EB30A}"/>
    <hyperlink ref="C1682" r:id="rId47" display="ScedCourseCodesv4.aspx" xr:uid="{1A7A5070-D3A0-4193-BCB6-7563F6F2C672}"/>
    <hyperlink ref="H1870" r:id="rId48" display="https://ceds.ed.gov/element/000202" xr:uid="{FAFFB7DD-CAA0-4975-AEEB-BA1CB2B29527}"/>
    <hyperlink ref="G1391" r:id="rId49" xr:uid="{BE709BDD-9903-4FC9-8823-2CACECE4B1C9}"/>
  </hyperlinks>
  <pageMargins left="0.75" right="0.75" top="1" bottom="1" header="0.5" footer="0.5"/>
  <pageSetup orientation="portrait"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6419-53CB-48DD-A685-D0B1C1317202}">
  <dimension ref="A1:Q4373"/>
  <sheetViews>
    <sheetView showGridLines="0" topLeftCell="H1545" workbookViewId="0">
      <selection activeCell="O1548" sqref="O1548"/>
    </sheetView>
  </sheetViews>
  <sheetFormatPr defaultRowHeight="15" x14ac:dyDescent="0.25"/>
  <cols>
    <col min="1" max="1" width="31.28515625" bestFit="1" customWidth="1"/>
    <col min="2" max="2" width="33" bestFit="1" customWidth="1"/>
    <col min="3" max="3" width="36.5703125" bestFit="1" customWidth="1"/>
    <col min="4" max="4" width="13.42578125" bestFit="1" customWidth="1"/>
    <col min="5" max="8" width="36.5703125" bestFit="1" customWidth="1"/>
    <col min="9" max="9" width="15.85546875" bestFit="1" customWidth="1"/>
    <col min="10" max="12" width="36.5703125" bestFit="1" customWidth="1"/>
    <col min="13" max="13" width="11.42578125" bestFit="1" customWidth="1"/>
    <col min="14" max="15" width="36.5703125" bestFit="1" customWidth="1"/>
    <col min="16" max="16" width="28.140625" customWidth="1"/>
    <col min="17" max="17" width="28" bestFit="1" customWidth="1"/>
  </cols>
  <sheetData>
    <row r="1" spans="1:17" s="8" customFormat="1" ht="30" x14ac:dyDescent="0.25">
      <c r="A1" s="2" t="s">
        <v>6928</v>
      </c>
      <c r="B1" s="2" t="s">
        <v>6929</v>
      </c>
      <c r="C1" s="2" t="s">
        <v>6930</v>
      </c>
      <c r="D1" s="2" t="s">
        <v>6931</v>
      </c>
      <c r="E1" s="2" t="s">
        <v>6297</v>
      </c>
      <c r="F1" s="2" t="s">
        <v>6298</v>
      </c>
      <c r="G1" s="2" t="s">
        <v>6299</v>
      </c>
      <c r="H1" s="2" t="s">
        <v>6932</v>
      </c>
      <c r="I1" s="7" t="s">
        <v>6933</v>
      </c>
      <c r="J1" s="2" t="s">
        <v>6302</v>
      </c>
      <c r="K1" s="2" t="s">
        <v>6303</v>
      </c>
      <c r="L1" s="2" t="s">
        <v>6304</v>
      </c>
      <c r="M1" s="2" t="s">
        <v>6305</v>
      </c>
      <c r="N1" s="2" t="s">
        <v>6306</v>
      </c>
      <c r="O1" s="8" t="s">
        <v>6307</v>
      </c>
      <c r="P1" s="8" t="s">
        <v>6309</v>
      </c>
      <c r="Q1" s="8" t="s">
        <v>6934</v>
      </c>
    </row>
    <row r="2" spans="1:17" ht="45" x14ac:dyDescent="0.25">
      <c r="A2" s="9" t="s">
        <v>6739</v>
      </c>
      <c r="B2" s="9" t="s">
        <v>6779</v>
      </c>
      <c r="C2" s="9"/>
      <c r="D2" s="9" t="s">
        <v>6742</v>
      </c>
      <c r="E2" s="9" t="s">
        <v>11653</v>
      </c>
      <c r="F2" s="9" t="s">
        <v>11654</v>
      </c>
      <c r="G2" s="9" t="s">
        <v>12</v>
      </c>
      <c r="H2" s="9"/>
      <c r="I2" s="9"/>
      <c r="J2" s="9" t="s">
        <v>1143</v>
      </c>
      <c r="K2" s="9"/>
      <c r="L2" s="9"/>
      <c r="M2" s="9" t="s">
        <v>11656</v>
      </c>
      <c r="N2" s="9"/>
      <c r="O2" s="9" t="s">
        <v>11657</v>
      </c>
      <c r="P2" s="9" t="str">
        <f>HYPERLINK("https://ceds.ed.gov/cedselementdetails.aspx?termid=14644")</f>
        <v>https://ceds.ed.gov/cedselementdetails.aspx?termid=14644</v>
      </c>
      <c r="Q2" s="9" t="str">
        <f>HYPERLINK("https://ceds.ed.gov/elementComment.aspx?elementName=Organization Image URL &amp;elementID=14644", "Click here to submit comment")</f>
        <v>Click here to submit comment</v>
      </c>
    </row>
    <row r="3" spans="1:17" ht="45" x14ac:dyDescent="0.25">
      <c r="A3" s="9" t="s">
        <v>6739</v>
      </c>
      <c r="B3" s="9" t="s">
        <v>6779</v>
      </c>
      <c r="C3" s="9"/>
      <c r="D3" s="9" t="s">
        <v>6742</v>
      </c>
      <c r="E3" s="9" t="s">
        <v>11660</v>
      </c>
      <c r="F3" s="9" t="s">
        <v>11661</v>
      </c>
      <c r="G3" s="9" t="s">
        <v>12</v>
      </c>
      <c r="H3" s="9"/>
      <c r="I3" s="9" t="s">
        <v>91</v>
      </c>
      <c r="J3" s="9" t="s">
        <v>11025</v>
      </c>
      <c r="K3" s="9" t="s">
        <v>11663</v>
      </c>
      <c r="L3" s="9"/>
      <c r="M3" s="9" t="s">
        <v>11664</v>
      </c>
      <c r="N3" s="9"/>
      <c r="O3" s="9" t="s">
        <v>11665</v>
      </c>
      <c r="P3" s="9" t="str">
        <f>HYPERLINK("https://ceds.ed.gov/cedselementdetails.aspx?termid=14731")</f>
        <v>https://ceds.ed.gov/cedselementdetails.aspx?termid=14731</v>
      </c>
      <c r="Q3" s="9" t="str">
        <f>HYPERLINK("https://ceds.ed.gov/elementComment.aspx?elementName=Organization Region GeoJSON &amp;elementID=14731", "Click here to submit comment")</f>
        <v>Click here to submit comment</v>
      </c>
    </row>
    <row r="4" spans="1:17" ht="60" x14ac:dyDescent="0.25">
      <c r="A4" s="9" t="s">
        <v>6739</v>
      </c>
      <c r="B4" s="9" t="s">
        <v>6779</v>
      </c>
      <c r="C4" s="9"/>
      <c r="D4" s="9" t="s">
        <v>6742</v>
      </c>
      <c r="E4" s="9" t="s">
        <v>4460</v>
      </c>
      <c r="F4" s="9" t="s">
        <v>4461</v>
      </c>
      <c r="G4" s="10" t="s">
        <v>6629</v>
      </c>
      <c r="H4" s="9"/>
      <c r="I4" s="9"/>
      <c r="J4" s="9"/>
      <c r="K4" s="9"/>
      <c r="L4" s="9"/>
      <c r="M4" s="9" t="s">
        <v>4462</v>
      </c>
      <c r="N4" s="9"/>
      <c r="O4" s="9" t="s">
        <v>4463</v>
      </c>
      <c r="P4" s="9" t="str">
        <f>HYPERLINK("https://ceds.ed.gov/cedselementdetails.aspx?termid=14387")</f>
        <v>https://ceds.ed.gov/cedselementdetails.aspx?termid=14387</v>
      </c>
      <c r="Q4" s="9" t="str">
        <f>HYPERLINK("https://ceds.ed.gov/elementComment.aspx?elementName=Organization Operational Status &amp;elementID=14387", "Click here to submit comment")</f>
        <v>Click here to submit comment</v>
      </c>
    </row>
    <row r="5" spans="1:17" ht="120" customHeight="1" x14ac:dyDescent="0.25">
      <c r="A5" s="18" t="s">
        <v>6739</v>
      </c>
      <c r="B5" s="18" t="s">
        <v>6779</v>
      </c>
      <c r="C5" s="18" t="s">
        <v>6777</v>
      </c>
      <c r="D5" s="18" t="s">
        <v>6742</v>
      </c>
      <c r="E5" s="18" t="s">
        <v>4448</v>
      </c>
      <c r="F5" s="18" t="s">
        <v>4449</v>
      </c>
      <c r="G5" s="18" t="s">
        <v>12</v>
      </c>
      <c r="H5" s="18" t="s">
        <v>64</v>
      </c>
      <c r="I5" s="18"/>
      <c r="J5" s="18" t="s">
        <v>119</v>
      </c>
      <c r="K5" s="18"/>
      <c r="L5" s="9" t="s">
        <v>120</v>
      </c>
      <c r="M5" s="18" t="s">
        <v>4450</v>
      </c>
      <c r="N5" s="18"/>
      <c r="O5" s="18" t="s">
        <v>4451</v>
      </c>
      <c r="P5" s="18" t="str">
        <f>HYPERLINK("https://ceds.ed.gov/cedselementdetails.aspx?termid=13825")</f>
        <v>https://ceds.ed.gov/cedselementdetails.aspx?termid=13825</v>
      </c>
      <c r="Q5" s="18" t="str">
        <f>HYPERLINK("https://ceds.ed.gov/elementComment.aspx?elementName=Organization Identifier &amp;elementID=13825", "Click here to submit comment")</f>
        <v>Click here to submit comment</v>
      </c>
    </row>
    <row r="6" spans="1:17" x14ac:dyDescent="0.25">
      <c r="A6" s="18"/>
      <c r="B6" s="18"/>
      <c r="C6" s="18"/>
      <c r="D6" s="18"/>
      <c r="E6" s="18"/>
      <c r="F6" s="18"/>
      <c r="G6" s="18"/>
      <c r="H6" s="18"/>
      <c r="I6" s="18"/>
      <c r="J6" s="18"/>
      <c r="K6" s="18"/>
      <c r="L6" s="9"/>
      <c r="M6" s="18"/>
      <c r="N6" s="18"/>
      <c r="O6" s="18"/>
      <c r="P6" s="18"/>
      <c r="Q6" s="18"/>
    </row>
    <row r="7" spans="1:17" ht="90" x14ac:dyDescent="0.25">
      <c r="A7" s="18"/>
      <c r="B7" s="18"/>
      <c r="C7" s="18"/>
      <c r="D7" s="18"/>
      <c r="E7" s="18"/>
      <c r="F7" s="18"/>
      <c r="G7" s="18"/>
      <c r="H7" s="18"/>
      <c r="I7" s="18"/>
      <c r="J7" s="18"/>
      <c r="K7" s="18"/>
      <c r="L7" s="9" t="s">
        <v>121</v>
      </c>
      <c r="M7" s="18"/>
      <c r="N7" s="18"/>
      <c r="O7" s="18"/>
      <c r="P7" s="18"/>
      <c r="Q7" s="18"/>
    </row>
    <row r="8" spans="1:17" ht="240" x14ac:dyDescent="0.25">
      <c r="A8" s="9" t="s">
        <v>6739</v>
      </c>
      <c r="B8" s="9" t="s">
        <v>6779</v>
      </c>
      <c r="C8" s="9" t="s">
        <v>6777</v>
      </c>
      <c r="D8" s="9" t="s">
        <v>6742</v>
      </c>
      <c r="E8" s="9" t="s">
        <v>4444</v>
      </c>
      <c r="F8" s="9" t="s">
        <v>4445</v>
      </c>
      <c r="G8" s="10" t="s">
        <v>11903</v>
      </c>
      <c r="H8" s="9" t="s">
        <v>64</v>
      </c>
      <c r="I8" s="9"/>
      <c r="J8" s="9"/>
      <c r="K8" s="9"/>
      <c r="L8" s="9"/>
      <c r="M8" s="9" t="s">
        <v>4446</v>
      </c>
      <c r="N8" s="9"/>
      <c r="O8" s="9" t="s">
        <v>4447</v>
      </c>
      <c r="P8" s="9" t="str">
        <f>HYPERLINK("https://ceds.ed.gov/cedselementdetails.aspx?termid=13827")</f>
        <v>https://ceds.ed.gov/cedselementdetails.aspx?termid=13827</v>
      </c>
      <c r="Q8" s="9" t="str">
        <f>HYPERLINK("https://ceds.ed.gov/elementComment.aspx?elementName=Organization Identification System &amp;elementID=13827", "Click here to submit comment")</f>
        <v>Click here to submit comment</v>
      </c>
    </row>
    <row r="9" spans="1:17" ht="409.5" x14ac:dyDescent="0.25">
      <c r="A9" s="9" t="s">
        <v>6739</v>
      </c>
      <c r="B9" s="9" t="s">
        <v>6779</v>
      </c>
      <c r="C9" s="9" t="s">
        <v>6777</v>
      </c>
      <c r="D9" s="9" t="s">
        <v>6742</v>
      </c>
      <c r="E9" s="9" t="s">
        <v>4468</v>
      </c>
      <c r="F9" s="9" t="s">
        <v>4469</v>
      </c>
      <c r="G9" s="10" t="s">
        <v>11905</v>
      </c>
      <c r="H9" s="9"/>
      <c r="I9" s="9" t="s">
        <v>91</v>
      </c>
      <c r="J9" s="9"/>
      <c r="K9" s="9"/>
      <c r="L9" s="9" t="s">
        <v>4470</v>
      </c>
      <c r="M9" s="9" t="s">
        <v>4471</v>
      </c>
      <c r="N9" s="9"/>
      <c r="O9" s="9" t="s">
        <v>4472</v>
      </c>
      <c r="P9" s="9" t="str">
        <f>HYPERLINK("https://ceds.ed.gov/cedselementdetails.aspx?termid=14165")</f>
        <v>https://ceds.ed.gov/cedselementdetails.aspx?termid=14165</v>
      </c>
      <c r="Q9" s="9" t="str">
        <f>HYPERLINK("https://ceds.ed.gov/elementComment.aspx?elementName=Organization Type &amp;elementID=14165", "Click here to submit comment")</f>
        <v>Click here to submit comment</v>
      </c>
    </row>
    <row r="10" spans="1:17" ht="45" x14ac:dyDescent="0.25">
      <c r="A10" s="9" t="s">
        <v>6739</v>
      </c>
      <c r="B10" s="9" t="s">
        <v>6779</v>
      </c>
      <c r="C10" s="9" t="s">
        <v>6777</v>
      </c>
      <c r="D10" s="9" t="s">
        <v>6742</v>
      </c>
      <c r="E10" s="9" t="s">
        <v>4456</v>
      </c>
      <c r="F10" s="9" t="s">
        <v>4457</v>
      </c>
      <c r="G10" s="9" t="s">
        <v>12</v>
      </c>
      <c r="H10" s="9" t="s">
        <v>182</v>
      </c>
      <c r="I10" s="9"/>
      <c r="J10" s="9" t="s">
        <v>92</v>
      </c>
      <c r="K10" s="9"/>
      <c r="L10" s="9"/>
      <c r="M10" s="9" t="s">
        <v>4458</v>
      </c>
      <c r="N10" s="9"/>
      <c r="O10" s="9" t="s">
        <v>4459</v>
      </c>
      <c r="P10" s="9" t="str">
        <f>HYPERLINK("https://ceds.ed.gov/cedselementdetails.aspx?termid=13204")</f>
        <v>https://ceds.ed.gov/cedselementdetails.aspx?termid=13204</v>
      </c>
      <c r="Q10" s="9" t="str">
        <f>HYPERLINK("https://ceds.ed.gov/elementComment.aspx?elementName=Organization Name &amp;elementID=13204", "Click here to submit comment")</f>
        <v>Click here to submit comment</v>
      </c>
    </row>
    <row r="11" spans="1:17" ht="409.5" x14ac:dyDescent="0.25">
      <c r="A11" s="9" t="s">
        <v>6739</v>
      </c>
      <c r="B11" s="9" t="s">
        <v>6779</v>
      </c>
      <c r="C11" s="9" t="s">
        <v>6777</v>
      </c>
      <c r="D11" s="9" t="s">
        <v>6742</v>
      </c>
      <c r="E11" s="9" t="s">
        <v>5659</v>
      </c>
      <c r="F11" s="9" t="s">
        <v>5660</v>
      </c>
      <c r="G11" s="10" t="s">
        <v>6704</v>
      </c>
      <c r="H11" s="9" t="s">
        <v>6287</v>
      </c>
      <c r="I11" s="9"/>
      <c r="J11" s="9"/>
      <c r="K11" s="9"/>
      <c r="L11" s="9"/>
      <c r="M11" s="9" t="s">
        <v>5661</v>
      </c>
      <c r="N11" s="9"/>
      <c r="O11" s="9" t="s">
        <v>5662</v>
      </c>
      <c r="P11" s="9" t="str">
        <f>HYPERLINK("https://ceds.ed.gov/cedselementdetails.aspx?termid=13414")</f>
        <v>https://ceds.ed.gov/cedselementdetails.aspx?termid=13414</v>
      </c>
      <c r="Q11" s="9" t="str">
        <f>HYPERLINK("https://ceds.ed.gov/elementComment.aspx?elementName=State ANSI Code &amp;elementID=13414", "Click here to submit comment")</f>
        <v>Click here to submit comment</v>
      </c>
    </row>
    <row r="12" spans="1:17" ht="45" x14ac:dyDescent="0.25">
      <c r="A12" s="9" t="s">
        <v>6739</v>
      </c>
      <c r="B12" s="9" t="s">
        <v>6779</v>
      </c>
      <c r="C12" s="9" t="s">
        <v>6777</v>
      </c>
      <c r="D12" s="9" t="s">
        <v>6746</v>
      </c>
      <c r="E12" s="9" t="s">
        <v>11666</v>
      </c>
      <c r="F12" s="9" t="s">
        <v>11667</v>
      </c>
      <c r="G12" s="10" t="s">
        <v>11904</v>
      </c>
      <c r="H12" s="9"/>
      <c r="I12" s="9" t="s">
        <v>1457</v>
      </c>
      <c r="J12" s="9"/>
      <c r="K12" s="9"/>
      <c r="L12" s="9"/>
      <c r="M12" s="9" t="s">
        <v>11669</v>
      </c>
      <c r="N12" s="9"/>
      <c r="O12" s="9" t="s">
        <v>11670</v>
      </c>
      <c r="P12" s="9" t="str">
        <f>HYPERLINK("https://ceds.ed.gov/cedselementdetails.aspx?termid=14886")</f>
        <v>https://ceds.ed.gov/cedselementdetails.aspx?termid=14886</v>
      </c>
      <c r="Q12" s="9" t="str">
        <f>HYPERLINK("https://ceds.ed.gov/elementComment.aspx?elementName=Organization Relationship Type &amp;elementID=14886", "Click here to submit comment")</f>
        <v>Click here to submit comment</v>
      </c>
    </row>
    <row r="13" spans="1:17" ht="90" x14ac:dyDescent="0.25">
      <c r="A13" s="9" t="s">
        <v>6739</v>
      </c>
      <c r="B13" s="9" t="s">
        <v>6779</v>
      </c>
      <c r="C13" s="9" t="s">
        <v>6783</v>
      </c>
      <c r="D13" s="9" t="s">
        <v>6742</v>
      </c>
      <c r="E13" s="9" t="s">
        <v>174</v>
      </c>
      <c r="F13" s="9" t="s">
        <v>175</v>
      </c>
      <c r="G13" s="10" t="s">
        <v>6320</v>
      </c>
      <c r="H13" s="9" t="s">
        <v>6109</v>
      </c>
      <c r="I13" s="9"/>
      <c r="J13" s="9" t="s">
        <v>87</v>
      </c>
      <c r="K13" s="9"/>
      <c r="L13" s="9"/>
      <c r="M13" s="9" t="s">
        <v>176</v>
      </c>
      <c r="N13" s="9"/>
      <c r="O13" s="9" t="s">
        <v>177</v>
      </c>
      <c r="P13" s="9" t="str">
        <f>HYPERLINK("https://ceds.ed.gov/cedselementdetails.aspx?termid=13644")</f>
        <v>https://ceds.ed.gov/cedselementdetails.aspx?termid=13644</v>
      </c>
      <c r="Q13" s="9" t="str">
        <f>HYPERLINK("https://ceds.ed.gov/elementComment.aspx?elementName=Address Type for Organization &amp;elementID=13644", "Click here to submit comment")</f>
        <v>Click here to submit comment</v>
      </c>
    </row>
    <row r="14" spans="1:17" ht="225" x14ac:dyDescent="0.25">
      <c r="A14" s="9" t="s">
        <v>6739</v>
      </c>
      <c r="B14" s="9" t="s">
        <v>6779</v>
      </c>
      <c r="C14" s="9" t="s">
        <v>6783</v>
      </c>
      <c r="D14" s="9" t="s">
        <v>6742</v>
      </c>
      <c r="E14" s="9" t="s">
        <v>166</v>
      </c>
      <c r="F14" s="9" t="s">
        <v>167</v>
      </c>
      <c r="G14" s="9" t="s">
        <v>12</v>
      </c>
      <c r="H14" s="9" t="s">
        <v>6113</v>
      </c>
      <c r="I14" s="9"/>
      <c r="J14" s="9" t="s">
        <v>119</v>
      </c>
      <c r="K14" s="9"/>
      <c r="L14" s="9"/>
      <c r="M14" s="9" t="s">
        <v>168</v>
      </c>
      <c r="N14" s="9"/>
      <c r="O14" s="9" t="s">
        <v>169</v>
      </c>
      <c r="P14" s="9" t="str">
        <f>HYPERLINK("https://ceds.ed.gov/cedselementdetails.aspx?termid=13269")</f>
        <v>https://ceds.ed.gov/cedselementdetails.aspx?termid=13269</v>
      </c>
      <c r="Q14" s="9" t="str">
        <f>HYPERLINK("https://ceds.ed.gov/elementComment.aspx?elementName=Address Street Number and Name &amp;elementID=13269", "Click here to submit comment")</f>
        <v>Click here to submit comment</v>
      </c>
    </row>
    <row r="15" spans="1:17" ht="225" x14ac:dyDescent="0.25">
      <c r="A15" s="9" t="s">
        <v>6739</v>
      </c>
      <c r="B15" s="9" t="s">
        <v>6779</v>
      </c>
      <c r="C15" s="9" t="s">
        <v>6783</v>
      </c>
      <c r="D15" s="9" t="s">
        <v>6742</v>
      </c>
      <c r="E15" s="9" t="s">
        <v>149</v>
      </c>
      <c r="F15" s="9" t="s">
        <v>150</v>
      </c>
      <c r="G15" s="9" t="s">
        <v>12</v>
      </c>
      <c r="H15" s="9" t="s">
        <v>6113</v>
      </c>
      <c r="I15" s="9"/>
      <c r="J15" s="9" t="s">
        <v>87</v>
      </c>
      <c r="K15" s="9"/>
      <c r="L15" s="9"/>
      <c r="M15" s="9" t="s">
        <v>151</v>
      </c>
      <c r="N15" s="9"/>
      <c r="O15" s="9" t="s">
        <v>152</v>
      </c>
      <c r="P15" s="9" t="str">
        <f>HYPERLINK("https://ceds.ed.gov/cedselementdetails.aspx?termid=13019")</f>
        <v>https://ceds.ed.gov/cedselementdetails.aspx?termid=13019</v>
      </c>
      <c r="Q15" s="9" t="str">
        <f>HYPERLINK("https://ceds.ed.gov/elementComment.aspx?elementName=Address Apartment Room or Suite Number &amp;elementID=13019", "Click here to submit comment")</f>
        <v>Click here to submit comment</v>
      </c>
    </row>
    <row r="16" spans="1:17" ht="225" x14ac:dyDescent="0.25">
      <c r="A16" s="9" t="s">
        <v>6739</v>
      </c>
      <c r="B16" s="9" t="s">
        <v>6779</v>
      </c>
      <c r="C16" s="9" t="s">
        <v>6783</v>
      </c>
      <c r="D16" s="9" t="s">
        <v>6742</v>
      </c>
      <c r="E16" s="9" t="s">
        <v>153</v>
      </c>
      <c r="F16" s="9" t="s">
        <v>154</v>
      </c>
      <c r="G16" s="9" t="s">
        <v>12</v>
      </c>
      <c r="H16" s="9" t="s">
        <v>6113</v>
      </c>
      <c r="I16" s="9"/>
      <c r="J16" s="9" t="s">
        <v>87</v>
      </c>
      <c r="K16" s="9"/>
      <c r="L16" s="9"/>
      <c r="M16" s="9" t="s">
        <v>155</v>
      </c>
      <c r="N16" s="9"/>
      <c r="O16" s="9" t="s">
        <v>156</v>
      </c>
      <c r="P16" s="9" t="str">
        <f>HYPERLINK("https://ceds.ed.gov/cedselementdetails.aspx?termid=13040")</f>
        <v>https://ceds.ed.gov/cedselementdetails.aspx?termid=13040</v>
      </c>
      <c r="Q16" s="9" t="str">
        <f>HYPERLINK("https://ceds.ed.gov/elementComment.aspx?elementName=Address City &amp;elementID=13040", "Click here to submit comment")</f>
        <v>Click here to submit comment</v>
      </c>
    </row>
    <row r="17" spans="1:17" ht="409.5" x14ac:dyDescent="0.25">
      <c r="A17" s="9" t="s">
        <v>6739</v>
      </c>
      <c r="B17" s="9" t="s">
        <v>6779</v>
      </c>
      <c r="C17" s="9" t="s">
        <v>6783</v>
      </c>
      <c r="D17" s="9" t="s">
        <v>6742</v>
      </c>
      <c r="E17" s="9" t="s">
        <v>5647</v>
      </c>
      <c r="F17" s="9" t="s">
        <v>5648</v>
      </c>
      <c r="G17" s="10" t="s">
        <v>6702</v>
      </c>
      <c r="H17" s="9" t="s">
        <v>6285</v>
      </c>
      <c r="I17" s="9"/>
      <c r="J17" s="9"/>
      <c r="K17" s="9"/>
      <c r="L17" s="9"/>
      <c r="M17" s="9" t="s">
        <v>5649</v>
      </c>
      <c r="N17" s="9"/>
      <c r="O17" s="9" t="s">
        <v>5650</v>
      </c>
      <c r="P17" s="9" t="str">
        <f>HYPERLINK("https://ceds.ed.gov/cedselementdetails.aspx?termid=13267")</f>
        <v>https://ceds.ed.gov/cedselementdetails.aspx?termid=13267</v>
      </c>
      <c r="Q17" s="9" t="str">
        <f>HYPERLINK("https://ceds.ed.gov/elementComment.aspx?elementName=State Abbreviation &amp;elementID=13267", "Click here to submit comment")</f>
        <v>Click here to submit comment</v>
      </c>
    </row>
    <row r="18" spans="1:17" ht="225" x14ac:dyDescent="0.25">
      <c r="A18" s="9" t="s">
        <v>6739</v>
      </c>
      <c r="B18" s="9" t="s">
        <v>6779</v>
      </c>
      <c r="C18" s="9" t="s">
        <v>6783</v>
      </c>
      <c r="D18" s="9" t="s">
        <v>6742</v>
      </c>
      <c r="E18" s="9" t="s">
        <v>161</v>
      </c>
      <c r="F18" s="9" t="s">
        <v>162</v>
      </c>
      <c r="G18" s="9" t="s">
        <v>12</v>
      </c>
      <c r="H18" s="9" t="s">
        <v>6113</v>
      </c>
      <c r="I18" s="9"/>
      <c r="J18" s="9" t="s">
        <v>163</v>
      </c>
      <c r="K18" s="9"/>
      <c r="L18" s="9"/>
      <c r="M18" s="9" t="s">
        <v>164</v>
      </c>
      <c r="N18" s="9"/>
      <c r="O18" s="9" t="s">
        <v>165</v>
      </c>
      <c r="P18" s="9" t="str">
        <f>HYPERLINK("https://ceds.ed.gov/cedselementdetails.aspx?termid=13214")</f>
        <v>https://ceds.ed.gov/cedselementdetails.aspx?termid=13214</v>
      </c>
      <c r="Q18" s="9" t="str">
        <f>HYPERLINK("https://ceds.ed.gov/elementComment.aspx?elementName=Address Postal Code &amp;elementID=13214", "Click here to submit comment")</f>
        <v>Click here to submit comment</v>
      </c>
    </row>
    <row r="19" spans="1:17" ht="225" x14ac:dyDescent="0.25">
      <c r="A19" s="9" t="s">
        <v>6739</v>
      </c>
      <c r="B19" s="9" t="s">
        <v>6779</v>
      </c>
      <c r="C19" s="9" t="s">
        <v>6783</v>
      </c>
      <c r="D19" s="9" t="s">
        <v>6742</v>
      </c>
      <c r="E19" s="9" t="s">
        <v>157</v>
      </c>
      <c r="F19" s="9" t="s">
        <v>158</v>
      </c>
      <c r="G19" s="9" t="s">
        <v>12</v>
      </c>
      <c r="H19" s="9" t="s">
        <v>6113</v>
      </c>
      <c r="I19" s="9"/>
      <c r="J19" s="9" t="s">
        <v>87</v>
      </c>
      <c r="K19" s="9"/>
      <c r="L19" s="9"/>
      <c r="M19" s="9" t="s">
        <v>159</v>
      </c>
      <c r="N19" s="9"/>
      <c r="O19" s="9" t="s">
        <v>160</v>
      </c>
      <c r="P19" s="9" t="str">
        <f>HYPERLINK("https://ceds.ed.gov/cedselementdetails.aspx?termid=13190")</f>
        <v>https://ceds.ed.gov/cedselementdetails.aspx?termid=13190</v>
      </c>
      <c r="Q19" s="9" t="str">
        <f>HYPERLINK("https://ceds.ed.gov/elementComment.aspx?elementName=Address County Name &amp;elementID=13190", "Click here to submit comment")</f>
        <v>Click here to submit comment</v>
      </c>
    </row>
    <row r="20" spans="1:17" ht="180" x14ac:dyDescent="0.25">
      <c r="A20" s="9" t="s">
        <v>6739</v>
      </c>
      <c r="B20" s="9" t="s">
        <v>6779</v>
      </c>
      <c r="C20" s="9" t="s">
        <v>6783</v>
      </c>
      <c r="D20" s="9" t="s">
        <v>6742</v>
      </c>
      <c r="E20" s="9" t="s">
        <v>1894</v>
      </c>
      <c r="F20" s="9" t="s">
        <v>1895</v>
      </c>
      <c r="G20" s="9" t="s">
        <v>12</v>
      </c>
      <c r="H20" s="9"/>
      <c r="I20" s="9"/>
      <c r="J20" s="9" t="s">
        <v>10933</v>
      </c>
      <c r="K20" s="9"/>
      <c r="L20" s="9"/>
      <c r="M20" s="9" t="s">
        <v>1896</v>
      </c>
      <c r="N20" s="9"/>
      <c r="O20" s="9" t="s">
        <v>1897</v>
      </c>
      <c r="P20" s="9" t="str">
        <f>HYPERLINK("https://ceds.ed.gov/cedselementdetails.aspx?termid=14176")</f>
        <v>https://ceds.ed.gov/cedselementdetails.aspx?termid=14176</v>
      </c>
      <c r="Q20" s="9" t="str">
        <f>HYPERLINK("https://ceds.ed.gov/elementComment.aspx?elementName=County ANSI Code &amp;elementID=14176", "Click here to submit comment")</f>
        <v>Click here to submit comment</v>
      </c>
    </row>
    <row r="21" spans="1:17" ht="45" x14ac:dyDescent="0.25">
      <c r="A21" s="9" t="s">
        <v>6739</v>
      </c>
      <c r="B21" s="9" t="s">
        <v>6779</v>
      </c>
      <c r="C21" s="9" t="s">
        <v>6783</v>
      </c>
      <c r="D21" s="9" t="s">
        <v>6742</v>
      </c>
      <c r="E21" s="9" t="s">
        <v>1557</v>
      </c>
      <c r="F21" s="9" t="s">
        <v>1558</v>
      </c>
      <c r="G21" s="9" t="s">
        <v>12</v>
      </c>
      <c r="H21" s="9"/>
      <c r="I21" s="9"/>
      <c r="J21" s="9" t="s">
        <v>87</v>
      </c>
      <c r="K21" s="9"/>
      <c r="L21" s="9"/>
      <c r="M21" s="9" t="s">
        <v>1559</v>
      </c>
      <c r="N21" s="9"/>
      <c r="O21" s="9" t="s">
        <v>1560</v>
      </c>
      <c r="P21" s="9" t="str">
        <f>HYPERLINK("https://ceds.ed.gov/cedselementdetails.aspx?termid=13595")</f>
        <v>https://ceds.ed.gov/cedselementdetails.aspx?termid=13595</v>
      </c>
      <c r="Q21" s="9" t="str">
        <f>HYPERLINK("https://ceds.ed.gov/elementComment.aspx?elementName=Building Site Number &amp;elementID=13595", "Click here to submit comment")</f>
        <v>Click here to submit comment</v>
      </c>
    </row>
    <row r="22" spans="1:17" ht="75" x14ac:dyDescent="0.25">
      <c r="A22" s="9" t="s">
        <v>6739</v>
      </c>
      <c r="B22" s="9" t="s">
        <v>6779</v>
      </c>
      <c r="C22" s="9" t="s">
        <v>6783</v>
      </c>
      <c r="D22" s="9" t="s">
        <v>6742</v>
      </c>
      <c r="E22" s="9" t="s">
        <v>3606</v>
      </c>
      <c r="F22" s="9" t="s">
        <v>3607</v>
      </c>
      <c r="G22" s="9" t="s">
        <v>12</v>
      </c>
      <c r="H22" s="9"/>
      <c r="I22" s="9"/>
      <c r="J22" s="9" t="s">
        <v>1165</v>
      </c>
      <c r="K22" s="9"/>
      <c r="L22" s="9"/>
      <c r="M22" s="9" t="s">
        <v>3608</v>
      </c>
      <c r="N22" s="9"/>
      <c r="O22" s="9" t="s">
        <v>3606</v>
      </c>
      <c r="P22" s="9" t="str">
        <f>HYPERLINK("https://ceds.ed.gov/cedselementdetails.aspx?termid=13599")</f>
        <v>https://ceds.ed.gov/cedselementdetails.aspx?termid=13599</v>
      </c>
      <c r="Q22" s="9" t="str">
        <f>HYPERLINK("https://ceds.ed.gov/elementComment.aspx?elementName=Latitude &amp;elementID=13599", "Click here to submit comment")</f>
        <v>Click here to submit comment</v>
      </c>
    </row>
    <row r="23" spans="1:17" ht="75" x14ac:dyDescent="0.25">
      <c r="A23" s="9" t="s">
        <v>6739</v>
      </c>
      <c r="B23" s="9" t="s">
        <v>6779</v>
      </c>
      <c r="C23" s="9" t="s">
        <v>6783</v>
      </c>
      <c r="D23" s="9" t="s">
        <v>6742</v>
      </c>
      <c r="E23" s="9" t="s">
        <v>4139</v>
      </c>
      <c r="F23" s="9" t="s">
        <v>4140</v>
      </c>
      <c r="G23" s="9" t="s">
        <v>12</v>
      </c>
      <c r="H23" s="9"/>
      <c r="I23" s="9"/>
      <c r="J23" s="9" t="s">
        <v>1165</v>
      </c>
      <c r="K23" s="9"/>
      <c r="L23" s="9"/>
      <c r="M23" s="9" t="s">
        <v>4141</v>
      </c>
      <c r="N23" s="9"/>
      <c r="O23" s="9" t="s">
        <v>4139</v>
      </c>
      <c r="P23" s="9" t="str">
        <f>HYPERLINK("https://ceds.ed.gov/cedselementdetails.aspx?termid=13600")</f>
        <v>https://ceds.ed.gov/cedselementdetails.aspx?termid=13600</v>
      </c>
      <c r="Q23" s="9" t="str">
        <f>HYPERLINK("https://ceds.ed.gov/elementComment.aspx?elementName=Longitude &amp;elementID=13600", "Click here to submit comment")</f>
        <v>Click here to submit comment</v>
      </c>
    </row>
    <row r="24" spans="1:17" ht="90" x14ac:dyDescent="0.25">
      <c r="A24" s="9" t="s">
        <v>6739</v>
      </c>
      <c r="B24" s="9" t="s">
        <v>6779</v>
      </c>
      <c r="C24" s="9" t="s">
        <v>6784</v>
      </c>
      <c r="D24" s="9" t="s">
        <v>6742</v>
      </c>
      <c r="E24" s="9" t="s">
        <v>5849</v>
      </c>
      <c r="F24" s="9" t="s">
        <v>5850</v>
      </c>
      <c r="G24" s="9" t="s">
        <v>12</v>
      </c>
      <c r="H24" s="9" t="s">
        <v>6109</v>
      </c>
      <c r="I24" s="9"/>
      <c r="J24" s="9" t="s">
        <v>5851</v>
      </c>
      <c r="K24" s="9"/>
      <c r="L24" s="9"/>
      <c r="M24" s="9" t="s">
        <v>5852</v>
      </c>
      <c r="N24" s="9"/>
      <c r="O24" s="9" t="s">
        <v>5853</v>
      </c>
      <c r="P24" s="9" t="str">
        <f>HYPERLINK("https://ceds.ed.gov/cedselementdetails.aspx?termid=13279")</f>
        <v>https://ceds.ed.gov/cedselementdetails.aspx?termid=13279</v>
      </c>
      <c r="Q24" s="9" t="str">
        <f>HYPERLINK("https://ceds.ed.gov/elementComment.aspx?elementName=Telephone Number &amp;elementID=13279", "Click here to submit comment")</f>
        <v>Click here to submit comment</v>
      </c>
    </row>
    <row r="25" spans="1:17" ht="165" x14ac:dyDescent="0.25">
      <c r="A25" s="9" t="s">
        <v>6739</v>
      </c>
      <c r="B25" s="9" t="s">
        <v>6779</v>
      </c>
      <c r="C25" s="9" t="s">
        <v>6784</v>
      </c>
      <c r="D25" s="9" t="s">
        <v>6742</v>
      </c>
      <c r="E25" s="9" t="s">
        <v>3445</v>
      </c>
      <c r="F25" s="9" t="s">
        <v>3446</v>
      </c>
      <c r="G25" s="10" t="s">
        <v>6560</v>
      </c>
      <c r="H25" s="9"/>
      <c r="I25" s="9"/>
      <c r="J25" s="9"/>
      <c r="K25" s="9"/>
      <c r="L25" s="9"/>
      <c r="M25" s="9" t="s">
        <v>3447</v>
      </c>
      <c r="N25" s="9"/>
      <c r="O25" s="9" t="s">
        <v>3448</v>
      </c>
      <c r="P25" s="9" t="str">
        <f>HYPERLINK("https://ceds.ed.gov/cedselementdetails.aspx?termid=13167")</f>
        <v>https://ceds.ed.gov/cedselementdetails.aspx?termid=13167</v>
      </c>
      <c r="Q25" s="9" t="str">
        <f>HYPERLINK("https://ceds.ed.gov/elementComment.aspx?elementName=Institution Telephone Number Type &amp;elementID=13167", "Click here to submit comment")</f>
        <v>Click here to submit comment</v>
      </c>
    </row>
    <row r="26" spans="1:17" ht="90" x14ac:dyDescent="0.25">
      <c r="A26" s="9" t="s">
        <v>6739</v>
      </c>
      <c r="B26" s="9" t="s">
        <v>6779</v>
      </c>
      <c r="C26" s="9" t="s">
        <v>6784</v>
      </c>
      <c r="D26" s="9" t="s">
        <v>6742</v>
      </c>
      <c r="E26" s="9" t="s">
        <v>4709</v>
      </c>
      <c r="F26" s="9" t="s">
        <v>4710</v>
      </c>
      <c r="G26" s="9" t="s">
        <v>6106</v>
      </c>
      <c r="H26" s="9" t="s">
        <v>6109</v>
      </c>
      <c r="I26" s="9"/>
      <c r="J26" s="9"/>
      <c r="K26" s="9"/>
      <c r="L26" s="9"/>
      <c r="M26" s="9" t="s">
        <v>4711</v>
      </c>
      <c r="N26" s="9"/>
      <c r="O26" s="9" t="s">
        <v>4712</v>
      </c>
      <c r="P26" s="9" t="str">
        <f>HYPERLINK("https://ceds.ed.gov/cedselementdetails.aspx?termid=13219")</f>
        <v>https://ceds.ed.gov/cedselementdetails.aspx?termid=13219</v>
      </c>
      <c r="Q26" s="9" t="str">
        <f>HYPERLINK("https://ceds.ed.gov/elementComment.aspx?elementName=Primary Telephone Number Indicator &amp;elementID=13219", "Click here to submit comment")</f>
        <v>Click here to submit comment</v>
      </c>
    </row>
    <row r="27" spans="1:17" ht="90" x14ac:dyDescent="0.25">
      <c r="A27" s="9" t="s">
        <v>6739</v>
      </c>
      <c r="B27" s="9" t="s">
        <v>6779</v>
      </c>
      <c r="C27" s="9" t="s">
        <v>6780</v>
      </c>
      <c r="D27" s="9" t="s">
        <v>6742</v>
      </c>
      <c r="E27" s="9" t="s">
        <v>4619</v>
      </c>
      <c r="F27" s="9" t="s">
        <v>4620</v>
      </c>
      <c r="G27" s="9" t="s">
        <v>12</v>
      </c>
      <c r="H27" s="9" t="s">
        <v>6109</v>
      </c>
      <c r="I27" s="9"/>
      <c r="J27" s="9" t="s">
        <v>1347</v>
      </c>
      <c r="K27" s="9"/>
      <c r="L27" s="9"/>
      <c r="M27" s="9" t="s">
        <v>4621</v>
      </c>
      <c r="N27" s="9"/>
      <c r="O27" s="9" t="s">
        <v>4622</v>
      </c>
      <c r="P27" s="9" t="str">
        <f>HYPERLINK("https://ceds.ed.gov/cedselementdetails.aspx?termid=13213")</f>
        <v>https://ceds.ed.gov/cedselementdetails.aspx?termid=13213</v>
      </c>
      <c r="Q27" s="9" t="str">
        <f>HYPERLINK("https://ceds.ed.gov/elementComment.aspx?elementName=Position Title &amp;elementID=13213", "Click here to submit comment")</f>
        <v>Click here to submit comment</v>
      </c>
    </row>
    <row r="28" spans="1:17" ht="90" x14ac:dyDescent="0.25">
      <c r="A28" s="9" t="s">
        <v>6739</v>
      </c>
      <c r="B28" s="9" t="s">
        <v>6779</v>
      </c>
      <c r="C28" s="9" t="s">
        <v>6780</v>
      </c>
      <c r="D28" s="9" t="s">
        <v>6742</v>
      </c>
      <c r="E28" s="9" t="s">
        <v>4701</v>
      </c>
      <c r="F28" s="9" t="s">
        <v>4702</v>
      </c>
      <c r="G28" s="9" t="s">
        <v>6106</v>
      </c>
      <c r="H28" s="9"/>
      <c r="I28" s="9"/>
      <c r="J28" s="9"/>
      <c r="K28" s="9"/>
      <c r="L28" s="9"/>
      <c r="M28" s="9" t="s">
        <v>4703</v>
      </c>
      <c r="N28" s="9"/>
      <c r="O28" s="9" t="s">
        <v>4704</v>
      </c>
      <c r="P28" s="9" t="str">
        <f>HYPERLINK("https://ceds.ed.gov/cedselementdetails.aspx?termid=14397")</f>
        <v>https://ceds.ed.gov/cedselementdetails.aspx?termid=14397</v>
      </c>
      <c r="Q28" s="9" t="str">
        <f>HYPERLINK("https://ceds.ed.gov/elementComment.aspx?elementName=Primary Contact Indicator &amp;elementID=14397", "Click here to submit comment")</f>
        <v>Click here to submit comment</v>
      </c>
    </row>
    <row r="29" spans="1:17" ht="45" x14ac:dyDescent="0.25">
      <c r="A29" s="9" t="s">
        <v>6739</v>
      </c>
      <c r="B29" s="9" t="s">
        <v>6779</v>
      </c>
      <c r="C29" s="9" t="s">
        <v>6780</v>
      </c>
      <c r="D29" s="9" t="s">
        <v>6742</v>
      </c>
      <c r="E29" s="9" t="s">
        <v>6057</v>
      </c>
      <c r="F29" s="9" t="s">
        <v>6058</v>
      </c>
      <c r="G29" s="9" t="s">
        <v>12</v>
      </c>
      <c r="H29" s="9" t="s">
        <v>199</v>
      </c>
      <c r="I29" s="9"/>
      <c r="J29" s="9" t="s">
        <v>68</v>
      </c>
      <c r="K29" s="9"/>
      <c r="L29" s="9"/>
      <c r="M29" s="9" t="s">
        <v>6059</v>
      </c>
      <c r="N29" s="9"/>
      <c r="O29" s="9" t="s">
        <v>6060</v>
      </c>
      <c r="P29" s="9" t="str">
        <f>HYPERLINK("https://ceds.ed.gov/cedselementdetails.aspx?termid=13300")</f>
        <v>https://ceds.ed.gov/cedselementdetails.aspx?termid=13300</v>
      </c>
      <c r="Q29" s="9" t="str">
        <f>HYPERLINK("https://ceds.ed.gov/elementComment.aspx?elementName=Web Site Address &amp;elementID=13300", "Click here to submit comment")</f>
        <v>Click here to submit comment</v>
      </c>
    </row>
    <row r="30" spans="1:17" ht="195" x14ac:dyDescent="0.25">
      <c r="A30" s="9" t="s">
        <v>6739</v>
      </c>
      <c r="B30" s="9" t="s">
        <v>6779</v>
      </c>
      <c r="C30" s="9" t="s">
        <v>6781</v>
      </c>
      <c r="D30" s="9" t="s">
        <v>6742</v>
      </c>
      <c r="E30" s="9" t="s">
        <v>2935</v>
      </c>
      <c r="F30" s="9" t="s">
        <v>2936</v>
      </c>
      <c r="G30" s="9" t="s">
        <v>12</v>
      </c>
      <c r="H30" s="9" t="s">
        <v>6211</v>
      </c>
      <c r="I30" s="9"/>
      <c r="J30" s="9" t="s">
        <v>1310</v>
      </c>
      <c r="K30" s="9"/>
      <c r="L30" s="9" t="s">
        <v>2937</v>
      </c>
      <c r="M30" s="9" t="s">
        <v>2938</v>
      </c>
      <c r="N30" s="9"/>
      <c r="O30" s="9" t="s">
        <v>2939</v>
      </c>
      <c r="P30" s="9" t="str">
        <f>HYPERLINK("https://ceds.ed.gov/cedselementdetails.aspx?termid=13115")</f>
        <v>https://ceds.ed.gov/cedselementdetails.aspx?termid=13115</v>
      </c>
      <c r="Q30" s="9" t="str">
        <f>HYPERLINK("https://ceds.ed.gov/elementComment.aspx?elementName=First Name &amp;elementID=13115", "Click here to submit comment")</f>
        <v>Click here to submit comment</v>
      </c>
    </row>
    <row r="31" spans="1:17" ht="90" customHeight="1" x14ac:dyDescent="0.25">
      <c r="A31" s="18" t="s">
        <v>6739</v>
      </c>
      <c r="B31" s="18" t="s">
        <v>6779</v>
      </c>
      <c r="C31" s="18" t="s">
        <v>6781</v>
      </c>
      <c r="D31" s="18" t="s">
        <v>6742</v>
      </c>
      <c r="E31" s="18" t="s">
        <v>4183</v>
      </c>
      <c r="F31" s="18" t="s">
        <v>4184</v>
      </c>
      <c r="G31" s="18" t="s">
        <v>12</v>
      </c>
      <c r="H31" s="18" t="s">
        <v>6211</v>
      </c>
      <c r="I31" s="18"/>
      <c r="J31" s="18" t="s">
        <v>1310</v>
      </c>
      <c r="K31" s="18"/>
      <c r="L31" s="9" t="s">
        <v>2996</v>
      </c>
      <c r="M31" s="18" t="s">
        <v>4185</v>
      </c>
      <c r="N31" s="18"/>
      <c r="O31" s="18" t="s">
        <v>4186</v>
      </c>
      <c r="P31" s="18" t="str">
        <f>HYPERLINK("https://ceds.ed.gov/cedselementdetails.aspx?termid=13184")</f>
        <v>https://ceds.ed.gov/cedselementdetails.aspx?termid=13184</v>
      </c>
      <c r="Q31" s="18" t="str">
        <f>HYPERLINK("https://ceds.ed.gov/elementComment.aspx?elementName=Middle Name &amp;elementID=13184", "Click here to submit comment")</f>
        <v>Click here to submit comment</v>
      </c>
    </row>
    <row r="32" spans="1:17" ht="90" x14ac:dyDescent="0.25">
      <c r="A32" s="18"/>
      <c r="B32" s="18"/>
      <c r="C32" s="18"/>
      <c r="D32" s="18"/>
      <c r="E32" s="18"/>
      <c r="F32" s="18"/>
      <c r="G32" s="18"/>
      <c r="H32" s="18"/>
      <c r="I32" s="18"/>
      <c r="J32" s="18"/>
      <c r="K32" s="18"/>
      <c r="L32" s="9" t="s">
        <v>2997</v>
      </c>
      <c r="M32" s="18"/>
      <c r="N32" s="18"/>
      <c r="O32" s="18"/>
      <c r="P32" s="18"/>
      <c r="Q32" s="18"/>
    </row>
    <row r="33" spans="1:17" ht="90" customHeight="1" x14ac:dyDescent="0.25">
      <c r="A33" s="18" t="s">
        <v>6739</v>
      </c>
      <c r="B33" s="18" t="s">
        <v>6779</v>
      </c>
      <c r="C33" s="18" t="s">
        <v>6781</v>
      </c>
      <c r="D33" s="18" t="s">
        <v>6742</v>
      </c>
      <c r="E33" s="18" t="s">
        <v>3597</v>
      </c>
      <c r="F33" s="18" t="s">
        <v>3598</v>
      </c>
      <c r="G33" s="18" t="s">
        <v>12</v>
      </c>
      <c r="H33" s="18" t="s">
        <v>6211</v>
      </c>
      <c r="I33" s="18"/>
      <c r="J33" s="18" t="s">
        <v>1310</v>
      </c>
      <c r="K33" s="18"/>
      <c r="L33" s="9" t="s">
        <v>2996</v>
      </c>
      <c r="M33" s="18" t="s">
        <v>3599</v>
      </c>
      <c r="N33" s="18" t="s">
        <v>3600</v>
      </c>
      <c r="O33" s="18" t="s">
        <v>3601</v>
      </c>
      <c r="P33" s="18" t="str">
        <f>HYPERLINK("https://ceds.ed.gov/cedselementdetails.aspx?termid=13172")</f>
        <v>https://ceds.ed.gov/cedselementdetails.aspx?termid=13172</v>
      </c>
      <c r="Q33" s="18" t="str">
        <f>HYPERLINK("https://ceds.ed.gov/elementComment.aspx?elementName=Last or Surname &amp;elementID=13172", "Click here to submit comment")</f>
        <v>Click here to submit comment</v>
      </c>
    </row>
    <row r="34" spans="1:17" ht="90" x14ac:dyDescent="0.25">
      <c r="A34" s="18"/>
      <c r="B34" s="18"/>
      <c r="C34" s="18"/>
      <c r="D34" s="18"/>
      <c r="E34" s="18"/>
      <c r="F34" s="18"/>
      <c r="G34" s="18"/>
      <c r="H34" s="18"/>
      <c r="I34" s="18"/>
      <c r="J34" s="18"/>
      <c r="K34" s="18"/>
      <c r="L34" s="9" t="s">
        <v>2997</v>
      </c>
      <c r="M34" s="18"/>
      <c r="N34" s="18"/>
      <c r="O34" s="18"/>
      <c r="P34" s="18"/>
      <c r="Q34" s="18"/>
    </row>
    <row r="35" spans="1:17" ht="45" customHeight="1" x14ac:dyDescent="0.25">
      <c r="A35" s="18" t="s">
        <v>6739</v>
      </c>
      <c r="B35" s="18" t="s">
        <v>6779</v>
      </c>
      <c r="C35" s="18" t="s">
        <v>6781</v>
      </c>
      <c r="D35" s="18" t="s">
        <v>6742</v>
      </c>
      <c r="E35" s="18" t="s">
        <v>2994</v>
      </c>
      <c r="F35" s="18" t="s">
        <v>2995</v>
      </c>
      <c r="G35" s="18" t="s">
        <v>12</v>
      </c>
      <c r="H35" s="18" t="s">
        <v>6212</v>
      </c>
      <c r="I35" s="18"/>
      <c r="J35" s="18" t="s">
        <v>2088</v>
      </c>
      <c r="K35" s="18"/>
      <c r="L35" s="9" t="s">
        <v>2996</v>
      </c>
      <c r="M35" s="18" t="s">
        <v>2998</v>
      </c>
      <c r="N35" s="18"/>
      <c r="O35" s="18" t="s">
        <v>2999</v>
      </c>
      <c r="P35" s="18" t="str">
        <f>HYPERLINK("https://ceds.ed.gov/cedselementdetails.aspx?termid=13121")</f>
        <v>https://ceds.ed.gov/cedselementdetails.aspx?termid=13121</v>
      </c>
      <c r="Q35" s="18" t="str">
        <f>HYPERLINK("https://ceds.ed.gov/elementComment.aspx?elementName=Generation Code or Suffix &amp;elementID=13121", "Click here to submit comment")</f>
        <v>Click here to submit comment</v>
      </c>
    </row>
    <row r="36" spans="1:17" ht="90" x14ac:dyDescent="0.25">
      <c r="A36" s="18"/>
      <c r="B36" s="18"/>
      <c r="C36" s="18"/>
      <c r="D36" s="18"/>
      <c r="E36" s="18"/>
      <c r="F36" s="18"/>
      <c r="G36" s="18"/>
      <c r="H36" s="18"/>
      <c r="I36" s="18"/>
      <c r="J36" s="18"/>
      <c r="K36" s="18"/>
      <c r="L36" s="9" t="s">
        <v>2997</v>
      </c>
      <c r="M36" s="18"/>
      <c r="N36" s="18"/>
      <c r="O36" s="18"/>
      <c r="P36" s="18"/>
      <c r="Q36" s="18"/>
    </row>
    <row r="37" spans="1:17" ht="105" x14ac:dyDescent="0.25">
      <c r="A37" s="9" t="s">
        <v>6739</v>
      </c>
      <c r="B37" s="9" t="s">
        <v>6779</v>
      </c>
      <c r="C37" s="9" t="s">
        <v>6781</v>
      </c>
      <c r="D37" s="9" t="s">
        <v>6742</v>
      </c>
      <c r="E37" s="9" t="s">
        <v>4610</v>
      </c>
      <c r="F37" s="9" t="s">
        <v>4611</v>
      </c>
      <c r="G37" s="9" t="s">
        <v>12</v>
      </c>
      <c r="H37" s="9" t="s">
        <v>6255</v>
      </c>
      <c r="I37" s="9"/>
      <c r="J37" s="9" t="s">
        <v>87</v>
      </c>
      <c r="K37" s="9"/>
      <c r="L37" s="9"/>
      <c r="M37" s="9" t="s">
        <v>4612</v>
      </c>
      <c r="N37" s="9" t="s">
        <v>4613</v>
      </c>
      <c r="O37" s="9" t="s">
        <v>4614</v>
      </c>
      <c r="P37" s="9" t="str">
        <f>HYPERLINK("https://ceds.ed.gov/cedselementdetails.aspx?termid=13212")</f>
        <v>https://ceds.ed.gov/cedselementdetails.aspx?termid=13212</v>
      </c>
      <c r="Q37" s="9" t="str">
        <f>HYPERLINK("https://ceds.ed.gov/elementComment.aspx?elementName=Personal Title or Prefix &amp;elementID=13212", "Click here to submit comment")</f>
        <v>Click here to submit comment</v>
      </c>
    </row>
    <row r="38" spans="1:17" ht="90" x14ac:dyDescent="0.25">
      <c r="A38" s="9" t="s">
        <v>6739</v>
      </c>
      <c r="B38" s="9" t="s">
        <v>6779</v>
      </c>
      <c r="C38" s="9" t="s">
        <v>6745</v>
      </c>
      <c r="D38" s="9" t="s">
        <v>6742</v>
      </c>
      <c r="E38" s="9" t="s">
        <v>174</v>
      </c>
      <c r="F38" s="9" t="s">
        <v>175</v>
      </c>
      <c r="G38" s="10" t="s">
        <v>6320</v>
      </c>
      <c r="H38" s="9" t="s">
        <v>6109</v>
      </c>
      <c r="I38" s="9"/>
      <c r="J38" s="9" t="s">
        <v>87</v>
      </c>
      <c r="K38" s="9"/>
      <c r="L38" s="9"/>
      <c r="M38" s="9" t="s">
        <v>176</v>
      </c>
      <c r="N38" s="9"/>
      <c r="O38" s="9" t="s">
        <v>177</v>
      </c>
      <c r="P38" s="9" t="str">
        <f>HYPERLINK("https://ceds.ed.gov/cedselementdetails.aspx?termid=13644")</f>
        <v>https://ceds.ed.gov/cedselementdetails.aspx?termid=13644</v>
      </c>
      <c r="Q38" s="9" t="str">
        <f>HYPERLINK("https://ceds.ed.gov/elementComment.aspx?elementName=Address Type for Organization &amp;elementID=13644", "Click here to submit comment")</f>
        <v>Click here to submit comment</v>
      </c>
    </row>
    <row r="39" spans="1:17" ht="225" x14ac:dyDescent="0.25">
      <c r="A39" s="9" t="s">
        <v>6739</v>
      </c>
      <c r="B39" s="9" t="s">
        <v>6779</v>
      </c>
      <c r="C39" s="9" t="s">
        <v>6745</v>
      </c>
      <c r="D39" s="9" t="s">
        <v>6742</v>
      </c>
      <c r="E39" s="9" t="s">
        <v>166</v>
      </c>
      <c r="F39" s="9" t="s">
        <v>167</v>
      </c>
      <c r="G39" s="9" t="s">
        <v>12</v>
      </c>
      <c r="H39" s="9" t="s">
        <v>6113</v>
      </c>
      <c r="I39" s="9"/>
      <c r="J39" s="9" t="s">
        <v>119</v>
      </c>
      <c r="K39" s="9"/>
      <c r="L39" s="9"/>
      <c r="M39" s="9" t="s">
        <v>168</v>
      </c>
      <c r="N39" s="9"/>
      <c r="O39" s="9" t="s">
        <v>169</v>
      </c>
      <c r="P39" s="9" t="str">
        <f>HYPERLINK("https://ceds.ed.gov/cedselementdetails.aspx?termid=13269")</f>
        <v>https://ceds.ed.gov/cedselementdetails.aspx?termid=13269</v>
      </c>
      <c r="Q39" s="9" t="str">
        <f>HYPERLINK("https://ceds.ed.gov/elementComment.aspx?elementName=Address Street Number and Name &amp;elementID=13269", "Click here to submit comment")</f>
        <v>Click here to submit comment</v>
      </c>
    </row>
    <row r="40" spans="1:17" ht="225" x14ac:dyDescent="0.25">
      <c r="A40" s="9" t="s">
        <v>6739</v>
      </c>
      <c r="B40" s="9" t="s">
        <v>6779</v>
      </c>
      <c r="C40" s="9" t="s">
        <v>6745</v>
      </c>
      <c r="D40" s="9" t="s">
        <v>6742</v>
      </c>
      <c r="E40" s="9" t="s">
        <v>149</v>
      </c>
      <c r="F40" s="9" t="s">
        <v>150</v>
      </c>
      <c r="G40" s="9" t="s">
        <v>12</v>
      </c>
      <c r="H40" s="9" t="s">
        <v>6113</v>
      </c>
      <c r="I40" s="9"/>
      <c r="J40" s="9" t="s">
        <v>87</v>
      </c>
      <c r="K40" s="9"/>
      <c r="L40" s="9"/>
      <c r="M40" s="9" t="s">
        <v>151</v>
      </c>
      <c r="N40" s="9"/>
      <c r="O40" s="9" t="s">
        <v>152</v>
      </c>
      <c r="P40" s="9" t="str">
        <f>HYPERLINK("https://ceds.ed.gov/cedselementdetails.aspx?termid=13019")</f>
        <v>https://ceds.ed.gov/cedselementdetails.aspx?termid=13019</v>
      </c>
      <c r="Q40" s="9" t="str">
        <f>HYPERLINK("https://ceds.ed.gov/elementComment.aspx?elementName=Address Apartment Room or Suite Number &amp;elementID=13019", "Click here to submit comment")</f>
        <v>Click here to submit comment</v>
      </c>
    </row>
    <row r="41" spans="1:17" ht="225" x14ac:dyDescent="0.25">
      <c r="A41" s="9" t="s">
        <v>6739</v>
      </c>
      <c r="B41" s="9" t="s">
        <v>6779</v>
      </c>
      <c r="C41" s="9" t="s">
        <v>6745</v>
      </c>
      <c r="D41" s="9" t="s">
        <v>6742</v>
      </c>
      <c r="E41" s="9" t="s">
        <v>153</v>
      </c>
      <c r="F41" s="9" t="s">
        <v>154</v>
      </c>
      <c r="G41" s="9" t="s">
        <v>12</v>
      </c>
      <c r="H41" s="9" t="s">
        <v>6113</v>
      </c>
      <c r="I41" s="9"/>
      <c r="J41" s="9" t="s">
        <v>87</v>
      </c>
      <c r="K41" s="9"/>
      <c r="L41" s="9"/>
      <c r="M41" s="9" t="s">
        <v>155</v>
      </c>
      <c r="N41" s="9"/>
      <c r="O41" s="9" t="s">
        <v>156</v>
      </c>
      <c r="P41" s="9" t="str">
        <f>HYPERLINK("https://ceds.ed.gov/cedselementdetails.aspx?termid=13040")</f>
        <v>https://ceds.ed.gov/cedselementdetails.aspx?termid=13040</v>
      </c>
      <c r="Q41" s="9" t="str">
        <f>HYPERLINK("https://ceds.ed.gov/elementComment.aspx?elementName=Address City &amp;elementID=13040", "Click here to submit comment")</f>
        <v>Click here to submit comment</v>
      </c>
    </row>
    <row r="42" spans="1:17" ht="409.5" x14ac:dyDescent="0.25">
      <c r="A42" s="9" t="s">
        <v>6739</v>
      </c>
      <c r="B42" s="9" t="s">
        <v>6779</v>
      </c>
      <c r="C42" s="9" t="s">
        <v>6745</v>
      </c>
      <c r="D42" s="9" t="s">
        <v>6742</v>
      </c>
      <c r="E42" s="9" t="s">
        <v>5647</v>
      </c>
      <c r="F42" s="9" t="s">
        <v>5648</v>
      </c>
      <c r="G42" s="10" t="s">
        <v>6702</v>
      </c>
      <c r="H42" s="9" t="s">
        <v>6285</v>
      </c>
      <c r="I42" s="9"/>
      <c r="J42" s="9"/>
      <c r="K42" s="9"/>
      <c r="L42" s="9"/>
      <c r="M42" s="9" t="s">
        <v>5649</v>
      </c>
      <c r="N42" s="9"/>
      <c r="O42" s="9" t="s">
        <v>5650</v>
      </c>
      <c r="P42" s="9" t="str">
        <f>HYPERLINK("https://ceds.ed.gov/cedselementdetails.aspx?termid=13267")</f>
        <v>https://ceds.ed.gov/cedselementdetails.aspx?termid=13267</v>
      </c>
      <c r="Q42" s="9" t="str">
        <f>HYPERLINK("https://ceds.ed.gov/elementComment.aspx?elementName=State Abbreviation &amp;elementID=13267", "Click here to submit comment")</f>
        <v>Click here to submit comment</v>
      </c>
    </row>
    <row r="43" spans="1:17" ht="225" x14ac:dyDescent="0.25">
      <c r="A43" s="9" t="s">
        <v>6739</v>
      </c>
      <c r="B43" s="9" t="s">
        <v>6779</v>
      </c>
      <c r="C43" s="9" t="s">
        <v>6745</v>
      </c>
      <c r="D43" s="9" t="s">
        <v>6742</v>
      </c>
      <c r="E43" s="9" t="s">
        <v>161</v>
      </c>
      <c r="F43" s="9" t="s">
        <v>162</v>
      </c>
      <c r="G43" s="9" t="s">
        <v>12</v>
      </c>
      <c r="H43" s="9" t="s">
        <v>6113</v>
      </c>
      <c r="I43" s="9"/>
      <c r="J43" s="9" t="s">
        <v>163</v>
      </c>
      <c r="K43" s="9"/>
      <c r="L43" s="9"/>
      <c r="M43" s="9" t="s">
        <v>164</v>
      </c>
      <c r="N43" s="9"/>
      <c r="O43" s="9" t="s">
        <v>165</v>
      </c>
      <c r="P43" s="9" t="str">
        <f>HYPERLINK("https://ceds.ed.gov/cedselementdetails.aspx?termid=13214")</f>
        <v>https://ceds.ed.gov/cedselementdetails.aspx?termid=13214</v>
      </c>
      <c r="Q43" s="9" t="str">
        <f>HYPERLINK("https://ceds.ed.gov/elementComment.aspx?elementName=Address Postal Code &amp;elementID=13214", "Click here to submit comment")</f>
        <v>Click here to submit comment</v>
      </c>
    </row>
    <row r="44" spans="1:17" ht="225" x14ac:dyDescent="0.25">
      <c r="A44" s="9" t="s">
        <v>6739</v>
      </c>
      <c r="B44" s="9" t="s">
        <v>6779</v>
      </c>
      <c r="C44" s="9" t="s">
        <v>6745</v>
      </c>
      <c r="D44" s="9" t="s">
        <v>6742</v>
      </c>
      <c r="E44" s="9" t="s">
        <v>157</v>
      </c>
      <c r="F44" s="9" t="s">
        <v>158</v>
      </c>
      <c r="G44" s="9" t="s">
        <v>12</v>
      </c>
      <c r="H44" s="9" t="s">
        <v>6113</v>
      </c>
      <c r="I44" s="9"/>
      <c r="J44" s="9" t="s">
        <v>87</v>
      </c>
      <c r="K44" s="9"/>
      <c r="L44" s="9"/>
      <c r="M44" s="9" t="s">
        <v>159</v>
      </c>
      <c r="N44" s="9"/>
      <c r="O44" s="9" t="s">
        <v>160</v>
      </c>
      <c r="P44" s="9" t="str">
        <f>HYPERLINK("https://ceds.ed.gov/cedselementdetails.aspx?termid=13190")</f>
        <v>https://ceds.ed.gov/cedselementdetails.aspx?termid=13190</v>
      </c>
      <c r="Q44" s="9" t="str">
        <f>HYPERLINK("https://ceds.ed.gov/elementComment.aspx?elementName=Address County Name &amp;elementID=13190", "Click here to submit comment")</f>
        <v>Click here to submit comment</v>
      </c>
    </row>
    <row r="45" spans="1:17" ht="180" x14ac:dyDescent="0.25">
      <c r="A45" s="9" t="s">
        <v>6739</v>
      </c>
      <c r="B45" s="9" t="s">
        <v>6779</v>
      </c>
      <c r="C45" s="9" t="s">
        <v>6745</v>
      </c>
      <c r="D45" s="9" t="s">
        <v>6742</v>
      </c>
      <c r="E45" s="9" t="s">
        <v>1894</v>
      </c>
      <c r="F45" s="9" t="s">
        <v>1895</v>
      </c>
      <c r="G45" s="9" t="s">
        <v>12</v>
      </c>
      <c r="H45" s="9"/>
      <c r="I45" s="9"/>
      <c r="J45" s="9" t="s">
        <v>10933</v>
      </c>
      <c r="K45" s="9"/>
      <c r="L45" s="9"/>
      <c r="M45" s="9" t="s">
        <v>1896</v>
      </c>
      <c r="N45" s="9"/>
      <c r="O45" s="9" t="s">
        <v>1897</v>
      </c>
      <c r="P45" s="9" t="str">
        <f>HYPERLINK("https://ceds.ed.gov/cedselementdetails.aspx?termid=14176")</f>
        <v>https://ceds.ed.gov/cedselementdetails.aspx?termid=14176</v>
      </c>
      <c r="Q45" s="9" t="str">
        <f>HYPERLINK("https://ceds.ed.gov/elementComment.aspx?elementName=County ANSI Code &amp;elementID=14176", "Click here to submit comment")</f>
        <v>Click here to submit comment</v>
      </c>
    </row>
    <row r="46" spans="1:17" ht="409.5" x14ac:dyDescent="0.25">
      <c r="A46" s="9" t="s">
        <v>6739</v>
      </c>
      <c r="B46" s="9" t="s">
        <v>6779</v>
      </c>
      <c r="C46" s="9" t="s">
        <v>6745</v>
      </c>
      <c r="D46" s="9" t="s">
        <v>6742</v>
      </c>
      <c r="E46" s="9" t="s">
        <v>1885</v>
      </c>
      <c r="F46" s="9" t="s">
        <v>1886</v>
      </c>
      <c r="G46" s="10" t="s">
        <v>11839</v>
      </c>
      <c r="H46" s="9" t="s">
        <v>6174</v>
      </c>
      <c r="I46" s="9"/>
      <c r="J46" s="9"/>
      <c r="K46" s="9"/>
      <c r="L46" s="11" t="s">
        <v>1887</v>
      </c>
      <c r="M46" s="9" t="s">
        <v>1888</v>
      </c>
      <c r="N46" s="9"/>
      <c r="O46" s="9" t="s">
        <v>1889</v>
      </c>
      <c r="P46" s="9" t="str">
        <f>HYPERLINK("https://ceds.ed.gov/cedselementdetails.aspx?termid=13050")</f>
        <v>https://ceds.ed.gov/cedselementdetails.aspx?termid=13050</v>
      </c>
      <c r="Q46" s="9" t="str">
        <f>HYPERLINK("https://ceds.ed.gov/elementComment.aspx?elementName=Country Code &amp;elementID=13050", "Click here to submit comment")</f>
        <v>Click here to submit comment</v>
      </c>
    </row>
    <row r="47" spans="1:17" ht="75" x14ac:dyDescent="0.25">
      <c r="A47" s="9" t="s">
        <v>6739</v>
      </c>
      <c r="B47" s="9" t="s">
        <v>6779</v>
      </c>
      <c r="C47" s="9" t="s">
        <v>6745</v>
      </c>
      <c r="D47" s="9" t="s">
        <v>6742</v>
      </c>
      <c r="E47" s="9" t="s">
        <v>3606</v>
      </c>
      <c r="F47" s="9" t="s">
        <v>3607</v>
      </c>
      <c r="G47" s="9" t="s">
        <v>12</v>
      </c>
      <c r="H47" s="9"/>
      <c r="I47" s="9"/>
      <c r="J47" s="9" t="s">
        <v>1165</v>
      </c>
      <c r="K47" s="9"/>
      <c r="L47" s="9"/>
      <c r="M47" s="9" t="s">
        <v>3608</v>
      </c>
      <c r="N47" s="9"/>
      <c r="O47" s="9" t="s">
        <v>3606</v>
      </c>
      <c r="P47" s="9" t="str">
        <f>HYPERLINK("https://ceds.ed.gov/cedselementdetails.aspx?termid=13599")</f>
        <v>https://ceds.ed.gov/cedselementdetails.aspx?termid=13599</v>
      </c>
      <c r="Q47" s="9" t="str">
        <f>HYPERLINK("https://ceds.ed.gov/elementComment.aspx?elementName=Latitude &amp;elementID=13599", "Click here to submit comment")</f>
        <v>Click here to submit comment</v>
      </c>
    </row>
    <row r="48" spans="1:17" ht="75" x14ac:dyDescent="0.25">
      <c r="A48" s="9" t="s">
        <v>6739</v>
      </c>
      <c r="B48" s="9" t="s">
        <v>6779</v>
      </c>
      <c r="C48" s="9" t="s">
        <v>6745</v>
      </c>
      <c r="D48" s="9" t="s">
        <v>6742</v>
      </c>
      <c r="E48" s="9" t="s">
        <v>4139</v>
      </c>
      <c r="F48" s="9" t="s">
        <v>4140</v>
      </c>
      <c r="G48" s="9" t="s">
        <v>12</v>
      </c>
      <c r="H48" s="9"/>
      <c r="I48" s="9"/>
      <c r="J48" s="9" t="s">
        <v>1165</v>
      </c>
      <c r="K48" s="9"/>
      <c r="L48" s="9"/>
      <c r="M48" s="9" t="s">
        <v>4141</v>
      </c>
      <c r="N48" s="9"/>
      <c r="O48" s="9" t="s">
        <v>4139</v>
      </c>
      <c r="P48" s="9" t="str">
        <f>HYPERLINK("https://ceds.ed.gov/cedselementdetails.aspx?termid=13600")</f>
        <v>https://ceds.ed.gov/cedselementdetails.aspx?termid=13600</v>
      </c>
      <c r="Q48" s="9" t="str">
        <f>HYPERLINK("https://ceds.ed.gov/elementComment.aspx?elementName=Longitude &amp;elementID=13600", "Click here to submit comment")</f>
        <v>Click here to submit comment</v>
      </c>
    </row>
    <row r="49" spans="1:17" ht="90" x14ac:dyDescent="0.25">
      <c r="A49" s="9" t="s">
        <v>6739</v>
      </c>
      <c r="B49" s="9" t="s">
        <v>6779</v>
      </c>
      <c r="C49" s="9" t="s">
        <v>6747</v>
      </c>
      <c r="D49" s="9" t="s">
        <v>6742</v>
      </c>
      <c r="E49" s="9" t="s">
        <v>5849</v>
      </c>
      <c r="F49" s="9" t="s">
        <v>5850</v>
      </c>
      <c r="G49" s="9" t="s">
        <v>12</v>
      </c>
      <c r="H49" s="9" t="s">
        <v>6109</v>
      </c>
      <c r="I49" s="9"/>
      <c r="J49" s="9" t="s">
        <v>5851</v>
      </c>
      <c r="K49" s="9"/>
      <c r="L49" s="9"/>
      <c r="M49" s="9" t="s">
        <v>5852</v>
      </c>
      <c r="N49" s="9"/>
      <c r="O49" s="9" t="s">
        <v>5853</v>
      </c>
      <c r="P49" s="9" t="str">
        <f>HYPERLINK("https://ceds.ed.gov/cedselementdetails.aspx?termid=13279")</f>
        <v>https://ceds.ed.gov/cedselementdetails.aspx?termid=13279</v>
      </c>
      <c r="Q49" s="9" t="str">
        <f>HYPERLINK("https://ceds.ed.gov/elementComment.aspx?elementName=Telephone Number &amp;elementID=13279", "Click here to submit comment")</f>
        <v>Click here to submit comment</v>
      </c>
    </row>
    <row r="50" spans="1:17" ht="90" x14ac:dyDescent="0.25">
      <c r="A50" s="9" t="s">
        <v>6739</v>
      </c>
      <c r="B50" s="9" t="s">
        <v>6779</v>
      </c>
      <c r="C50" s="9" t="s">
        <v>6747</v>
      </c>
      <c r="D50" s="9" t="s">
        <v>6742</v>
      </c>
      <c r="E50" s="9" t="s">
        <v>5854</v>
      </c>
      <c r="F50" s="9" t="s">
        <v>5855</v>
      </c>
      <c r="G50" s="10" t="s">
        <v>6717</v>
      </c>
      <c r="H50" s="9" t="s">
        <v>6109</v>
      </c>
      <c r="I50" s="9"/>
      <c r="J50" s="9" t="s">
        <v>1900</v>
      </c>
      <c r="K50" s="9"/>
      <c r="L50" s="9"/>
      <c r="M50" s="9" t="s">
        <v>5856</v>
      </c>
      <c r="N50" s="9"/>
      <c r="O50" s="9" t="s">
        <v>5857</v>
      </c>
      <c r="P50" s="9" t="str">
        <f>HYPERLINK("https://ceds.ed.gov/cedselementdetails.aspx?termid=13280")</f>
        <v>https://ceds.ed.gov/cedselementdetails.aspx?termid=13280</v>
      </c>
      <c r="Q50" s="9" t="str">
        <f>HYPERLINK("https://ceds.ed.gov/elementComment.aspx?elementName=Telephone Number Type &amp;elementID=13280", "Click here to submit comment")</f>
        <v>Click here to submit comment</v>
      </c>
    </row>
    <row r="51" spans="1:17" ht="90" x14ac:dyDescent="0.25">
      <c r="A51" s="9" t="s">
        <v>6739</v>
      </c>
      <c r="B51" s="9" t="s">
        <v>6779</v>
      </c>
      <c r="C51" s="9" t="s">
        <v>6747</v>
      </c>
      <c r="D51" s="9" t="s">
        <v>6742</v>
      </c>
      <c r="E51" s="9" t="s">
        <v>4709</v>
      </c>
      <c r="F51" s="9" t="s">
        <v>4710</v>
      </c>
      <c r="G51" s="9" t="s">
        <v>6106</v>
      </c>
      <c r="H51" s="9" t="s">
        <v>6109</v>
      </c>
      <c r="I51" s="9"/>
      <c r="J51" s="9"/>
      <c r="K51" s="9"/>
      <c r="L51" s="9"/>
      <c r="M51" s="9" t="s">
        <v>4711</v>
      </c>
      <c r="N51" s="9"/>
      <c r="O51" s="9" t="s">
        <v>4712</v>
      </c>
      <c r="P51" s="9" t="str">
        <f>HYPERLINK("https://ceds.ed.gov/cedselementdetails.aspx?termid=13219")</f>
        <v>https://ceds.ed.gov/cedselementdetails.aspx?termid=13219</v>
      </c>
      <c r="Q51" s="9" t="str">
        <f>HYPERLINK("https://ceds.ed.gov/elementComment.aspx?elementName=Primary Telephone Number Indicator &amp;elementID=13219", "Click here to submit comment")</f>
        <v>Click here to submit comment</v>
      </c>
    </row>
    <row r="52" spans="1:17" ht="90" x14ac:dyDescent="0.25">
      <c r="A52" s="9" t="s">
        <v>6739</v>
      </c>
      <c r="B52" s="9" t="s">
        <v>6779</v>
      </c>
      <c r="C52" s="9" t="s">
        <v>6773</v>
      </c>
      <c r="D52" s="9" t="s">
        <v>6742</v>
      </c>
      <c r="E52" s="9" t="s">
        <v>2584</v>
      </c>
      <c r="F52" s="9" t="s">
        <v>2585</v>
      </c>
      <c r="G52" s="9" t="s">
        <v>12</v>
      </c>
      <c r="H52" s="9" t="s">
        <v>6109</v>
      </c>
      <c r="I52" s="9"/>
      <c r="J52" s="9" t="s">
        <v>11127</v>
      </c>
      <c r="K52" s="9"/>
      <c r="L52" s="9"/>
      <c r="M52" s="9" t="s">
        <v>2586</v>
      </c>
      <c r="N52" s="9" t="s">
        <v>2587</v>
      </c>
      <c r="O52" s="9" t="s">
        <v>2588</v>
      </c>
      <c r="P52" s="9" t="str">
        <f>HYPERLINK("https://ceds.ed.gov/cedselementdetails.aspx?termid=13088")</f>
        <v>https://ceds.ed.gov/cedselementdetails.aspx?termid=13088</v>
      </c>
      <c r="Q52" s="9" t="str">
        <f>HYPERLINK("https://ceds.ed.gov/elementComment.aspx?elementName=Electronic Mail Address &amp;elementID=13088", "Click here to submit comment")</f>
        <v>Click here to submit comment</v>
      </c>
    </row>
    <row r="53" spans="1:17" ht="90" x14ac:dyDescent="0.25">
      <c r="A53" s="9" t="s">
        <v>6739</v>
      </c>
      <c r="B53" s="9" t="s">
        <v>6779</v>
      </c>
      <c r="C53" s="9" t="s">
        <v>6773</v>
      </c>
      <c r="D53" s="9" t="s">
        <v>6742</v>
      </c>
      <c r="E53" s="9" t="s">
        <v>2589</v>
      </c>
      <c r="F53" s="9" t="s">
        <v>2590</v>
      </c>
      <c r="G53" s="10" t="s">
        <v>6484</v>
      </c>
      <c r="H53" s="9" t="s">
        <v>6109</v>
      </c>
      <c r="I53" s="9"/>
      <c r="J53" s="9"/>
      <c r="K53" s="9"/>
      <c r="L53" s="9"/>
      <c r="M53" s="9" t="s">
        <v>2591</v>
      </c>
      <c r="N53" s="9" t="s">
        <v>2592</v>
      </c>
      <c r="O53" s="9" t="s">
        <v>2593</v>
      </c>
      <c r="P53" s="9" t="str">
        <f>HYPERLINK("https://ceds.ed.gov/cedselementdetails.aspx?termid=13089")</f>
        <v>https://ceds.ed.gov/cedselementdetails.aspx?termid=13089</v>
      </c>
      <c r="Q53" s="9" t="str">
        <f>HYPERLINK("https://ceds.ed.gov/elementComment.aspx?elementName=Electronic Mail Address Type &amp;elementID=13089", "Click here to submit comment")</f>
        <v>Click here to submit comment</v>
      </c>
    </row>
    <row r="54" spans="1:17" ht="45" x14ac:dyDescent="0.25">
      <c r="A54" s="9" t="s">
        <v>6739</v>
      </c>
      <c r="B54" s="9" t="s">
        <v>6779</v>
      </c>
      <c r="C54" s="9" t="s">
        <v>6782</v>
      </c>
      <c r="D54" s="9" t="s">
        <v>6742</v>
      </c>
      <c r="E54" s="9" t="s">
        <v>4481</v>
      </c>
      <c r="F54" s="9" t="s">
        <v>4482</v>
      </c>
      <c r="G54" s="9" t="s">
        <v>12</v>
      </c>
      <c r="H54" s="9"/>
      <c r="I54" s="9"/>
      <c r="J54" s="9" t="s">
        <v>1310</v>
      </c>
      <c r="K54" s="9"/>
      <c r="L54" s="9" t="s">
        <v>4483</v>
      </c>
      <c r="M54" s="9" t="s">
        <v>4484</v>
      </c>
      <c r="N54" s="9"/>
      <c r="O54" s="9" t="s">
        <v>4485</v>
      </c>
      <c r="P54" s="9" t="str">
        <f>HYPERLINK("https://ceds.ed.gov/cedselementdetails.aspx?termid=14486")</f>
        <v>https://ceds.ed.gov/cedselementdetails.aspx?termid=14486</v>
      </c>
      <c r="Q54" s="9" t="str">
        <f>HYPERLINK("https://ceds.ed.gov/elementComment.aspx?elementName=Other First Name &amp;elementID=14486", "Click here to submit comment")</f>
        <v>Click here to submit comment</v>
      </c>
    </row>
    <row r="55" spans="1:17" ht="45" x14ac:dyDescent="0.25">
      <c r="A55" s="9" t="s">
        <v>6739</v>
      </c>
      <c r="B55" s="9" t="s">
        <v>6779</v>
      </c>
      <c r="C55" s="9" t="s">
        <v>6782</v>
      </c>
      <c r="D55" s="9" t="s">
        <v>6742</v>
      </c>
      <c r="E55" s="9" t="s">
        <v>4486</v>
      </c>
      <c r="F55" s="9" t="s">
        <v>4487</v>
      </c>
      <c r="G55" s="9" t="s">
        <v>12</v>
      </c>
      <c r="H55" s="9"/>
      <c r="I55" s="9"/>
      <c r="J55" s="9" t="s">
        <v>1310</v>
      </c>
      <c r="K55" s="9"/>
      <c r="L55" s="9" t="s">
        <v>4488</v>
      </c>
      <c r="M55" s="9" t="s">
        <v>4489</v>
      </c>
      <c r="N55" s="9"/>
      <c r="O55" s="9" t="s">
        <v>4490</v>
      </c>
      <c r="P55" s="9" t="str">
        <f>HYPERLINK("https://ceds.ed.gov/cedselementdetails.aspx?termid=14485")</f>
        <v>https://ceds.ed.gov/cedselementdetails.aspx?termid=14485</v>
      </c>
      <c r="Q55" s="9" t="str">
        <f>HYPERLINK("https://ceds.ed.gov/elementComment.aspx?elementName=Other Last Name &amp;elementID=14485", "Click here to submit comment")</f>
        <v>Click here to submit comment</v>
      </c>
    </row>
    <row r="56" spans="1:17" ht="45" x14ac:dyDescent="0.25">
      <c r="A56" s="9" t="s">
        <v>6739</v>
      </c>
      <c r="B56" s="9" t="s">
        <v>6779</v>
      </c>
      <c r="C56" s="9" t="s">
        <v>6782</v>
      </c>
      <c r="D56" s="9" t="s">
        <v>6742</v>
      </c>
      <c r="E56" s="9" t="s">
        <v>4491</v>
      </c>
      <c r="F56" s="9" t="s">
        <v>4492</v>
      </c>
      <c r="G56" s="9" t="s">
        <v>12</v>
      </c>
      <c r="H56" s="9"/>
      <c r="I56" s="9"/>
      <c r="J56" s="9" t="s">
        <v>1310</v>
      </c>
      <c r="K56" s="9"/>
      <c r="L56" s="9" t="s">
        <v>4493</v>
      </c>
      <c r="M56" s="9" t="s">
        <v>4494</v>
      </c>
      <c r="N56" s="9"/>
      <c r="O56" s="9" t="s">
        <v>4495</v>
      </c>
      <c r="P56" s="9" t="str">
        <f>HYPERLINK("https://ceds.ed.gov/cedselementdetails.aspx?termid=14487")</f>
        <v>https://ceds.ed.gov/cedselementdetails.aspx?termid=14487</v>
      </c>
      <c r="Q56" s="9" t="str">
        <f>HYPERLINK("https://ceds.ed.gov/elementComment.aspx?elementName=Other Middle Name &amp;elementID=14487", "Click here to submit comment")</f>
        <v>Click here to submit comment</v>
      </c>
    </row>
    <row r="57" spans="1:17" ht="150" x14ac:dyDescent="0.25">
      <c r="A57" s="9" t="s">
        <v>6739</v>
      </c>
      <c r="B57" s="9" t="s">
        <v>6779</v>
      </c>
      <c r="C57" s="9" t="s">
        <v>6782</v>
      </c>
      <c r="D57" s="9" t="s">
        <v>6742</v>
      </c>
      <c r="E57" s="9" t="s">
        <v>4496</v>
      </c>
      <c r="F57" s="9" t="s">
        <v>4497</v>
      </c>
      <c r="G57" s="9" t="s">
        <v>12</v>
      </c>
      <c r="H57" s="9" t="s">
        <v>6212</v>
      </c>
      <c r="I57" s="9"/>
      <c r="J57" s="9" t="s">
        <v>119</v>
      </c>
      <c r="K57" s="9"/>
      <c r="L57" s="9"/>
      <c r="M57" s="9" t="s">
        <v>4498</v>
      </c>
      <c r="N57" s="9"/>
      <c r="O57" s="9" t="s">
        <v>4499</v>
      </c>
      <c r="P57" s="9" t="str">
        <f>HYPERLINK("https://ceds.ed.gov/cedselementdetails.aspx?termid=13206")</f>
        <v>https://ceds.ed.gov/cedselementdetails.aspx?termid=13206</v>
      </c>
      <c r="Q57" s="9" t="str">
        <f>HYPERLINK("https://ceds.ed.gov/elementComment.aspx?elementName=Other Name &amp;elementID=13206", "Click here to submit comment")</f>
        <v>Click here to submit comment</v>
      </c>
    </row>
    <row r="58" spans="1:17" ht="165" x14ac:dyDescent="0.25">
      <c r="A58" s="9" t="s">
        <v>6739</v>
      </c>
      <c r="B58" s="9" t="s">
        <v>6779</v>
      </c>
      <c r="C58" s="9" t="s">
        <v>6782</v>
      </c>
      <c r="D58" s="9" t="s">
        <v>6742</v>
      </c>
      <c r="E58" s="9" t="s">
        <v>4500</v>
      </c>
      <c r="F58" s="9" t="s">
        <v>4501</v>
      </c>
      <c r="G58" s="10" t="s">
        <v>6630</v>
      </c>
      <c r="H58" s="9" t="s">
        <v>6251</v>
      </c>
      <c r="I58" s="9"/>
      <c r="J58" s="9" t="s">
        <v>87</v>
      </c>
      <c r="K58" s="9"/>
      <c r="L58" s="9"/>
      <c r="M58" s="9" t="s">
        <v>4502</v>
      </c>
      <c r="N58" s="9"/>
      <c r="O58" s="9" t="s">
        <v>4503</v>
      </c>
      <c r="P58" s="9" t="str">
        <f>HYPERLINK("https://ceds.ed.gov/cedselementdetails.aspx?termid=13627")</f>
        <v>https://ceds.ed.gov/cedselementdetails.aspx?termid=13627</v>
      </c>
      <c r="Q58" s="9" t="str">
        <f>HYPERLINK("https://ceds.ed.gov/elementComment.aspx?elementName=Other Name Type &amp;elementID=13627", "Click here to submit comment")</f>
        <v>Click here to submit comment</v>
      </c>
    </row>
    <row r="59" spans="1:17" ht="210" x14ac:dyDescent="0.25">
      <c r="A59" s="9" t="s">
        <v>6739</v>
      </c>
      <c r="B59" s="9" t="s">
        <v>6779</v>
      </c>
      <c r="C59" s="9" t="s">
        <v>6795</v>
      </c>
      <c r="D59" s="9" t="s">
        <v>6742</v>
      </c>
      <c r="E59" s="9" t="s">
        <v>2393</v>
      </c>
      <c r="F59" s="9" t="s">
        <v>2394</v>
      </c>
      <c r="G59" s="10" t="s">
        <v>6461</v>
      </c>
      <c r="H59" s="9" t="s">
        <v>64</v>
      </c>
      <c r="I59" s="9"/>
      <c r="J59" s="9"/>
      <c r="K59" s="9"/>
      <c r="L59" s="9"/>
      <c r="M59" s="9" t="s">
        <v>2395</v>
      </c>
      <c r="N59" s="9"/>
      <c r="O59" s="9" t="s">
        <v>2396</v>
      </c>
      <c r="P59" s="9" t="str">
        <f>HYPERLINK("https://ceds.ed.gov/cedselementdetails.aspx?termid=13829")</f>
        <v>https://ceds.ed.gov/cedselementdetails.aspx?termid=13829</v>
      </c>
      <c r="Q59" s="9" t="str">
        <f>HYPERLINK("https://ceds.ed.gov/elementComment.aspx?elementName=Early Childhood Program Enrollment Type &amp;elementID=13829", "Click here to submit comment")</f>
        <v>Click here to submit comment</v>
      </c>
    </row>
    <row r="60" spans="1:17" ht="45" x14ac:dyDescent="0.25">
      <c r="A60" s="9" t="s">
        <v>6739</v>
      </c>
      <c r="B60" s="9" t="s">
        <v>6779</v>
      </c>
      <c r="C60" s="9" t="s">
        <v>6795</v>
      </c>
      <c r="D60" s="9" t="s">
        <v>6742</v>
      </c>
      <c r="E60" s="9" t="s">
        <v>2537</v>
      </c>
      <c r="F60" s="9" t="s">
        <v>2538</v>
      </c>
      <c r="G60" s="9" t="s">
        <v>12</v>
      </c>
      <c r="H60" s="9" t="s">
        <v>6167</v>
      </c>
      <c r="I60" s="9"/>
      <c r="J60" s="9" t="s">
        <v>1813</v>
      </c>
      <c r="K60" s="9"/>
      <c r="L60" s="9"/>
      <c r="M60" s="9" t="s">
        <v>2539</v>
      </c>
      <c r="N60" s="9"/>
      <c r="O60" s="9" t="s">
        <v>2540</v>
      </c>
      <c r="P60" s="9" t="str">
        <f>HYPERLINK("https://ceds.ed.gov/cedselementdetails.aspx?termid=13864")</f>
        <v>https://ceds.ed.gov/cedselementdetails.aspx?termid=13864</v>
      </c>
      <c r="Q60" s="9" t="str">
        <f>HYPERLINK("https://ceds.ed.gov/elementComment.aspx?elementName=Early Learning Program Year &amp;elementID=13864", "Click here to submit comment")</f>
        <v>Click here to submit comment</v>
      </c>
    </row>
    <row r="61" spans="1:17" ht="45" x14ac:dyDescent="0.25">
      <c r="A61" s="9" t="s">
        <v>6739</v>
      </c>
      <c r="B61" s="9" t="s">
        <v>6779</v>
      </c>
      <c r="C61" s="9" t="s">
        <v>6795</v>
      </c>
      <c r="D61" s="9" t="s">
        <v>6742</v>
      </c>
      <c r="E61" s="9" t="s">
        <v>5460</v>
      </c>
      <c r="F61" s="9" t="s">
        <v>5461</v>
      </c>
      <c r="G61" s="9" t="s">
        <v>12</v>
      </c>
      <c r="H61" s="9" t="s">
        <v>6167</v>
      </c>
      <c r="I61" s="9"/>
      <c r="J61" s="9" t="s">
        <v>406</v>
      </c>
      <c r="K61" s="9"/>
      <c r="L61" s="9"/>
      <c r="M61" s="9" t="s">
        <v>5462</v>
      </c>
      <c r="N61" s="9"/>
      <c r="O61" s="9" t="s">
        <v>5463</v>
      </c>
      <c r="P61" s="9" t="str">
        <f>HYPERLINK("https://ceds.ed.gov/cedselementdetails.aspx?termid=13986")</f>
        <v>https://ceds.ed.gov/cedselementdetails.aspx?termid=13986</v>
      </c>
      <c r="Q61" s="9" t="str">
        <f>HYPERLINK("https://ceds.ed.gov/elementComment.aspx?elementName=Session Start Time &amp;elementID=13986", "Click here to submit comment")</f>
        <v>Click here to submit comment</v>
      </c>
    </row>
    <row r="62" spans="1:17" ht="45" x14ac:dyDescent="0.25">
      <c r="A62" s="9" t="s">
        <v>6739</v>
      </c>
      <c r="B62" s="9" t="s">
        <v>6779</v>
      </c>
      <c r="C62" s="9" t="s">
        <v>6795</v>
      </c>
      <c r="D62" s="9" t="s">
        <v>6742</v>
      </c>
      <c r="E62" s="9" t="s">
        <v>5448</v>
      </c>
      <c r="F62" s="9" t="s">
        <v>5449</v>
      </c>
      <c r="G62" s="9" t="s">
        <v>12</v>
      </c>
      <c r="H62" s="9" t="s">
        <v>6167</v>
      </c>
      <c r="I62" s="9"/>
      <c r="J62" s="9" t="s">
        <v>406</v>
      </c>
      <c r="K62" s="9"/>
      <c r="L62" s="9"/>
      <c r="M62" s="9" t="s">
        <v>5450</v>
      </c>
      <c r="N62" s="9"/>
      <c r="O62" s="9" t="s">
        <v>5451</v>
      </c>
      <c r="P62" s="9" t="str">
        <f>HYPERLINK("https://ceds.ed.gov/cedselementdetails.aspx?termid=13988")</f>
        <v>https://ceds.ed.gov/cedselementdetails.aspx?termid=13988</v>
      </c>
      <c r="Q62" s="9" t="str">
        <f>HYPERLINK("https://ceds.ed.gov/elementComment.aspx?elementName=Session End Time &amp;elementID=13988", "Click here to submit comment")</f>
        <v>Click here to submit comment</v>
      </c>
    </row>
    <row r="63" spans="1:17" ht="409.5" x14ac:dyDescent="0.25">
      <c r="A63" s="9" t="s">
        <v>6739</v>
      </c>
      <c r="B63" s="9" t="s">
        <v>6779</v>
      </c>
      <c r="C63" s="9" t="s">
        <v>6795</v>
      </c>
      <c r="D63" s="9" t="s">
        <v>6742</v>
      </c>
      <c r="E63" s="9" t="s">
        <v>2977</v>
      </c>
      <c r="F63" s="9" t="s">
        <v>2978</v>
      </c>
      <c r="G63" s="10" t="s">
        <v>6520</v>
      </c>
      <c r="H63" s="9" t="s">
        <v>6193</v>
      </c>
      <c r="I63" s="9"/>
      <c r="J63" s="9"/>
      <c r="K63" s="9"/>
      <c r="L63" s="9"/>
      <c r="M63" s="9" t="s">
        <v>2979</v>
      </c>
      <c r="N63" s="9"/>
      <c r="O63" s="9" t="s">
        <v>2980</v>
      </c>
      <c r="P63" s="9" t="str">
        <f>HYPERLINK("https://ceds.ed.gov/cedselementdetails.aspx?termid=13866")</f>
        <v>https://ceds.ed.gov/cedselementdetails.aspx?termid=13866</v>
      </c>
      <c r="Q63" s="9" t="str">
        <f>HYPERLINK("https://ceds.ed.gov/elementComment.aspx?elementName=Full-Time Employee Benefits &amp;elementID=13866", "Click here to submit comment")</f>
        <v>Click here to submit comment</v>
      </c>
    </row>
    <row r="64" spans="1:17" ht="409.5" x14ac:dyDescent="0.25">
      <c r="A64" s="9" t="s">
        <v>6739</v>
      </c>
      <c r="B64" s="9" t="s">
        <v>6779</v>
      </c>
      <c r="C64" s="9" t="s">
        <v>6795</v>
      </c>
      <c r="D64" s="9" t="s">
        <v>6742</v>
      </c>
      <c r="E64" s="9" t="s">
        <v>4525</v>
      </c>
      <c r="F64" s="9" t="s">
        <v>4526</v>
      </c>
      <c r="G64" s="10" t="s">
        <v>6520</v>
      </c>
      <c r="H64" s="9" t="s">
        <v>6193</v>
      </c>
      <c r="I64" s="9"/>
      <c r="J64" s="9"/>
      <c r="K64" s="9"/>
      <c r="L64" s="9"/>
      <c r="M64" s="9" t="s">
        <v>4527</v>
      </c>
      <c r="N64" s="9"/>
      <c r="O64" s="9" t="s">
        <v>4528</v>
      </c>
      <c r="P64" s="9" t="str">
        <f>HYPERLINK("https://ceds.ed.gov/cedselementdetails.aspx?termid=13867")</f>
        <v>https://ceds.ed.gov/cedselementdetails.aspx?termid=13867</v>
      </c>
      <c r="Q64" s="9" t="str">
        <f>HYPERLINK("https://ceds.ed.gov/elementComment.aspx?elementName=Part-Time Employee Benefits &amp;elementID=13867", "Click here to submit comment")</f>
        <v>Click here to submit comment</v>
      </c>
    </row>
    <row r="65" spans="1:17" ht="60" x14ac:dyDescent="0.25">
      <c r="A65" s="9" t="s">
        <v>6739</v>
      </c>
      <c r="B65" s="9" t="s">
        <v>6779</v>
      </c>
      <c r="C65" s="9" t="s">
        <v>6795</v>
      </c>
      <c r="D65" s="9" t="s">
        <v>6742</v>
      </c>
      <c r="E65" s="9" t="s">
        <v>2263</v>
      </c>
      <c r="F65" s="9" t="s">
        <v>2264</v>
      </c>
      <c r="G65" s="10" t="s">
        <v>6340</v>
      </c>
      <c r="H65" s="9" t="s">
        <v>182</v>
      </c>
      <c r="I65" s="9"/>
      <c r="J65" s="9"/>
      <c r="K65" s="9"/>
      <c r="L65" s="9"/>
      <c r="M65" s="9" t="s">
        <v>2266</v>
      </c>
      <c r="N65" s="9"/>
      <c r="O65" s="9" t="s">
        <v>2267</v>
      </c>
      <c r="P65" s="9" t="str">
        <f>HYPERLINK("https://ceds.ed.gov/cedselementdetails.aspx?termid=13868")</f>
        <v>https://ceds.ed.gov/cedselementdetails.aspx?termid=13868</v>
      </c>
      <c r="Q65" s="9" t="str">
        <f>HYPERLINK("https://ceds.ed.gov/elementComment.aspx?elementName=Differential Shift Pay Indicator &amp;elementID=13868", "Click here to submit comment")</f>
        <v>Click here to submit comment</v>
      </c>
    </row>
    <row r="66" spans="1:17" ht="45" x14ac:dyDescent="0.25">
      <c r="A66" s="9" t="s">
        <v>6739</v>
      </c>
      <c r="B66" s="9" t="s">
        <v>6779</v>
      </c>
      <c r="C66" s="9" t="s">
        <v>6795</v>
      </c>
      <c r="D66" s="9" t="s">
        <v>6742</v>
      </c>
      <c r="E66" s="9" t="s">
        <v>2499</v>
      </c>
      <c r="F66" s="9" t="s">
        <v>2500</v>
      </c>
      <c r="G66" s="9" t="s">
        <v>12</v>
      </c>
      <c r="H66" s="9" t="s">
        <v>6167</v>
      </c>
      <c r="I66" s="9"/>
      <c r="J66" s="9" t="s">
        <v>11123</v>
      </c>
      <c r="K66" s="9"/>
      <c r="L66" s="9"/>
      <c r="M66" s="9" t="s">
        <v>2501</v>
      </c>
      <c r="N66" s="9"/>
      <c r="O66" s="9" t="s">
        <v>2502</v>
      </c>
      <c r="P66" s="9" t="str">
        <f>HYPERLINK("https://ceds.ed.gov/cedselementdetails.aspx?termid=13824")</f>
        <v>https://ceds.ed.gov/cedselementdetails.aspx?termid=13824</v>
      </c>
      <c r="Q66" s="9" t="str">
        <f>HYPERLINK("https://ceds.ed.gov/elementComment.aspx?elementName=Early Learning Program Annual Operating Weeks &amp;elementID=13824", "Click here to submit comment")</f>
        <v>Click here to submit comment</v>
      </c>
    </row>
    <row r="67" spans="1:17" ht="135" x14ac:dyDescent="0.25">
      <c r="A67" s="9" t="s">
        <v>6739</v>
      </c>
      <c r="B67" s="9" t="s">
        <v>6779</v>
      </c>
      <c r="C67" s="9" t="s">
        <v>6795</v>
      </c>
      <c r="D67" s="9" t="s">
        <v>6742</v>
      </c>
      <c r="E67" s="9" t="s">
        <v>1820</v>
      </c>
      <c r="F67" s="9" t="s">
        <v>1821</v>
      </c>
      <c r="G67" s="10" t="s">
        <v>6411</v>
      </c>
      <c r="H67" s="9"/>
      <c r="I67" s="9"/>
      <c r="J67" s="9"/>
      <c r="K67" s="9"/>
      <c r="L67" s="9"/>
      <c r="M67" s="9" t="s">
        <v>1822</v>
      </c>
      <c r="N67" s="9"/>
      <c r="O67" s="9" t="s">
        <v>1823</v>
      </c>
      <c r="P67" s="9" t="str">
        <f>HYPERLINK("https://ceds.ed.gov/cedselementdetails.aspx?termid=14614")</f>
        <v>https://ceds.ed.gov/cedselementdetails.aspx?termid=14614</v>
      </c>
      <c r="Q67" s="9" t="str">
        <f>HYPERLINK("https://ceds.ed.gov/elementComment.aspx?elementName=Community-based Type &amp;elementID=14614", "Click here to submit comment")</f>
        <v>Click here to submit comment</v>
      </c>
    </row>
    <row r="68" spans="1:17" ht="45" x14ac:dyDescent="0.25">
      <c r="A68" s="9" t="s">
        <v>6739</v>
      </c>
      <c r="B68" s="9" t="s">
        <v>6779</v>
      </c>
      <c r="C68" s="9" t="s">
        <v>6795</v>
      </c>
      <c r="D68" s="9" t="s">
        <v>6742</v>
      </c>
      <c r="E68" s="9" t="s">
        <v>3345</v>
      </c>
      <c r="F68" s="9" t="s">
        <v>11510</v>
      </c>
      <c r="G68" s="9" t="s">
        <v>6106</v>
      </c>
      <c r="H68" s="9"/>
      <c r="I68" s="9"/>
      <c r="J68" s="9"/>
      <c r="K68" s="9"/>
      <c r="L68" s="9"/>
      <c r="M68" s="9" t="s">
        <v>3346</v>
      </c>
      <c r="N68" s="9"/>
      <c r="O68" s="9" t="s">
        <v>3347</v>
      </c>
      <c r="P68" s="9" t="str">
        <f>HYPERLINK("https://ceds.ed.gov/cedselementdetails.aspx?termid=14615")</f>
        <v>https://ceds.ed.gov/cedselementdetails.aspx?termid=14615</v>
      </c>
      <c r="Q68" s="9" t="str">
        <f>HYPERLINK("https://ceds.ed.gov/elementComment.aspx?elementName=Inclusive Setting Indicator &amp;elementID=14615", "Click here to submit comment")</f>
        <v>Click here to submit comment</v>
      </c>
    </row>
    <row r="69" spans="1:17" ht="45" x14ac:dyDescent="0.25">
      <c r="A69" s="9" t="s">
        <v>6739</v>
      </c>
      <c r="B69" s="9" t="s">
        <v>6779</v>
      </c>
      <c r="C69" s="9" t="s">
        <v>6786</v>
      </c>
      <c r="D69" s="9" t="s">
        <v>6742</v>
      </c>
      <c r="E69" s="9" t="s">
        <v>4428</v>
      </c>
      <c r="F69" s="9" t="s">
        <v>4429</v>
      </c>
      <c r="G69" s="9" t="s">
        <v>12</v>
      </c>
      <c r="H69" s="9" t="s">
        <v>6172</v>
      </c>
      <c r="I69" s="9"/>
      <c r="J69" s="9" t="s">
        <v>73</v>
      </c>
      <c r="K69" s="9"/>
      <c r="L69" s="9"/>
      <c r="M69" s="9" t="s">
        <v>4430</v>
      </c>
      <c r="N69" s="9"/>
      <c r="O69" s="9" t="s">
        <v>4431</v>
      </c>
      <c r="P69" s="9" t="str">
        <f>HYPERLINK("https://ceds.ed.gov/cedselementdetails.aspx?termid=13350")</f>
        <v>https://ceds.ed.gov/cedselementdetails.aspx?termid=13350</v>
      </c>
      <c r="Q69" s="9" t="str">
        <f>HYPERLINK("https://ceds.ed.gov/elementComment.aspx?elementName=Operation Date &amp;elementID=13350", "Click here to submit comment")</f>
        <v>Click here to submit comment</v>
      </c>
    </row>
    <row r="70" spans="1:17" ht="105" x14ac:dyDescent="0.25">
      <c r="A70" s="9" t="s">
        <v>6739</v>
      </c>
      <c r="B70" s="9" t="s">
        <v>6779</v>
      </c>
      <c r="C70" s="9" t="s">
        <v>6786</v>
      </c>
      <c r="D70" s="9" t="s">
        <v>6742</v>
      </c>
      <c r="E70" s="9" t="s">
        <v>5412</v>
      </c>
      <c r="F70" s="9" t="s">
        <v>5413</v>
      </c>
      <c r="G70" s="10" t="s">
        <v>6692</v>
      </c>
      <c r="H70" s="9" t="s">
        <v>6182</v>
      </c>
      <c r="I70" s="9"/>
      <c r="J70" s="9"/>
      <c r="K70" s="9"/>
      <c r="L70" s="9"/>
      <c r="M70" s="9" t="s">
        <v>5414</v>
      </c>
      <c r="N70" s="9"/>
      <c r="O70" s="9" t="s">
        <v>5415</v>
      </c>
      <c r="P70" s="9" t="str">
        <f>HYPERLINK("https://ceds.ed.gov/cedselementdetails.aspx?termid=13352")</f>
        <v>https://ceds.ed.gov/cedselementdetails.aspx?termid=13352</v>
      </c>
      <c r="Q70" s="9" t="str">
        <f>HYPERLINK("https://ceds.ed.gov/elementComment.aspx?elementName=Service Option Variation &amp;elementID=13352", "Click here to submit comment")</f>
        <v>Click here to submit comment</v>
      </c>
    </row>
    <row r="71" spans="1:17" ht="60" x14ac:dyDescent="0.25">
      <c r="A71" s="9" t="s">
        <v>6739</v>
      </c>
      <c r="B71" s="9" t="s">
        <v>6779</v>
      </c>
      <c r="C71" s="9" t="s">
        <v>6786</v>
      </c>
      <c r="D71" s="9" t="s">
        <v>6742</v>
      </c>
      <c r="E71" s="9" t="s">
        <v>3174</v>
      </c>
      <c r="F71" s="9" t="s">
        <v>3175</v>
      </c>
      <c r="G71" s="9" t="s">
        <v>12</v>
      </c>
      <c r="H71" s="9" t="s">
        <v>6182</v>
      </c>
      <c r="I71" s="9"/>
      <c r="J71" s="9" t="s">
        <v>1513</v>
      </c>
      <c r="K71" s="9"/>
      <c r="L71" s="9"/>
      <c r="M71" s="9" t="s">
        <v>3176</v>
      </c>
      <c r="N71" s="9"/>
      <c r="O71" s="9" t="s">
        <v>3177</v>
      </c>
      <c r="P71" s="9" t="str">
        <f>HYPERLINK("https://ceds.ed.gov/cedselementdetails.aspx?termid=13353")</f>
        <v>https://ceds.ed.gov/cedselementdetails.aspx?termid=13353</v>
      </c>
      <c r="Q71" s="9" t="str">
        <f>HYPERLINK("https://ceds.ed.gov/elementComment.aspx?elementName=Hours Available Per Day &amp;elementID=13353", "Click here to submit comment")</f>
        <v>Click here to submit comment</v>
      </c>
    </row>
    <row r="72" spans="1:17" ht="60" x14ac:dyDescent="0.25">
      <c r="A72" s="9" t="s">
        <v>6739</v>
      </c>
      <c r="B72" s="9" t="s">
        <v>6779</v>
      </c>
      <c r="C72" s="9" t="s">
        <v>6786</v>
      </c>
      <c r="D72" s="9" t="s">
        <v>6742</v>
      </c>
      <c r="E72" s="9" t="s">
        <v>2187</v>
      </c>
      <c r="F72" s="9" t="s">
        <v>2188</v>
      </c>
      <c r="G72" s="9" t="s">
        <v>12</v>
      </c>
      <c r="H72" s="9" t="s">
        <v>6182</v>
      </c>
      <c r="I72" s="9"/>
      <c r="J72" s="9" t="s">
        <v>10489</v>
      </c>
      <c r="K72" s="9"/>
      <c r="L72" s="9"/>
      <c r="M72" s="9" t="s">
        <v>2189</v>
      </c>
      <c r="N72" s="9"/>
      <c r="O72" s="9" t="s">
        <v>2190</v>
      </c>
      <c r="P72" s="9" t="str">
        <f>HYPERLINK("https://ceds.ed.gov/cedselementdetails.aspx?termid=13354")</f>
        <v>https://ceds.ed.gov/cedselementdetails.aspx?termid=13354</v>
      </c>
      <c r="Q72" s="9" t="str">
        <f>HYPERLINK("https://ceds.ed.gov/elementComment.aspx?elementName=Days Available Per Week &amp;elementID=13354", "Click here to submit comment")</f>
        <v>Click here to submit comment</v>
      </c>
    </row>
    <row r="73" spans="1:17" ht="195" x14ac:dyDescent="0.25">
      <c r="A73" s="9" t="s">
        <v>6739</v>
      </c>
      <c r="B73" s="9" t="s">
        <v>6779</v>
      </c>
      <c r="C73" s="9" t="s">
        <v>6786</v>
      </c>
      <c r="D73" s="9" t="s">
        <v>6742</v>
      </c>
      <c r="E73" s="9" t="s">
        <v>2405</v>
      </c>
      <c r="F73" s="9" t="s">
        <v>2406</v>
      </c>
      <c r="G73" s="10" t="s">
        <v>6463</v>
      </c>
      <c r="H73" s="9" t="s">
        <v>6182</v>
      </c>
      <c r="I73" s="9"/>
      <c r="J73" s="9"/>
      <c r="K73" s="9"/>
      <c r="L73" s="9"/>
      <c r="M73" s="9" t="s">
        <v>2407</v>
      </c>
      <c r="N73" s="9"/>
      <c r="O73" s="9" t="s">
        <v>2408</v>
      </c>
      <c r="P73" s="9" t="str">
        <f>HYPERLINK("https://ceds.ed.gov/cedselementdetails.aspx?termid=13355")</f>
        <v>https://ceds.ed.gov/cedselementdetails.aspx?termid=13355</v>
      </c>
      <c r="Q73" s="9" t="str">
        <f>HYPERLINK("https://ceds.ed.gov/elementComment.aspx?elementName=Early Childhood Setting &amp;elementID=13355", "Click here to submit comment")</f>
        <v>Click here to submit comment</v>
      </c>
    </row>
    <row r="74" spans="1:17" ht="45" x14ac:dyDescent="0.25">
      <c r="A74" s="9" t="s">
        <v>6739</v>
      </c>
      <c r="B74" s="9" t="s">
        <v>6779</v>
      </c>
      <c r="C74" s="9" t="s">
        <v>6786</v>
      </c>
      <c r="D74" s="9" t="s">
        <v>6742</v>
      </c>
      <c r="E74" s="9" t="s">
        <v>4357</v>
      </c>
      <c r="F74" s="9" t="s">
        <v>4358</v>
      </c>
      <c r="G74" s="9" t="s">
        <v>12</v>
      </c>
      <c r="H74" s="9" t="s">
        <v>64</v>
      </c>
      <c r="I74" s="9"/>
      <c r="J74" s="9" t="s">
        <v>10489</v>
      </c>
      <c r="K74" s="9"/>
      <c r="L74" s="9"/>
      <c r="M74" s="9" t="s">
        <v>4359</v>
      </c>
      <c r="N74" s="9"/>
      <c r="O74" s="9" t="s">
        <v>4360</v>
      </c>
      <c r="P74" s="9" t="str">
        <f>HYPERLINK("https://ceds.ed.gov/cedselementdetails.aspx?termid=13844")</f>
        <v>https://ceds.ed.gov/cedselementdetails.aspx?termid=13844</v>
      </c>
      <c r="Q74" s="9" t="str">
        <f>HYPERLINK("https://ceds.ed.gov/elementComment.aspx?elementName=Number of Classrooms &amp;elementID=13844", "Click here to submit comment")</f>
        <v>Click here to submit comment</v>
      </c>
    </row>
    <row r="75" spans="1:17" ht="60" x14ac:dyDescent="0.25">
      <c r="A75" s="9" t="s">
        <v>6739</v>
      </c>
      <c r="B75" s="9" t="s">
        <v>6779</v>
      </c>
      <c r="C75" s="9" t="s">
        <v>6786</v>
      </c>
      <c r="D75" s="9" t="s">
        <v>6742</v>
      </c>
      <c r="E75" s="9" t="s">
        <v>2561</v>
      </c>
      <c r="F75" s="9" t="s">
        <v>2562</v>
      </c>
      <c r="G75" s="9" t="s">
        <v>12</v>
      </c>
      <c r="H75" s="9" t="s">
        <v>6192</v>
      </c>
      <c r="I75" s="9"/>
      <c r="J75" s="9" t="s">
        <v>10489</v>
      </c>
      <c r="K75" s="9"/>
      <c r="L75" s="9"/>
      <c r="M75" s="9" t="s">
        <v>2563</v>
      </c>
      <c r="N75" s="9"/>
      <c r="O75" s="9" t="s">
        <v>2564</v>
      </c>
      <c r="P75" s="9" t="str">
        <f>HYPERLINK("https://ceds.ed.gov/cedselementdetails.aspx?termid=13626")</f>
        <v>https://ceds.ed.gov/cedselementdetails.aspx?termid=13626</v>
      </c>
      <c r="Q75" s="9" t="str">
        <f>HYPERLINK("https://ceds.ed.gov/elementComment.aspx?elementName=Early Learning Youngest Age Authorized to Serve &amp;elementID=13626", "Click here to submit comment")</f>
        <v>Click here to submit comment</v>
      </c>
    </row>
    <row r="76" spans="1:17" ht="60" x14ac:dyDescent="0.25">
      <c r="A76" s="9" t="s">
        <v>6739</v>
      </c>
      <c r="B76" s="9" t="s">
        <v>6779</v>
      </c>
      <c r="C76" s="9" t="s">
        <v>6786</v>
      </c>
      <c r="D76" s="9" t="s">
        <v>6742</v>
      </c>
      <c r="E76" s="9" t="s">
        <v>2479</v>
      </c>
      <c r="F76" s="9" t="s">
        <v>2480</v>
      </c>
      <c r="G76" s="9" t="s">
        <v>12</v>
      </c>
      <c r="H76" s="9" t="s">
        <v>6192</v>
      </c>
      <c r="I76" s="9"/>
      <c r="J76" s="9" t="s">
        <v>10489</v>
      </c>
      <c r="K76" s="9"/>
      <c r="L76" s="9"/>
      <c r="M76" s="9" t="s">
        <v>2481</v>
      </c>
      <c r="N76" s="9"/>
      <c r="O76" s="9" t="s">
        <v>2482</v>
      </c>
      <c r="P76" s="9" t="str">
        <f>HYPERLINK("https://ceds.ed.gov/cedselementdetails.aspx?termid=14189")</f>
        <v>https://ceds.ed.gov/cedselementdetails.aspx?termid=14189</v>
      </c>
      <c r="Q76" s="9" t="str">
        <f>HYPERLINK("https://ceds.ed.gov/elementComment.aspx?elementName=Early Learning Oldest Age Authorized to Serve &amp;elementID=14189", "Click here to submit comment")</f>
        <v>Click here to submit comment</v>
      </c>
    </row>
    <row r="77" spans="1:17" ht="135" x14ac:dyDescent="0.25">
      <c r="A77" s="9" t="s">
        <v>6739</v>
      </c>
      <c r="B77" s="9" t="s">
        <v>6779</v>
      </c>
      <c r="C77" s="9" t="s">
        <v>6786</v>
      </c>
      <c r="D77" s="9" t="s">
        <v>6742</v>
      </c>
      <c r="E77" s="9" t="s">
        <v>5516</v>
      </c>
      <c r="F77" s="9" t="s">
        <v>5517</v>
      </c>
      <c r="G77" s="10" t="s">
        <v>6696</v>
      </c>
      <c r="H77" s="9" t="s">
        <v>64</v>
      </c>
      <c r="I77" s="9"/>
      <c r="J77" s="9"/>
      <c r="K77" s="9"/>
      <c r="L77" s="9"/>
      <c r="M77" s="9" t="s">
        <v>5518</v>
      </c>
      <c r="N77" s="9"/>
      <c r="O77" s="9" t="s">
        <v>5519</v>
      </c>
      <c r="P77" s="9" t="str">
        <f>HYPERLINK("https://ceds.ed.gov/cedselementdetails.aspx?termid=13852")</f>
        <v>https://ceds.ed.gov/cedselementdetails.aspx?termid=13852</v>
      </c>
      <c r="Q77" s="9" t="str">
        <f>HYPERLINK("https://ceds.ed.gov/elementComment.aspx?elementName=Special Circumstances Population Served &amp;elementID=13852", "Click here to submit comment")</f>
        <v>Click here to submit comment</v>
      </c>
    </row>
    <row r="78" spans="1:17" ht="315" x14ac:dyDescent="0.25">
      <c r="A78" s="9" t="s">
        <v>6739</v>
      </c>
      <c r="B78" s="9" t="s">
        <v>6779</v>
      </c>
      <c r="C78" s="9" t="s">
        <v>6786</v>
      </c>
      <c r="D78" s="9" t="s">
        <v>6742</v>
      </c>
      <c r="E78" s="9" t="s">
        <v>2570</v>
      </c>
      <c r="F78" s="9" t="s">
        <v>2571</v>
      </c>
      <c r="G78" s="10" t="s">
        <v>6482</v>
      </c>
      <c r="H78" s="9" t="s">
        <v>6193</v>
      </c>
      <c r="I78" s="9"/>
      <c r="J78" s="9"/>
      <c r="K78" s="9"/>
      <c r="L78" s="9"/>
      <c r="M78" s="9" t="s">
        <v>2573</v>
      </c>
      <c r="N78" s="9" t="s">
        <v>2574</v>
      </c>
      <c r="O78" s="9" t="s">
        <v>2575</v>
      </c>
      <c r="P78" s="9" t="str">
        <f>HYPERLINK("https://ceds.ed.gov/cedselementdetails.aspx?termid=13862")</f>
        <v>https://ceds.ed.gov/cedselementdetails.aspx?termid=13862</v>
      </c>
      <c r="Q78" s="9" t="str">
        <f>HYPERLINK("https://ceds.ed.gov/elementComment.aspx?elementName=Economic Research Service Rural-Urban Continuum Code &amp;elementID=13862", "Click here to submit comment")</f>
        <v>Click here to submit comment</v>
      </c>
    </row>
    <row r="79" spans="1:17" ht="45" x14ac:dyDescent="0.25">
      <c r="A79" s="9" t="s">
        <v>6739</v>
      </c>
      <c r="B79" s="9" t="s">
        <v>6779</v>
      </c>
      <c r="C79" s="9" t="s">
        <v>6799</v>
      </c>
      <c r="D79" s="9" t="s">
        <v>6742</v>
      </c>
      <c r="E79" s="9" t="s">
        <v>5488</v>
      </c>
      <c r="F79" s="9" t="s">
        <v>5489</v>
      </c>
      <c r="G79" s="9" t="s">
        <v>12</v>
      </c>
      <c r="H79" s="9" t="s">
        <v>6172</v>
      </c>
      <c r="I79" s="9"/>
      <c r="J79" s="9" t="s">
        <v>92</v>
      </c>
      <c r="K79" s="9"/>
      <c r="L79" s="9"/>
      <c r="M79" s="9" t="s">
        <v>5491</v>
      </c>
      <c r="N79" s="9"/>
      <c r="O79" s="9" t="s">
        <v>5492</v>
      </c>
      <c r="P79" s="9" t="str">
        <f>HYPERLINK("https://ceds.ed.gov/cedselementdetails.aspx?termid=13625")</f>
        <v>https://ceds.ed.gov/cedselementdetails.aspx?termid=13625</v>
      </c>
      <c r="Q79" s="9" t="str">
        <f>HYPERLINK("https://ceds.ed.gov/elementComment.aspx?elementName=Site Name &amp;elementID=13625", "Click here to submit comment")</f>
        <v>Click here to submit comment</v>
      </c>
    </row>
    <row r="80" spans="1:17" ht="75" x14ac:dyDescent="0.25">
      <c r="A80" s="9" t="s">
        <v>6739</v>
      </c>
      <c r="B80" s="9" t="s">
        <v>6779</v>
      </c>
      <c r="C80" s="9" t="s">
        <v>6788</v>
      </c>
      <c r="D80" s="9" t="s">
        <v>6742</v>
      </c>
      <c r="E80" s="9" t="s">
        <v>2739</v>
      </c>
      <c r="F80" s="9" t="s">
        <v>2740</v>
      </c>
      <c r="G80" s="10" t="s">
        <v>6500</v>
      </c>
      <c r="H80" s="9" t="s">
        <v>64</v>
      </c>
      <c r="I80" s="9"/>
      <c r="J80" s="9"/>
      <c r="K80" s="9"/>
      <c r="L80" s="9"/>
      <c r="M80" s="9" t="s">
        <v>2742</v>
      </c>
      <c r="N80" s="9"/>
      <c r="O80" s="9" t="s">
        <v>2743</v>
      </c>
      <c r="P80" s="9" t="str">
        <f>HYPERLINK("https://ceds.ed.gov/cedselementdetails.aspx?termid=13834")</f>
        <v>https://ceds.ed.gov/cedselementdetails.aspx?termid=13834</v>
      </c>
      <c r="Q80" s="9" t="str">
        <f>HYPERLINK("https://ceds.ed.gov/elementComment.aspx?elementName=Facility Profit Status &amp;elementID=13834", "Click here to submit comment")</f>
        <v>Click here to submit comment</v>
      </c>
    </row>
    <row r="81" spans="1:17" ht="60" x14ac:dyDescent="0.25">
      <c r="A81" s="9" t="s">
        <v>6739</v>
      </c>
      <c r="B81" s="9" t="s">
        <v>6779</v>
      </c>
      <c r="C81" s="9" t="s">
        <v>6785</v>
      </c>
      <c r="D81" s="9" t="s">
        <v>6742</v>
      </c>
      <c r="E81" s="9" t="s">
        <v>2735</v>
      </c>
      <c r="F81" s="9" t="s">
        <v>2736</v>
      </c>
      <c r="G81" s="10" t="s">
        <v>6499</v>
      </c>
      <c r="H81" s="9" t="s">
        <v>6193</v>
      </c>
      <c r="I81" s="9"/>
      <c r="J81" s="9"/>
      <c r="K81" s="9"/>
      <c r="L81" s="9"/>
      <c r="M81" s="9" t="s">
        <v>2737</v>
      </c>
      <c r="N81" s="9"/>
      <c r="O81" s="9" t="s">
        <v>2738</v>
      </c>
      <c r="P81" s="9" t="str">
        <f>HYPERLINK("https://ceds.ed.gov/cedselementdetails.aspx?termid=13985")</f>
        <v>https://ceds.ed.gov/cedselementdetails.aspx?termid=13985</v>
      </c>
      <c r="Q81" s="9" t="str">
        <f>HYPERLINK("https://ceds.ed.gov/elementComment.aspx?elementName=Facility Licensing Status &amp;elementID=13985", "Click here to submit comment")</f>
        <v>Click here to submit comment</v>
      </c>
    </row>
    <row r="82" spans="1:17" ht="45" x14ac:dyDescent="0.25">
      <c r="A82" s="9" t="s">
        <v>6739</v>
      </c>
      <c r="B82" s="9" t="s">
        <v>6779</v>
      </c>
      <c r="C82" s="9" t="s">
        <v>6785</v>
      </c>
      <c r="D82" s="9" t="s">
        <v>6742</v>
      </c>
      <c r="E82" s="9" t="s">
        <v>5683</v>
      </c>
      <c r="F82" s="9" t="s">
        <v>5684</v>
      </c>
      <c r="G82" s="9" t="s">
        <v>12</v>
      </c>
      <c r="H82" s="9" t="s">
        <v>64</v>
      </c>
      <c r="I82" s="9"/>
      <c r="J82" s="9" t="s">
        <v>10489</v>
      </c>
      <c r="K82" s="9"/>
      <c r="L82" s="9"/>
      <c r="M82" s="9" t="s">
        <v>5685</v>
      </c>
      <c r="N82" s="9"/>
      <c r="O82" s="9" t="s">
        <v>5686</v>
      </c>
      <c r="P82" s="9" t="str">
        <f>HYPERLINK("https://ceds.ed.gov/cedselementdetails.aspx?termid=13865")</f>
        <v>https://ceds.ed.gov/cedselementdetails.aspx?termid=13865</v>
      </c>
      <c r="Q82" s="9" t="str">
        <f>HYPERLINK("https://ceds.ed.gov/elementComment.aspx?elementName=State Licensed Facility Capacity &amp;elementID=13865", "Click here to submit comment")</f>
        <v>Click here to submit comment</v>
      </c>
    </row>
    <row r="83" spans="1:17" ht="90" x14ac:dyDescent="0.25">
      <c r="A83" s="9" t="s">
        <v>6739</v>
      </c>
      <c r="B83" s="9" t="s">
        <v>6779</v>
      </c>
      <c r="C83" s="9" t="s">
        <v>6785</v>
      </c>
      <c r="D83" s="9" t="s">
        <v>6742</v>
      </c>
      <c r="E83" s="9" t="s">
        <v>2533</v>
      </c>
      <c r="F83" s="9" t="s">
        <v>2534</v>
      </c>
      <c r="G83" s="10" t="s">
        <v>6477</v>
      </c>
      <c r="H83" s="9" t="s">
        <v>64</v>
      </c>
      <c r="I83" s="9"/>
      <c r="J83" s="9"/>
      <c r="K83" s="9"/>
      <c r="L83" s="9"/>
      <c r="M83" s="9" t="s">
        <v>2535</v>
      </c>
      <c r="N83" s="9"/>
      <c r="O83" s="9" t="s">
        <v>2536</v>
      </c>
      <c r="P83" s="9" t="str">
        <f>HYPERLINK("https://ceds.ed.gov/cedselementdetails.aspx?termid=13828")</f>
        <v>https://ceds.ed.gov/cedselementdetails.aspx?termid=13828</v>
      </c>
      <c r="Q83" s="9" t="str">
        <f>HYPERLINK("https://ceds.ed.gov/elementComment.aspx?elementName=Early Learning Program Licensing Status &amp;elementID=13828", "Click here to submit comment")</f>
        <v>Click here to submit comment</v>
      </c>
    </row>
    <row r="84" spans="1:17" ht="45" x14ac:dyDescent="0.25">
      <c r="A84" s="9" t="s">
        <v>6739</v>
      </c>
      <c r="B84" s="9" t="s">
        <v>6779</v>
      </c>
      <c r="C84" s="9" t="s">
        <v>6785</v>
      </c>
      <c r="D84" s="9" t="s">
        <v>6742</v>
      </c>
      <c r="E84" s="9" t="s">
        <v>3424</v>
      </c>
      <c r="F84" s="9" t="s">
        <v>3425</v>
      </c>
      <c r="G84" s="9" t="s">
        <v>12</v>
      </c>
      <c r="H84" s="9" t="s">
        <v>6172</v>
      </c>
      <c r="I84" s="9"/>
      <c r="J84" s="9" t="s">
        <v>73</v>
      </c>
      <c r="K84" s="9"/>
      <c r="L84" s="9"/>
      <c r="M84" s="9" t="s">
        <v>3426</v>
      </c>
      <c r="N84" s="9"/>
      <c r="O84" s="9" t="s">
        <v>3427</v>
      </c>
      <c r="P84" s="9" t="str">
        <f>HYPERLINK("https://ceds.ed.gov/cedselementdetails.aspx?termid=13347")</f>
        <v>https://ceds.ed.gov/cedselementdetails.aspx?termid=13347</v>
      </c>
      <c r="Q84" s="9" t="str">
        <f>HYPERLINK("https://ceds.ed.gov/elementComment.aspx?elementName=Initial License Date &amp;elementID=13347", "Click here to submit comment")</f>
        <v>Click here to submit comment</v>
      </c>
    </row>
    <row r="85" spans="1:17" ht="45" x14ac:dyDescent="0.25">
      <c r="A85" s="9" t="s">
        <v>6739</v>
      </c>
      <c r="B85" s="9" t="s">
        <v>6779</v>
      </c>
      <c r="C85" s="9" t="s">
        <v>6785</v>
      </c>
      <c r="D85" s="9" t="s">
        <v>6742</v>
      </c>
      <c r="E85" s="9" t="s">
        <v>1849</v>
      </c>
      <c r="F85" s="9" t="s">
        <v>1850</v>
      </c>
      <c r="G85" s="9" t="s">
        <v>12</v>
      </c>
      <c r="H85" s="9" t="s">
        <v>6172</v>
      </c>
      <c r="I85" s="9"/>
      <c r="J85" s="9" t="s">
        <v>73</v>
      </c>
      <c r="K85" s="9"/>
      <c r="L85" s="9"/>
      <c r="M85" s="9" t="s">
        <v>1852</v>
      </c>
      <c r="N85" s="9"/>
      <c r="O85" s="9" t="s">
        <v>1853</v>
      </c>
      <c r="P85" s="9" t="str">
        <f>HYPERLINK("https://ceds.ed.gov/cedselementdetails.aspx?termid=13348")</f>
        <v>https://ceds.ed.gov/cedselementdetails.aspx?termid=13348</v>
      </c>
      <c r="Q85" s="9" t="str">
        <f>HYPERLINK("https://ceds.ed.gov/elementComment.aspx?elementName=Continuing License Date &amp;elementID=13348", "Click here to submit comment")</f>
        <v>Click here to submit comment</v>
      </c>
    </row>
    <row r="86" spans="1:17" ht="60" x14ac:dyDescent="0.25">
      <c r="A86" s="9" t="s">
        <v>6739</v>
      </c>
      <c r="B86" s="9" t="s">
        <v>6779</v>
      </c>
      <c r="C86" s="9" t="s">
        <v>6785</v>
      </c>
      <c r="D86" s="9" t="s">
        <v>6742</v>
      </c>
      <c r="E86" s="9" t="s">
        <v>4064</v>
      </c>
      <c r="F86" s="9" t="s">
        <v>4065</v>
      </c>
      <c r="G86" s="10" t="s">
        <v>6340</v>
      </c>
      <c r="H86" s="9" t="s">
        <v>6172</v>
      </c>
      <c r="I86" s="9"/>
      <c r="J86" s="9"/>
      <c r="K86" s="9"/>
      <c r="L86" s="9"/>
      <c r="M86" s="9" t="s">
        <v>4066</v>
      </c>
      <c r="N86" s="9"/>
      <c r="O86" s="9" t="s">
        <v>4067</v>
      </c>
      <c r="P86" s="9" t="str">
        <f>HYPERLINK("https://ceds.ed.gov/cedselementdetails.aspx?termid=13349")</f>
        <v>https://ceds.ed.gov/cedselementdetails.aspx?termid=13349</v>
      </c>
      <c r="Q86" s="9" t="str">
        <f>HYPERLINK("https://ceds.ed.gov/elementComment.aspx?elementName=License Exempt &amp;elementID=13349", "Click here to submit comment")</f>
        <v>Click here to submit comment</v>
      </c>
    </row>
    <row r="87" spans="1:17" ht="45" x14ac:dyDescent="0.25">
      <c r="A87" s="9" t="s">
        <v>6739</v>
      </c>
      <c r="B87" s="9" t="s">
        <v>6779</v>
      </c>
      <c r="C87" s="9" t="s">
        <v>6785</v>
      </c>
      <c r="D87" s="9" t="s">
        <v>6742</v>
      </c>
      <c r="E87" s="9" t="s">
        <v>4386</v>
      </c>
      <c r="F87" s="9" t="s">
        <v>4387</v>
      </c>
      <c r="G87" s="9" t="s">
        <v>12</v>
      </c>
      <c r="H87" s="9" t="s">
        <v>64</v>
      </c>
      <c r="I87" s="9"/>
      <c r="J87" s="9" t="s">
        <v>10489</v>
      </c>
      <c r="K87" s="9"/>
      <c r="L87" s="9"/>
      <c r="M87" s="9" t="s">
        <v>4388</v>
      </c>
      <c r="N87" s="9"/>
      <c r="O87" s="9" t="s">
        <v>4389</v>
      </c>
      <c r="P87" s="9" t="str">
        <f>HYPERLINK("https://ceds.ed.gov/cedselementdetails.aspx?termid=13835")</f>
        <v>https://ceds.ed.gov/cedselementdetails.aspx?termid=13835</v>
      </c>
      <c r="Q87" s="9" t="str">
        <f>HYPERLINK("https://ceds.ed.gov/elementComment.aspx?elementName=Number of Early Learning Fatalities &amp;elementID=13835", "Click here to submit comment")</f>
        <v>Click here to submit comment</v>
      </c>
    </row>
    <row r="88" spans="1:17" ht="45" x14ac:dyDescent="0.25">
      <c r="A88" s="9" t="s">
        <v>6739</v>
      </c>
      <c r="B88" s="9" t="s">
        <v>6779</v>
      </c>
      <c r="C88" s="9" t="s">
        <v>6785</v>
      </c>
      <c r="D88" s="9" t="s">
        <v>6742</v>
      </c>
      <c r="E88" s="9" t="s">
        <v>4390</v>
      </c>
      <c r="F88" s="9" t="s">
        <v>4391</v>
      </c>
      <c r="G88" s="9" t="s">
        <v>12</v>
      </c>
      <c r="H88" s="9" t="s">
        <v>64</v>
      </c>
      <c r="I88" s="9"/>
      <c r="J88" s="9" t="s">
        <v>10489</v>
      </c>
      <c r="K88" s="9"/>
      <c r="L88" s="9"/>
      <c r="M88" s="9" t="s">
        <v>4392</v>
      </c>
      <c r="N88" s="9"/>
      <c r="O88" s="9" t="s">
        <v>4393</v>
      </c>
      <c r="P88" s="9" t="str">
        <f>HYPERLINK("https://ceds.ed.gov/cedselementdetails.aspx?termid=13836")</f>
        <v>https://ceds.ed.gov/cedselementdetails.aspx?termid=13836</v>
      </c>
      <c r="Q88" s="9" t="str">
        <f>HYPERLINK("https://ceds.ed.gov/elementComment.aspx?elementName=Number of Early Learning Injuries &amp;elementID=13836", "Click here to submit comment")</f>
        <v>Click here to submit comment</v>
      </c>
    </row>
    <row r="89" spans="1:17" ht="45" x14ac:dyDescent="0.25">
      <c r="A89" s="9" t="s">
        <v>6739</v>
      </c>
      <c r="B89" s="9" t="s">
        <v>6779</v>
      </c>
      <c r="C89" s="9" t="s">
        <v>6785</v>
      </c>
      <c r="D89" s="9" t="s">
        <v>6742</v>
      </c>
      <c r="E89" s="9" t="s">
        <v>2529</v>
      </c>
      <c r="F89" s="9" t="s">
        <v>2530</v>
      </c>
      <c r="G89" s="9" t="s">
        <v>6106</v>
      </c>
      <c r="H89" s="9" t="s">
        <v>64</v>
      </c>
      <c r="I89" s="9"/>
      <c r="J89" s="9"/>
      <c r="K89" s="9"/>
      <c r="L89" s="9"/>
      <c r="M89" s="9" t="s">
        <v>2531</v>
      </c>
      <c r="N89" s="9"/>
      <c r="O89" s="9" t="s">
        <v>2532</v>
      </c>
      <c r="P89" s="9" t="str">
        <f>HYPERLINK("https://ceds.ed.gov/cedselementdetails.aspx?termid=13837")</f>
        <v>https://ceds.ed.gov/cedselementdetails.aspx?termid=13837</v>
      </c>
      <c r="Q89" s="9" t="str">
        <f>HYPERLINK("https://ceds.ed.gov/elementComment.aspx?elementName=Early Learning Program License Suspension Status &amp;elementID=13837", "Click here to submit comment")</f>
        <v>Click here to submit comment</v>
      </c>
    </row>
    <row r="90" spans="1:17" ht="45" x14ac:dyDescent="0.25">
      <c r="A90" s="9" t="s">
        <v>6739</v>
      </c>
      <c r="B90" s="9" t="s">
        <v>6779</v>
      </c>
      <c r="C90" s="9" t="s">
        <v>6785</v>
      </c>
      <c r="D90" s="9" t="s">
        <v>6742</v>
      </c>
      <c r="E90" s="9" t="s">
        <v>2525</v>
      </c>
      <c r="F90" s="9" t="s">
        <v>2526</v>
      </c>
      <c r="G90" s="9" t="s">
        <v>6106</v>
      </c>
      <c r="H90" s="9" t="s">
        <v>64</v>
      </c>
      <c r="I90" s="9"/>
      <c r="J90" s="9"/>
      <c r="K90" s="9"/>
      <c r="L90" s="9"/>
      <c r="M90" s="9" t="s">
        <v>2527</v>
      </c>
      <c r="N90" s="9"/>
      <c r="O90" s="9" t="s">
        <v>2528</v>
      </c>
      <c r="P90" s="9" t="str">
        <f>HYPERLINK("https://ceds.ed.gov/cedselementdetails.aspx?termid=13838")</f>
        <v>https://ceds.ed.gov/cedselementdetails.aspx?termid=13838</v>
      </c>
      <c r="Q90" s="9" t="str">
        <f>HYPERLINK("https://ceds.ed.gov/elementComment.aspx?elementName=Early Learning Program License Revocation Status &amp;elementID=13838", "Click here to submit comment")</f>
        <v>Click here to submit comment</v>
      </c>
    </row>
    <row r="91" spans="1:17" ht="105" x14ac:dyDescent="0.25">
      <c r="A91" s="9" t="s">
        <v>6739</v>
      </c>
      <c r="B91" s="9" t="s">
        <v>6779</v>
      </c>
      <c r="C91" s="9" t="s">
        <v>6787</v>
      </c>
      <c r="D91" s="9" t="s">
        <v>6742</v>
      </c>
      <c r="E91" s="9" t="s">
        <v>5061</v>
      </c>
      <c r="F91" s="9" t="s">
        <v>5062</v>
      </c>
      <c r="G91" s="10" t="s">
        <v>6673</v>
      </c>
      <c r="H91" s="9" t="s">
        <v>5066</v>
      </c>
      <c r="I91" s="9"/>
      <c r="J91" s="9"/>
      <c r="K91" s="9"/>
      <c r="L91" s="9"/>
      <c r="M91" s="9" t="s">
        <v>5063</v>
      </c>
      <c r="N91" s="9" t="s">
        <v>5064</v>
      </c>
      <c r="O91" s="9" t="s">
        <v>5065</v>
      </c>
      <c r="P91" s="9" t="str">
        <f>HYPERLINK("https://ceds.ed.gov/cedselementdetails.aspx?termid=13356")</f>
        <v>https://ceds.ed.gov/cedselementdetails.aspx?termid=13356</v>
      </c>
      <c r="Q91" s="9" t="str">
        <f>HYPERLINK("https://ceds.ed.gov/elementComment.aspx?elementName=Quality Rating and Improvement System Participation &amp;elementID=13356", "Click here to submit comment")</f>
        <v>Click here to submit comment</v>
      </c>
    </row>
    <row r="92" spans="1:17" ht="45" x14ac:dyDescent="0.25">
      <c r="A92" s="9" t="s">
        <v>6739</v>
      </c>
      <c r="B92" s="9" t="s">
        <v>6779</v>
      </c>
      <c r="C92" s="9" t="s">
        <v>6787</v>
      </c>
      <c r="D92" s="9" t="s">
        <v>6742</v>
      </c>
      <c r="E92" s="9" t="s">
        <v>5067</v>
      </c>
      <c r="F92" s="9" t="s">
        <v>5068</v>
      </c>
      <c r="G92" s="9" t="s">
        <v>12</v>
      </c>
      <c r="H92" s="9" t="s">
        <v>5066</v>
      </c>
      <c r="I92" s="9"/>
      <c r="J92" s="9" t="s">
        <v>1347</v>
      </c>
      <c r="K92" s="9"/>
      <c r="L92" s="9"/>
      <c r="M92" s="9" t="s">
        <v>5069</v>
      </c>
      <c r="N92" s="9" t="s">
        <v>5070</v>
      </c>
      <c r="O92" s="9" t="s">
        <v>5071</v>
      </c>
      <c r="P92" s="9" t="str">
        <f>HYPERLINK("https://ceds.ed.gov/cedselementdetails.aspx?termid=13357")</f>
        <v>https://ceds.ed.gov/cedselementdetails.aspx?termid=13357</v>
      </c>
      <c r="Q92" s="9" t="str">
        <f>HYPERLINK("https://ceds.ed.gov/elementComment.aspx?elementName=Quality Rating and Improvement System Score &amp;elementID=13357", "Click here to submit comment")</f>
        <v>Click here to submit comment</v>
      </c>
    </row>
    <row r="93" spans="1:17" ht="45" x14ac:dyDescent="0.25">
      <c r="A93" s="9" t="s">
        <v>6739</v>
      </c>
      <c r="B93" s="9" t="s">
        <v>6779</v>
      </c>
      <c r="C93" s="9" t="s">
        <v>6787</v>
      </c>
      <c r="D93" s="9" t="s">
        <v>6742</v>
      </c>
      <c r="E93" s="9" t="s">
        <v>5051</v>
      </c>
      <c r="F93" s="9" t="s">
        <v>5052</v>
      </c>
      <c r="G93" s="9" t="s">
        <v>12</v>
      </c>
      <c r="H93" s="9" t="s">
        <v>64</v>
      </c>
      <c r="I93" s="9"/>
      <c r="J93" s="9" t="s">
        <v>73</v>
      </c>
      <c r="K93" s="9"/>
      <c r="L93" s="9"/>
      <c r="M93" s="9" t="s">
        <v>5053</v>
      </c>
      <c r="N93" s="9" t="s">
        <v>5054</v>
      </c>
      <c r="O93" s="9" t="s">
        <v>5055</v>
      </c>
      <c r="P93" s="9" t="str">
        <f>HYPERLINK("https://ceds.ed.gov/cedselementdetails.aspx?termid=13830")</f>
        <v>https://ceds.ed.gov/cedselementdetails.aspx?termid=13830</v>
      </c>
      <c r="Q93" s="9" t="str">
        <f>HYPERLINK("https://ceds.ed.gov/elementComment.aspx?elementName=Quality Rating and Improvement System Award Date &amp;elementID=13830", "Click here to submit comment")</f>
        <v>Click here to submit comment</v>
      </c>
    </row>
    <row r="94" spans="1:17" ht="45" x14ac:dyDescent="0.25">
      <c r="A94" s="9" t="s">
        <v>6739</v>
      </c>
      <c r="B94" s="9" t="s">
        <v>6779</v>
      </c>
      <c r="C94" s="9" t="s">
        <v>6787</v>
      </c>
      <c r="D94" s="9" t="s">
        <v>6742</v>
      </c>
      <c r="E94" s="9" t="s">
        <v>5056</v>
      </c>
      <c r="F94" s="9" t="s">
        <v>5057</v>
      </c>
      <c r="G94" s="9" t="s">
        <v>12</v>
      </c>
      <c r="H94" s="9" t="s">
        <v>64</v>
      </c>
      <c r="I94" s="9"/>
      <c r="J94" s="9" t="s">
        <v>73</v>
      </c>
      <c r="K94" s="9"/>
      <c r="L94" s="9"/>
      <c r="M94" s="9" t="s">
        <v>5058</v>
      </c>
      <c r="N94" s="9" t="s">
        <v>5059</v>
      </c>
      <c r="O94" s="9" t="s">
        <v>5060</v>
      </c>
      <c r="P94" s="9" t="str">
        <f>HYPERLINK("https://ceds.ed.gov/cedselementdetails.aspx?termid=13831")</f>
        <v>https://ceds.ed.gov/cedselementdetails.aspx?termid=13831</v>
      </c>
      <c r="Q94" s="9" t="str">
        <f>HYPERLINK("https://ceds.ed.gov/elementComment.aspx?elementName=Quality Rating and Improvement System Expiration Date &amp;elementID=13831", "Click here to submit comment")</f>
        <v>Click here to submit comment</v>
      </c>
    </row>
    <row r="95" spans="1:17" ht="45" x14ac:dyDescent="0.25">
      <c r="A95" s="9" t="s">
        <v>6739</v>
      </c>
      <c r="B95" s="9" t="s">
        <v>6779</v>
      </c>
      <c r="C95" s="9" t="s">
        <v>6787</v>
      </c>
      <c r="D95" s="9" t="s">
        <v>6742</v>
      </c>
      <c r="E95" s="9" t="s">
        <v>4410</v>
      </c>
      <c r="F95" s="9" t="s">
        <v>4411</v>
      </c>
      <c r="G95" s="9" t="s">
        <v>12</v>
      </c>
      <c r="H95" s="9" t="s">
        <v>64</v>
      </c>
      <c r="I95" s="9"/>
      <c r="J95" s="9" t="s">
        <v>10489</v>
      </c>
      <c r="K95" s="9"/>
      <c r="L95" s="9"/>
      <c r="M95" s="9" t="s">
        <v>4413</v>
      </c>
      <c r="N95" s="9" t="s">
        <v>4414</v>
      </c>
      <c r="O95" s="9" t="s">
        <v>4415</v>
      </c>
      <c r="P95" s="9" t="str">
        <f>HYPERLINK("https://ceds.ed.gov/cedselementdetails.aspx?termid=13843")</f>
        <v>https://ceds.ed.gov/cedselementdetails.aspx?termid=13843</v>
      </c>
      <c r="Q95" s="9" t="str">
        <f>HYPERLINK("https://ceds.ed.gov/elementComment.aspx?elementName=Number of Quality Rating and Improvement System Levels &amp;elementID=13843", "Click here to submit comment")</f>
        <v>Click here to submit comment</v>
      </c>
    </row>
    <row r="96" spans="1:17" ht="45" x14ac:dyDescent="0.25">
      <c r="A96" s="9" t="s">
        <v>6739</v>
      </c>
      <c r="B96" s="9" t="s">
        <v>6779</v>
      </c>
      <c r="C96" s="9" t="s">
        <v>6789</v>
      </c>
      <c r="D96" s="9" t="s">
        <v>6742</v>
      </c>
      <c r="E96" s="9" t="s">
        <v>4394</v>
      </c>
      <c r="F96" s="9" t="s">
        <v>4395</v>
      </c>
      <c r="G96" s="9" t="s">
        <v>12</v>
      </c>
      <c r="H96" s="9" t="s">
        <v>64</v>
      </c>
      <c r="I96" s="9"/>
      <c r="J96" s="9" t="s">
        <v>10489</v>
      </c>
      <c r="K96" s="9"/>
      <c r="L96" s="9"/>
      <c r="M96" s="9" t="s">
        <v>4396</v>
      </c>
      <c r="N96" s="9"/>
      <c r="O96" s="9" t="s">
        <v>4397</v>
      </c>
      <c r="P96" s="9" t="str">
        <f>HYPERLINK("https://ceds.ed.gov/cedselementdetails.aspx?termid=13839")</f>
        <v>https://ceds.ed.gov/cedselementdetails.aspx?termid=13839</v>
      </c>
      <c r="Q96" s="9" t="str">
        <f>HYPERLINK("https://ceds.ed.gov/elementComment.aspx?elementName=Number of Early Learning Program Monitoring Visits &amp;elementID=13839", "Click here to submit comment")</f>
        <v>Click here to submit comment</v>
      </c>
    </row>
    <row r="97" spans="1:17" ht="45" x14ac:dyDescent="0.25">
      <c r="A97" s="9" t="s">
        <v>6739</v>
      </c>
      <c r="B97" s="9" t="s">
        <v>6779</v>
      </c>
      <c r="C97" s="9" t="s">
        <v>6789</v>
      </c>
      <c r="D97" s="9" t="s">
        <v>6742</v>
      </c>
      <c r="E97" s="9" t="s">
        <v>4280</v>
      </c>
      <c r="F97" s="9" t="s">
        <v>4281</v>
      </c>
      <c r="G97" s="9" t="s">
        <v>12</v>
      </c>
      <c r="H97" s="9"/>
      <c r="I97" s="9"/>
      <c r="J97" s="9" t="s">
        <v>73</v>
      </c>
      <c r="K97" s="9"/>
      <c r="L97" s="9"/>
      <c r="M97" s="9" t="s">
        <v>4282</v>
      </c>
      <c r="N97" s="9"/>
      <c r="O97" s="9" t="s">
        <v>4283</v>
      </c>
      <c r="P97" s="9" t="str">
        <f>HYPERLINK("https://ceds.ed.gov/cedselementdetails.aspx?termid=14297")</f>
        <v>https://ceds.ed.gov/cedselementdetails.aspx?termid=14297</v>
      </c>
      <c r="Q97" s="9" t="str">
        <f>HYPERLINK("https://ceds.ed.gov/elementComment.aspx?elementName=Monitoring Visit Start Date &amp;elementID=14297", "Click here to submit comment")</f>
        <v>Click here to submit comment</v>
      </c>
    </row>
    <row r="98" spans="1:17" ht="45" x14ac:dyDescent="0.25">
      <c r="A98" s="9" t="s">
        <v>6739</v>
      </c>
      <c r="B98" s="9" t="s">
        <v>6779</v>
      </c>
      <c r="C98" s="9" t="s">
        <v>6789</v>
      </c>
      <c r="D98" s="9" t="s">
        <v>6742</v>
      </c>
      <c r="E98" s="9" t="s">
        <v>4275</v>
      </c>
      <c r="F98" s="9" t="s">
        <v>4276</v>
      </c>
      <c r="G98" s="9" t="s">
        <v>12</v>
      </c>
      <c r="H98" s="9"/>
      <c r="I98" s="9"/>
      <c r="J98" s="9" t="s">
        <v>73</v>
      </c>
      <c r="K98" s="9"/>
      <c r="L98" s="9"/>
      <c r="M98" s="9" t="s">
        <v>4278</v>
      </c>
      <c r="N98" s="9"/>
      <c r="O98" s="9" t="s">
        <v>4279</v>
      </c>
      <c r="P98" s="9" t="str">
        <f>HYPERLINK("https://ceds.ed.gov/cedselementdetails.aspx?termid=14298")</f>
        <v>https://ceds.ed.gov/cedselementdetails.aspx?termid=14298</v>
      </c>
      <c r="Q98" s="9" t="str">
        <f>HYPERLINK("https://ceds.ed.gov/elementComment.aspx?elementName=Monitoring Visit End Date &amp;elementID=14298", "Click here to submit comment")</f>
        <v>Click here to submit comment</v>
      </c>
    </row>
    <row r="99" spans="1:17" ht="45" x14ac:dyDescent="0.25">
      <c r="A99" s="9" t="s">
        <v>6739</v>
      </c>
      <c r="B99" s="9" t="s">
        <v>6779</v>
      </c>
      <c r="C99" s="9" t="s">
        <v>6789</v>
      </c>
      <c r="D99" s="9" t="s">
        <v>6742</v>
      </c>
      <c r="E99" s="9" t="s">
        <v>4452</v>
      </c>
      <c r="F99" s="9" t="s">
        <v>4453</v>
      </c>
      <c r="G99" s="10" t="s">
        <v>6628</v>
      </c>
      <c r="H99" s="9"/>
      <c r="I99" s="9"/>
      <c r="J99" s="9"/>
      <c r="K99" s="9"/>
      <c r="L99" s="9"/>
      <c r="M99" s="9" t="s">
        <v>4454</v>
      </c>
      <c r="N99" s="9"/>
      <c r="O99" s="9" t="s">
        <v>4455</v>
      </c>
      <c r="P99" s="9" t="str">
        <f>HYPERLINK("https://ceds.ed.gov/cedselementdetails.aspx?termid=14296")</f>
        <v>https://ceds.ed.gov/cedselementdetails.aspx?termid=14296</v>
      </c>
      <c r="Q99" s="9" t="str">
        <f>HYPERLINK("https://ceds.ed.gov/elementComment.aspx?elementName=Organization Monitoring Notifications &amp;elementID=14296", "Click here to submit comment")</f>
        <v>Click here to submit comment</v>
      </c>
    </row>
    <row r="100" spans="1:17" ht="45" x14ac:dyDescent="0.25">
      <c r="A100" s="9" t="s">
        <v>6739</v>
      </c>
      <c r="B100" s="9" t="s">
        <v>6779</v>
      </c>
      <c r="C100" s="9" t="s">
        <v>6789</v>
      </c>
      <c r="D100" s="9" t="s">
        <v>6742</v>
      </c>
      <c r="E100" s="9" t="s">
        <v>4473</v>
      </c>
      <c r="F100" s="9" t="s">
        <v>4474</v>
      </c>
      <c r="G100" s="9" t="s">
        <v>12</v>
      </c>
      <c r="H100" s="9"/>
      <c r="I100" s="9"/>
      <c r="J100" s="9" t="s">
        <v>68</v>
      </c>
      <c r="K100" s="9"/>
      <c r="L100" s="9"/>
      <c r="M100" s="9" t="s">
        <v>4475</v>
      </c>
      <c r="N100" s="9"/>
      <c r="O100" s="9" t="s">
        <v>4476</v>
      </c>
      <c r="P100" s="9" t="str">
        <f>HYPERLINK("https://ceds.ed.gov/cedselementdetails.aspx?termid=14300")</f>
        <v>https://ceds.ed.gov/cedselementdetails.aspx?termid=14300</v>
      </c>
      <c r="Q100" s="9" t="str">
        <f>HYPERLINK("https://ceds.ed.gov/elementComment.aspx?elementName=Organization Type of Monitoring &amp;elementID=14300", "Click here to submit comment")</f>
        <v>Click here to submit comment</v>
      </c>
    </row>
    <row r="101" spans="1:17" ht="90" x14ac:dyDescent="0.25">
      <c r="A101" s="9" t="s">
        <v>6739</v>
      </c>
      <c r="B101" s="9" t="s">
        <v>6779</v>
      </c>
      <c r="C101" s="9" t="s">
        <v>6789</v>
      </c>
      <c r="D101" s="9" t="s">
        <v>6742</v>
      </c>
      <c r="E101" s="9" t="s">
        <v>5010</v>
      </c>
      <c r="F101" s="9" t="s">
        <v>5011</v>
      </c>
      <c r="G101" s="10" t="s">
        <v>6671</v>
      </c>
      <c r="H101" s="9"/>
      <c r="I101" s="9"/>
      <c r="J101" s="9"/>
      <c r="K101" s="9"/>
      <c r="L101" s="9"/>
      <c r="M101" s="9" t="s">
        <v>5012</v>
      </c>
      <c r="N101" s="9"/>
      <c r="O101" s="9" t="s">
        <v>5013</v>
      </c>
      <c r="P101" s="9" t="str">
        <f>HYPERLINK("https://ceds.ed.gov/cedselementdetails.aspx?termid=14299")</f>
        <v>https://ceds.ed.gov/cedselementdetails.aspx?termid=14299</v>
      </c>
      <c r="Q101" s="9" t="str">
        <f>HYPERLINK("https://ceds.ed.gov/elementComment.aspx?elementName=Purpose of Monitoring Visit &amp;elementID=14299", "Click here to submit comment")</f>
        <v>Click here to submit comment</v>
      </c>
    </row>
    <row r="102" spans="1:17" ht="210" x14ac:dyDescent="0.25">
      <c r="A102" s="9" t="s">
        <v>6739</v>
      </c>
      <c r="B102" s="9" t="s">
        <v>6779</v>
      </c>
      <c r="C102" s="9" t="s">
        <v>6790</v>
      </c>
      <c r="D102" s="9" t="s">
        <v>6742</v>
      </c>
      <c r="E102" s="9" t="s">
        <v>58</v>
      </c>
      <c r="F102" s="9" t="s">
        <v>59</v>
      </c>
      <c r="G102" s="10" t="s">
        <v>6316</v>
      </c>
      <c r="H102" s="9" t="s">
        <v>64</v>
      </c>
      <c r="I102" s="9"/>
      <c r="J102" s="9"/>
      <c r="K102" s="9"/>
      <c r="L102" s="9" t="s">
        <v>61</v>
      </c>
      <c r="M102" s="9" t="s">
        <v>62</v>
      </c>
      <c r="N102" s="9"/>
      <c r="O102" s="9" t="s">
        <v>63</v>
      </c>
      <c r="P102" s="9" t="str">
        <f>HYPERLINK("https://ceds.ed.gov/cedselementdetails.aspx?termid=13983")</f>
        <v>https://ceds.ed.gov/cedselementdetails.aspx?termid=13983</v>
      </c>
      <c r="Q102" s="9" t="str">
        <f>HYPERLINK("https://ceds.ed.gov/elementComment.aspx?elementName=Accreditation Agency &amp;elementID=13983", "Click here to submit comment")</f>
        <v>Click here to submit comment</v>
      </c>
    </row>
    <row r="103" spans="1:17" ht="45" x14ac:dyDescent="0.25">
      <c r="A103" s="9" t="s">
        <v>6739</v>
      </c>
      <c r="B103" s="9" t="s">
        <v>6779</v>
      </c>
      <c r="C103" s="9" t="s">
        <v>6790</v>
      </c>
      <c r="D103" s="9" t="s">
        <v>6742</v>
      </c>
      <c r="E103" s="9" t="s">
        <v>71</v>
      </c>
      <c r="F103" s="9" t="s">
        <v>72</v>
      </c>
      <c r="G103" s="9" t="s">
        <v>12</v>
      </c>
      <c r="H103" s="9" t="s">
        <v>64</v>
      </c>
      <c r="I103" s="9"/>
      <c r="J103" s="9" t="s">
        <v>73</v>
      </c>
      <c r="K103" s="9"/>
      <c r="L103" s="9"/>
      <c r="M103" s="9" t="s">
        <v>74</v>
      </c>
      <c r="N103" s="9"/>
      <c r="O103" s="9" t="s">
        <v>75</v>
      </c>
      <c r="P103" s="9" t="str">
        <f>HYPERLINK("https://ceds.ed.gov/cedselementdetails.aspx?termid=13840")</f>
        <v>https://ceds.ed.gov/cedselementdetails.aspx?termid=13840</v>
      </c>
      <c r="Q103" s="9" t="str">
        <f>HYPERLINK("https://ceds.ed.gov/elementComment.aspx?elementName=Accreditation Award Date &amp;elementID=13840", "Click here to submit comment")</f>
        <v>Click here to submit comment</v>
      </c>
    </row>
    <row r="104" spans="1:17" ht="45" x14ac:dyDescent="0.25">
      <c r="A104" s="9" t="s">
        <v>6739</v>
      </c>
      <c r="B104" s="9" t="s">
        <v>6779</v>
      </c>
      <c r="C104" s="9" t="s">
        <v>6790</v>
      </c>
      <c r="D104" s="9" t="s">
        <v>6742</v>
      </c>
      <c r="E104" s="9" t="s">
        <v>76</v>
      </c>
      <c r="F104" s="9" t="s">
        <v>77</v>
      </c>
      <c r="G104" s="9" t="s">
        <v>12</v>
      </c>
      <c r="H104" s="9" t="s">
        <v>64</v>
      </c>
      <c r="I104" s="9"/>
      <c r="J104" s="9" t="s">
        <v>73</v>
      </c>
      <c r="K104" s="9"/>
      <c r="L104" s="9"/>
      <c r="M104" s="9" t="s">
        <v>78</v>
      </c>
      <c r="N104" s="9"/>
      <c r="O104" s="9" t="s">
        <v>79</v>
      </c>
      <c r="P104" s="9" t="str">
        <f>HYPERLINK("https://ceds.ed.gov/cedselementdetails.aspx?termid=13841")</f>
        <v>https://ceds.ed.gov/cedselementdetails.aspx?termid=13841</v>
      </c>
      <c r="Q104" s="9" t="str">
        <f>HYPERLINK("https://ceds.ed.gov/elementComment.aspx?elementName=Accreditation Expiration Date &amp;elementID=13841", "Click here to submit comment")</f>
        <v>Click here to submit comment</v>
      </c>
    </row>
    <row r="105" spans="1:17" ht="45" x14ac:dyDescent="0.25">
      <c r="A105" s="9" t="s">
        <v>6739</v>
      </c>
      <c r="B105" s="9" t="s">
        <v>6779</v>
      </c>
      <c r="C105" s="9" t="s">
        <v>6790</v>
      </c>
      <c r="D105" s="9" t="s">
        <v>6742</v>
      </c>
      <c r="E105" s="9" t="s">
        <v>4464</v>
      </c>
      <c r="F105" s="9" t="s">
        <v>4465</v>
      </c>
      <c r="G105" s="9" t="s">
        <v>12</v>
      </c>
      <c r="H105" s="9"/>
      <c r="I105" s="9"/>
      <c r="J105" s="9" t="s">
        <v>73</v>
      </c>
      <c r="K105" s="9"/>
      <c r="L105" s="9"/>
      <c r="M105" s="9" t="s">
        <v>4466</v>
      </c>
      <c r="N105" s="9"/>
      <c r="O105" s="9" t="s">
        <v>4467</v>
      </c>
      <c r="P105" s="9" t="str">
        <f>HYPERLINK("https://ceds.ed.gov/cedselementdetails.aspx?termid=14388")</f>
        <v>https://ceds.ed.gov/cedselementdetails.aspx?termid=14388</v>
      </c>
      <c r="Q105" s="9" t="str">
        <f>HYPERLINK("https://ceds.ed.gov/elementComment.aspx?elementName=Organization Seeking Accreditation Date &amp;elementID=14388", "Click here to submit comment")</f>
        <v>Click here to submit comment</v>
      </c>
    </row>
    <row r="106" spans="1:17" ht="45" x14ac:dyDescent="0.25">
      <c r="A106" s="9" t="s">
        <v>6739</v>
      </c>
      <c r="B106" s="9" t="s">
        <v>6779</v>
      </c>
      <c r="C106" s="9" t="s">
        <v>6800</v>
      </c>
      <c r="D106" s="9" t="s">
        <v>6742</v>
      </c>
      <c r="E106" s="9" t="s">
        <v>5031</v>
      </c>
      <c r="F106" s="9" t="s">
        <v>5032</v>
      </c>
      <c r="G106" s="9" t="s">
        <v>12</v>
      </c>
      <c r="H106" s="9"/>
      <c r="I106" s="9"/>
      <c r="J106" s="9" t="s">
        <v>87</v>
      </c>
      <c r="K106" s="9"/>
      <c r="L106" s="9"/>
      <c r="M106" s="9" t="s">
        <v>5033</v>
      </c>
      <c r="N106" s="9"/>
      <c r="O106" s="9" t="s">
        <v>5034</v>
      </c>
      <c r="P106" s="9" t="str">
        <f>HYPERLINK("https://ceds.ed.gov/cedselementdetails.aspx?termid=14433")</f>
        <v>https://ceds.ed.gov/cedselementdetails.aspx?termid=14433</v>
      </c>
      <c r="Q106" s="9" t="str">
        <f>HYPERLINK("https://ceds.ed.gov/elementComment.aspx?elementName=Quality Initiative Minimum Score &amp;elementID=14433", "Click here to submit comment")</f>
        <v>Click here to submit comment</v>
      </c>
    </row>
    <row r="107" spans="1:17" ht="45" x14ac:dyDescent="0.25">
      <c r="A107" s="9" t="s">
        <v>6739</v>
      </c>
      <c r="B107" s="9" t="s">
        <v>6779</v>
      </c>
      <c r="C107" s="9" t="s">
        <v>6800</v>
      </c>
      <c r="D107" s="9" t="s">
        <v>6742</v>
      </c>
      <c r="E107" s="9" t="s">
        <v>5026</v>
      </c>
      <c r="F107" s="9" t="s">
        <v>5027</v>
      </c>
      <c r="G107" s="9" t="s">
        <v>12</v>
      </c>
      <c r="H107" s="9"/>
      <c r="I107" s="9"/>
      <c r="J107" s="9" t="s">
        <v>87</v>
      </c>
      <c r="K107" s="9"/>
      <c r="L107" s="9"/>
      <c r="M107" s="9" t="s">
        <v>5029</v>
      </c>
      <c r="N107" s="9"/>
      <c r="O107" s="9" t="s">
        <v>5030</v>
      </c>
      <c r="P107" s="9" t="str">
        <f>HYPERLINK("https://ceds.ed.gov/cedselementdetails.aspx?termid=14432")</f>
        <v>https://ceds.ed.gov/cedselementdetails.aspx?termid=14432</v>
      </c>
      <c r="Q107" s="9" t="str">
        <f>HYPERLINK("https://ceds.ed.gov/elementComment.aspx?elementName=Quality Initiative Maximum Score &amp;elementID=14432", "Click here to submit comment")</f>
        <v>Click here to submit comment</v>
      </c>
    </row>
    <row r="108" spans="1:17" ht="45" x14ac:dyDescent="0.25">
      <c r="A108" s="9" t="s">
        <v>6739</v>
      </c>
      <c r="B108" s="9" t="s">
        <v>6779</v>
      </c>
      <c r="C108" s="9" t="s">
        <v>6800</v>
      </c>
      <c r="D108" s="9" t="s">
        <v>6742</v>
      </c>
      <c r="E108" s="9" t="s">
        <v>5043</v>
      </c>
      <c r="F108" s="9" t="s">
        <v>5044</v>
      </c>
      <c r="G108" s="9" t="s">
        <v>12</v>
      </c>
      <c r="H108" s="9"/>
      <c r="I108" s="9"/>
      <c r="J108" s="9" t="s">
        <v>73</v>
      </c>
      <c r="K108" s="9"/>
      <c r="L108" s="9"/>
      <c r="M108" s="9" t="s">
        <v>5045</v>
      </c>
      <c r="N108" s="9"/>
      <c r="O108" s="9" t="s">
        <v>5046</v>
      </c>
      <c r="P108" s="9" t="str">
        <f>HYPERLINK("https://ceds.ed.gov/cedselementdetails.aspx?termid=14437")</f>
        <v>https://ceds.ed.gov/cedselementdetails.aspx?termid=14437</v>
      </c>
      <c r="Q108" s="9" t="str">
        <f>HYPERLINK("https://ceds.ed.gov/elementComment.aspx?elementName=Quality Initiative Participation Start Date &amp;elementID=14437", "Click here to submit comment")</f>
        <v>Click here to submit comment</v>
      </c>
    </row>
    <row r="109" spans="1:17" ht="45" x14ac:dyDescent="0.25">
      <c r="A109" s="9" t="s">
        <v>6739</v>
      </c>
      <c r="B109" s="9" t="s">
        <v>6779</v>
      </c>
      <c r="C109" s="9" t="s">
        <v>6800</v>
      </c>
      <c r="D109" s="9" t="s">
        <v>6742</v>
      </c>
      <c r="E109" s="9" t="s">
        <v>5035</v>
      </c>
      <c r="F109" s="9" t="s">
        <v>5036</v>
      </c>
      <c r="G109" s="9" t="s">
        <v>12</v>
      </c>
      <c r="H109" s="9"/>
      <c r="I109" s="9"/>
      <c r="J109" s="9" t="s">
        <v>73</v>
      </c>
      <c r="K109" s="9"/>
      <c r="L109" s="9"/>
      <c r="M109" s="9" t="s">
        <v>5037</v>
      </c>
      <c r="N109" s="9"/>
      <c r="O109" s="9" t="s">
        <v>5038</v>
      </c>
      <c r="P109" s="9" t="str">
        <f>HYPERLINK("https://ceds.ed.gov/cedselementdetails.aspx?termid=14436")</f>
        <v>https://ceds.ed.gov/cedselementdetails.aspx?termid=14436</v>
      </c>
      <c r="Q109" s="9" t="str">
        <f>HYPERLINK("https://ceds.ed.gov/elementComment.aspx?elementName=Quality Initiative Participation End Date &amp;elementID=14436", "Click here to submit comment")</f>
        <v>Click here to submit comment</v>
      </c>
    </row>
    <row r="110" spans="1:17" ht="45" x14ac:dyDescent="0.25">
      <c r="A110" s="9" t="s">
        <v>6739</v>
      </c>
      <c r="B110" s="9" t="s">
        <v>6779</v>
      </c>
      <c r="C110" s="9" t="s">
        <v>6800</v>
      </c>
      <c r="D110" s="9" t="s">
        <v>6742</v>
      </c>
      <c r="E110" s="9" t="s">
        <v>5039</v>
      </c>
      <c r="F110" s="9" t="s">
        <v>5040</v>
      </c>
      <c r="G110" s="9" t="s">
        <v>6106</v>
      </c>
      <c r="H110" s="9"/>
      <c r="I110" s="9"/>
      <c r="J110" s="9"/>
      <c r="K110" s="9"/>
      <c r="L110" s="9"/>
      <c r="M110" s="9" t="s">
        <v>5041</v>
      </c>
      <c r="N110" s="9"/>
      <c r="O110" s="9" t="s">
        <v>5042</v>
      </c>
      <c r="P110" s="9" t="str">
        <f>HYPERLINK("https://ceds.ed.gov/cedselementdetails.aspx?termid=14435")</f>
        <v>https://ceds.ed.gov/cedselementdetails.aspx?termid=14435</v>
      </c>
      <c r="Q110" s="9" t="str">
        <f>HYPERLINK("https://ceds.ed.gov/elementComment.aspx?elementName=Quality Initiative Participation Indicator &amp;elementID=14435", "Click here to submit comment")</f>
        <v>Click here to submit comment</v>
      </c>
    </row>
    <row r="111" spans="1:17" ht="60" x14ac:dyDescent="0.25">
      <c r="A111" s="9" t="s">
        <v>6739</v>
      </c>
      <c r="B111" s="9" t="s">
        <v>6779</v>
      </c>
      <c r="C111" s="9" t="s">
        <v>6800</v>
      </c>
      <c r="D111" s="9" t="s">
        <v>6742</v>
      </c>
      <c r="E111" s="9" t="s">
        <v>5047</v>
      </c>
      <c r="F111" s="9" t="s">
        <v>5048</v>
      </c>
      <c r="G111" s="9" t="s">
        <v>12</v>
      </c>
      <c r="H111" s="9"/>
      <c r="I111" s="9"/>
      <c r="J111" s="9" t="s">
        <v>87</v>
      </c>
      <c r="K111" s="9"/>
      <c r="L111" s="9"/>
      <c r="M111" s="9" t="s">
        <v>5049</v>
      </c>
      <c r="N111" s="9"/>
      <c r="O111" s="9" t="s">
        <v>5050</v>
      </c>
      <c r="P111" s="9" t="str">
        <f>HYPERLINK("https://ceds.ed.gov/cedselementdetails.aspx?termid=14434")</f>
        <v>https://ceds.ed.gov/cedselementdetails.aspx?termid=14434</v>
      </c>
      <c r="Q111" s="9" t="str">
        <f>HYPERLINK("https://ceds.ed.gov/elementComment.aspx?elementName=Quality Initiative Score Level &amp;elementID=14434", "Click here to submit comment")</f>
        <v>Click here to submit comment</v>
      </c>
    </row>
    <row r="112" spans="1:17" ht="120" x14ac:dyDescent="0.25">
      <c r="A112" s="9" t="s">
        <v>6739</v>
      </c>
      <c r="B112" s="9" t="s">
        <v>6779</v>
      </c>
      <c r="C112" s="9" t="s">
        <v>6791</v>
      </c>
      <c r="D112" s="9" t="s">
        <v>6742</v>
      </c>
      <c r="E112" s="9" t="s">
        <v>205</v>
      </c>
      <c r="F112" s="9" t="s">
        <v>206</v>
      </c>
      <c r="G112" s="10" t="s">
        <v>6324</v>
      </c>
      <c r="H112" s="9" t="s">
        <v>64</v>
      </c>
      <c r="I112" s="9"/>
      <c r="J112" s="9"/>
      <c r="K112" s="9"/>
      <c r="L112" s="9" t="s">
        <v>208</v>
      </c>
      <c r="M112" s="9" t="s">
        <v>209</v>
      </c>
      <c r="N112" s="9"/>
      <c r="O112" s="9" t="s">
        <v>210</v>
      </c>
      <c r="P112" s="9" t="str">
        <f>HYPERLINK("https://ceds.ed.gov/cedselementdetails.aspx?termid=13984")</f>
        <v>https://ceds.ed.gov/cedselementdetails.aspx?termid=13984</v>
      </c>
      <c r="Q112" s="9" t="str">
        <f>HYPERLINK("https://ceds.ed.gov/elementComment.aspx?elementName=Administrative Policy Type &amp;elementID=13984", "Click here to submit comment")</f>
        <v>Click here to submit comment</v>
      </c>
    </row>
    <row r="113" spans="1:17" ht="90" x14ac:dyDescent="0.25">
      <c r="A113" s="9" t="s">
        <v>6739</v>
      </c>
      <c r="B113" s="9" t="s">
        <v>6779</v>
      </c>
      <c r="C113" s="9" t="s">
        <v>6791</v>
      </c>
      <c r="D113" s="9" t="s">
        <v>6742</v>
      </c>
      <c r="E113" s="9" t="s">
        <v>4615</v>
      </c>
      <c r="F113" s="9" t="s">
        <v>4616</v>
      </c>
      <c r="G113" s="10" t="s">
        <v>6638</v>
      </c>
      <c r="H113" s="9" t="s">
        <v>64</v>
      </c>
      <c r="I113" s="9"/>
      <c r="J113" s="9"/>
      <c r="K113" s="9"/>
      <c r="L113" s="9"/>
      <c r="M113" s="9" t="s">
        <v>4617</v>
      </c>
      <c r="N113" s="9"/>
      <c r="O113" s="9" t="s">
        <v>4618</v>
      </c>
      <c r="P113" s="9" t="str">
        <f>HYPERLINK("https://ceds.ed.gov/cedselementdetails.aspx?termid=13842")</f>
        <v>https://ceds.ed.gov/cedselementdetails.aspx?termid=13842</v>
      </c>
      <c r="Q113" s="9" t="str">
        <f>HYPERLINK("https://ceds.ed.gov/elementComment.aspx?elementName=Personnel Policy Type &amp;elementID=13842", "Click here to submit comment")</f>
        <v>Click here to submit comment</v>
      </c>
    </row>
    <row r="114" spans="1:17" ht="45" x14ac:dyDescent="0.25">
      <c r="A114" s="9" t="s">
        <v>6739</v>
      </c>
      <c r="B114" s="9" t="s">
        <v>6779</v>
      </c>
      <c r="C114" s="9" t="s">
        <v>6791</v>
      </c>
      <c r="D114" s="9" t="s">
        <v>6742</v>
      </c>
      <c r="E114" s="9" t="s">
        <v>4965</v>
      </c>
      <c r="F114" s="9" t="s">
        <v>4966</v>
      </c>
      <c r="G114" s="9" t="s">
        <v>6106</v>
      </c>
      <c r="H114" s="9" t="s">
        <v>64</v>
      </c>
      <c r="I114" s="9"/>
      <c r="J114" s="9"/>
      <c r="K114" s="9"/>
      <c r="L114" s="9"/>
      <c r="M114" s="9" t="s">
        <v>4967</v>
      </c>
      <c r="N114" s="9"/>
      <c r="O114" s="9" t="s">
        <v>4968</v>
      </c>
      <c r="P114" s="9" t="str">
        <f>HYPERLINK("https://ceds.ed.gov/cedselementdetails.aspx?termid=13859")</f>
        <v>https://ceds.ed.gov/cedselementdetails.aspx?termid=13859</v>
      </c>
      <c r="Q114" s="9" t="str">
        <f>HYPERLINK("https://ceds.ed.gov/elementComment.aspx?elementName=Program Transition Planning Policy &amp;elementID=13859", "Click here to submit comment")</f>
        <v>Click here to submit comment</v>
      </c>
    </row>
    <row r="115" spans="1:17" ht="409.5" x14ac:dyDescent="0.25">
      <c r="A115" s="9" t="s">
        <v>6739</v>
      </c>
      <c r="B115" s="9" t="s">
        <v>6779</v>
      </c>
      <c r="C115" s="9" t="s">
        <v>6762</v>
      </c>
      <c r="D115" s="9" t="s">
        <v>6742</v>
      </c>
      <c r="E115" s="9" t="s">
        <v>2463</v>
      </c>
      <c r="F115" s="9" t="s">
        <v>2464</v>
      </c>
      <c r="G115" s="10" t="s">
        <v>6468</v>
      </c>
      <c r="H115" s="9"/>
      <c r="I115" s="9"/>
      <c r="J115" s="9"/>
      <c r="K115" s="9"/>
      <c r="L115" s="9"/>
      <c r="M115" s="9" t="s">
        <v>2465</v>
      </c>
      <c r="N115" s="9"/>
      <c r="O115" s="9" t="s">
        <v>2466</v>
      </c>
      <c r="P115" s="9" t="str">
        <f>HYPERLINK("https://ceds.ed.gov/cedselementdetails.aspx?termid=14294")</f>
        <v>https://ceds.ed.gov/cedselementdetails.aspx?termid=14294</v>
      </c>
      <c r="Q115" s="9" t="str">
        <f>HYPERLINK("https://ceds.ed.gov/elementComment.aspx?elementName=Early Learning Federal Funding Type &amp;elementID=14294", "Click here to submit comment")</f>
        <v>Click here to submit comment</v>
      </c>
    </row>
    <row r="116" spans="1:17" ht="120" x14ac:dyDescent="0.25">
      <c r="A116" s="9" t="s">
        <v>6739</v>
      </c>
      <c r="B116" s="9" t="s">
        <v>6779</v>
      </c>
      <c r="C116" s="9" t="s">
        <v>6762</v>
      </c>
      <c r="D116" s="9" t="s">
        <v>6742</v>
      </c>
      <c r="E116" s="9" t="s">
        <v>2483</v>
      </c>
      <c r="F116" s="9" t="s">
        <v>2484</v>
      </c>
      <c r="G116" s="10" t="s">
        <v>6471</v>
      </c>
      <c r="H116" s="9"/>
      <c r="I116" s="9"/>
      <c r="J116" s="9"/>
      <c r="K116" s="9"/>
      <c r="L116" s="9"/>
      <c r="M116" s="9" t="s">
        <v>2485</v>
      </c>
      <c r="N116" s="9"/>
      <c r="O116" s="9" t="s">
        <v>2486</v>
      </c>
      <c r="P116" s="9" t="str">
        <f>HYPERLINK("https://ceds.ed.gov/cedselementdetails.aspx?termid=14302")</f>
        <v>https://ceds.ed.gov/cedselementdetails.aspx?termid=14302</v>
      </c>
      <c r="Q116" s="9" t="str">
        <f>HYPERLINK("https://ceds.ed.gov/elementComment.aspx?elementName=Early Learning Other Federal Funding Sources &amp;elementID=14302", "Click here to submit comment")</f>
        <v>Click here to submit comment</v>
      </c>
    </row>
    <row r="117" spans="1:17" ht="75" x14ac:dyDescent="0.25">
      <c r="A117" s="9" t="s">
        <v>6739</v>
      </c>
      <c r="B117" s="9" t="s">
        <v>6779</v>
      </c>
      <c r="C117" s="9" t="s">
        <v>6762</v>
      </c>
      <c r="D117" s="9" t="s">
        <v>6742</v>
      </c>
      <c r="E117" s="9" t="s">
        <v>2776</v>
      </c>
      <c r="F117" s="9" t="s">
        <v>2777</v>
      </c>
      <c r="G117" s="9" t="s">
        <v>12</v>
      </c>
      <c r="H117" s="9" t="s">
        <v>199</v>
      </c>
      <c r="I117" s="9"/>
      <c r="J117" s="9" t="s">
        <v>11328</v>
      </c>
      <c r="K117" s="9"/>
      <c r="L117" s="9"/>
      <c r="M117" s="9" t="s">
        <v>2778</v>
      </c>
      <c r="N117" s="9"/>
      <c r="O117" s="9" t="s">
        <v>2779</v>
      </c>
      <c r="P117" s="9" t="str">
        <f>HYPERLINK("https://ceds.ed.gov/cedselementdetails.aspx?termid=13538")</f>
        <v>https://ceds.ed.gov/cedselementdetails.aspx?termid=13538</v>
      </c>
      <c r="Q117" s="9" t="str">
        <f>HYPERLINK("https://ceds.ed.gov/elementComment.aspx?elementName=Federal Program Code &amp;elementID=13538", "Click here to submit comment")</f>
        <v>Click here to submit comment</v>
      </c>
    </row>
    <row r="118" spans="1:17" ht="45" x14ac:dyDescent="0.25">
      <c r="A118" s="9" t="s">
        <v>6739</v>
      </c>
      <c r="B118" s="9" t="s">
        <v>6779</v>
      </c>
      <c r="C118" s="9" t="s">
        <v>6797</v>
      </c>
      <c r="D118" s="9" t="s">
        <v>6742</v>
      </c>
      <c r="E118" s="9" t="s">
        <v>4900</v>
      </c>
      <c r="F118" s="9" t="s">
        <v>4901</v>
      </c>
      <c r="G118" s="9" t="s">
        <v>6106</v>
      </c>
      <c r="H118" s="9" t="s">
        <v>6193</v>
      </c>
      <c r="I118" s="9"/>
      <c r="J118" s="9"/>
      <c r="K118" s="9"/>
      <c r="L118" s="9"/>
      <c r="M118" s="9" t="s">
        <v>4903</v>
      </c>
      <c r="N118" s="9"/>
      <c r="O118" s="9" t="s">
        <v>4904</v>
      </c>
      <c r="P118" s="9" t="str">
        <f>HYPERLINK("https://ceds.ed.gov/cedselementdetails.aspx?termid=13863")</f>
        <v>https://ceds.ed.gov/cedselementdetails.aspx?termid=13863</v>
      </c>
      <c r="Q118" s="9" t="str">
        <f>HYPERLINK("https://ceds.ed.gov/elementComment.aspx?elementName=Program Follows Salary Scale &amp;elementID=13863", "Click here to submit comment")</f>
        <v>Click here to submit comment</v>
      </c>
    </row>
    <row r="119" spans="1:17" ht="45" x14ac:dyDescent="0.25">
      <c r="A119" s="9" t="s">
        <v>6739</v>
      </c>
      <c r="B119" s="9" t="s">
        <v>6779</v>
      </c>
      <c r="C119" s="9" t="s">
        <v>6798</v>
      </c>
      <c r="D119" s="9" t="s">
        <v>6742</v>
      </c>
      <c r="E119" s="9" t="s">
        <v>5829</v>
      </c>
      <c r="F119" s="9" t="s">
        <v>5830</v>
      </c>
      <c r="G119" s="9" t="s">
        <v>6106</v>
      </c>
      <c r="H119" s="9"/>
      <c r="I119" s="9"/>
      <c r="J119" s="9"/>
      <c r="K119" s="9"/>
      <c r="L119" s="9"/>
      <c r="M119" s="9" t="s">
        <v>5831</v>
      </c>
      <c r="N119" s="9"/>
      <c r="O119" s="9" t="s">
        <v>5832</v>
      </c>
      <c r="P119" s="9" t="str">
        <f>HYPERLINK("https://ceds.ed.gov/cedselementdetails.aspx?termid=14465")</f>
        <v>https://ceds.ed.gov/cedselementdetails.aspx?termid=14465</v>
      </c>
      <c r="Q119" s="9" t="str">
        <f>HYPERLINK("https://ceds.ed.gov/elementComment.aspx?elementName=Technical Assistance Approved Indicator &amp;elementID=14465", "Click here to submit comment")</f>
        <v>Click here to submit comment</v>
      </c>
    </row>
    <row r="120" spans="1:17" ht="75" x14ac:dyDescent="0.25">
      <c r="A120" s="9" t="s">
        <v>6739</v>
      </c>
      <c r="B120" s="9" t="s">
        <v>6779</v>
      </c>
      <c r="C120" s="9" t="s">
        <v>6798</v>
      </c>
      <c r="D120" s="9" t="s">
        <v>6742</v>
      </c>
      <c r="E120" s="9" t="s">
        <v>5833</v>
      </c>
      <c r="F120" s="9" t="s">
        <v>5834</v>
      </c>
      <c r="G120" s="10" t="s">
        <v>6655</v>
      </c>
      <c r="H120" s="9"/>
      <c r="I120" s="9"/>
      <c r="J120" s="9"/>
      <c r="K120" s="9"/>
      <c r="L120" s="9"/>
      <c r="M120" s="9" t="s">
        <v>5835</v>
      </c>
      <c r="N120" s="9"/>
      <c r="O120" s="9" t="s">
        <v>5836</v>
      </c>
      <c r="P120" s="9" t="str">
        <f>HYPERLINK("https://ceds.ed.gov/cedselementdetails.aspx?termid=14466")</f>
        <v>https://ceds.ed.gov/cedselementdetails.aspx?termid=14466</v>
      </c>
      <c r="Q120" s="9" t="str">
        <f>HYPERLINK("https://ceds.ed.gov/elementComment.aspx?elementName=Technical Assistance Delivery Type &amp;elementID=14466", "Click here to submit comment")</f>
        <v>Click here to submit comment</v>
      </c>
    </row>
    <row r="121" spans="1:17" ht="375" x14ac:dyDescent="0.25">
      <c r="A121" s="9" t="s">
        <v>6739</v>
      </c>
      <c r="B121" s="9" t="s">
        <v>6779</v>
      </c>
      <c r="C121" s="9" t="s">
        <v>6798</v>
      </c>
      <c r="D121" s="9" t="s">
        <v>6742</v>
      </c>
      <c r="E121" s="9" t="s">
        <v>5837</v>
      </c>
      <c r="F121" s="9" t="s">
        <v>5838</v>
      </c>
      <c r="G121" s="10" t="s">
        <v>6715</v>
      </c>
      <c r="H121" s="9"/>
      <c r="I121" s="9"/>
      <c r="J121" s="9"/>
      <c r="K121" s="9"/>
      <c r="L121" s="9"/>
      <c r="M121" s="9" t="s">
        <v>5839</v>
      </c>
      <c r="N121" s="9"/>
      <c r="O121" s="9" t="s">
        <v>5840</v>
      </c>
      <c r="P121" s="9" t="str">
        <f>HYPERLINK("https://ceds.ed.gov/cedselementdetails.aspx?termid=14467")</f>
        <v>https://ceds.ed.gov/cedselementdetails.aspx?termid=14467</v>
      </c>
      <c r="Q121" s="9" t="str">
        <f>HYPERLINK("https://ceds.ed.gov/elementComment.aspx?elementName=Technical Assistance Type &amp;elementID=14467", "Click here to submit comment")</f>
        <v>Click here to submit comment</v>
      </c>
    </row>
    <row r="122" spans="1:17" ht="75" x14ac:dyDescent="0.25">
      <c r="A122" s="9" t="s">
        <v>6739</v>
      </c>
      <c r="B122" s="9" t="s">
        <v>6779</v>
      </c>
      <c r="C122" s="9" t="s">
        <v>6801</v>
      </c>
      <c r="D122" s="9" t="s">
        <v>6742</v>
      </c>
      <c r="E122" s="9" t="s">
        <v>5420</v>
      </c>
      <c r="F122" s="9" t="s">
        <v>5421</v>
      </c>
      <c r="G122" s="9" t="s">
        <v>12</v>
      </c>
      <c r="H122" s="9"/>
      <c r="I122" s="9"/>
      <c r="J122" s="9" t="s">
        <v>762</v>
      </c>
      <c r="K122" s="9"/>
      <c r="L122" s="9"/>
      <c r="M122" s="9" t="s">
        <v>5422</v>
      </c>
      <c r="N122" s="9"/>
      <c r="O122" s="9" t="s">
        <v>5423</v>
      </c>
      <c r="P122" s="9" t="str">
        <f>HYPERLINK("https://ceds.ed.gov/cedselementdetails.aspx?termid=14606")</f>
        <v>https://ceds.ed.gov/cedselementdetails.aspx?termid=14606</v>
      </c>
      <c r="Q122" s="9" t="str">
        <f>HYPERLINK("https://ceds.ed.gov/elementComment.aspx?elementName=Service Partner Name &amp;elementID=14606", "Click here to submit comment")</f>
        <v>Click here to submit comment</v>
      </c>
    </row>
    <row r="123" spans="1:17" ht="45" x14ac:dyDescent="0.25">
      <c r="A123" s="9" t="s">
        <v>6739</v>
      </c>
      <c r="B123" s="9" t="s">
        <v>6779</v>
      </c>
      <c r="C123" s="9" t="s">
        <v>6801</v>
      </c>
      <c r="D123" s="9" t="s">
        <v>6742</v>
      </c>
      <c r="E123" s="9" t="s">
        <v>5416</v>
      </c>
      <c r="F123" s="9" t="s">
        <v>5417</v>
      </c>
      <c r="G123" s="9" t="s">
        <v>12</v>
      </c>
      <c r="H123" s="9"/>
      <c r="I123" s="9"/>
      <c r="J123" s="9" t="s">
        <v>68</v>
      </c>
      <c r="K123" s="9"/>
      <c r="L123" s="9"/>
      <c r="M123" s="9" t="s">
        <v>5418</v>
      </c>
      <c r="N123" s="9"/>
      <c r="O123" s="9" t="s">
        <v>5419</v>
      </c>
      <c r="P123" s="9" t="str">
        <f>HYPERLINK("https://ceds.ed.gov/cedselementdetails.aspx?termid=14603")</f>
        <v>https://ceds.ed.gov/cedselementdetails.aspx?termid=14603</v>
      </c>
      <c r="Q123" s="9" t="str">
        <f>HYPERLINK("https://ceds.ed.gov/elementComment.aspx?elementName=Service Partner Description &amp;elementID=14603", "Click here to submit comment")</f>
        <v>Click here to submit comment</v>
      </c>
    </row>
    <row r="124" spans="1:17" ht="60" x14ac:dyDescent="0.25">
      <c r="A124" s="9" t="s">
        <v>6739</v>
      </c>
      <c r="B124" s="9" t="s">
        <v>6779</v>
      </c>
      <c r="C124" s="9" t="s">
        <v>6801</v>
      </c>
      <c r="D124" s="9" t="s">
        <v>6742</v>
      </c>
      <c r="E124" s="9" t="s">
        <v>4171</v>
      </c>
      <c r="F124" s="9" t="s">
        <v>4172</v>
      </c>
      <c r="G124" s="9" t="s">
        <v>12</v>
      </c>
      <c r="H124" s="9"/>
      <c r="I124" s="9"/>
      <c r="J124" s="9" t="s">
        <v>73</v>
      </c>
      <c r="K124" s="9"/>
      <c r="L124" s="9"/>
      <c r="M124" s="9" t="s">
        <v>4173</v>
      </c>
      <c r="N124" s="9"/>
      <c r="O124" s="9" t="s">
        <v>4174</v>
      </c>
      <c r="P124" s="9" t="str">
        <f>HYPERLINK("https://ceds.ed.gov/cedselementdetails.aspx?termid=14594")</f>
        <v>https://ceds.ed.gov/cedselementdetails.aspx?termid=14594</v>
      </c>
      <c r="Q124" s="9" t="str">
        <f>HYPERLINK("https://ceds.ed.gov/elementComment.aspx?elementName=Memorandum of Understanding Start Date &amp;elementID=14594", "Click here to submit comment")</f>
        <v>Click here to submit comment</v>
      </c>
    </row>
    <row r="125" spans="1:17" ht="60" x14ac:dyDescent="0.25">
      <c r="A125" s="9" t="s">
        <v>6739</v>
      </c>
      <c r="B125" s="9" t="s">
        <v>6779</v>
      </c>
      <c r="C125" s="9" t="s">
        <v>6801</v>
      </c>
      <c r="D125" s="9" t="s">
        <v>6742</v>
      </c>
      <c r="E125" s="9" t="s">
        <v>4166</v>
      </c>
      <c r="F125" s="9" t="s">
        <v>4167</v>
      </c>
      <c r="G125" s="9" t="s">
        <v>12</v>
      </c>
      <c r="H125" s="9"/>
      <c r="I125" s="9"/>
      <c r="J125" s="9" t="s">
        <v>73</v>
      </c>
      <c r="K125" s="9"/>
      <c r="L125" s="9"/>
      <c r="M125" s="9" t="s">
        <v>4169</v>
      </c>
      <c r="N125" s="9"/>
      <c r="O125" s="9" t="s">
        <v>4170</v>
      </c>
      <c r="P125" s="9" t="str">
        <f>HYPERLINK("https://ceds.ed.gov/cedselementdetails.aspx?termid=14593")</f>
        <v>https://ceds.ed.gov/cedselementdetails.aspx?termid=14593</v>
      </c>
      <c r="Q125" s="9" t="str">
        <f>HYPERLINK("https://ceds.ed.gov/elementComment.aspx?elementName=Memorandum of Understanding End Date &amp;elementID=14593", "Click here to submit comment")</f>
        <v>Click here to submit comment</v>
      </c>
    </row>
    <row r="126" spans="1:17" ht="45" x14ac:dyDescent="0.25">
      <c r="A126" s="9" t="s">
        <v>6739</v>
      </c>
      <c r="B126" s="9" t="s">
        <v>6779</v>
      </c>
      <c r="C126" s="9" t="s">
        <v>6792</v>
      </c>
      <c r="D126" s="9" t="s">
        <v>6742</v>
      </c>
      <c r="E126" s="9" t="s">
        <v>4952</v>
      </c>
      <c r="F126" s="9" t="s">
        <v>4953</v>
      </c>
      <c r="G126" s="9" t="s">
        <v>6106</v>
      </c>
      <c r="H126" s="9" t="s">
        <v>64</v>
      </c>
      <c r="I126" s="9"/>
      <c r="J126" s="9"/>
      <c r="K126" s="9"/>
      <c r="L126" s="9"/>
      <c r="M126" s="9" t="s">
        <v>4955</v>
      </c>
      <c r="N126" s="9"/>
      <c r="O126" s="9" t="s">
        <v>4956</v>
      </c>
      <c r="P126" s="9" t="str">
        <f>HYPERLINK("https://ceds.ed.gov/cedselementdetails.aspx?termid=13845")</f>
        <v>https://ceds.ed.gov/cedselementdetails.aspx?termid=13845</v>
      </c>
      <c r="Q126" s="9" t="str">
        <f>HYPERLINK("https://ceds.ed.gov/elementComment.aspx?elementName=Program Provides Translated Materials &amp;elementID=13845", "Click here to submit comment")</f>
        <v>Click here to submit comment</v>
      </c>
    </row>
    <row r="127" spans="1:17" ht="45" x14ac:dyDescent="0.25">
      <c r="A127" s="9" t="s">
        <v>6739</v>
      </c>
      <c r="B127" s="9" t="s">
        <v>6779</v>
      </c>
      <c r="C127" s="9" t="s">
        <v>6792</v>
      </c>
      <c r="D127" s="9" t="s">
        <v>6742</v>
      </c>
      <c r="E127" s="9" t="s">
        <v>3585</v>
      </c>
      <c r="F127" s="9" t="s">
        <v>3586</v>
      </c>
      <c r="G127" s="9" t="s">
        <v>6106</v>
      </c>
      <c r="H127" s="9"/>
      <c r="I127" s="9"/>
      <c r="J127" s="9"/>
      <c r="K127" s="9"/>
      <c r="L127" s="9"/>
      <c r="M127" s="9" t="s">
        <v>3587</v>
      </c>
      <c r="N127" s="9"/>
      <c r="O127" s="9" t="s">
        <v>3588</v>
      </c>
      <c r="P127" s="9" t="str">
        <f>HYPERLINK("https://ceds.ed.gov/cedselementdetails.aspx?termid=14190")</f>
        <v>https://ceds.ed.gov/cedselementdetails.aspx?termid=14190</v>
      </c>
      <c r="Q127" s="9" t="str">
        <f>HYPERLINK("https://ceds.ed.gov/elementComment.aspx?elementName=Language Translation Policy &amp;elementID=14190", "Click here to submit comment")</f>
        <v>Click here to submit comment</v>
      </c>
    </row>
    <row r="128" spans="1:17" ht="45" x14ac:dyDescent="0.25">
      <c r="A128" s="9" t="s">
        <v>6739</v>
      </c>
      <c r="B128" s="9" t="s">
        <v>6779</v>
      </c>
      <c r="C128" s="9" t="s">
        <v>6793</v>
      </c>
      <c r="D128" s="9" t="s">
        <v>6742</v>
      </c>
      <c r="E128" s="9" t="s">
        <v>4424</v>
      </c>
      <c r="F128" s="9" t="s">
        <v>4425</v>
      </c>
      <c r="G128" s="9" t="s">
        <v>6106</v>
      </c>
      <c r="H128" s="9" t="s">
        <v>64</v>
      </c>
      <c r="I128" s="9"/>
      <c r="J128" s="9"/>
      <c r="K128" s="9"/>
      <c r="L128" s="9"/>
      <c r="M128" s="9" t="s">
        <v>4426</v>
      </c>
      <c r="N128" s="9"/>
      <c r="O128" s="9" t="s">
        <v>4427</v>
      </c>
      <c r="P128" s="9" t="str">
        <f>HYPERLINK("https://ceds.ed.gov/cedselementdetails.aspx?termid=13847")</f>
        <v>https://ceds.ed.gov/cedselementdetails.aspx?termid=13847</v>
      </c>
      <c r="Q128" s="9" t="str">
        <f>HYPERLINK("https://ceds.ed.gov/elementComment.aspx?elementName=Ongoing Health Screening Policy &amp;elementID=13847", "Click here to submit comment")</f>
        <v>Click here to submit comment</v>
      </c>
    </row>
    <row r="129" spans="1:17" ht="60" x14ac:dyDescent="0.25">
      <c r="A129" s="9" t="s">
        <v>6739</v>
      </c>
      <c r="B129" s="9" t="s">
        <v>6779</v>
      </c>
      <c r="C129" s="9" t="s">
        <v>6793</v>
      </c>
      <c r="D129" s="9" t="s">
        <v>6742</v>
      </c>
      <c r="E129" s="9" t="s">
        <v>2503</v>
      </c>
      <c r="F129" s="9" t="s">
        <v>2504</v>
      </c>
      <c r="G129" s="9" t="s">
        <v>6106</v>
      </c>
      <c r="H129" s="9" t="s">
        <v>64</v>
      </c>
      <c r="I129" s="9"/>
      <c r="J129" s="9"/>
      <c r="K129" s="9"/>
      <c r="L129" s="9"/>
      <c r="M129" s="9" t="s">
        <v>2506</v>
      </c>
      <c r="N129" s="9"/>
      <c r="O129" s="9" t="s">
        <v>2507</v>
      </c>
      <c r="P129" s="9" t="str">
        <f>HYPERLINK("https://ceds.ed.gov/cedselementdetails.aspx?termid=13848")</f>
        <v>https://ceds.ed.gov/cedselementdetails.aspx?termid=13848</v>
      </c>
      <c r="Q129" s="9" t="str">
        <f>HYPERLINK("https://ceds.ed.gov/elementComment.aspx?elementName=Early Learning Program Developmental Screening Status &amp;elementID=13848", "Click here to submit comment")</f>
        <v>Click here to submit comment</v>
      </c>
    </row>
    <row r="130" spans="1:17" ht="60" x14ac:dyDescent="0.25">
      <c r="A130" s="9" t="s">
        <v>6739</v>
      </c>
      <c r="B130" s="9" t="s">
        <v>6779</v>
      </c>
      <c r="C130" s="9" t="s">
        <v>6793</v>
      </c>
      <c r="D130" s="9" t="s">
        <v>6742</v>
      </c>
      <c r="E130" s="9" t="s">
        <v>3239</v>
      </c>
      <c r="F130" s="9" t="s">
        <v>3240</v>
      </c>
      <c r="G130" s="9" t="s">
        <v>6106</v>
      </c>
      <c r="H130" s="9" t="s">
        <v>64</v>
      </c>
      <c r="I130" s="9"/>
      <c r="J130" s="9"/>
      <c r="K130" s="9"/>
      <c r="L130" s="9"/>
      <c r="M130" s="9" t="s">
        <v>3241</v>
      </c>
      <c r="N130" s="9"/>
      <c r="O130" s="9" t="s">
        <v>3242</v>
      </c>
      <c r="P130" s="9" t="str">
        <f>HYPERLINK("https://ceds.ed.gov/cedselementdetails.aspx?termid=13849")</f>
        <v>https://ceds.ed.gov/cedselementdetails.aspx?termid=13849</v>
      </c>
      <c r="Q130" s="9" t="str">
        <f>HYPERLINK("https://ceds.ed.gov/elementComment.aspx?elementName=Immunization Policy &amp;elementID=13849", "Click here to submit comment")</f>
        <v>Click here to submit comment</v>
      </c>
    </row>
    <row r="131" spans="1:17" ht="45" x14ac:dyDescent="0.25">
      <c r="A131" s="9" t="s">
        <v>6739</v>
      </c>
      <c r="B131" s="9" t="s">
        <v>6779</v>
      </c>
      <c r="C131" s="9" t="s">
        <v>6793</v>
      </c>
      <c r="D131" s="9" t="s">
        <v>6742</v>
      </c>
      <c r="E131" s="9" t="s">
        <v>5110</v>
      </c>
      <c r="F131" s="9" t="s">
        <v>5111</v>
      </c>
      <c r="G131" s="9" t="s">
        <v>6106</v>
      </c>
      <c r="H131" s="9" t="s">
        <v>64</v>
      </c>
      <c r="I131" s="9"/>
      <c r="J131" s="9"/>
      <c r="K131" s="9"/>
      <c r="L131" s="9"/>
      <c r="M131" s="9" t="s">
        <v>5112</v>
      </c>
      <c r="N131" s="9"/>
      <c r="O131" s="9" t="s">
        <v>5113</v>
      </c>
      <c r="P131" s="9" t="str">
        <f>HYPERLINK("https://ceds.ed.gov/cedselementdetails.aspx?termid=13850")</f>
        <v>https://ceds.ed.gov/cedselementdetails.aspx?termid=13850</v>
      </c>
      <c r="Q131" s="9" t="str">
        <f>HYPERLINK("https://ceds.ed.gov/elementComment.aspx?elementName=Referral Policy &amp;elementID=13850", "Click here to submit comment")</f>
        <v>Click here to submit comment</v>
      </c>
    </row>
    <row r="132" spans="1:17" ht="345" x14ac:dyDescent="0.25">
      <c r="A132" s="9" t="s">
        <v>6739</v>
      </c>
      <c r="B132" s="9" t="s">
        <v>6779</v>
      </c>
      <c r="C132" s="9" t="s">
        <v>6793</v>
      </c>
      <c r="D132" s="9" t="s">
        <v>6742</v>
      </c>
      <c r="E132" s="9" t="s">
        <v>5142</v>
      </c>
      <c r="F132" s="9" t="s">
        <v>5143</v>
      </c>
      <c r="G132" s="10" t="s">
        <v>6544</v>
      </c>
      <c r="H132" s="9" t="s">
        <v>1714</v>
      </c>
      <c r="I132" s="9"/>
      <c r="J132" s="9"/>
      <c r="K132" s="9"/>
      <c r="L132" s="9"/>
      <c r="M132" s="9" t="s">
        <v>5144</v>
      </c>
      <c r="N132" s="9"/>
      <c r="O132" s="9" t="s">
        <v>5145</v>
      </c>
      <c r="P132" s="9" t="str">
        <f>HYPERLINK("https://ceds.ed.gov/cedselementdetails.aspx?termid=13307")</f>
        <v>https://ceds.ed.gov/cedselementdetails.aspx?termid=13307</v>
      </c>
      <c r="Q132" s="9" t="str">
        <f>HYPERLINK("https://ceds.ed.gov/elementComment.aspx?elementName=Required Immunization &amp;elementID=13307", "Click here to submit comment")</f>
        <v>Click here to submit comment</v>
      </c>
    </row>
    <row r="133" spans="1:17" ht="75" x14ac:dyDescent="0.25">
      <c r="A133" s="9" t="s">
        <v>6739</v>
      </c>
      <c r="B133" s="9" t="s">
        <v>6779</v>
      </c>
      <c r="C133" s="9" t="s">
        <v>6794</v>
      </c>
      <c r="D133" s="9" t="s">
        <v>6742</v>
      </c>
      <c r="E133" s="9" t="s">
        <v>5551</v>
      </c>
      <c r="F133" s="9" t="s">
        <v>5552</v>
      </c>
      <c r="G133" s="9" t="s">
        <v>6106</v>
      </c>
      <c r="H133" s="9" t="s">
        <v>64</v>
      </c>
      <c r="I133" s="9"/>
      <c r="J133" s="9"/>
      <c r="K133" s="9"/>
      <c r="L133" s="9"/>
      <c r="M133" s="9" t="s">
        <v>5554</v>
      </c>
      <c r="N133" s="9"/>
      <c r="O133" s="9" t="s">
        <v>5555</v>
      </c>
      <c r="P133" s="9" t="str">
        <f>HYPERLINK("https://ceds.ed.gov/cedselementdetails.aspx?termid=14004")</f>
        <v>https://ceds.ed.gov/cedselementdetails.aspx?termid=14004</v>
      </c>
      <c r="Q133" s="9" t="str">
        <f>HYPERLINK("https://ceds.ed.gov/elementComment.aspx?elementName=Special Needs Policy &amp;elementID=14004", "Click here to submit comment")</f>
        <v>Click here to submit comment</v>
      </c>
    </row>
    <row r="134" spans="1:17" ht="45" x14ac:dyDescent="0.25">
      <c r="A134" s="9" t="s">
        <v>6739</v>
      </c>
      <c r="B134" s="9" t="s">
        <v>6779</v>
      </c>
      <c r="C134" s="9" t="s">
        <v>6796</v>
      </c>
      <c r="D134" s="9" t="s">
        <v>6742</v>
      </c>
      <c r="E134" s="9" t="s">
        <v>4957</v>
      </c>
      <c r="F134" s="9" t="s">
        <v>4958</v>
      </c>
      <c r="G134" s="9" t="s">
        <v>6106</v>
      </c>
      <c r="H134" s="9" t="s">
        <v>64</v>
      </c>
      <c r="I134" s="9"/>
      <c r="J134" s="9"/>
      <c r="K134" s="9"/>
      <c r="L134" s="9"/>
      <c r="M134" s="9" t="s">
        <v>4959</v>
      </c>
      <c r="N134" s="9"/>
      <c r="O134" s="9" t="s">
        <v>4960</v>
      </c>
      <c r="P134" s="9" t="str">
        <f>HYPERLINK("https://ceds.ed.gov/cedselementdetails.aspx?termid=13853")</f>
        <v>https://ceds.ed.gov/cedselementdetails.aspx?termid=13853</v>
      </c>
      <c r="Q134" s="9" t="str">
        <f>HYPERLINK("https://ceds.ed.gov/elementComment.aspx?elementName=Program Provides Written Handbook &amp;elementID=13853", "Click here to submit comment")</f>
        <v>Click here to submit comment</v>
      </c>
    </row>
    <row r="135" spans="1:17" ht="60" x14ac:dyDescent="0.25">
      <c r="A135" s="9" t="s">
        <v>6739</v>
      </c>
      <c r="B135" s="9" t="s">
        <v>6779</v>
      </c>
      <c r="C135" s="9" t="s">
        <v>6796</v>
      </c>
      <c r="D135" s="9" t="s">
        <v>6742</v>
      </c>
      <c r="E135" s="9" t="s">
        <v>4896</v>
      </c>
      <c r="F135" s="9" t="s">
        <v>4897</v>
      </c>
      <c r="G135" s="9" t="s">
        <v>6106</v>
      </c>
      <c r="H135" s="9" t="s">
        <v>6264</v>
      </c>
      <c r="I135" s="9"/>
      <c r="J135" s="9"/>
      <c r="K135" s="9"/>
      <c r="L135" s="9"/>
      <c r="M135" s="9" t="s">
        <v>4898</v>
      </c>
      <c r="N135" s="9"/>
      <c r="O135" s="9" t="s">
        <v>4899</v>
      </c>
      <c r="P135" s="9" t="str">
        <f>HYPERLINK("https://ceds.ed.gov/cedselementdetails.aspx?termid=13854")</f>
        <v>https://ceds.ed.gov/cedselementdetails.aspx?termid=13854</v>
      </c>
      <c r="Q135" s="9" t="str">
        <f>HYPERLINK("https://ceds.ed.gov/elementComment.aspx?elementName=Program Collects Parental Feedback &amp;elementID=13854", "Click here to submit comment")</f>
        <v>Click here to submit comment</v>
      </c>
    </row>
    <row r="136" spans="1:17" ht="60" x14ac:dyDescent="0.25">
      <c r="A136" s="9" t="s">
        <v>6739</v>
      </c>
      <c r="B136" s="9" t="s">
        <v>6779</v>
      </c>
      <c r="C136" s="9" t="s">
        <v>6796</v>
      </c>
      <c r="D136" s="9" t="s">
        <v>6742</v>
      </c>
      <c r="E136" s="9" t="s">
        <v>4948</v>
      </c>
      <c r="F136" s="9" t="s">
        <v>4949</v>
      </c>
      <c r="G136" s="9" t="s">
        <v>6106</v>
      </c>
      <c r="H136" s="9" t="s">
        <v>64</v>
      </c>
      <c r="I136" s="9"/>
      <c r="J136" s="9"/>
      <c r="K136" s="9"/>
      <c r="L136" s="9"/>
      <c r="M136" s="9" t="s">
        <v>4950</v>
      </c>
      <c r="N136" s="9"/>
      <c r="O136" s="9" t="s">
        <v>4951</v>
      </c>
      <c r="P136" s="9" t="str">
        <f>HYPERLINK("https://ceds.ed.gov/cedselementdetails.aspx?termid=13855")</f>
        <v>https://ceds.ed.gov/cedselementdetails.aspx?termid=13855</v>
      </c>
      <c r="Q136" s="9" t="str">
        <f>HYPERLINK("https://ceds.ed.gov/elementComment.aspx?elementName=Program Provides Parent Involvement Opportunity &amp;elementID=13855", "Click here to submit comment")</f>
        <v>Click here to submit comment</v>
      </c>
    </row>
    <row r="137" spans="1:17" ht="45" x14ac:dyDescent="0.25">
      <c r="A137" s="9" t="s">
        <v>6739</v>
      </c>
      <c r="B137" s="9" t="s">
        <v>6779</v>
      </c>
      <c r="C137" s="9" t="s">
        <v>6796</v>
      </c>
      <c r="D137" s="9" t="s">
        <v>6742</v>
      </c>
      <c r="E137" s="9" t="s">
        <v>4944</v>
      </c>
      <c r="F137" s="9" t="s">
        <v>4945</v>
      </c>
      <c r="G137" s="9" t="s">
        <v>6106</v>
      </c>
      <c r="H137" s="9" t="s">
        <v>64</v>
      </c>
      <c r="I137" s="9"/>
      <c r="J137" s="9"/>
      <c r="K137" s="9"/>
      <c r="L137" s="9"/>
      <c r="M137" s="9" t="s">
        <v>4946</v>
      </c>
      <c r="N137" s="9"/>
      <c r="O137" s="9" t="s">
        <v>4947</v>
      </c>
      <c r="P137" s="9" t="str">
        <f>HYPERLINK("https://ceds.ed.gov/cedselementdetails.aspx?termid=13856")</f>
        <v>https://ceds.ed.gov/cedselementdetails.aspx?termid=13856</v>
      </c>
      <c r="Q137" s="9" t="str">
        <f>HYPERLINK("https://ceds.ed.gov/elementComment.aspx?elementName=Program Provides Parent Education &amp;elementID=13856", "Click here to submit comment")</f>
        <v>Click here to submit comment</v>
      </c>
    </row>
    <row r="138" spans="1:17" ht="150" x14ac:dyDescent="0.25">
      <c r="A138" s="9" t="s">
        <v>6739</v>
      </c>
      <c r="B138" s="9" t="s">
        <v>6779</v>
      </c>
      <c r="C138" s="9" t="s">
        <v>6796</v>
      </c>
      <c r="D138" s="9" t="s">
        <v>6742</v>
      </c>
      <c r="E138" s="9" t="s">
        <v>4521</v>
      </c>
      <c r="F138" s="9" t="s">
        <v>4522</v>
      </c>
      <c r="G138" s="10" t="s">
        <v>6632</v>
      </c>
      <c r="H138" s="9" t="s">
        <v>64</v>
      </c>
      <c r="I138" s="9"/>
      <c r="J138" s="9"/>
      <c r="K138" s="9"/>
      <c r="L138" s="9"/>
      <c r="M138" s="9" t="s">
        <v>4523</v>
      </c>
      <c r="N138" s="9"/>
      <c r="O138" s="9" t="s">
        <v>4524</v>
      </c>
      <c r="P138" s="9" t="str">
        <f>HYPERLINK("https://ceds.ed.gov/cedselementdetails.aspx?termid=13857")</f>
        <v>https://ceds.ed.gov/cedselementdetails.aspx?termid=13857</v>
      </c>
      <c r="Q138" s="9" t="str">
        <f>HYPERLINK("https://ceds.ed.gov/elementComment.aspx?elementName=Parent Communication Method &amp;elementID=13857", "Click here to submit comment")</f>
        <v>Click here to submit comment</v>
      </c>
    </row>
    <row r="139" spans="1:17" ht="45" x14ac:dyDescent="0.25">
      <c r="A139" s="9" t="s">
        <v>6739</v>
      </c>
      <c r="B139" s="9" t="s">
        <v>6779</v>
      </c>
      <c r="C139" s="9" t="s">
        <v>6796</v>
      </c>
      <c r="D139" s="9" t="s">
        <v>6742</v>
      </c>
      <c r="E139" s="9" t="s">
        <v>12207</v>
      </c>
      <c r="F139" s="9" t="s">
        <v>1383</v>
      </c>
      <c r="G139" s="9" t="s">
        <v>6106</v>
      </c>
      <c r="H139" s="9" t="s">
        <v>64</v>
      </c>
      <c r="I139" s="9"/>
      <c r="J139" s="9"/>
      <c r="K139" s="9"/>
      <c r="L139" s="9"/>
      <c r="M139" s="9" t="s">
        <v>1385</v>
      </c>
      <c r="N139" s="9"/>
      <c r="O139" s="9" t="s">
        <v>1386</v>
      </c>
      <c r="P139" s="9" t="str">
        <f>HYPERLINK("https://ceds.ed.gov/cedselementdetails.aspx?termid=13858")</f>
        <v>https://ceds.ed.gov/cedselementdetails.aspx?termid=13858</v>
      </c>
      <c r="Q139" s="9" t="str">
        <f>HYPERLINK("https://ceds.ed.gov/elementComment.aspx?elementName=Assessment Shared with Parents &amp;elementID=13858", "Click here to submit comment")</f>
        <v>Click here to submit comment</v>
      </c>
    </row>
    <row r="140" spans="1:17" ht="195" x14ac:dyDescent="0.25">
      <c r="A140" s="9" t="s">
        <v>6739</v>
      </c>
      <c r="B140" s="9" t="s">
        <v>6740</v>
      </c>
      <c r="C140" s="9" t="s">
        <v>6741</v>
      </c>
      <c r="D140" s="9" t="s">
        <v>6742</v>
      </c>
      <c r="E140" s="9" t="s">
        <v>2935</v>
      </c>
      <c r="F140" s="9" t="s">
        <v>2936</v>
      </c>
      <c r="G140" s="9" t="s">
        <v>12</v>
      </c>
      <c r="H140" s="9" t="s">
        <v>6211</v>
      </c>
      <c r="I140" s="9"/>
      <c r="J140" s="9" t="s">
        <v>1310</v>
      </c>
      <c r="K140" s="9"/>
      <c r="L140" s="9" t="s">
        <v>2937</v>
      </c>
      <c r="M140" s="9" t="s">
        <v>2938</v>
      </c>
      <c r="N140" s="9"/>
      <c r="O140" s="9" t="s">
        <v>2939</v>
      </c>
      <c r="P140" s="9" t="str">
        <f>HYPERLINK("https://ceds.ed.gov/cedselementdetails.aspx?termid=13115")</f>
        <v>https://ceds.ed.gov/cedselementdetails.aspx?termid=13115</v>
      </c>
      <c r="Q140" s="9" t="str">
        <f>HYPERLINK("https://ceds.ed.gov/elementComment.aspx?elementName=First Name &amp;elementID=13115", "Click here to submit comment")</f>
        <v>Click here to submit comment</v>
      </c>
    </row>
    <row r="141" spans="1:17" ht="90" customHeight="1" x14ac:dyDescent="0.25">
      <c r="A141" s="18" t="s">
        <v>6739</v>
      </c>
      <c r="B141" s="18" t="s">
        <v>6740</v>
      </c>
      <c r="C141" s="18" t="s">
        <v>6741</v>
      </c>
      <c r="D141" s="18" t="s">
        <v>6742</v>
      </c>
      <c r="E141" s="18" t="s">
        <v>4183</v>
      </c>
      <c r="F141" s="18" t="s">
        <v>4184</v>
      </c>
      <c r="G141" s="18" t="s">
        <v>12</v>
      </c>
      <c r="H141" s="18" t="s">
        <v>6211</v>
      </c>
      <c r="I141" s="18"/>
      <c r="J141" s="18" t="s">
        <v>1310</v>
      </c>
      <c r="K141" s="18"/>
      <c r="L141" s="9" t="s">
        <v>2996</v>
      </c>
      <c r="M141" s="18" t="s">
        <v>4185</v>
      </c>
      <c r="N141" s="18"/>
      <c r="O141" s="18" t="s">
        <v>4186</v>
      </c>
      <c r="P141" s="18" t="str">
        <f>HYPERLINK("https://ceds.ed.gov/cedselementdetails.aspx?termid=13184")</f>
        <v>https://ceds.ed.gov/cedselementdetails.aspx?termid=13184</v>
      </c>
      <c r="Q141" s="18" t="str">
        <f>HYPERLINK("https://ceds.ed.gov/elementComment.aspx?elementName=Middle Name &amp;elementID=13184", "Click here to submit comment")</f>
        <v>Click here to submit comment</v>
      </c>
    </row>
    <row r="142" spans="1:17" ht="90" x14ac:dyDescent="0.25">
      <c r="A142" s="18"/>
      <c r="B142" s="18"/>
      <c r="C142" s="18"/>
      <c r="D142" s="18"/>
      <c r="E142" s="18"/>
      <c r="F142" s="18"/>
      <c r="G142" s="18"/>
      <c r="H142" s="18"/>
      <c r="I142" s="18"/>
      <c r="J142" s="18"/>
      <c r="K142" s="18"/>
      <c r="L142" s="9" t="s">
        <v>2997</v>
      </c>
      <c r="M142" s="18"/>
      <c r="N142" s="18"/>
      <c r="O142" s="18"/>
      <c r="P142" s="18"/>
      <c r="Q142" s="18"/>
    </row>
    <row r="143" spans="1:17" ht="90" customHeight="1" x14ac:dyDescent="0.25">
      <c r="A143" s="18" t="s">
        <v>6739</v>
      </c>
      <c r="B143" s="18" t="s">
        <v>6740</v>
      </c>
      <c r="C143" s="18" t="s">
        <v>6741</v>
      </c>
      <c r="D143" s="18" t="s">
        <v>6742</v>
      </c>
      <c r="E143" s="18" t="s">
        <v>3597</v>
      </c>
      <c r="F143" s="18" t="s">
        <v>3598</v>
      </c>
      <c r="G143" s="18" t="s">
        <v>12</v>
      </c>
      <c r="H143" s="18" t="s">
        <v>6211</v>
      </c>
      <c r="I143" s="18"/>
      <c r="J143" s="18" t="s">
        <v>1310</v>
      </c>
      <c r="K143" s="18"/>
      <c r="L143" s="9" t="s">
        <v>2996</v>
      </c>
      <c r="M143" s="18" t="s">
        <v>3599</v>
      </c>
      <c r="N143" s="18" t="s">
        <v>3600</v>
      </c>
      <c r="O143" s="18" t="s">
        <v>3601</v>
      </c>
      <c r="P143" s="18" t="str">
        <f>HYPERLINK("https://ceds.ed.gov/cedselementdetails.aspx?termid=13172")</f>
        <v>https://ceds.ed.gov/cedselementdetails.aspx?termid=13172</v>
      </c>
      <c r="Q143" s="18" t="str">
        <f>HYPERLINK("https://ceds.ed.gov/elementComment.aspx?elementName=Last or Surname &amp;elementID=13172", "Click here to submit comment")</f>
        <v>Click here to submit comment</v>
      </c>
    </row>
    <row r="144" spans="1:17" ht="90" x14ac:dyDescent="0.25">
      <c r="A144" s="18"/>
      <c r="B144" s="18"/>
      <c r="C144" s="18"/>
      <c r="D144" s="18"/>
      <c r="E144" s="18"/>
      <c r="F144" s="18"/>
      <c r="G144" s="18"/>
      <c r="H144" s="18"/>
      <c r="I144" s="18"/>
      <c r="J144" s="18"/>
      <c r="K144" s="18"/>
      <c r="L144" s="9" t="s">
        <v>2997</v>
      </c>
      <c r="M144" s="18"/>
      <c r="N144" s="18"/>
      <c r="O144" s="18"/>
      <c r="P144" s="18"/>
      <c r="Q144" s="18"/>
    </row>
    <row r="145" spans="1:17" ht="45" customHeight="1" x14ac:dyDescent="0.25">
      <c r="A145" s="18" t="s">
        <v>6739</v>
      </c>
      <c r="B145" s="18" t="s">
        <v>6740</v>
      </c>
      <c r="C145" s="18" t="s">
        <v>6741</v>
      </c>
      <c r="D145" s="18" t="s">
        <v>6742</v>
      </c>
      <c r="E145" s="18" t="s">
        <v>2994</v>
      </c>
      <c r="F145" s="18" t="s">
        <v>2995</v>
      </c>
      <c r="G145" s="18" t="s">
        <v>12</v>
      </c>
      <c r="H145" s="18" t="s">
        <v>6212</v>
      </c>
      <c r="I145" s="18"/>
      <c r="J145" s="18" t="s">
        <v>2088</v>
      </c>
      <c r="K145" s="18"/>
      <c r="L145" s="9" t="s">
        <v>2996</v>
      </c>
      <c r="M145" s="18" t="s">
        <v>2998</v>
      </c>
      <c r="N145" s="18"/>
      <c r="O145" s="18" t="s">
        <v>2999</v>
      </c>
      <c r="P145" s="18" t="str">
        <f>HYPERLINK("https://ceds.ed.gov/cedselementdetails.aspx?termid=13121")</f>
        <v>https://ceds.ed.gov/cedselementdetails.aspx?termid=13121</v>
      </c>
      <c r="Q145" s="18" t="str">
        <f>HYPERLINK("https://ceds.ed.gov/elementComment.aspx?elementName=Generation Code or Suffix &amp;elementID=13121", "Click here to submit comment")</f>
        <v>Click here to submit comment</v>
      </c>
    </row>
    <row r="146" spans="1:17" ht="90" x14ac:dyDescent="0.25">
      <c r="A146" s="18"/>
      <c r="B146" s="18"/>
      <c r="C146" s="18"/>
      <c r="D146" s="18"/>
      <c r="E146" s="18"/>
      <c r="F146" s="18"/>
      <c r="G146" s="18"/>
      <c r="H146" s="18"/>
      <c r="I146" s="18"/>
      <c r="J146" s="18"/>
      <c r="K146" s="18"/>
      <c r="L146" s="9" t="s">
        <v>2997</v>
      </c>
      <c r="M146" s="18"/>
      <c r="N146" s="18"/>
      <c r="O146" s="18"/>
      <c r="P146" s="18"/>
      <c r="Q146" s="18"/>
    </row>
    <row r="147" spans="1:17" ht="165" x14ac:dyDescent="0.25">
      <c r="A147" s="9" t="s">
        <v>6739</v>
      </c>
      <c r="B147" s="9" t="s">
        <v>6740</v>
      </c>
      <c r="C147" s="9" t="s">
        <v>6743</v>
      </c>
      <c r="D147" s="9" t="s">
        <v>6742</v>
      </c>
      <c r="E147" s="9" t="s">
        <v>4500</v>
      </c>
      <c r="F147" s="9" t="s">
        <v>4501</v>
      </c>
      <c r="G147" s="10" t="s">
        <v>6630</v>
      </c>
      <c r="H147" s="9" t="s">
        <v>6251</v>
      </c>
      <c r="I147" s="9"/>
      <c r="J147" s="9" t="s">
        <v>87</v>
      </c>
      <c r="K147" s="9"/>
      <c r="L147" s="9"/>
      <c r="M147" s="9" t="s">
        <v>4502</v>
      </c>
      <c r="N147" s="9"/>
      <c r="O147" s="9" t="s">
        <v>4503</v>
      </c>
      <c r="P147" s="9" t="str">
        <f>HYPERLINK("https://ceds.ed.gov/cedselementdetails.aspx?termid=13627")</f>
        <v>https://ceds.ed.gov/cedselementdetails.aspx?termid=13627</v>
      </c>
      <c r="Q147" s="9" t="str">
        <f>HYPERLINK("https://ceds.ed.gov/elementComment.aspx?elementName=Other Name Type &amp;elementID=13627", "Click here to submit comment")</f>
        <v>Click here to submit comment</v>
      </c>
    </row>
    <row r="148" spans="1:17" ht="45" x14ac:dyDescent="0.25">
      <c r="A148" s="9" t="s">
        <v>6739</v>
      </c>
      <c r="B148" s="9" t="s">
        <v>6740</v>
      </c>
      <c r="C148" s="9" t="s">
        <v>6743</v>
      </c>
      <c r="D148" s="9" t="s">
        <v>6742</v>
      </c>
      <c r="E148" s="9" t="s">
        <v>4481</v>
      </c>
      <c r="F148" s="9" t="s">
        <v>4482</v>
      </c>
      <c r="G148" s="9" t="s">
        <v>12</v>
      </c>
      <c r="H148" s="9"/>
      <c r="I148" s="9"/>
      <c r="J148" s="9" t="s">
        <v>1310</v>
      </c>
      <c r="K148" s="9"/>
      <c r="L148" s="9" t="s">
        <v>4483</v>
      </c>
      <c r="M148" s="9" t="s">
        <v>4484</v>
      </c>
      <c r="N148" s="9"/>
      <c r="O148" s="9" t="s">
        <v>4485</v>
      </c>
      <c r="P148" s="9" t="str">
        <f>HYPERLINK("https://ceds.ed.gov/cedselementdetails.aspx?termid=14486")</f>
        <v>https://ceds.ed.gov/cedselementdetails.aspx?termid=14486</v>
      </c>
      <c r="Q148" s="9" t="str">
        <f>HYPERLINK("https://ceds.ed.gov/elementComment.aspx?elementName=Other First Name &amp;elementID=14486", "Click here to submit comment")</f>
        <v>Click here to submit comment</v>
      </c>
    </row>
    <row r="149" spans="1:17" ht="45" x14ac:dyDescent="0.25">
      <c r="A149" s="9" t="s">
        <v>6739</v>
      </c>
      <c r="B149" s="9" t="s">
        <v>6740</v>
      </c>
      <c r="C149" s="9" t="s">
        <v>6743</v>
      </c>
      <c r="D149" s="9" t="s">
        <v>6742</v>
      </c>
      <c r="E149" s="9" t="s">
        <v>4491</v>
      </c>
      <c r="F149" s="9" t="s">
        <v>4492</v>
      </c>
      <c r="G149" s="9" t="s">
        <v>12</v>
      </c>
      <c r="H149" s="9"/>
      <c r="I149" s="9"/>
      <c r="J149" s="9" t="s">
        <v>1310</v>
      </c>
      <c r="K149" s="9"/>
      <c r="L149" s="9" t="s">
        <v>4493</v>
      </c>
      <c r="M149" s="9" t="s">
        <v>4494</v>
      </c>
      <c r="N149" s="9"/>
      <c r="O149" s="9" t="s">
        <v>4495</v>
      </c>
      <c r="P149" s="9" t="str">
        <f>HYPERLINK("https://ceds.ed.gov/cedselementdetails.aspx?termid=14487")</f>
        <v>https://ceds.ed.gov/cedselementdetails.aspx?termid=14487</v>
      </c>
      <c r="Q149" s="9" t="str">
        <f>HYPERLINK("https://ceds.ed.gov/elementComment.aspx?elementName=Other Middle Name &amp;elementID=14487", "Click here to submit comment")</f>
        <v>Click here to submit comment</v>
      </c>
    </row>
    <row r="150" spans="1:17" ht="45" x14ac:dyDescent="0.25">
      <c r="A150" s="9" t="s">
        <v>6739</v>
      </c>
      <c r="B150" s="9" t="s">
        <v>6740</v>
      </c>
      <c r="C150" s="9" t="s">
        <v>6743</v>
      </c>
      <c r="D150" s="9" t="s">
        <v>6742</v>
      </c>
      <c r="E150" s="9" t="s">
        <v>4486</v>
      </c>
      <c r="F150" s="9" t="s">
        <v>4487</v>
      </c>
      <c r="G150" s="9" t="s">
        <v>12</v>
      </c>
      <c r="H150" s="9"/>
      <c r="I150" s="9"/>
      <c r="J150" s="9" t="s">
        <v>1310</v>
      </c>
      <c r="K150" s="9"/>
      <c r="L150" s="9" t="s">
        <v>4488</v>
      </c>
      <c r="M150" s="9" t="s">
        <v>4489</v>
      </c>
      <c r="N150" s="9"/>
      <c r="O150" s="9" t="s">
        <v>4490</v>
      </c>
      <c r="P150" s="9" t="str">
        <f>HYPERLINK("https://ceds.ed.gov/cedselementdetails.aspx?termid=14485")</f>
        <v>https://ceds.ed.gov/cedselementdetails.aspx?termid=14485</v>
      </c>
      <c r="Q150" s="9" t="str">
        <f>HYPERLINK("https://ceds.ed.gov/elementComment.aspx?elementName=Other Last Name &amp;elementID=14485", "Click here to submit comment")</f>
        <v>Click here to submit comment</v>
      </c>
    </row>
    <row r="151" spans="1:17" ht="150" x14ac:dyDescent="0.25">
      <c r="A151" s="9" t="s">
        <v>6739</v>
      </c>
      <c r="B151" s="9" t="s">
        <v>6740</v>
      </c>
      <c r="C151" s="9" t="s">
        <v>6743</v>
      </c>
      <c r="D151" s="9" t="s">
        <v>6742</v>
      </c>
      <c r="E151" s="9" t="s">
        <v>4496</v>
      </c>
      <c r="F151" s="9" t="s">
        <v>4497</v>
      </c>
      <c r="G151" s="9" t="s">
        <v>12</v>
      </c>
      <c r="H151" s="9" t="s">
        <v>6212</v>
      </c>
      <c r="I151" s="9"/>
      <c r="J151" s="9" t="s">
        <v>119</v>
      </c>
      <c r="K151" s="9"/>
      <c r="L151" s="9"/>
      <c r="M151" s="9" t="s">
        <v>4498</v>
      </c>
      <c r="N151" s="9"/>
      <c r="O151" s="9" t="s">
        <v>4499</v>
      </c>
      <c r="P151" s="9" t="str">
        <f>HYPERLINK("https://ceds.ed.gov/cedselementdetails.aspx?termid=13206")</f>
        <v>https://ceds.ed.gov/cedselementdetails.aspx?termid=13206</v>
      </c>
      <c r="Q151" s="9" t="str">
        <f>HYPERLINK("https://ceds.ed.gov/elementComment.aspx?elementName=Other Name &amp;elementID=13206", "Click here to submit comment")</f>
        <v>Click here to submit comment</v>
      </c>
    </row>
    <row r="152" spans="1:17" ht="105" x14ac:dyDescent="0.25">
      <c r="A152" s="18" t="s">
        <v>6739</v>
      </c>
      <c r="B152" s="18" t="s">
        <v>6740</v>
      </c>
      <c r="C152" s="18" t="s">
        <v>6744</v>
      </c>
      <c r="D152" s="18" t="s">
        <v>6742</v>
      </c>
      <c r="E152" s="18" t="s">
        <v>1719</v>
      </c>
      <c r="F152" s="18" t="s">
        <v>1720</v>
      </c>
      <c r="G152" s="18" t="s">
        <v>12</v>
      </c>
      <c r="H152" s="18" t="s">
        <v>6165</v>
      </c>
      <c r="I152" s="18"/>
      <c r="J152" s="18" t="s">
        <v>119</v>
      </c>
      <c r="K152" s="18"/>
      <c r="L152" s="9" t="s">
        <v>120</v>
      </c>
      <c r="M152" s="18" t="s">
        <v>1721</v>
      </c>
      <c r="N152" s="18"/>
      <c r="O152" s="18" t="s">
        <v>1722</v>
      </c>
      <c r="P152" s="18" t="str">
        <f>HYPERLINK("https://ceds.ed.gov/cedselementdetails.aspx?termid=13781")</f>
        <v>https://ceds.ed.gov/cedselementdetails.aspx?termid=13781</v>
      </c>
      <c r="Q152" s="18" t="str">
        <f>HYPERLINK("https://ceds.ed.gov/elementComment.aspx?elementName=Child Identifier &amp;elementID=13781", "Click here to submit comment")</f>
        <v>Click here to submit comment</v>
      </c>
    </row>
    <row r="153" spans="1:17" x14ac:dyDescent="0.25">
      <c r="A153" s="18"/>
      <c r="B153" s="18"/>
      <c r="C153" s="18"/>
      <c r="D153" s="18"/>
      <c r="E153" s="18"/>
      <c r="F153" s="18"/>
      <c r="G153" s="18"/>
      <c r="H153" s="18"/>
      <c r="I153" s="18"/>
      <c r="J153" s="18"/>
      <c r="K153" s="18"/>
      <c r="L153" s="9"/>
      <c r="M153" s="18"/>
      <c r="N153" s="18"/>
      <c r="O153" s="18"/>
      <c r="P153" s="18"/>
      <c r="Q153" s="18"/>
    </row>
    <row r="154" spans="1:17" ht="90" x14ac:dyDescent="0.25">
      <c r="A154" s="18"/>
      <c r="B154" s="18"/>
      <c r="C154" s="18"/>
      <c r="D154" s="18"/>
      <c r="E154" s="18"/>
      <c r="F154" s="18"/>
      <c r="G154" s="18"/>
      <c r="H154" s="18"/>
      <c r="I154" s="18"/>
      <c r="J154" s="18"/>
      <c r="K154" s="18"/>
      <c r="L154" s="9" t="s">
        <v>121</v>
      </c>
      <c r="M154" s="18"/>
      <c r="N154" s="18"/>
      <c r="O154" s="18"/>
      <c r="P154" s="18"/>
      <c r="Q154" s="18"/>
    </row>
    <row r="155" spans="1:17" ht="225" x14ac:dyDescent="0.25">
      <c r="A155" s="9" t="s">
        <v>6739</v>
      </c>
      <c r="B155" s="9" t="s">
        <v>6740</v>
      </c>
      <c r="C155" s="9" t="s">
        <v>6744</v>
      </c>
      <c r="D155" s="9" t="s">
        <v>6742</v>
      </c>
      <c r="E155" s="9" t="s">
        <v>1715</v>
      </c>
      <c r="F155" s="9" t="s">
        <v>1716</v>
      </c>
      <c r="G155" s="10" t="s">
        <v>6405</v>
      </c>
      <c r="H155" s="9" t="s">
        <v>6165</v>
      </c>
      <c r="I155" s="9"/>
      <c r="J155" s="9"/>
      <c r="K155" s="9"/>
      <c r="L155" s="9"/>
      <c r="M155" s="9" t="s">
        <v>1717</v>
      </c>
      <c r="N155" s="9"/>
      <c r="O155" s="9" t="s">
        <v>1718</v>
      </c>
      <c r="P155" s="9" t="str">
        <f>HYPERLINK("https://ceds.ed.gov/cedselementdetails.aspx?termid=13782")</f>
        <v>https://ceds.ed.gov/cedselementdetails.aspx?termid=13782</v>
      </c>
      <c r="Q155" s="9" t="str">
        <f>HYPERLINK("https://ceds.ed.gov/elementComment.aspx?elementName=Child Identification System &amp;elementID=13782", "Click here to submit comment")</f>
        <v>Click here to submit comment</v>
      </c>
    </row>
    <row r="156" spans="1:17" ht="255" x14ac:dyDescent="0.25">
      <c r="A156" s="9" t="s">
        <v>6739</v>
      </c>
      <c r="B156" s="9" t="s">
        <v>6740</v>
      </c>
      <c r="C156" s="9" t="s">
        <v>6744</v>
      </c>
      <c r="D156" s="9" t="s">
        <v>6742</v>
      </c>
      <c r="E156" s="9" t="s">
        <v>4606</v>
      </c>
      <c r="F156" s="9" t="s">
        <v>4607</v>
      </c>
      <c r="G156" s="10" t="s">
        <v>6637</v>
      </c>
      <c r="H156" s="9"/>
      <c r="I156" s="9"/>
      <c r="J156" s="9"/>
      <c r="K156" s="9"/>
      <c r="L156" s="9"/>
      <c r="M156" s="9" t="s">
        <v>4608</v>
      </c>
      <c r="N156" s="9"/>
      <c r="O156" s="9" t="s">
        <v>4609</v>
      </c>
      <c r="P156" s="9" t="str">
        <f>HYPERLINK("https://ceds.ed.gov/cedselementdetails.aspx?termid=13611")</f>
        <v>https://ceds.ed.gov/cedselementdetails.aspx?termid=13611</v>
      </c>
      <c r="Q156" s="9" t="str">
        <f>HYPERLINK("https://ceds.ed.gov/elementComment.aspx?elementName=Personal Information Verification &amp;elementID=13611", "Click here to submit comment")</f>
        <v>Click here to submit comment</v>
      </c>
    </row>
    <row r="157" spans="1:17" ht="210" x14ac:dyDescent="0.25">
      <c r="A157" s="9" t="s">
        <v>6739</v>
      </c>
      <c r="B157" s="9" t="s">
        <v>6740</v>
      </c>
      <c r="C157" s="9" t="s">
        <v>6745</v>
      </c>
      <c r="D157" s="9" t="s">
        <v>6742</v>
      </c>
      <c r="E157" s="9" t="s">
        <v>170</v>
      </c>
      <c r="F157" s="9" t="s">
        <v>171</v>
      </c>
      <c r="G157" s="10" t="s">
        <v>6319</v>
      </c>
      <c r="H157" s="9" t="s">
        <v>6115</v>
      </c>
      <c r="I157" s="9"/>
      <c r="J157" s="9" t="s">
        <v>87</v>
      </c>
      <c r="K157" s="9"/>
      <c r="L157" s="9"/>
      <c r="M157" s="9" t="s">
        <v>172</v>
      </c>
      <c r="N157" s="9"/>
      <c r="O157" s="9" t="s">
        <v>173</v>
      </c>
      <c r="P157" s="9" t="str">
        <f>HYPERLINK("https://ceds.ed.gov/cedselementdetails.aspx?termid=13358")</f>
        <v>https://ceds.ed.gov/cedselementdetails.aspx?termid=13358</v>
      </c>
      <c r="Q157" s="9" t="str">
        <f>HYPERLINK("https://ceds.ed.gov/elementComment.aspx?elementName=Address Type for Learner or Family &amp;elementID=13358", "Click here to submit comment")</f>
        <v>Click here to submit comment</v>
      </c>
    </row>
    <row r="158" spans="1:17" ht="225" x14ac:dyDescent="0.25">
      <c r="A158" s="9" t="s">
        <v>6739</v>
      </c>
      <c r="B158" s="9" t="s">
        <v>6740</v>
      </c>
      <c r="C158" s="9" t="s">
        <v>6745</v>
      </c>
      <c r="D158" s="9" t="s">
        <v>6742</v>
      </c>
      <c r="E158" s="9" t="s">
        <v>166</v>
      </c>
      <c r="F158" s="9" t="s">
        <v>167</v>
      </c>
      <c r="G158" s="9" t="s">
        <v>12</v>
      </c>
      <c r="H158" s="9" t="s">
        <v>6113</v>
      </c>
      <c r="I158" s="9"/>
      <c r="J158" s="9" t="s">
        <v>119</v>
      </c>
      <c r="K158" s="9"/>
      <c r="L158" s="9"/>
      <c r="M158" s="9" t="s">
        <v>168</v>
      </c>
      <c r="N158" s="9"/>
      <c r="O158" s="9" t="s">
        <v>169</v>
      </c>
      <c r="P158" s="9" t="str">
        <f>HYPERLINK("https://ceds.ed.gov/cedselementdetails.aspx?termid=13269")</f>
        <v>https://ceds.ed.gov/cedselementdetails.aspx?termid=13269</v>
      </c>
      <c r="Q158" s="9" t="str">
        <f>HYPERLINK("https://ceds.ed.gov/elementComment.aspx?elementName=Address Street Number and Name &amp;elementID=13269", "Click here to submit comment")</f>
        <v>Click here to submit comment</v>
      </c>
    </row>
    <row r="159" spans="1:17" ht="225" x14ac:dyDescent="0.25">
      <c r="A159" s="9" t="s">
        <v>6739</v>
      </c>
      <c r="B159" s="9" t="s">
        <v>6740</v>
      </c>
      <c r="C159" s="9" t="s">
        <v>6745</v>
      </c>
      <c r="D159" s="9" t="s">
        <v>6742</v>
      </c>
      <c r="E159" s="9" t="s">
        <v>149</v>
      </c>
      <c r="F159" s="9" t="s">
        <v>150</v>
      </c>
      <c r="G159" s="9" t="s">
        <v>12</v>
      </c>
      <c r="H159" s="9" t="s">
        <v>6113</v>
      </c>
      <c r="I159" s="9"/>
      <c r="J159" s="9" t="s">
        <v>87</v>
      </c>
      <c r="K159" s="9"/>
      <c r="L159" s="9"/>
      <c r="M159" s="9" t="s">
        <v>151</v>
      </c>
      <c r="N159" s="9"/>
      <c r="O159" s="9" t="s">
        <v>152</v>
      </c>
      <c r="P159" s="9" t="str">
        <f>HYPERLINK("https://ceds.ed.gov/cedselementdetails.aspx?termid=13019")</f>
        <v>https://ceds.ed.gov/cedselementdetails.aspx?termid=13019</v>
      </c>
      <c r="Q159" s="9" t="str">
        <f>HYPERLINK("https://ceds.ed.gov/elementComment.aspx?elementName=Address Apartment Room or Suite Number &amp;elementID=13019", "Click here to submit comment")</f>
        <v>Click here to submit comment</v>
      </c>
    </row>
    <row r="160" spans="1:17" ht="225" x14ac:dyDescent="0.25">
      <c r="A160" s="9" t="s">
        <v>6739</v>
      </c>
      <c r="B160" s="9" t="s">
        <v>6740</v>
      </c>
      <c r="C160" s="9" t="s">
        <v>6745</v>
      </c>
      <c r="D160" s="9" t="s">
        <v>6742</v>
      </c>
      <c r="E160" s="9" t="s">
        <v>153</v>
      </c>
      <c r="F160" s="9" t="s">
        <v>154</v>
      </c>
      <c r="G160" s="9" t="s">
        <v>12</v>
      </c>
      <c r="H160" s="9" t="s">
        <v>6113</v>
      </c>
      <c r="I160" s="9"/>
      <c r="J160" s="9" t="s">
        <v>87</v>
      </c>
      <c r="K160" s="9"/>
      <c r="L160" s="9"/>
      <c r="M160" s="9" t="s">
        <v>155</v>
      </c>
      <c r="N160" s="9"/>
      <c r="O160" s="9" t="s">
        <v>156</v>
      </c>
      <c r="P160" s="9" t="str">
        <f>HYPERLINK("https://ceds.ed.gov/cedselementdetails.aspx?termid=13040")</f>
        <v>https://ceds.ed.gov/cedselementdetails.aspx?termid=13040</v>
      </c>
      <c r="Q160" s="9" t="str">
        <f>HYPERLINK("https://ceds.ed.gov/elementComment.aspx?elementName=Address City &amp;elementID=13040", "Click here to submit comment")</f>
        <v>Click here to submit comment</v>
      </c>
    </row>
    <row r="161" spans="1:17" ht="409.5" x14ac:dyDescent="0.25">
      <c r="A161" s="9" t="s">
        <v>6739</v>
      </c>
      <c r="B161" s="9" t="s">
        <v>6740</v>
      </c>
      <c r="C161" s="9" t="s">
        <v>6745</v>
      </c>
      <c r="D161" s="9" t="s">
        <v>6742</v>
      </c>
      <c r="E161" s="9" t="s">
        <v>5647</v>
      </c>
      <c r="F161" s="9" t="s">
        <v>5648</v>
      </c>
      <c r="G161" s="10" t="s">
        <v>6702</v>
      </c>
      <c r="H161" s="9" t="s">
        <v>6285</v>
      </c>
      <c r="I161" s="9"/>
      <c r="J161" s="9"/>
      <c r="K161" s="9"/>
      <c r="L161" s="9"/>
      <c r="M161" s="9" t="s">
        <v>5649</v>
      </c>
      <c r="N161" s="9"/>
      <c r="O161" s="9" t="s">
        <v>5650</v>
      </c>
      <c r="P161" s="9" t="str">
        <f>HYPERLINK("https://ceds.ed.gov/cedselementdetails.aspx?termid=13267")</f>
        <v>https://ceds.ed.gov/cedselementdetails.aspx?termid=13267</v>
      </c>
      <c r="Q161" s="9" t="str">
        <f>HYPERLINK("https://ceds.ed.gov/elementComment.aspx?elementName=State Abbreviation &amp;elementID=13267", "Click here to submit comment")</f>
        <v>Click here to submit comment</v>
      </c>
    </row>
    <row r="162" spans="1:17" ht="225" x14ac:dyDescent="0.25">
      <c r="A162" s="9" t="s">
        <v>6739</v>
      </c>
      <c r="B162" s="9" t="s">
        <v>6740</v>
      </c>
      <c r="C162" s="9" t="s">
        <v>6745</v>
      </c>
      <c r="D162" s="9" t="s">
        <v>6742</v>
      </c>
      <c r="E162" s="9" t="s">
        <v>161</v>
      </c>
      <c r="F162" s="9" t="s">
        <v>162</v>
      </c>
      <c r="G162" s="9" t="s">
        <v>12</v>
      </c>
      <c r="H162" s="9" t="s">
        <v>6113</v>
      </c>
      <c r="I162" s="9"/>
      <c r="J162" s="9" t="s">
        <v>163</v>
      </c>
      <c r="K162" s="9"/>
      <c r="L162" s="9"/>
      <c r="M162" s="9" t="s">
        <v>164</v>
      </c>
      <c r="N162" s="9"/>
      <c r="O162" s="9" t="s">
        <v>165</v>
      </c>
      <c r="P162" s="9" t="str">
        <f>HYPERLINK("https://ceds.ed.gov/cedselementdetails.aspx?termid=13214")</f>
        <v>https://ceds.ed.gov/cedselementdetails.aspx?termid=13214</v>
      </c>
      <c r="Q162" s="9" t="str">
        <f>HYPERLINK("https://ceds.ed.gov/elementComment.aspx?elementName=Address Postal Code &amp;elementID=13214", "Click here to submit comment")</f>
        <v>Click here to submit comment</v>
      </c>
    </row>
    <row r="163" spans="1:17" ht="225" x14ac:dyDescent="0.25">
      <c r="A163" s="9" t="s">
        <v>6739</v>
      </c>
      <c r="B163" s="9" t="s">
        <v>6740</v>
      </c>
      <c r="C163" s="9" t="s">
        <v>6745</v>
      </c>
      <c r="D163" s="9" t="s">
        <v>6742</v>
      </c>
      <c r="E163" s="9" t="s">
        <v>157</v>
      </c>
      <c r="F163" s="9" t="s">
        <v>158</v>
      </c>
      <c r="G163" s="9" t="s">
        <v>12</v>
      </c>
      <c r="H163" s="9" t="s">
        <v>6113</v>
      </c>
      <c r="I163" s="9"/>
      <c r="J163" s="9" t="s">
        <v>87</v>
      </c>
      <c r="K163" s="9"/>
      <c r="L163" s="9"/>
      <c r="M163" s="9" t="s">
        <v>159</v>
      </c>
      <c r="N163" s="9"/>
      <c r="O163" s="9" t="s">
        <v>160</v>
      </c>
      <c r="P163" s="9" t="str">
        <f>HYPERLINK("https://ceds.ed.gov/cedselementdetails.aspx?termid=13190")</f>
        <v>https://ceds.ed.gov/cedselementdetails.aspx?termid=13190</v>
      </c>
      <c r="Q163" s="9" t="str">
        <f>HYPERLINK("https://ceds.ed.gov/elementComment.aspx?elementName=Address County Name &amp;elementID=13190", "Click here to submit comment")</f>
        <v>Click here to submit comment</v>
      </c>
    </row>
    <row r="164" spans="1:17" ht="409.5" x14ac:dyDescent="0.25">
      <c r="A164" s="9" t="s">
        <v>6739</v>
      </c>
      <c r="B164" s="9" t="s">
        <v>6740</v>
      </c>
      <c r="C164" s="9" t="s">
        <v>6745</v>
      </c>
      <c r="D164" s="9" t="s">
        <v>6742</v>
      </c>
      <c r="E164" s="9" t="s">
        <v>1885</v>
      </c>
      <c r="F164" s="9" t="s">
        <v>1886</v>
      </c>
      <c r="G164" s="10" t="s">
        <v>11839</v>
      </c>
      <c r="H164" s="9" t="s">
        <v>6174</v>
      </c>
      <c r="I164" s="9"/>
      <c r="J164" s="9"/>
      <c r="K164" s="9"/>
      <c r="L164" s="11" t="s">
        <v>1887</v>
      </c>
      <c r="M164" s="9" t="s">
        <v>1888</v>
      </c>
      <c r="N164" s="9"/>
      <c r="O164" s="9" t="s">
        <v>1889</v>
      </c>
      <c r="P164" s="9" t="str">
        <f>HYPERLINK("https://ceds.ed.gov/cedselementdetails.aspx?termid=13050")</f>
        <v>https://ceds.ed.gov/cedselementdetails.aspx?termid=13050</v>
      </c>
      <c r="Q164" s="9" t="str">
        <f>HYPERLINK("https://ceds.ed.gov/elementComment.aspx?elementName=Country Code &amp;elementID=13050", "Click here to submit comment")</f>
        <v>Click here to submit comment</v>
      </c>
    </row>
    <row r="165" spans="1:17" ht="75" x14ac:dyDescent="0.25">
      <c r="A165" s="9" t="s">
        <v>6739</v>
      </c>
      <c r="B165" s="9" t="s">
        <v>6740</v>
      </c>
      <c r="C165" s="9" t="s">
        <v>6745</v>
      </c>
      <c r="D165" s="9" t="s">
        <v>6742</v>
      </c>
      <c r="E165" s="9" t="s">
        <v>3606</v>
      </c>
      <c r="F165" s="9" t="s">
        <v>3607</v>
      </c>
      <c r="G165" s="9" t="s">
        <v>12</v>
      </c>
      <c r="H165" s="9"/>
      <c r="I165" s="9"/>
      <c r="J165" s="9" t="s">
        <v>1165</v>
      </c>
      <c r="K165" s="9"/>
      <c r="L165" s="9"/>
      <c r="M165" s="9" t="s">
        <v>3608</v>
      </c>
      <c r="N165" s="9"/>
      <c r="O165" s="9" t="s">
        <v>3606</v>
      </c>
      <c r="P165" s="9" t="str">
        <f>HYPERLINK("https://ceds.ed.gov/cedselementdetails.aspx?termid=13599")</f>
        <v>https://ceds.ed.gov/cedselementdetails.aspx?termid=13599</v>
      </c>
      <c r="Q165" s="9" t="str">
        <f>HYPERLINK("https://ceds.ed.gov/elementComment.aspx?elementName=Latitude &amp;elementID=13599", "Click here to submit comment")</f>
        <v>Click here to submit comment</v>
      </c>
    </row>
    <row r="166" spans="1:17" ht="75" x14ac:dyDescent="0.25">
      <c r="A166" s="9" t="s">
        <v>6739</v>
      </c>
      <c r="B166" s="9" t="s">
        <v>6740</v>
      </c>
      <c r="C166" s="9" t="s">
        <v>6745</v>
      </c>
      <c r="D166" s="9" t="s">
        <v>6742</v>
      </c>
      <c r="E166" s="9" t="s">
        <v>4139</v>
      </c>
      <c r="F166" s="9" t="s">
        <v>4140</v>
      </c>
      <c r="G166" s="9" t="s">
        <v>12</v>
      </c>
      <c r="H166" s="9"/>
      <c r="I166" s="9"/>
      <c r="J166" s="9" t="s">
        <v>1165</v>
      </c>
      <c r="K166" s="9"/>
      <c r="L166" s="9"/>
      <c r="M166" s="9" t="s">
        <v>4141</v>
      </c>
      <c r="N166" s="9"/>
      <c r="O166" s="9" t="s">
        <v>4139</v>
      </c>
      <c r="P166" s="9" t="str">
        <f>HYPERLINK("https://ceds.ed.gov/cedselementdetails.aspx?termid=13600")</f>
        <v>https://ceds.ed.gov/cedselementdetails.aspx?termid=13600</v>
      </c>
      <c r="Q166" s="9" t="str">
        <f>HYPERLINK("https://ceds.ed.gov/elementComment.aspx?elementName=Longitude &amp;elementID=13600", "Click here to submit comment")</f>
        <v>Click here to submit comment</v>
      </c>
    </row>
    <row r="167" spans="1:17" ht="90" x14ac:dyDescent="0.25">
      <c r="A167" s="9" t="s">
        <v>6739</v>
      </c>
      <c r="B167" s="9" t="s">
        <v>6740</v>
      </c>
      <c r="C167" s="9" t="s">
        <v>6747</v>
      </c>
      <c r="D167" s="9" t="s">
        <v>6742</v>
      </c>
      <c r="E167" s="9" t="s">
        <v>5849</v>
      </c>
      <c r="F167" s="9" t="s">
        <v>5850</v>
      </c>
      <c r="G167" s="9" t="s">
        <v>12</v>
      </c>
      <c r="H167" s="9" t="s">
        <v>6109</v>
      </c>
      <c r="I167" s="9"/>
      <c r="J167" s="9" t="s">
        <v>5851</v>
      </c>
      <c r="K167" s="9"/>
      <c r="L167" s="9"/>
      <c r="M167" s="9" t="s">
        <v>5852</v>
      </c>
      <c r="N167" s="9"/>
      <c r="O167" s="9" t="s">
        <v>5853</v>
      </c>
      <c r="P167" s="9" t="str">
        <f>HYPERLINK("https://ceds.ed.gov/cedselementdetails.aspx?termid=13279")</f>
        <v>https://ceds.ed.gov/cedselementdetails.aspx?termid=13279</v>
      </c>
      <c r="Q167" s="9" t="str">
        <f>HYPERLINK("https://ceds.ed.gov/elementComment.aspx?elementName=Telephone Number &amp;elementID=13279", "Click here to submit comment")</f>
        <v>Click here to submit comment</v>
      </c>
    </row>
    <row r="168" spans="1:17" ht="90" x14ac:dyDescent="0.25">
      <c r="A168" s="9" t="s">
        <v>6739</v>
      </c>
      <c r="B168" s="9" t="s">
        <v>6740</v>
      </c>
      <c r="C168" s="9" t="s">
        <v>6747</v>
      </c>
      <c r="D168" s="9" t="s">
        <v>6742</v>
      </c>
      <c r="E168" s="9" t="s">
        <v>5854</v>
      </c>
      <c r="F168" s="9" t="s">
        <v>5855</v>
      </c>
      <c r="G168" s="10" t="s">
        <v>6717</v>
      </c>
      <c r="H168" s="9" t="s">
        <v>6109</v>
      </c>
      <c r="I168" s="9"/>
      <c r="J168" s="9" t="s">
        <v>1900</v>
      </c>
      <c r="K168" s="9"/>
      <c r="L168" s="9"/>
      <c r="M168" s="9" t="s">
        <v>5856</v>
      </c>
      <c r="N168" s="9"/>
      <c r="O168" s="9" t="s">
        <v>5857</v>
      </c>
      <c r="P168" s="9" t="str">
        <f>HYPERLINK("https://ceds.ed.gov/cedselementdetails.aspx?termid=13280")</f>
        <v>https://ceds.ed.gov/cedselementdetails.aspx?termid=13280</v>
      </c>
      <c r="Q168" s="9" t="str">
        <f>HYPERLINK("https://ceds.ed.gov/elementComment.aspx?elementName=Telephone Number Type &amp;elementID=13280", "Click here to submit comment")</f>
        <v>Click here to submit comment</v>
      </c>
    </row>
    <row r="169" spans="1:17" ht="90" x14ac:dyDescent="0.25">
      <c r="A169" s="9" t="s">
        <v>6739</v>
      </c>
      <c r="B169" s="9" t="s">
        <v>6740</v>
      </c>
      <c r="C169" s="9" t="s">
        <v>6747</v>
      </c>
      <c r="D169" s="9" t="s">
        <v>6742</v>
      </c>
      <c r="E169" s="9" t="s">
        <v>4709</v>
      </c>
      <c r="F169" s="9" t="s">
        <v>4710</v>
      </c>
      <c r="G169" s="9" t="s">
        <v>6106</v>
      </c>
      <c r="H169" s="9" t="s">
        <v>6109</v>
      </c>
      <c r="I169" s="9"/>
      <c r="J169" s="9"/>
      <c r="K169" s="9"/>
      <c r="L169" s="9"/>
      <c r="M169" s="9" t="s">
        <v>4711</v>
      </c>
      <c r="N169" s="9"/>
      <c r="O169" s="9" t="s">
        <v>4712</v>
      </c>
      <c r="P169" s="9" t="str">
        <f>HYPERLINK("https://ceds.ed.gov/cedselementdetails.aspx?termid=13219")</f>
        <v>https://ceds.ed.gov/cedselementdetails.aspx?termid=13219</v>
      </c>
      <c r="Q169" s="9" t="str">
        <f>HYPERLINK("https://ceds.ed.gov/elementComment.aspx?elementName=Primary Telephone Number Indicator &amp;elementID=13219", "Click here to submit comment")</f>
        <v>Click here to submit comment</v>
      </c>
    </row>
    <row r="170" spans="1:17" ht="240" x14ac:dyDescent="0.25">
      <c r="A170" s="9" t="s">
        <v>6739</v>
      </c>
      <c r="B170" s="9" t="s">
        <v>6740</v>
      </c>
      <c r="C170" s="9" t="s">
        <v>6748</v>
      </c>
      <c r="D170" s="9" t="s">
        <v>6742</v>
      </c>
      <c r="E170" s="9" t="s">
        <v>1530</v>
      </c>
      <c r="F170" s="9" t="s">
        <v>1531</v>
      </c>
      <c r="G170" s="9" t="s">
        <v>12</v>
      </c>
      <c r="H170" s="9" t="s">
        <v>6151</v>
      </c>
      <c r="I170" s="9"/>
      <c r="J170" s="9" t="s">
        <v>73</v>
      </c>
      <c r="K170" s="9"/>
      <c r="L170" s="9"/>
      <c r="M170" s="9" t="s">
        <v>1532</v>
      </c>
      <c r="N170" s="9"/>
      <c r="O170" s="9" t="s">
        <v>1530</v>
      </c>
      <c r="P170" s="9" t="str">
        <f>HYPERLINK("https://ceds.ed.gov/cedselementdetails.aspx?termid=13033")</f>
        <v>https://ceds.ed.gov/cedselementdetails.aspx?termid=13033</v>
      </c>
      <c r="Q170" s="9" t="str">
        <f>HYPERLINK("https://ceds.ed.gov/elementComment.aspx?elementName=Birthdate &amp;elementID=13033", "Click here to submit comment")</f>
        <v>Click here to submit comment</v>
      </c>
    </row>
    <row r="171" spans="1:17" ht="255" x14ac:dyDescent="0.25">
      <c r="A171" s="9" t="s">
        <v>6739</v>
      </c>
      <c r="B171" s="9" t="s">
        <v>6740</v>
      </c>
      <c r="C171" s="9" t="s">
        <v>6748</v>
      </c>
      <c r="D171" s="9" t="s">
        <v>6742</v>
      </c>
      <c r="E171" s="9" t="s">
        <v>5468</v>
      </c>
      <c r="F171" s="9" t="s">
        <v>5469</v>
      </c>
      <c r="G171" s="10" t="s">
        <v>6694</v>
      </c>
      <c r="H171" s="9" t="s">
        <v>6277</v>
      </c>
      <c r="I171" s="9"/>
      <c r="J171" s="9"/>
      <c r="K171" s="9"/>
      <c r="L171" s="9" t="s">
        <v>5470</v>
      </c>
      <c r="M171" s="9" t="s">
        <v>5471</v>
      </c>
      <c r="N171" s="9"/>
      <c r="O171" s="9" t="s">
        <v>5468</v>
      </c>
      <c r="P171" s="9" t="str">
        <f>HYPERLINK("https://ceds.ed.gov/cedselementdetails.aspx?termid=13255")</f>
        <v>https://ceds.ed.gov/cedselementdetails.aspx?termid=13255</v>
      </c>
      <c r="Q171" s="9" t="str">
        <f>HYPERLINK("https://ceds.ed.gov/elementComment.aspx?elementName=Sex &amp;elementID=13255", "Click here to submit comment")</f>
        <v>Click here to submit comment</v>
      </c>
    </row>
    <row r="172" spans="1:17" ht="165" customHeight="1" x14ac:dyDescent="0.25">
      <c r="A172" s="18" t="s">
        <v>6739</v>
      </c>
      <c r="B172" s="18" t="s">
        <v>6740</v>
      </c>
      <c r="C172" s="18" t="s">
        <v>6748</v>
      </c>
      <c r="D172" s="18" t="s">
        <v>6742</v>
      </c>
      <c r="E172" s="18" t="s">
        <v>334</v>
      </c>
      <c r="F172" s="18" t="s">
        <v>335</v>
      </c>
      <c r="G172" s="19" t="s">
        <v>6342</v>
      </c>
      <c r="H172" s="18" t="s">
        <v>6121</v>
      </c>
      <c r="I172" s="18"/>
      <c r="J172" s="18"/>
      <c r="K172" s="18"/>
      <c r="L172" s="9" t="s">
        <v>336</v>
      </c>
      <c r="M172" s="18" t="s">
        <v>340</v>
      </c>
      <c r="N172" s="18"/>
      <c r="O172" s="18" t="s">
        <v>341</v>
      </c>
      <c r="P172" s="18" t="str">
        <f>HYPERLINK("https://ceds.ed.gov/cedselementdetails.aspx?termid=13655")</f>
        <v>https://ceds.ed.gov/cedselementdetails.aspx?termid=13655</v>
      </c>
      <c r="Q172" s="18" t="str">
        <f>HYPERLINK("https://ceds.ed.gov/elementComment.aspx?elementName=American Indian or Alaska Native &amp;elementID=13655", "Click here to submit comment")</f>
        <v>Click here to submit comment</v>
      </c>
    </row>
    <row r="173" spans="1:17" x14ac:dyDescent="0.25">
      <c r="A173" s="18"/>
      <c r="B173" s="18"/>
      <c r="C173" s="18"/>
      <c r="D173" s="18"/>
      <c r="E173" s="18"/>
      <c r="F173" s="18"/>
      <c r="G173" s="18"/>
      <c r="H173" s="18"/>
      <c r="I173" s="18"/>
      <c r="J173" s="18"/>
      <c r="K173" s="18"/>
      <c r="L173" s="9"/>
      <c r="M173" s="18"/>
      <c r="N173" s="18"/>
      <c r="O173" s="18"/>
      <c r="P173" s="18"/>
      <c r="Q173" s="18"/>
    </row>
    <row r="174" spans="1:17" x14ac:dyDescent="0.25">
      <c r="A174" s="18"/>
      <c r="B174" s="18"/>
      <c r="C174" s="18"/>
      <c r="D174" s="18"/>
      <c r="E174" s="18"/>
      <c r="F174" s="18"/>
      <c r="G174" s="18"/>
      <c r="H174" s="18"/>
      <c r="I174" s="18"/>
      <c r="J174" s="18"/>
      <c r="K174" s="18"/>
      <c r="L174" s="9" t="s">
        <v>337</v>
      </c>
      <c r="M174" s="18"/>
      <c r="N174" s="18"/>
      <c r="O174" s="18"/>
      <c r="P174" s="18"/>
      <c r="Q174" s="18"/>
    </row>
    <row r="175" spans="1:17" ht="30" x14ac:dyDescent="0.25">
      <c r="A175" s="18"/>
      <c r="B175" s="18"/>
      <c r="C175" s="18"/>
      <c r="D175" s="18"/>
      <c r="E175" s="18"/>
      <c r="F175" s="18"/>
      <c r="G175" s="18"/>
      <c r="H175" s="18"/>
      <c r="I175" s="18"/>
      <c r="J175" s="18"/>
      <c r="K175" s="18"/>
      <c r="L175" s="9" t="s">
        <v>338</v>
      </c>
      <c r="M175" s="18"/>
      <c r="N175" s="18"/>
      <c r="O175" s="18"/>
      <c r="P175" s="18"/>
      <c r="Q175" s="18"/>
    </row>
    <row r="176" spans="1:17" x14ac:dyDescent="0.25">
      <c r="A176" s="18"/>
      <c r="B176" s="18"/>
      <c r="C176" s="18"/>
      <c r="D176" s="18"/>
      <c r="E176" s="18"/>
      <c r="F176" s="18"/>
      <c r="G176" s="18"/>
      <c r="H176" s="18"/>
      <c r="I176" s="18"/>
      <c r="J176" s="18"/>
      <c r="K176" s="18"/>
      <c r="L176" s="9" t="s">
        <v>339</v>
      </c>
      <c r="M176" s="18"/>
      <c r="N176" s="18"/>
      <c r="O176" s="18"/>
      <c r="P176" s="18"/>
      <c r="Q176" s="18"/>
    </row>
    <row r="177" spans="1:17" ht="165" customHeight="1" x14ac:dyDescent="0.25">
      <c r="A177" s="18" t="s">
        <v>6739</v>
      </c>
      <c r="B177" s="18" t="s">
        <v>6740</v>
      </c>
      <c r="C177" s="18" t="s">
        <v>6748</v>
      </c>
      <c r="D177" s="18" t="s">
        <v>6742</v>
      </c>
      <c r="E177" s="18" t="s">
        <v>376</v>
      </c>
      <c r="F177" s="18" t="s">
        <v>377</v>
      </c>
      <c r="G177" s="19" t="s">
        <v>6342</v>
      </c>
      <c r="H177" s="18" t="s">
        <v>6121</v>
      </c>
      <c r="I177" s="18"/>
      <c r="J177" s="18"/>
      <c r="K177" s="18"/>
      <c r="L177" s="9" t="s">
        <v>336</v>
      </c>
      <c r="M177" s="18" t="s">
        <v>378</v>
      </c>
      <c r="N177" s="18"/>
      <c r="O177" s="18" t="s">
        <v>376</v>
      </c>
      <c r="P177" s="18" t="str">
        <f>HYPERLINK("https://ceds.ed.gov/cedselementdetails.aspx?termid=13656")</f>
        <v>https://ceds.ed.gov/cedselementdetails.aspx?termid=13656</v>
      </c>
      <c r="Q177" s="18" t="str">
        <f>HYPERLINK("https://ceds.ed.gov/elementComment.aspx?elementName=Asian &amp;elementID=13656", "Click here to submit comment")</f>
        <v>Click here to submit comment</v>
      </c>
    </row>
    <row r="178" spans="1:17" x14ac:dyDescent="0.25">
      <c r="A178" s="18"/>
      <c r="B178" s="18"/>
      <c r="C178" s="18"/>
      <c r="D178" s="18"/>
      <c r="E178" s="18"/>
      <c r="F178" s="18"/>
      <c r="G178" s="18"/>
      <c r="H178" s="18"/>
      <c r="I178" s="18"/>
      <c r="J178" s="18"/>
      <c r="K178" s="18"/>
      <c r="L178" s="9"/>
      <c r="M178" s="18"/>
      <c r="N178" s="18"/>
      <c r="O178" s="18"/>
      <c r="P178" s="18"/>
      <c r="Q178" s="18"/>
    </row>
    <row r="179" spans="1:17" x14ac:dyDescent="0.25">
      <c r="A179" s="18"/>
      <c r="B179" s="18"/>
      <c r="C179" s="18"/>
      <c r="D179" s="18"/>
      <c r="E179" s="18"/>
      <c r="F179" s="18"/>
      <c r="G179" s="18"/>
      <c r="H179" s="18"/>
      <c r="I179" s="18"/>
      <c r="J179" s="18"/>
      <c r="K179" s="18"/>
      <c r="L179" s="9" t="s">
        <v>337</v>
      </c>
      <c r="M179" s="18"/>
      <c r="N179" s="18"/>
      <c r="O179" s="18"/>
      <c r="P179" s="18"/>
      <c r="Q179" s="18"/>
    </row>
    <row r="180" spans="1:17" ht="30" x14ac:dyDescent="0.25">
      <c r="A180" s="18"/>
      <c r="B180" s="18"/>
      <c r="C180" s="18"/>
      <c r="D180" s="18"/>
      <c r="E180" s="18"/>
      <c r="F180" s="18"/>
      <c r="G180" s="18"/>
      <c r="H180" s="18"/>
      <c r="I180" s="18"/>
      <c r="J180" s="18"/>
      <c r="K180" s="18"/>
      <c r="L180" s="9" t="s">
        <v>338</v>
      </c>
      <c r="M180" s="18"/>
      <c r="N180" s="18"/>
      <c r="O180" s="18"/>
      <c r="P180" s="18"/>
      <c r="Q180" s="18"/>
    </row>
    <row r="181" spans="1:17" x14ac:dyDescent="0.25">
      <c r="A181" s="18"/>
      <c r="B181" s="18"/>
      <c r="C181" s="18"/>
      <c r="D181" s="18"/>
      <c r="E181" s="18"/>
      <c r="F181" s="18"/>
      <c r="G181" s="18"/>
      <c r="H181" s="18"/>
      <c r="I181" s="18"/>
      <c r="J181" s="18"/>
      <c r="K181" s="18"/>
      <c r="L181" s="9" t="s">
        <v>339</v>
      </c>
      <c r="M181" s="18"/>
      <c r="N181" s="18"/>
      <c r="O181" s="18"/>
      <c r="P181" s="18"/>
      <c r="Q181" s="18"/>
    </row>
    <row r="182" spans="1:17" ht="165" customHeight="1" x14ac:dyDescent="0.25">
      <c r="A182" s="18" t="s">
        <v>6739</v>
      </c>
      <c r="B182" s="18" t="s">
        <v>6740</v>
      </c>
      <c r="C182" s="18" t="s">
        <v>6748</v>
      </c>
      <c r="D182" s="18" t="s">
        <v>6742</v>
      </c>
      <c r="E182" s="18" t="s">
        <v>1538</v>
      </c>
      <c r="F182" s="18" t="s">
        <v>1539</v>
      </c>
      <c r="G182" s="19" t="s">
        <v>6342</v>
      </c>
      <c r="H182" s="18" t="s">
        <v>6121</v>
      </c>
      <c r="I182" s="18"/>
      <c r="J182" s="18"/>
      <c r="K182" s="18"/>
      <c r="L182" s="9" t="s">
        <v>336</v>
      </c>
      <c r="M182" s="18" t="s">
        <v>1540</v>
      </c>
      <c r="N182" s="18"/>
      <c r="O182" s="18" t="s">
        <v>1541</v>
      </c>
      <c r="P182" s="18" t="str">
        <f>HYPERLINK("https://ceds.ed.gov/cedselementdetails.aspx?termid=13657")</f>
        <v>https://ceds.ed.gov/cedselementdetails.aspx?termid=13657</v>
      </c>
      <c r="Q182" s="18" t="str">
        <f>HYPERLINK("https://ceds.ed.gov/elementComment.aspx?elementName=Black or African American &amp;elementID=13657", "Click here to submit comment")</f>
        <v>Click here to submit comment</v>
      </c>
    </row>
    <row r="183" spans="1:17" x14ac:dyDescent="0.25">
      <c r="A183" s="18"/>
      <c r="B183" s="18"/>
      <c r="C183" s="18"/>
      <c r="D183" s="18"/>
      <c r="E183" s="18"/>
      <c r="F183" s="18"/>
      <c r="G183" s="18"/>
      <c r="H183" s="18"/>
      <c r="I183" s="18"/>
      <c r="J183" s="18"/>
      <c r="K183" s="18"/>
      <c r="L183" s="9"/>
      <c r="M183" s="18"/>
      <c r="N183" s="18"/>
      <c r="O183" s="18"/>
      <c r="P183" s="18"/>
      <c r="Q183" s="18"/>
    </row>
    <row r="184" spans="1:17" x14ac:dyDescent="0.25">
      <c r="A184" s="18"/>
      <c r="B184" s="18"/>
      <c r="C184" s="18"/>
      <c r="D184" s="18"/>
      <c r="E184" s="18"/>
      <c r="F184" s="18"/>
      <c r="G184" s="18"/>
      <c r="H184" s="18"/>
      <c r="I184" s="18"/>
      <c r="J184" s="18"/>
      <c r="K184" s="18"/>
      <c r="L184" s="9" t="s">
        <v>337</v>
      </c>
      <c r="M184" s="18"/>
      <c r="N184" s="18"/>
      <c r="O184" s="18"/>
      <c r="P184" s="18"/>
      <c r="Q184" s="18"/>
    </row>
    <row r="185" spans="1:17" ht="30" x14ac:dyDescent="0.25">
      <c r="A185" s="18"/>
      <c r="B185" s="18"/>
      <c r="C185" s="18"/>
      <c r="D185" s="18"/>
      <c r="E185" s="18"/>
      <c r="F185" s="18"/>
      <c r="G185" s="18"/>
      <c r="H185" s="18"/>
      <c r="I185" s="18"/>
      <c r="J185" s="18"/>
      <c r="K185" s="18"/>
      <c r="L185" s="9" t="s">
        <v>338</v>
      </c>
      <c r="M185" s="18"/>
      <c r="N185" s="18"/>
      <c r="O185" s="18"/>
      <c r="P185" s="18"/>
      <c r="Q185" s="18"/>
    </row>
    <row r="186" spans="1:17" x14ac:dyDescent="0.25">
      <c r="A186" s="18"/>
      <c r="B186" s="18"/>
      <c r="C186" s="18"/>
      <c r="D186" s="18"/>
      <c r="E186" s="18"/>
      <c r="F186" s="18"/>
      <c r="G186" s="18"/>
      <c r="H186" s="18"/>
      <c r="I186" s="18"/>
      <c r="J186" s="18"/>
      <c r="K186" s="18"/>
      <c r="L186" s="9" t="s">
        <v>339</v>
      </c>
      <c r="M186" s="18"/>
      <c r="N186" s="18"/>
      <c r="O186" s="18"/>
      <c r="P186" s="18"/>
      <c r="Q186" s="18"/>
    </row>
    <row r="187" spans="1:17" ht="165" customHeight="1" x14ac:dyDescent="0.25">
      <c r="A187" s="18" t="s">
        <v>6739</v>
      </c>
      <c r="B187" s="18" t="s">
        <v>6740</v>
      </c>
      <c r="C187" s="18" t="s">
        <v>6748</v>
      </c>
      <c r="D187" s="18" t="s">
        <v>6742</v>
      </c>
      <c r="E187" s="18" t="s">
        <v>4314</v>
      </c>
      <c r="F187" s="18" t="s">
        <v>4315</v>
      </c>
      <c r="G187" s="19" t="s">
        <v>6342</v>
      </c>
      <c r="H187" s="18" t="s">
        <v>6121</v>
      </c>
      <c r="I187" s="18"/>
      <c r="J187" s="18"/>
      <c r="K187" s="18"/>
      <c r="L187" s="9" t="s">
        <v>336</v>
      </c>
      <c r="M187" s="18" t="s">
        <v>4316</v>
      </c>
      <c r="N187" s="18"/>
      <c r="O187" s="18" t="s">
        <v>4317</v>
      </c>
      <c r="P187" s="18" t="str">
        <f>HYPERLINK("https://ceds.ed.gov/cedselementdetails.aspx?termid=13658")</f>
        <v>https://ceds.ed.gov/cedselementdetails.aspx?termid=13658</v>
      </c>
      <c r="Q187" s="18" t="str">
        <f>HYPERLINK("https://ceds.ed.gov/elementComment.aspx?elementName=Native Hawaiian or Other Pacific Islander &amp;elementID=13658", "Click here to submit comment")</f>
        <v>Click here to submit comment</v>
      </c>
    </row>
    <row r="188" spans="1:17" x14ac:dyDescent="0.25">
      <c r="A188" s="18"/>
      <c r="B188" s="18"/>
      <c r="C188" s="18"/>
      <c r="D188" s="18"/>
      <c r="E188" s="18"/>
      <c r="F188" s="18"/>
      <c r="G188" s="18"/>
      <c r="H188" s="18"/>
      <c r="I188" s="18"/>
      <c r="J188" s="18"/>
      <c r="K188" s="18"/>
      <c r="L188" s="9"/>
      <c r="M188" s="18"/>
      <c r="N188" s="18"/>
      <c r="O188" s="18"/>
      <c r="P188" s="18"/>
      <c r="Q188" s="18"/>
    </row>
    <row r="189" spans="1:17" x14ac:dyDescent="0.25">
      <c r="A189" s="18"/>
      <c r="B189" s="18"/>
      <c r="C189" s="18"/>
      <c r="D189" s="18"/>
      <c r="E189" s="18"/>
      <c r="F189" s="18"/>
      <c r="G189" s="18"/>
      <c r="H189" s="18"/>
      <c r="I189" s="18"/>
      <c r="J189" s="18"/>
      <c r="K189" s="18"/>
      <c r="L189" s="9" t="s">
        <v>337</v>
      </c>
      <c r="M189" s="18"/>
      <c r="N189" s="18"/>
      <c r="O189" s="18"/>
      <c r="P189" s="18"/>
      <c r="Q189" s="18"/>
    </row>
    <row r="190" spans="1:17" ht="30" x14ac:dyDescent="0.25">
      <c r="A190" s="18"/>
      <c r="B190" s="18"/>
      <c r="C190" s="18"/>
      <c r="D190" s="18"/>
      <c r="E190" s="18"/>
      <c r="F190" s="18"/>
      <c r="G190" s="18"/>
      <c r="H190" s="18"/>
      <c r="I190" s="18"/>
      <c r="J190" s="18"/>
      <c r="K190" s="18"/>
      <c r="L190" s="9" t="s">
        <v>338</v>
      </c>
      <c r="M190" s="18"/>
      <c r="N190" s="18"/>
      <c r="O190" s="18"/>
      <c r="P190" s="18"/>
      <c r="Q190" s="18"/>
    </row>
    <row r="191" spans="1:17" x14ac:dyDescent="0.25">
      <c r="A191" s="18"/>
      <c r="B191" s="18"/>
      <c r="C191" s="18"/>
      <c r="D191" s="18"/>
      <c r="E191" s="18"/>
      <c r="F191" s="18"/>
      <c r="G191" s="18"/>
      <c r="H191" s="18"/>
      <c r="I191" s="18"/>
      <c r="J191" s="18"/>
      <c r="K191" s="18"/>
      <c r="L191" s="9" t="s">
        <v>339</v>
      </c>
      <c r="M191" s="18"/>
      <c r="N191" s="18"/>
      <c r="O191" s="18"/>
      <c r="P191" s="18"/>
      <c r="Q191" s="18"/>
    </row>
    <row r="192" spans="1:17" ht="165" customHeight="1" x14ac:dyDescent="0.25">
      <c r="A192" s="18" t="s">
        <v>6739</v>
      </c>
      <c r="B192" s="18" t="s">
        <v>6740</v>
      </c>
      <c r="C192" s="18" t="s">
        <v>6748</v>
      </c>
      <c r="D192" s="18" t="s">
        <v>6742</v>
      </c>
      <c r="E192" s="18" t="s">
        <v>6077</v>
      </c>
      <c r="F192" s="18" t="s">
        <v>6078</v>
      </c>
      <c r="G192" s="19" t="s">
        <v>6342</v>
      </c>
      <c r="H192" s="18" t="s">
        <v>6121</v>
      </c>
      <c r="I192" s="18"/>
      <c r="J192" s="18"/>
      <c r="K192" s="18"/>
      <c r="L192" s="9" t="s">
        <v>336</v>
      </c>
      <c r="M192" s="18" t="s">
        <v>6079</v>
      </c>
      <c r="N192" s="18"/>
      <c r="O192" s="18" t="s">
        <v>6077</v>
      </c>
      <c r="P192" s="18" t="str">
        <f>HYPERLINK("https://ceds.ed.gov/cedselementdetails.aspx?termid=13659")</f>
        <v>https://ceds.ed.gov/cedselementdetails.aspx?termid=13659</v>
      </c>
      <c r="Q192" s="18" t="str">
        <f>HYPERLINK("https://ceds.ed.gov/elementComment.aspx?elementName=White &amp;elementID=13659", "Click here to submit comment")</f>
        <v>Click here to submit comment</v>
      </c>
    </row>
    <row r="193" spans="1:17" x14ac:dyDescent="0.25">
      <c r="A193" s="18"/>
      <c r="B193" s="18"/>
      <c r="C193" s="18"/>
      <c r="D193" s="18"/>
      <c r="E193" s="18"/>
      <c r="F193" s="18"/>
      <c r="G193" s="18"/>
      <c r="H193" s="18"/>
      <c r="I193" s="18"/>
      <c r="J193" s="18"/>
      <c r="K193" s="18"/>
      <c r="L193" s="9"/>
      <c r="M193" s="18"/>
      <c r="N193" s="18"/>
      <c r="O193" s="18"/>
      <c r="P193" s="18"/>
      <c r="Q193" s="18"/>
    </row>
    <row r="194" spans="1:17" x14ac:dyDescent="0.25">
      <c r="A194" s="18"/>
      <c r="B194" s="18"/>
      <c r="C194" s="18"/>
      <c r="D194" s="18"/>
      <c r="E194" s="18"/>
      <c r="F194" s="18"/>
      <c r="G194" s="18"/>
      <c r="H194" s="18"/>
      <c r="I194" s="18"/>
      <c r="J194" s="18"/>
      <c r="K194" s="18"/>
      <c r="L194" s="9" t="s">
        <v>337</v>
      </c>
      <c r="M194" s="18"/>
      <c r="N194" s="18"/>
      <c r="O194" s="18"/>
      <c r="P194" s="18"/>
      <c r="Q194" s="18"/>
    </row>
    <row r="195" spans="1:17" ht="30" x14ac:dyDescent="0.25">
      <c r="A195" s="18"/>
      <c r="B195" s="18"/>
      <c r="C195" s="18"/>
      <c r="D195" s="18"/>
      <c r="E195" s="18"/>
      <c r="F195" s="18"/>
      <c r="G195" s="18"/>
      <c r="H195" s="18"/>
      <c r="I195" s="18"/>
      <c r="J195" s="18"/>
      <c r="K195" s="18"/>
      <c r="L195" s="9" t="s">
        <v>338</v>
      </c>
      <c r="M195" s="18"/>
      <c r="N195" s="18"/>
      <c r="O195" s="18"/>
      <c r="P195" s="18"/>
      <c r="Q195" s="18"/>
    </row>
    <row r="196" spans="1:17" x14ac:dyDescent="0.25">
      <c r="A196" s="18"/>
      <c r="B196" s="18"/>
      <c r="C196" s="18"/>
      <c r="D196" s="18"/>
      <c r="E196" s="18"/>
      <c r="F196" s="18"/>
      <c r="G196" s="18"/>
      <c r="H196" s="18"/>
      <c r="I196" s="18"/>
      <c r="J196" s="18"/>
      <c r="K196" s="18"/>
      <c r="L196" s="9" t="s">
        <v>339</v>
      </c>
      <c r="M196" s="18"/>
      <c r="N196" s="18"/>
      <c r="O196" s="18"/>
      <c r="P196" s="18"/>
      <c r="Q196" s="18"/>
    </row>
    <row r="197" spans="1:17" ht="75" x14ac:dyDescent="0.25">
      <c r="A197" s="9" t="s">
        <v>6739</v>
      </c>
      <c r="B197" s="9" t="s">
        <v>6740</v>
      </c>
      <c r="C197" s="9" t="s">
        <v>6748</v>
      </c>
      <c r="D197" s="9" t="s">
        <v>6742</v>
      </c>
      <c r="E197" s="9" t="s">
        <v>2215</v>
      </c>
      <c r="F197" s="9" t="s">
        <v>2216</v>
      </c>
      <c r="G197" s="9" t="s">
        <v>6106</v>
      </c>
      <c r="H197" s="9"/>
      <c r="I197" s="9"/>
      <c r="J197" s="9"/>
      <c r="K197" s="9"/>
      <c r="L197" s="9" t="s">
        <v>2217</v>
      </c>
      <c r="M197" s="9" t="s">
        <v>2218</v>
      </c>
      <c r="N197" s="9"/>
      <c r="O197" s="9" t="s">
        <v>2219</v>
      </c>
      <c r="P197" s="9" t="str">
        <f>HYPERLINK("https://ceds.ed.gov/cedselementdetails.aspx?termid=13974")</f>
        <v>https://ceds.ed.gov/cedselementdetails.aspx?termid=13974</v>
      </c>
      <c r="Q197" s="9" t="str">
        <f>HYPERLINK("https://ceds.ed.gov/elementComment.aspx?elementName=Demographic Race Two or More Races &amp;elementID=13974", "Click here to submit comment")</f>
        <v>Click here to submit comment</v>
      </c>
    </row>
    <row r="198" spans="1:17" ht="45" x14ac:dyDescent="0.25">
      <c r="A198" s="9" t="s">
        <v>6739</v>
      </c>
      <c r="B198" s="9" t="s">
        <v>6740</v>
      </c>
      <c r="C198" s="9" t="s">
        <v>6748</v>
      </c>
      <c r="D198" s="9" t="s">
        <v>6742</v>
      </c>
      <c r="E198" s="9" t="s">
        <v>4504</v>
      </c>
      <c r="F198" s="9" t="s">
        <v>4505</v>
      </c>
      <c r="G198" s="9" t="s">
        <v>6106</v>
      </c>
      <c r="H198" s="9"/>
      <c r="I198" s="9"/>
      <c r="J198" s="9"/>
      <c r="K198" s="9"/>
      <c r="L198" s="9" t="s">
        <v>4506</v>
      </c>
      <c r="M198" s="9" t="s">
        <v>4507</v>
      </c>
      <c r="N198" s="9"/>
      <c r="O198" s="9" t="s">
        <v>4508</v>
      </c>
      <c r="P198" s="9" t="str">
        <f>HYPERLINK("https://ceds.ed.gov/cedselementdetails.aspx?termid=14390")</f>
        <v>https://ceds.ed.gov/cedselementdetails.aspx?termid=14390</v>
      </c>
      <c r="Q198" s="9" t="str">
        <f>HYPERLINK("https://ceds.ed.gov/elementComment.aspx?elementName=Other Race Indicator &amp;elementID=14390", "Click here to submit comment")</f>
        <v>Click here to submit comment</v>
      </c>
    </row>
    <row r="199" spans="1:17" ht="165" customHeight="1" x14ac:dyDescent="0.25">
      <c r="A199" s="18" t="s">
        <v>6739</v>
      </c>
      <c r="B199" s="18" t="s">
        <v>6740</v>
      </c>
      <c r="C199" s="18" t="s">
        <v>6748</v>
      </c>
      <c r="D199" s="18" t="s">
        <v>6742</v>
      </c>
      <c r="E199" s="18" t="s">
        <v>3145</v>
      </c>
      <c r="F199" s="18" t="s">
        <v>3146</v>
      </c>
      <c r="G199" s="19" t="s">
        <v>6342</v>
      </c>
      <c r="H199" s="18" t="s">
        <v>6121</v>
      </c>
      <c r="I199" s="18"/>
      <c r="J199" s="18"/>
      <c r="K199" s="18"/>
      <c r="L199" s="9" t="s">
        <v>336</v>
      </c>
      <c r="M199" s="18" t="s">
        <v>3147</v>
      </c>
      <c r="N199" s="18"/>
      <c r="O199" s="18" t="s">
        <v>3148</v>
      </c>
      <c r="P199" s="18" t="str">
        <f>HYPERLINK("https://ceds.ed.gov/cedselementdetails.aspx?termid=13144")</f>
        <v>https://ceds.ed.gov/cedselementdetails.aspx?termid=13144</v>
      </c>
      <c r="Q199" s="18" t="str">
        <f>HYPERLINK("https://ceds.ed.gov/elementComment.aspx?elementName=Hispanic or Latino Ethnicity &amp;elementID=13144", "Click here to submit comment")</f>
        <v>Click here to submit comment</v>
      </c>
    </row>
    <row r="200" spans="1:17" x14ac:dyDescent="0.25">
      <c r="A200" s="18"/>
      <c r="B200" s="18"/>
      <c r="C200" s="18"/>
      <c r="D200" s="18"/>
      <c r="E200" s="18"/>
      <c r="F200" s="18"/>
      <c r="G200" s="18"/>
      <c r="H200" s="18"/>
      <c r="I200" s="18"/>
      <c r="J200" s="18"/>
      <c r="K200" s="18"/>
      <c r="L200" s="9"/>
      <c r="M200" s="18"/>
      <c r="N200" s="18"/>
      <c r="O200" s="18"/>
      <c r="P200" s="18"/>
      <c r="Q200" s="18"/>
    </row>
    <row r="201" spans="1:17" x14ac:dyDescent="0.25">
      <c r="A201" s="18"/>
      <c r="B201" s="18"/>
      <c r="C201" s="18"/>
      <c r="D201" s="18"/>
      <c r="E201" s="18"/>
      <c r="F201" s="18"/>
      <c r="G201" s="18"/>
      <c r="H201" s="18"/>
      <c r="I201" s="18"/>
      <c r="J201" s="18"/>
      <c r="K201" s="18"/>
      <c r="L201" s="9" t="s">
        <v>337</v>
      </c>
      <c r="M201" s="18"/>
      <c r="N201" s="18"/>
      <c r="O201" s="18"/>
      <c r="P201" s="18"/>
      <c r="Q201" s="18"/>
    </row>
    <row r="202" spans="1:17" ht="30" x14ac:dyDescent="0.25">
      <c r="A202" s="18"/>
      <c r="B202" s="18"/>
      <c r="C202" s="18"/>
      <c r="D202" s="18"/>
      <c r="E202" s="18"/>
      <c r="F202" s="18"/>
      <c r="G202" s="18"/>
      <c r="H202" s="18"/>
      <c r="I202" s="18"/>
      <c r="J202" s="18"/>
      <c r="K202" s="18"/>
      <c r="L202" s="9" t="s">
        <v>338</v>
      </c>
      <c r="M202" s="18"/>
      <c r="N202" s="18"/>
      <c r="O202" s="18"/>
      <c r="P202" s="18"/>
      <c r="Q202" s="18"/>
    </row>
    <row r="203" spans="1:17" x14ac:dyDescent="0.25">
      <c r="A203" s="18"/>
      <c r="B203" s="18"/>
      <c r="C203" s="18"/>
      <c r="D203" s="18"/>
      <c r="E203" s="18"/>
      <c r="F203" s="18"/>
      <c r="G203" s="18"/>
      <c r="H203" s="18"/>
      <c r="I203" s="18"/>
      <c r="J203" s="18"/>
      <c r="K203" s="18"/>
      <c r="L203" s="9" t="s">
        <v>339</v>
      </c>
      <c r="M203" s="18"/>
      <c r="N203" s="18"/>
      <c r="O203" s="18"/>
      <c r="P203" s="18"/>
      <c r="Q203" s="18"/>
    </row>
    <row r="204" spans="1:17" ht="409.5" x14ac:dyDescent="0.25">
      <c r="A204" s="9" t="s">
        <v>6739</v>
      </c>
      <c r="B204" s="9" t="s">
        <v>6740</v>
      </c>
      <c r="C204" s="9" t="s">
        <v>6748</v>
      </c>
      <c r="D204" s="9" t="s">
        <v>6742</v>
      </c>
      <c r="E204" s="9" t="s">
        <v>3162</v>
      </c>
      <c r="F204" s="9" t="s">
        <v>3163</v>
      </c>
      <c r="G204" s="9" t="s">
        <v>6106</v>
      </c>
      <c r="H204" s="9" t="s">
        <v>6227</v>
      </c>
      <c r="I204" s="9"/>
      <c r="J204" s="9"/>
      <c r="K204" s="9"/>
      <c r="L204" s="9"/>
      <c r="M204" s="9" t="s">
        <v>3164</v>
      </c>
      <c r="N204" s="9"/>
      <c r="O204" s="9" t="s">
        <v>3165</v>
      </c>
      <c r="P204" s="9" t="str">
        <f>HYPERLINK("https://ceds.ed.gov/cedselementdetails.aspx?termid=13149")</f>
        <v>https://ceds.ed.gov/cedselementdetails.aspx?termid=13149</v>
      </c>
      <c r="Q204" s="9" t="str">
        <f>HYPERLINK("https://ceds.ed.gov/elementComment.aspx?elementName=Homelessness Status &amp;elementID=13149", "Click here to submit comment")</f>
        <v>Click here to submit comment</v>
      </c>
    </row>
    <row r="205" spans="1:17" ht="270" x14ac:dyDescent="0.25">
      <c r="A205" s="9" t="s">
        <v>6739</v>
      </c>
      <c r="B205" s="9" t="s">
        <v>6740</v>
      </c>
      <c r="C205" s="9" t="s">
        <v>6748</v>
      </c>
      <c r="D205" s="9" t="s">
        <v>6742</v>
      </c>
      <c r="E205" s="9" t="s">
        <v>4242</v>
      </c>
      <c r="F205" s="9" t="s">
        <v>4243</v>
      </c>
      <c r="G205" s="9" t="s">
        <v>6106</v>
      </c>
      <c r="H205" s="9" t="s">
        <v>6155</v>
      </c>
      <c r="I205" s="9"/>
      <c r="J205" s="9"/>
      <c r="K205" s="9"/>
      <c r="L205" s="9"/>
      <c r="M205" s="9" t="s">
        <v>4244</v>
      </c>
      <c r="N205" s="9"/>
      <c r="O205" s="9" t="s">
        <v>4245</v>
      </c>
      <c r="P205" s="9" t="str">
        <f>HYPERLINK("https://ceds.ed.gov/cedselementdetails.aspx?termid=13189")</f>
        <v>https://ceds.ed.gov/cedselementdetails.aspx?termid=13189</v>
      </c>
      <c r="Q205" s="9" t="str">
        <f>HYPERLINK("https://ceds.ed.gov/elementComment.aspx?elementName=Migrant Status &amp;elementID=13189", "Click here to submit comment")</f>
        <v>Click here to submit comment</v>
      </c>
    </row>
    <row r="206" spans="1:17" ht="45" x14ac:dyDescent="0.25">
      <c r="A206" s="9" t="s">
        <v>6739</v>
      </c>
      <c r="B206" s="9" t="s">
        <v>6740</v>
      </c>
      <c r="C206" s="9" t="s">
        <v>6749</v>
      </c>
      <c r="D206" s="9" t="s">
        <v>6742</v>
      </c>
      <c r="E206" s="9" t="s">
        <v>5125</v>
      </c>
      <c r="F206" s="9" t="s">
        <v>5126</v>
      </c>
      <c r="G206" s="9" t="s">
        <v>12</v>
      </c>
      <c r="H206" s="9"/>
      <c r="I206" s="9"/>
      <c r="J206" s="9" t="s">
        <v>92</v>
      </c>
      <c r="K206" s="9"/>
      <c r="L206" s="9"/>
      <c r="M206" s="9" t="s">
        <v>5127</v>
      </c>
      <c r="N206" s="9"/>
      <c r="O206" s="9" t="s">
        <v>5128</v>
      </c>
      <c r="P206" s="9" t="str">
        <f>HYPERLINK("https://ceds.ed.gov/cedselementdetails.aspx?termid=14458")</f>
        <v>https://ceds.ed.gov/cedselementdetails.aspx?termid=14458</v>
      </c>
      <c r="Q206" s="9" t="str">
        <f>HYPERLINK("https://ceds.ed.gov/elementComment.aspx?elementName=Referred To &amp;elementID=14458", "Click here to submit comment")</f>
        <v>Click here to submit comment</v>
      </c>
    </row>
    <row r="207" spans="1:17" ht="45" x14ac:dyDescent="0.25">
      <c r="A207" s="9" t="s">
        <v>6739</v>
      </c>
      <c r="B207" s="9" t="s">
        <v>6740</v>
      </c>
      <c r="C207" s="9" t="s">
        <v>6749</v>
      </c>
      <c r="D207" s="9" t="s">
        <v>6742</v>
      </c>
      <c r="E207" s="9" t="s">
        <v>5101</v>
      </c>
      <c r="F207" s="9" t="s">
        <v>5102</v>
      </c>
      <c r="G207" s="9" t="s">
        <v>12</v>
      </c>
      <c r="H207" s="9"/>
      <c r="I207" s="9"/>
      <c r="J207" s="9" t="s">
        <v>73</v>
      </c>
      <c r="K207" s="9"/>
      <c r="L207" s="9"/>
      <c r="M207" s="9" t="s">
        <v>5104</v>
      </c>
      <c r="N207" s="9"/>
      <c r="O207" s="9" t="s">
        <v>5105</v>
      </c>
      <c r="P207" s="9" t="str">
        <f>HYPERLINK("https://ceds.ed.gov/cedselementdetails.aspx?termid=14453")</f>
        <v>https://ceds.ed.gov/cedselementdetails.aspx?termid=14453</v>
      </c>
      <c r="Q207" s="9" t="str">
        <f>HYPERLINK("https://ceds.ed.gov/elementComment.aspx?elementName=Referral Date &amp;elementID=14453", "Click here to submit comment")</f>
        <v>Click here to submit comment</v>
      </c>
    </row>
    <row r="208" spans="1:17" ht="45" x14ac:dyDescent="0.25">
      <c r="A208" s="9" t="s">
        <v>6739</v>
      </c>
      <c r="B208" s="9" t="s">
        <v>6740</v>
      </c>
      <c r="C208" s="9" t="s">
        <v>6749</v>
      </c>
      <c r="D208" s="9" t="s">
        <v>6742</v>
      </c>
      <c r="E208" s="9" t="s">
        <v>5114</v>
      </c>
      <c r="F208" s="9" t="s">
        <v>5115</v>
      </c>
      <c r="G208" s="9" t="s">
        <v>12</v>
      </c>
      <c r="H208" s="9"/>
      <c r="I208" s="9"/>
      <c r="J208" s="9" t="s">
        <v>303</v>
      </c>
      <c r="K208" s="9"/>
      <c r="L208" s="9"/>
      <c r="M208" s="9" t="s">
        <v>5116</v>
      </c>
      <c r="N208" s="9"/>
      <c r="O208" s="9" t="s">
        <v>5117</v>
      </c>
      <c r="P208" s="9" t="str">
        <f>HYPERLINK("https://ceds.ed.gov/cedselementdetails.aspx?termid=14455")</f>
        <v>https://ceds.ed.gov/cedselementdetails.aspx?termid=14455</v>
      </c>
      <c r="Q208" s="9" t="str">
        <f>HYPERLINK("https://ceds.ed.gov/elementComment.aspx?elementName=Referral Reason &amp;elementID=14455", "Click here to submit comment")</f>
        <v>Click here to submit comment</v>
      </c>
    </row>
    <row r="209" spans="1:17" ht="45" x14ac:dyDescent="0.25">
      <c r="A209" s="9" t="s">
        <v>6739</v>
      </c>
      <c r="B209" s="9" t="s">
        <v>6740</v>
      </c>
      <c r="C209" s="9" t="s">
        <v>6749</v>
      </c>
      <c r="D209" s="9" t="s">
        <v>6742</v>
      </c>
      <c r="E209" s="9" t="s">
        <v>5118</v>
      </c>
      <c r="F209" s="9" t="s">
        <v>11698</v>
      </c>
      <c r="G209" s="9" t="s">
        <v>12</v>
      </c>
      <c r="H209" s="9"/>
      <c r="I209" s="9"/>
      <c r="J209" s="9" t="s">
        <v>92</v>
      </c>
      <c r="K209" s="9"/>
      <c r="L209" s="9"/>
      <c r="M209" s="9" t="s">
        <v>5119</v>
      </c>
      <c r="N209" s="9"/>
      <c r="O209" s="9" t="s">
        <v>5120</v>
      </c>
      <c r="P209" s="9" t="str">
        <f>HYPERLINK("https://ceds.ed.gov/cedselementdetails.aspx?termid=14456")</f>
        <v>https://ceds.ed.gov/cedselementdetails.aspx?termid=14456</v>
      </c>
      <c r="Q209" s="9" t="str">
        <f>HYPERLINK("https://ceds.ed.gov/elementComment.aspx?elementName=Referral Source &amp;elementID=14456", "Click here to submit comment")</f>
        <v>Click here to submit comment</v>
      </c>
    </row>
    <row r="210" spans="1:17" ht="45" x14ac:dyDescent="0.25">
      <c r="A210" s="9" t="s">
        <v>6739</v>
      </c>
      <c r="B210" s="9" t="s">
        <v>6740</v>
      </c>
      <c r="C210" s="9" t="s">
        <v>6749</v>
      </c>
      <c r="D210" s="9" t="s">
        <v>6742</v>
      </c>
      <c r="E210" s="9" t="s">
        <v>5121</v>
      </c>
      <c r="F210" s="9" t="s">
        <v>5122</v>
      </c>
      <c r="G210" s="9" t="s">
        <v>12</v>
      </c>
      <c r="H210" s="9"/>
      <c r="I210" s="9"/>
      <c r="J210" s="9" t="s">
        <v>92</v>
      </c>
      <c r="K210" s="9"/>
      <c r="L210" s="9"/>
      <c r="M210" s="9" t="s">
        <v>5123</v>
      </c>
      <c r="N210" s="9"/>
      <c r="O210" s="9" t="s">
        <v>5124</v>
      </c>
      <c r="P210" s="9" t="str">
        <f>HYPERLINK("https://ceds.ed.gov/cedselementdetails.aspx?termid=14457")</f>
        <v>https://ceds.ed.gov/cedselementdetails.aspx?termid=14457</v>
      </c>
      <c r="Q210" s="9" t="str">
        <f>HYPERLINK("https://ceds.ed.gov/elementComment.aspx?elementName=Referral Type Received &amp;elementID=14457", "Click here to submit comment")</f>
        <v>Click here to submit comment</v>
      </c>
    </row>
    <row r="211" spans="1:17" ht="135" x14ac:dyDescent="0.25">
      <c r="A211" s="9" t="s">
        <v>6739</v>
      </c>
      <c r="B211" s="9" t="s">
        <v>6740</v>
      </c>
      <c r="C211" s="9" t="s">
        <v>6749</v>
      </c>
      <c r="D211" s="9" t="s">
        <v>6742</v>
      </c>
      <c r="E211" s="9" t="s">
        <v>5106</v>
      </c>
      <c r="F211" s="9" t="s">
        <v>5107</v>
      </c>
      <c r="G211" s="10" t="s">
        <v>6679</v>
      </c>
      <c r="H211" s="9"/>
      <c r="I211" s="9"/>
      <c r="J211" s="9"/>
      <c r="K211" s="9"/>
      <c r="L211" s="9"/>
      <c r="M211" s="9" t="s">
        <v>5108</v>
      </c>
      <c r="N211" s="9"/>
      <c r="O211" s="9" t="s">
        <v>5109</v>
      </c>
      <c r="P211" s="9" t="str">
        <f>HYPERLINK("https://ceds.ed.gov/cedselementdetails.aspx?termid=14454")</f>
        <v>https://ceds.ed.gov/cedselementdetails.aspx?termid=14454</v>
      </c>
      <c r="Q211" s="9" t="str">
        <f>HYPERLINK("https://ceds.ed.gov/elementComment.aspx?elementName=Referral Outcome &amp;elementID=14454", "Click here to submit comment")</f>
        <v>Click here to submit comment</v>
      </c>
    </row>
    <row r="212" spans="1:17" ht="60" x14ac:dyDescent="0.25">
      <c r="A212" s="9" t="s">
        <v>6739</v>
      </c>
      <c r="B212" s="9" t="s">
        <v>6740</v>
      </c>
      <c r="C212" s="9" t="s">
        <v>6750</v>
      </c>
      <c r="D212" s="9" t="s">
        <v>6742</v>
      </c>
      <c r="E212" s="9" t="s">
        <v>4158</v>
      </c>
      <c r="F212" s="9" t="s">
        <v>4159</v>
      </c>
      <c r="G212" s="10" t="s">
        <v>6611</v>
      </c>
      <c r="H212" s="9" t="s">
        <v>1537</v>
      </c>
      <c r="I212" s="9"/>
      <c r="J212" s="9"/>
      <c r="K212" s="9"/>
      <c r="L212" s="9"/>
      <c r="M212" s="9" t="s">
        <v>4160</v>
      </c>
      <c r="N212" s="9"/>
      <c r="O212" s="9" t="s">
        <v>4161</v>
      </c>
      <c r="P212" s="9" t="str">
        <f>HYPERLINK("https://ceds.ed.gov/cedselementdetails.aspx?termid=13429")</f>
        <v>https://ceds.ed.gov/cedselementdetails.aspx?termid=13429</v>
      </c>
      <c r="Q212" s="9" t="str">
        <f>HYPERLINK("https://ceds.ed.gov/elementComment.aspx?elementName=Medical Alert Indicator &amp;elementID=13429", "Click here to submit comment")</f>
        <v>Click here to submit comment</v>
      </c>
    </row>
    <row r="213" spans="1:17" ht="409.5" x14ac:dyDescent="0.25">
      <c r="A213" s="9" t="s">
        <v>6739</v>
      </c>
      <c r="B213" s="9" t="s">
        <v>6740</v>
      </c>
      <c r="C213" s="9" t="s">
        <v>6750</v>
      </c>
      <c r="D213" s="9" t="s">
        <v>6742</v>
      </c>
      <c r="E213" s="9" t="s">
        <v>310</v>
      </c>
      <c r="F213" s="9" t="s">
        <v>311</v>
      </c>
      <c r="G213" s="10" t="s">
        <v>6339</v>
      </c>
      <c r="H213" s="9"/>
      <c r="I213" s="9"/>
      <c r="J213" s="9"/>
      <c r="K213" s="9"/>
      <c r="L213" s="9" t="s">
        <v>10491</v>
      </c>
      <c r="M213" s="9" t="s">
        <v>312</v>
      </c>
      <c r="N213" s="9"/>
      <c r="O213" s="9" t="s">
        <v>313</v>
      </c>
      <c r="P213" s="9" t="str">
        <f>HYPERLINK("https://ceds.ed.gov/cedselementdetails.aspx?termid=14249")</f>
        <v>https://ceds.ed.gov/cedselementdetails.aspx?termid=14249</v>
      </c>
      <c r="Q213" s="9" t="str">
        <f>HYPERLINK("https://ceds.ed.gov/elementComment.aspx?elementName=Allergy Type &amp;elementID=14249", "Click here to submit comment")</f>
        <v>Click here to submit comment</v>
      </c>
    </row>
    <row r="214" spans="1:17" ht="45" x14ac:dyDescent="0.25">
      <c r="A214" s="9" t="s">
        <v>6739</v>
      </c>
      <c r="B214" s="9" t="s">
        <v>6740</v>
      </c>
      <c r="C214" s="9" t="s">
        <v>6750</v>
      </c>
      <c r="D214" s="9" t="s">
        <v>6742</v>
      </c>
      <c r="E214" s="9" t="s">
        <v>306</v>
      </c>
      <c r="F214" s="9" t="s">
        <v>307</v>
      </c>
      <c r="G214" s="10" t="s">
        <v>6338</v>
      </c>
      <c r="H214" s="9"/>
      <c r="I214" s="9"/>
      <c r="J214" s="9"/>
      <c r="K214" s="9"/>
      <c r="L214" s="9"/>
      <c r="M214" s="9" t="s">
        <v>308</v>
      </c>
      <c r="N214" s="9"/>
      <c r="O214" s="9" t="s">
        <v>309</v>
      </c>
      <c r="P214" s="9" t="str">
        <f>HYPERLINK("https://ceds.ed.gov/cedselementdetails.aspx?termid=14248")</f>
        <v>https://ceds.ed.gov/cedselementdetails.aspx?termid=14248</v>
      </c>
      <c r="Q214" s="9" t="str">
        <f>HYPERLINK("https://ceds.ed.gov/elementComment.aspx?elementName=Allergy Severity &amp;elementID=14248", "Click here to submit comment")</f>
        <v>Click here to submit comment</v>
      </c>
    </row>
    <row r="215" spans="1:17" ht="45" x14ac:dyDescent="0.25">
      <c r="A215" s="9" t="s">
        <v>6739</v>
      </c>
      <c r="B215" s="9" t="s">
        <v>6740</v>
      </c>
      <c r="C215" s="9" t="s">
        <v>6750</v>
      </c>
      <c r="D215" s="9" t="s">
        <v>6742</v>
      </c>
      <c r="E215" s="9" t="s">
        <v>301</v>
      </c>
      <c r="F215" s="9" t="s">
        <v>302</v>
      </c>
      <c r="G215" s="9" t="s">
        <v>12</v>
      </c>
      <c r="H215" s="9"/>
      <c r="I215" s="9"/>
      <c r="J215" s="9" t="s">
        <v>303</v>
      </c>
      <c r="K215" s="9"/>
      <c r="L215" s="9"/>
      <c r="M215" s="9" t="s">
        <v>304</v>
      </c>
      <c r="N215" s="9"/>
      <c r="O215" s="9" t="s">
        <v>305</v>
      </c>
      <c r="P215" s="9" t="str">
        <f>HYPERLINK("https://ceds.ed.gov/cedselementdetails.aspx?termid=14247")</f>
        <v>https://ceds.ed.gov/cedselementdetails.aspx?termid=14247</v>
      </c>
      <c r="Q215" s="9" t="str">
        <f>HYPERLINK("https://ceds.ed.gov/elementComment.aspx?elementName=Allergy Reaction Description &amp;elementID=14247", "Click here to submit comment")</f>
        <v>Click here to submit comment</v>
      </c>
    </row>
    <row r="216" spans="1:17" ht="45" x14ac:dyDescent="0.25">
      <c r="A216" s="9" t="s">
        <v>6739</v>
      </c>
      <c r="B216" s="9" t="s">
        <v>6740</v>
      </c>
      <c r="C216" s="9" t="s">
        <v>6750</v>
      </c>
      <c r="D216" s="9" t="s">
        <v>6742</v>
      </c>
      <c r="E216" s="9" t="s">
        <v>3085</v>
      </c>
      <c r="F216" s="9" t="s">
        <v>3086</v>
      </c>
      <c r="G216" s="9" t="s">
        <v>12</v>
      </c>
      <c r="H216" s="9"/>
      <c r="I216" s="9"/>
      <c r="J216" s="9" t="s">
        <v>68</v>
      </c>
      <c r="K216" s="9"/>
      <c r="L216" s="9"/>
      <c r="M216" s="9" t="s">
        <v>3087</v>
      </c>
      <c r="N216" s="9"/>
      <c r="O216" s="9" t="s">
        <v>3088</v>
      </c>
      <c r="P216" s="9" t="str">
        <f>HYPERLINK("https://ceds.ed.gov/cedselementdetails.aspx?termid=14325")</f>
        <v>https://ceds.ed.gov/cedselementdetails.aspx?termid=14325</v>
      </c>
      <c r="Q216" s="9" t="str">
        <f>HYPERLINK("https://ceds.ed.gov/elementComment.aspx?elementName=Health Screening Equipment Used &amp;elementID=14325", "Click here to submit comment")</f>
        <v>Click here to submit comment</v>
      </c>
    </row>
    <row r="217" spans="1:17" ht="45" x14ac:dyDescent="0.25">
      <c r="A217" s="9" t="s">
        <v>6739</v>
      </c>
      <c r="B217" s="9" t="s">
        <v>6740</v>
      </c>
      <c r="C217" s="9" t="s">
        <v>6750</v>
      </c>
      <c r="D217" s="9" t="s">
        <v>6742</v>
      </c>
      <c r="E217" s="9" t="s">
        <v>3089</v>
      </c>
      <c r="F217" s="9" t="s">
        <v>3090</v>
      </c>
      <c r="G217" s="9" t="s">
        <v>12</v>
      </c>
      <c r="H217" s="9"/>
      <c r="I217" s="9"/>
      <c r="J217" s="9" t="s">
        <v>303</v>
      </c>
      <c r="K217" s="9"/>
      <c r="L217" s="9"/>
      <c r="M217" s="9" t="s">
        <v>3091</v>
      </c>
      <c r="N217" s="9"/>
      <c r="O217" s="9" t="s">
        <v>3092</v>
      </c>
      <c r="P217" s="9" t="str">
        <f>HYPERLINK("https://ceds.ed.gov/cedselementdetails.aspx?termid=14326")</f>
        <v>https://ceds.ed.gov/cedselementdetails.aspx?termid=14326</v>
      </c>
      <c r="Q217" s="9" t="str">
        <f>HYPERLINK("https://ceds.ed.gov/elementComment.aspx?elementName=Health Screening Follow-up Recommendation &amp;elementID=14326", "Click here to submit comment")</f>
        <v>Click here to submit comment</v>
      </c>
    </row>
    <row r="218" spans="1:17" ht="75" x14ac:dyDescent="0.25">
      <c r="A218" s="9" t="s">
        <v>6739</v>
      </c>
      <c r="B218" s="9" t="s">
        <v>6740</v>
      </c>
      <c r="C218" s="9" t="s">
        <v>6751</v>
      </c>
      <c r="D218" s="9" t="s">
        <v>6742</v>
      </c>
      <c r="E218" s="9" t="s">
        <v>3235</v>
      </c>
      <c r="F218" s="9" t="s">
        <v>3236</v>
      </c>
      <c r="G218" s="9" t="s">
        <v>12</v>
      </c>
      <c r="H218" s="9" t="s">
        <v>6229</v>
      </c>
      <c r="I218" s="9"/>
      <c r="J218" s="9" t="s">
        <v>73</v>
      </c>
      <c r="K218" s="9"/>
      <c r="L218" s="9"/>
      <c r="M218" s="9" t="s">
        <v>3237</v>
      </c>
      <c r="N218" s="9"/>
      <c r="O218" s="9" t="s">
        <v>3238</v>
      </c>
      <c r="P218" s="9" t="str">
        <f>HYPERLINK("https://ceds.ed.gov/cedselementdetails.aspx?termid=13306")</f>
        <v>https://ceds.ed.gov/cedselementdetails.aspx?termid=13306</v>
      </c>
      <c r="Q218" s="9" t="str">
        <f>HYPERLINK("https://ceds.ed.gov/elementComment.aspx?elementName=Immunization Date &amp;elementID=13306", "Click here to submit comment")</f>
        <v>Click here to submit comment</v>
      </c>
    </row>
    <row r="219" spans="1:17" ht="345" x14ac:dyDescent="0.25">
      <c r="A219" s="9" t="s">
        <v>6739</v>
      </c>
      <c r="B219" s="9" t="s">
        <v>6740</v>
      </c>
      <c r="C219" s="9" t="s">
        <v>6751</v>
      </c>
      <c r="D219" s="9" t="s">
        <v>6742</v>
      </c>
      <c r="E219" s="9" t="s">
        <v>3247</v>
      </c>
      <c r="F219" s="9" t="s">
        <v>3248</v>
      </c>
      <c r="G219" s="10" t="s">
        <v>6544</v>
      </c>
      <c r="H219" s="9"/>
      <c r="I219" s="9"/>
      <c r="J219" s="9"/>
      <c r="K219" s="9"/>
      <c r="L219" s="9"/>
      <c r="M219" s="9" t="s">
        <v>3249</v>
      </c>
      <c r="N219" s="9"/>
      <c r="O219" s="9" t="s">
        <v>3250</v>
      </c>
      <c r="P219" s="9" t="str">
        <f>HYPERLINK("https://ceds.ed.gov/cedselementdetails.aspx?termid=14214")</f>
        <v>https://ceds.ed.gov/cedselementdetails.aspx?termid=14214</v>
      </c>
      <c r="Q219" s="9" t="str">
        <f>HYPERLINK("https://ceds.ed.gov/elementComment.aspx?elementName=Immunization Type &amp;elementID=14214", "Click here to submit comment")</f>
        <v>Click here to submit comment</v>
      </c>
    </row>
    <row r="220" spans="1:17" ht="45" x14ac:dyDescent="0.25">
      <c r="A220" s="9" t="s">
        <v>6739</v>
      </c>
      <c r="B220" s="9" t="s">
        <v>6740</v>
      </c>
      <c r="C220" s="9" t="s">
        <v>6752</v>
      </c>
      <c r="D220" s="9" t="s">
        <v>6742</v>
      </c>
      <c r="E220" s="9" t="s">
        <v>6032</v>
      </c>
      <c r="F220" s="9" t="s">
        <v>6033</v>
      </c>
      <c r="G220" s="9" t="s">
        <v>12</v>
      </c>
      <c r="H220" s="9"/>
      <c r="I220" s="9"/>
      <c r="J220" s="9" t="s">
        <v>73</v>
      </c>
      <c r="K220" s="9"/>
      <c r="L220" s="9"/>
      <c r="M220" s="9" t="s">
        <v>6034</v>
      </c>
      <c r="N220" s="9"/>
      <c r="O220" s="9" t="s">
        <v>6035</v>
      </c>
      <c r="P220" s="9" t="str">
        <f>HYPERLINK("https://ceds.ed.gov/cedselementdetails.aspx?termid=13680")</f>
        <v>https://ceds.ed.gov/cedselementdetails.aspx?termid=13680</v>
      </c>
      <c r="Q220" s="9" t="str">
        <f>HYPERLINK("https://ceds.ed.gov/elementComment.aspx?elementName=Vision Screening Date &amp;elementID=13680", "Click here to submit comment")</f>
        <v>Click here to submit comment</v>
      </c>
    </row>
    <row r="221" spans="1:17" ht="60" x14ac:dyDescent="0.25">
      <c r="A221" s="9" t="s">
        <v>6739</v>
      </c>
      <c r="B221" s="9" t="s">
        <v>6740</v>
      </c>
      <c r="C221" s="9" t="s">
        <v>6752</v>
      </c>
      <c r="D221" s="9" t="s">
        <v>6742</v>
      </c>
      <c r="E221" s="9" t="s">
        <v>6036</v>
      </c>
      <c r="F221" s="9" t="s">
        <v>6037</v>
      </c>
      <c r="G221" s="10" t="s">
        <v>6530</v>
      </c>
      <c r="H221" s="9" t="s">
        <v>1714</v>
      </c>
      <c r="I221" s="9"/>
      <c r="J221" s="9"/>
      <c r="K221" s="9"/>
      <c r="L221" s="9"/>
      <c r="M221" s="9" t="s">
        <v>6038</v>
      </c>
      <c r="N221" s="9"/>
      <c r="O221" s="9" t="s">
        <v>6039</v>
      </c>
      <c r="P221" s="9" t="str">
        <f>HYPERLINK("https://ceds.ed.gov/cedselementdetails.aspx?termid=13308")</f>
        <v>https://ceds.ed.gov/cedselementdetails.aspx?termid=13308</v>
      </c>
      <c r="Q221" s="9" t="str">
        <f>HYPERLINK("https://ceds.ed.gov/elementComment.aspx?elementName=Vision Screening Status &amp;elementID=13308", "Click here to submit comment")</f>
        <v>Click here to submit comment</v>
      </c>
    </row>
    <row r="222" spans="1:17" ht="45" x14ac:dyDescent="0.25">
      <c r="A222" s="9" t="s">
        <v>6739</v>
      </c>
      <c r="B222" s="9" t="s">
        <v>6740</v>
      </c>
      <c r="C222" s="9" t="s">
        <v>6753</v>
      </c>
      <c r="D222" s="9" t="s">
        <v>6742</v>
      </c>
      <c r="E222" s="9" t="s">
        <v>3093</v>
      </c>
      <c r="F222" s="9" t="s">
        <v>3094</v>
      </c>
      <c r="G222" s="9" t="s">
        <v>12</v>
      </c>
      <c r="H222" s="9"/>
      <c r="I222" s="9"/>
      <c r="J222" s="9" t="s">
        <v>73</v>
      </c>
      <c r="K222" s="9"/>
      <c r="L222" s="9"/>
      <c r="M222" s="9" t="s">
        <v>3095</v>
      </c>
      <c r="N222" s="9"/>
      <c r="O222" s="9" t="s">
        <v>3096</v>
      </c>
      <c r="P222" s="9" t="str">
        <f>HYPERLINK("https://ceds.ed.gov/cedselementdetails.aspx?termid=13681")</f>
        <v>https://ceds.ed.gov/cedselementdetails.aspx?termid=13681</v>
      </c>
      <c r="Q222" s="9" t="str">
        <f>HYPERLINK("https://ceds.ed.gov/elementComment.aspx?elementName=Hearing Screening Date &amp;elementID=13681", "Click here to submit comment")</f>
        <v>Click here to submit comment</v>
      </c>
    </row>
    <row r="223" spans="1:17" ht="60" x14ac:dyDescent="0.25">
      <c r="A223" s="9" t="s">
        <v>6739</v>
      </c>
      <c r="B223" s="9" t="s">
        <v>6740</v>
      </c>
      <c r="C223" s="9" t="s">
        <v>6753</v>
      </c>
      <c r="D223" s="9" t="s">
        <v>6742</v>
      </c>
      <c r="E223" s="9" t="s">
        <v>3097</v>
      </c>
      <c r="F223" s="9" t="s">
        <v>3098</v>
      </c>
      <c r="G223" s="10" t="s">
        <v>6530</v>
      </c>
      <c r="H223" s="9" t="s">
        <v>1714</v>
      </c>
      <c r="I223" s="9"/>
      <c r="J223" s="9"/>
      <c r="K223" s="9"/>
      <c r="L223" s="9"/>
      <c r="M223" s="9" t="s">
        <v>3099</v>
      </c>
      <c r="N223" s="9"/>
      <c r="O223" s="9" t="s">
        <v>3100</v>
      </c>
      <c r="P223" s="9" t="str">
        <f>HYPERLINK("https://ceds.ed.gov/cedselementdetails.aspx?termid=13309")</f>
        <v>https://ceds.ed.gov/cedselementdetails.aspx?termid=13309</v>
      </c>
      <c r="Q223" s="9" t="str">
        <f>HYPERLINK("https://ceds.ed.gov/elementComment.aspx?elementName=Hearing Screening Status &amp;elementID=13309", "Click here to submit comment")</f>
        <v>Click here to submit comment</v>
      </c>
    </row>
    <row r="224" spans="1:17" ht="45" x14ac:dyDescent="0.25">
      <c r="A224" s="9" t="s">
        <v>6739</v>
      </c>
      <c r="B224" s="9" t="s">
        <v>6740</v>
      </c>
      <c r="C224" s="9" t="s">
        <v>6754</v>
      </c>
      <c r="D224" s="9" t="s">
        <v>6742</v>
      </c>
      <c r="E224" s="9" t="s">
        <v>2226</v>
      </c>
      <c r="F224" s="9" t="s">
        <v>2227</v>
      </c>
      <c r="G224" s="9" t="s">
        <v>12</v>
      </c>
      <c r="H224" s="9"/>
      <c r="I224" s="9"/>
      <c r="J224" s="9" t="s">
        <v>73</v>
      </c>
      <c r="K224" s="9"/>
      <c r="L224" s="9"/>
      <c r="M224" s="9" t="s">
        <v>2228</v>
      </c>
      <c r="N224" s="9"/>
      <c r="O224" s="9" t="s">
        <v>2229</v>
      </c>
      <c r="P224" s="9" t="str">
        <f>HYPERLINK("https://ceds.ed.gov/cedselementdetails.aspx?termid=13682")</f>
        <v>https://ceds.ed.gov/cedselementdetails.aspx?termid=13682</v>
      </c>
      <c r="Q224" s="9" t="str">
        <f>HYPERLINK("https://ceds.ed.gov/elementComment.aspx?elementName=Dental Screening Date &amp;elementID=13682", "Click here to submit comment")</f>
        <v>Click here to submit comment</v>
      </c>
    </row>
    <row r="225" spans="1:17" ht="135" x14ac:dyDescent="0.25">
      <c r="A225" s="9" t="s">
        <v>6739</v>
      </c>
      <c r="B225" s="9" t="s">
        <v>6740</v>
      </c>
      <c r="C225" s="9" t="s">
        <v>6754</v>
      </c>
      <c r="D225" s="9" t="s">
        <v>6742</v>
      </c>
      <c r="E225" s="9" t="s">
        <v>2230</v>
      </c>
      <c r="F225" s="9" t="s">
        <v>2231</v>
      </c>
      <c r="G225" s="10" t="s">
        <v>6442</v>
      </c>
      <c r="H225" s="9" t="s">
        <v>1714</v>
      </c>
      <c r="I225" s="9"/>
      <c r="J225" s="9"/>
      <c r="K225" s="9"/>
      <c r="L225" s="9"/>
      <c r="M225" s="9" t="s">
        <v>2232</v>
      </c>
      <c r="N225" s="9"/>
      <c r="O225" s="9" t="s">
        <v>2233</v>
      </c>
      <c r="P225" s="9" t="str">
        <f>HYPERLINK("https://ceds.ed.gov/cedselementdetails.aspx?termid=13310")</f>
        <v>https://ceds.ed.gov/cedselementdetails.aspx?termid=13310</v>
      </c>
      <c r="Q225" s="9" t="str">
        <f>HYPERLINK("https://ceds.ed.gov/elementComment.aspx?elementName=Dental Screening Status &amp;elementID=13310", "Click here to submit comment")</f>
        <v>Click here to submit comment</v>
      </c>
    </row>
    <row r="226" spans="1:17" ht="210" x14ac:dyDescent="0.25">
      <c r="A226" s="9" t="s">
        <v>6739</v>
      </c>
      <c r="B226" s="9" t="s">
        <v>6740</v>
      </c>
      <c r="C226" s="9" t="s">
        <v>6755</v>
      </c>
      <c r="D226" s="9" t="s">
        <v>6742</v>
      </c>
      <c r="E226" s="9" t="s">
        <v>3496</v>
      </c>
      <c r="F226" s="9" t="s">
        <v>3497</v>
      </c>
      <c r="G226" s="10" t="s">
        <v>6441</v>
      </c>
      <c r="H226" s="9" t="s">
        <v>2225</v>
      </c>
      <c r="I226" s="9"/>
      <c r="J226" s="9"/>
      <c r="K226" s="9"/>
      <c r="L226" s="9" t="s">
        <v>2222</v>
      </c>
      <c r="M226" s="9" t="s">
        <v>3498</v>
      </c>
      <c r="N226" s="9"/>
      <c r="O226" s="9" t="s">
        <v>3499</v>
      </c>
      <c r="P226" s="9" t="str">
        <f>HYPERLINK("https://ceds.ed.gov/cedselementdetails.aspx?termid=13334")</f>
        <v>https://ceds.ed.gov/cedselementdetails.aspx?termid=13334</v>
      </c>
      <c r="Q226" s="9" t="str">
        <f>HYPERLINK("https://ceds.ed.gov/elementComment.aspx?elementName=Insurance Coverage &amp;elementID=13334", "Click here to submit comment")</f>
        <v>Click here to submit comment</v>
      </c>
    </row>
    <row r="227" spans="1:17" ht="210" x14ac:dyDescent="0.25">
      <c r="A227" s="9" t="s">
        <v>6739</v>
      </c>
      <c r="B227" s="9" t="s">
        <v>6740</v>
      </c>
      <c r="C227" s="9" t="s">
        <v>6755</v>
      </c>
      <c r="D227" s="9" t="s">
        <v>6742</v>
      </c>
      <c r="E227" s="9" t="s">
        <v>2220</v>
      </c>
      <c r="F227" s="9" t="s">
        <v>2221</v>
      </c>
      <c r="G227" s="10" t="s">
        <v>6441</v>
      </c>
      <c r="H227" s="9" t="s">
        <v>2225</v>
      </c>
      <c r="I227" s="9"/>
      <c r="J227" s="9"/>
      <c r="K227" s="9"/>
      <c r="L227" s="9" t="s">
        <v>2222</v>
      </c>
      <c r="M227" s="9" t="s">
        <v>2223</v>
      </c>
      <c r="N227" s="9"/>
      <c r="O227" s="9" t="s">
        <v>2224</v>
      </c>
      <c r="P227" s="9" t="str">
        <f>HYPERLINK("https://ceds.ed.gov/cedselementdetails.aspx?termid=13335")</f>
        <v>https://ceds.ed.gov/cedselementdetails.aspx?termid=13335</v>
      </c>
      <c r="Q227" s="9" t="str">
        <f>HYPERLINK("https://ceds.ed.gov/elementComment.aspx?elementName=Dental Insurance Coverage Type &amp;elementID=13335", "Click here to submit comment")</f>
        <v>Click here to submit comment</v>
      </c>
    </row>
    <row r="228" spans="1:17" ht="45" x14ac:dyDescent="0.25">
      <c r="A228" s="9" t="s">
        <v>6739</v>
      </c>
      <c r="B228" s="9" t="s">
        <v>6740</v>
      </c>
      <c r="C228" s="9" t="s">
        <v>6756</v>
      </c>
      <c r="D228" s="9" t="s">
        <v>6742</v>
      </c>
      <c r="E228" s="9" t="s">
        <v>6069</v>
      </c>
      <c r="F228" s="9" t="s">
        <v>6070</v>
      </c>
      <c r="G228" s="9" t="s">
        <v>12</v>
      </c>
      <c r="H228" s="9" t="s">
        <v>1714</v>
      </c>
      <c r="I228" s="9"/>
      <c r="J228" s="9" t="s">
        <v>303</v>
      </c>
      <c r="K228" s="9"/>
      <c r="L228" s="9"/>
      <c r="M228" s="9" t="s">
        <v>6071</v>
      </c>
      <c r="N228" s="9"/>
      <c r="O228" s="9" t="s">
        <v>6072</v>
      </c>
      <c r="P228" s="9" t="str">
        <f>HYPERLINK("https://ceds.ed.gov/cedselementdetails.aspx?termid=13312")</f>
        <v>https://ceds.ed.gov/cedselementdetails.aspx?termid=13312</v>
      </c>
      <c r="Q228" s="9" t="str">
        <f>HYPERLINK("https://ceds.ed.gov/elementComment.aspx?elementName=Weight at Birth &amp;elementID=13312", "Click here to submit comment")</f>
        <v>Click here to submit comment</v>
      </c>
    </row>
    <row r="229" spans="1:17" ht="45" x14ac:dyDescent="0.25">
      <c r="A229" s="9" t="s">
        <v>6739</v>
      </c>
      <c r="B229" s="9" t="s">
        <v>6740</v>
      </c>
      <c r="C229" s="9" t="s">
        <v>6756</v>
      </c>
      <c r="D229" s="9" t="s">
        <v>6742</v>
      </c>
      <c r="E229" s="9" t="s">
        <v>6065</v>
      </c>
      <c r="F229" s="9" t="s">
        <v>6066</v>
      </c>
      <c r="G229" s="9" t="s">
        <v>12</v>
      </c>
      <c r="H229" s="9" t="s">
        <v>1714</v>
      </c>
      <c r="I229" s="9"/>
      <c r="J229" s="9" t="s">
        <v>10489</v>
      </c>
      <c r="K229" s="9"/>
      <c r="L229" s="9"/>
      <c r="M229" s="9" t="s">
        <v>6067</v>
      </c>
      <c r="N229" s="9"/>
      <c r="O229" s="9" t="s">
        <v>6068</v>
      </c>
      <c r="P229" s="9" t="str">
        <f>HYPERLINK("https://ceds.ed.gov/cedselementdetails.aspx?termid=13313")</f>
        <v>https://ceds.ed.gov/cedselementdetails.aspx?termid=13313</v>
      </c>
      <c r="Q229" s="9" t="str">
        <f>HYPERLINK("https://ceds.ed.gov/elementComment.aspx?elementName=Weeks of Gestation &amp;elementID=13313", "Click here to submit comment")</f>
        <v>Click here to submit comment</v>
      </c>
    </row>
    <row r="230" spans="1:17" ht="90" x14ac:dyDescent="0.25">
      <c r="A230" s="9" t="s">
        <v>6739</v>
      </c>
      <c r="B230" s="9" t="s">
        <v>6740</v>
      </c>
      <c r="C230" s="9" t="s">
        <v>6756</v>
      </c>
      <c r="D230" s="9" t="s">
        <v>6742</v>
      </c>
      <c r="E230" s="9" t="s">
        <v>5976</v>
      </c>
      <c r="F230" s="9" t="s">
        <v>5977</v>
      </c>
      <c r="G230" s="10" t="s">
        <v>6728</v>
      </c>
      <c r="H230" s="9"/>
      <c r="I230" s="9"/>
      <c r="J230" s="9"/>
      <c r="K230" s="9"/>
      <c r="L230" s="9"/>
      <c r="M230" s="9" t="s">
        <v>5979</v>
      </c>
      <c r="N230" s="9"/>
      <c r="O230" s="9" t="s">
        <v>5980</v>
      </c>
      <c r="P230" s="9" t="str">
        <f>HYPERLINK("https://ceds.ed.gov/cedselementdetails.aspx?termid=14611")</f>
        <v>https://ceds.ed.gov/cedselementdetails.aspx?termid=14611</v>
      </c>
      <c r="Q230" s="9" t="str">
        <f>HYPERLINK("https://ceds.ed.gov/elementComment.aspx?elementName=Trimester When Prenatal Care Began &amp;elementID=14611", "Click here to submit comment")</f>
        <v>Click here to submit comment</v>
      </c>
    </row>
    <row r="231" spans="1:17" ht="240" x14ac:dyDescent="0.25">
      <c r="A231" s="9" t="s">
        <v>6739</v>
      </c>
      <c r="B231" s="9" t="s">
        <v>6740</v>
      </c>
      <c r="C231" s="9" t="s">
        <v>6757</v>
      </c>
      <c r="D231" s="9" t="s">
        <v>6742</v>
      </c>
      <c r="E231" s="9" t="s">
        <v>5289</v>
      </c>
      <c r="F231" s="9" t="s">
        <v>5290</v>
      </c>
      <c r="G231" s="10" t="s">
        <v>6683</v>
      </c>
      <c r="H231" s="9"/>
      <c r="I231" s="9"/>
      <c r="J231" s="9"/>
      <c r="K231" s="9"/>
      <c r="L231" s="9"/>
      <c r="M231" s="9" t="s">
        <v>5292</v>
      </c>
      <c r="N231" s="9"/>
      <c r="O231" s="9" t="s">
        <v>5293</v>
      </c>
      <c r="P231" s="9" t="str">
        <f>HYPERLINK("https://ceds.ed.gov/cedselementdetails.aspx?termid=14602")</f>
        <v>https://ceds.ed.gov/cedselementdetails.aspx?termid=14602</v>
      </c>
      <c r="Q231" s="9" t="str">
        <f>HYPERLINK("https://ceds.ed.gov/elementComment.aspx?elementName=Scheduled Well Child Screening &amp;elementID=14602", "Click here to submit comment")</f>
        <v>Click here to submit comment</v>
      </c>
    </row>
    <row r="232" spans="1:17" ht="45" x14ac:dyDescent="0.25">
      <c r="A232" s="9" t="s">
        <v>6739</v>
      </c>
      <c r="B232" s="9" t="s">
        <v>6740</v>
      </c>
      <c r="C232" s="9" t="s">
        <v>6757</v>
      </c>
      <c r="D232" s="9" t="s">
        <v>6742</v>
      </c>
      <c r="E232" s="9" t="s">
        <v>6073</v>
      </c>
      <c r="F232" s="9" t="s">
        <v>6074</v>
      </c>
      <c r="G232" s="9" t="s">
        <v>12</v>
      </c>
      <c r="H232" s="9"/>
      <c r="I232" s="9"/>
      <c r="J232" s="9" t="s">
        <v>73</v>
      </c>
      <c r="K232" s="9"/>
      <c r="L232" s="9"/>
      <c r="M232" s="9" t="s">
        <v>6075</v>
      </c>
      <c r="N232" s="9"/>
      <c r="O232" s="9" t="s">
        <v>6076</v>
      </c>
      <c r="P232" s="9" t="str">
        <f>HYPERLINK("https://ceds.ed.gov/cedselementdetails.aspx?termid=14612")</f>
        <v>https://ceds.ed.gov/cedselementdetails.aspx?termid=14612</v>
      </c>
      <c r="Q232" s="9" t="str">
        <f>HYPERLINK("https://ceds.ed.gov/elementComment.aspx?elementName=Well Child Screening Received Date &amp;elementID=14612", "Click here to submit comment")</f>
        <v>Click here to submit comment</v>
      </c>
    </row>
    <row r="233" spans="1:17" ht="180" x14ac:dyDescent="0.25">
      <c r="A233" s="9" t="s">
        <v>6739</v>
      </c>
      <c r="B233" s="9" t="s">
        <v>6740</v>
      </c>
      <c r="C233" s="9" t="s">
        <v>6758</v>
      </c>
      <c r="D233" s="9" t="s">
        <v>6742</v>
      </c>
      <c r="E233" s="9" t="s">
        <v>1709</v>
      </c>
      <c r="F233" s="9" t="s">
        <v>1710</v>
      </c>
      <c r="G233" s="10" t="s">
        <v>6404</v>
      </c>
      <c r="H233" s="9" t="s">
        <v>1714</v>
      </c>
      <c r="I233" s="9"/>
      <c r="J233" s="9"/>
      <c r="K233" s="9"/>
      <c r="L233" s="9"/>
      <c r="M233" s="9" t="s">
        <v>1712</v>
      </c>
      <c r="N233" s="9"/>
      <c r="O233" s="9" t="s">
        <v>1713</v>
      </c>
      <c r="P233" s="9" t="str">
        <f>HYPERLINK("https://ceds.ed.gov/cedselementdetails.aspx?termid=13314")</f>
        <v>https://ceds.ed.gov/cedselementdetails.aspx?termid=13314</v>
      </c>
      <c r="Q233" s="9" t="str">
        <f>HYPERLINK("https://ceds.ed.gov/elementComment.aspx?elementName=Child Developmental Screening Status &amp;elementID=13314", "Click here to submit comment")</f>
        <v>Click here to submit comment</v>
      </c>
    </row>
    <row r="234" spans="1:17" ht="255" x14ac:dyDescent="0.25">
      <c r="A234" s="9" t="s">
        <v>6739</v>
      </c>
      <c r="B234" s="9" t="s">
        <v>6740</v>
      </c>
      <c r="C234" s="9" t="s">
        <v>6758</v>
      </c>
      <c r="D234" s="9" t="s">
        <v>6742</v>
      </c>
      <c r="E234" s="9" t="s">
        <v>2255</v>
      </c>
      <c r="F234" s="9" t="s">
        <v>2256</v>
      </c>
      <c r="G234" s="10" t="s">
        <v>6446</v>
      </c>
      <c r="H234" s="9" t="s">
        <v>1714</v>
      </c>
      <c r="I234" s="9"/>
      <c r="J234" s="9"/>
      <c r="K234" s="9"/>
      <c r="L234" s="9"/>
      <c r="M234" s="9" t="s">
        <v>2257</v>
      </c>
      <c r="N234" s="9"/>
      <c r="O234" s="9" t="s">
        <v>2258</v>
      </c>
      <c r="P234" s="9" t="str">
        <f>HYPERLINK("https://ceds.ed.gov/cedselementdetails.aspx?termid=13315")</f>
        <v>https://ceds.ed.gov/cedselementdetails.aspx?termid=13315</v>
      </c>
      <c r="Q234" s="9" t="str">
        <f>HYPERLINK("https://ceds.ed.gov/elementComment.aspx?elementName=Developmental Evaluation Finding &amp;elementID=13315", "Click here to submit comment")</f>
        <v>Click here to submit comment</v>
      </c>
    </row>
    <row r="235" spans="1:17" ht="60" x14ac:dyDescent="0.25">
      <c r="A235" s="18" t="s">
        <v>6739</v>
      </c>
      <c r="B235" s="18" t="s">
        <v>6740</v>
      </c>
      <c r="C235" s="18" t="s">
        <v>6758</v>
      </c>
      <c r="D235" s="18" t="s">
        <v>6742</v>
      </c>
      <c r="E235" s="18" t="s">
        <v>477</v>
      </c>
      <c r="F235" s="18" t="s">
        <v>478</v>
      </c>
      <c r="G235" s="19" t="s">
        <v>6348</v>
      </c>
      <c r="H235" s="18" t="s">
        <v>6139</v>
      </c>
      <c r="I235" s="18"/>
      <c r="J235" s="18"/>
      <c r="K235" s="18"/>
      <c r="L235" s="9" t="s">
        <v>479</v>
      </c>
      <c r="M235" s="18" t="s">
        <v>484</v>
      </c>
      <c r="N235" s="18"/>
      <c r="O235" s="18" t="s">
        <v>485</v>
      </c>
      <c r="P235" s="18" t="str">
        <f>HYPERLINK("https://ceds.ed.gov/cedselementdetails.aspx?termid=14003")</f>
        <v>https://ceds.ed.gov/cedselementdetails.aspx?termid=14003</v>
      </c>
      <c r="Q235" s="18" t="str">
        <f>HYPERLINK("https://ceds.ed.gov/elementComment.aspx?elementName=Assessment Early Learning Developmental Domain &amp;elementID=14003", "Click here to submit comment")</f>
        <v>Click here to submit comment</v>
      </c>
    </row>
    <row r="236" spans="1:17" x14ac:dyDescent="0.25">
      <c r="A236" s="18"/>
      <c r="B236" s="18"/>
      <c r="C236" s="18"/>
      <c r="D236" s="18"/>
      <c r="E236" s="18"/>
      <c r="F236" s="18"/>
      <c r="G236" s="18"/>
      <c r="H236" s="18"/>
      <c r="I236" s="18"/>
      <c r="J236" s="18"/>
      <c r="K236" s="18"/>
      <c r="L236" s="9"/>
      <c r="M236" s="18"/>
      <c r="N236" s="18"/>
      <c r="O236" s="18"/>
      <c r="P236" s="18"/>
      <c r="Q236" s="18"/>
    </row>
    <row r="237" spans="1:17" ht="30" x14ac:dyDescent="0.25">
      <c r="A237" s="18"/>
      <c r="B237" s="18"/>
      <c r="C237" s="18"/>
      <c r="D237" s="18"/>
      <c r="E237" s="18"/>
      <c r="F237" s="18"/>
      <c r="G237" s="18"/>
      <c r="H237" s="18"/>
      <c r="I237" s="18"/>
      <c r="J237" s="18"/>
      <c r="K237" s="18"/>
      <c r="L237" s="9" t="s">
        <v>480</v>
      </c>
      <c r="M237" s="18"/>
      <c r="N237" s="18"/>
      <c r="O237" s="18"/>
      <c r="P237" s="18"/>
      <c r="Q237" s="18"/>
    </row>
    <row r="238" spans="1:17" ht="45" x14ac:dyDescent="0.25">
      <c r="A238" s="18"/>
      <c r="B238" s="18"/>
      <c r="C238" s="18"/>
      <c r="D238" s="18"/>
      <c r="E238" s="18"/>
      <c r="F238" s="18"/>
      <c r="G238" s="18"/>
      <c r="H238" s="18"/>
      <c r="I238" s="18"/>
      <c r="J238" s="18"/>
      <c r="K238" s="18"/>
      <c r="L238" s="9" t="s">
        <v>481</v>
      </c>
      <c r="M238" s="18"/>
      <c r="N238" s="18"/>
      <c r="O238" s="18"/>
      <c r="P238" s="18"/>
      <c r="Q238" s="18"/>
    </row>
    <row r="239" spans="1:17" ht="75" x14ac:dyDescent="0.25">
      <c r="A239" s="18"/>
      <c r="B239" s="18"/>
      <c r="C239" s="18"/>
      <c r="D239" s="18"/>
      <c r="E239" s="18"/>
      <c r="F239" s="18"/>
      <c r="G239" s="18"/>
      <c r="H239" s="18"/>
      <c r="I239" s="18"/>
      <c r="J239" s="18"/>
      <c r="K239" s="18"/>
      <c r="L239" s="9" t="s">
        <v>482</v>
      </c>
      <c r="M239" s="18"/>
      <c r="N239" s="18"/>
      <c r="O239" s="18"/>
      <c r="P239" s="18"/>
      <c r="Q239" s="18"/>
    </row>
    <row r="240" spans="1:17" x14ac:dyDescent="0.25">
      <c r="A240" s="18"/>
      <c r="B240" s="18"/>
      <c r="C240" s="18"/>
      <c r="D240" s="18"/>
      <c r="E240" s="18"/>
      <c r="F240" s="18"/>
      <c r="G240" s="18"/>
      <c r="H240" s="18"/>
      <c r="I240" s="18"/>
      <c r="J240" s="18"/>
      <c r="K240" s="18"/>
      <c r="L240" s="9"/>
      <c r="M240" s="18"/>
      <c r="N240" s="18"/>
      <c r="O240" s="18"/>
      <c r="P240" s="18"/>
      <c r="Q240" s="18"/>
    </row>
    <row r="241" spans="1:17" ht="105" x14ac:dyDescent="0.25">
      <c r="A241" s="18"/>
      <c r="B241" s="18"/>
      <c r="C241" s="18"/>
      <c r="D241" s="18"/>
      <c r="E241" s="18"/>
      <c r="F241" s="18"/>
      <c r="G241" s="18"/>
      <c r="H241" s="18"/>
      <c r="I241" s="18"/>
      <c r="J241" s="18"/>
      <c r="K241" s="18"/>
      <c r="L241" s="9" t="s">
        <v>483</v>
      </c>
      <c r="M241" s="18"/>
      <c r="N241" s="18"/>
      <c r="O241" s="18"/>
      <c r="P241" s="18"/>
      <c r="Q241" s="18"/>
    </row>
    <row r="242" spans="1:17" ht="360" x14ac:dyDescent="0.25">
      <c r="A242" s="9" t="s">
        <v>6739</v>
      </c>
      <c r="B242" s="9" t="s">
        <v>6740</v>
      </c>
      <c r="C242" s="9" t="s">
        <v>6758</v>
      </c>
      <c r="D242" s="9" t="s">
        <v>6742</v>
      </c>
      <c r="E242" s="9" t="s">
        <v>970</v>
      </c>
      <c r="F242" s="9" t="s">
        <v>971</v>
      </c>
      <c r="G242" s="10" t="s">
        <v>6358</v>
      </c>
      <c r="H242" s="9" t="s">
        <v>6137</v>
      </c>
      <c r="I242" s="9"/>
      <c r="J242" s="9"/>
      <c r="K242" s="9"/>
      <c r="L242" s="9"/>
      <c r="M242" s="9" t="s">
        <v>972</v>
      </c>
      <c r="N242" s="9"/>
      <c r="O242" s="9" t="s">
        <v>973</v>
      </c>
      <c r="P242" s="9" t="str">
        <f>HYPERLINK("https://ceds.ed.gov/cedselementdetails.aspx?termid=13177")</f>
        <v>https://ceds.ed.gov/cedselementdetails.aspx?termid=13177</v>
      </c>
      <c r="Q242" s="9" t="str">
        <f>HYPERLINK("https://ceds.ed.gov/elementComment.aspx?elementName=Assessment Level for Which Designed &amp;elementID=13177", "Click here to submit comment")</f>
        <v>Click here to submit comment</v>
      </c>
    </row>
    <row r="243" spans="1:17" ht="300" x14ac:dyDescent="0.25">
      <c r="A243" s="9" t="s">
        <v>6739</v>
      </c>
      <c r="B243" s="9" t="s">
        <v>6740</v>
      </c>
      <c r="C243" s="9" t="s">
        <v>6759</v>
      </c>
      <c r="D243" s="9" t="s">
        <v>6742</v>
      </c>
      <c r="E243" s="9" t="s">
        <v>2508</v>
      </c>
      <c r="F243" s="9" t="s">
        <v>2509</v>
      </c>
      <c r="G243" s="10" t="s">
        <v>6475</v>
      </c>
      <c r="H243" s="9" t="s">
        <v>2225</v>
      </c>
      <c r="I243" s="9"/>
      <c r="J243" s="9"/>
      <c r="K243" s="9"/>
      <c r="L243" s="9"/>
      <c r="M243" s="9" t="s">
        <v>2511</v>
      </c>
      <c r="N243" s="9"/>
      <c r="O243" s="9" t="s">
        <v>2512</v>
      </c>
      <c r="P243" s="9" t="str">
        <f>HYPERLINK("https://ceds.ed.gov/cedselementdetails.aspx?termid=13304")</f>
        <v>https://ceds.ed.gov/cedselementdetails.aspx?termid=13304</v>
      </c>
      <c r="Q243" s="9" t="str">
        <f>HYPERLINK("https://ceds.ed.gov/elementComment.aspx?elementName=Early Learning Program Eligibility Category &amp;elementID=13304", "Click here to submit comment")</f>
        <v>Click here to submit comment</v>
      </c>
    </row>
    <row r="244" spans="1:17" ht="75" x14ac:dyDescent="0.25">
      <c r="A244" s="9" t="s">
        <v>6739</v>
      </c>
      <c r="B244" s="9" t="s">
        <v>6740</v>
      </c>
      <c r="C244" s="9" t="s">
        <v>6759</v>
      </c>
      <c r="D244" s="9" t="s">
        <v>6742</v>
      </c>
      <c r="E244" s="9" t="s">
        <v>2517</v>
      </c>
      <c r="F244" s="9" t="s">
        <v>2518</v>
      </c>
      <c r="G244" s="10" t="s">
        <v>6476</v>
      </c>
      <c r="H244" s="9"/>
      <c r="I244" s="9"/>
      <c r="J244" s="9"/>
      <c r="K244" s="9"/>
      <c r="L244" s="9"/>
      <c r="M244" s="9" t="s">
        <v>2519</v>
      </c>
      <c r="N244" s="9"/>
      <c r="O244" s="9" t="s">
        <v>2520</v>
      </c>
      <c r="P244" s="9" t="str">
        <f>HYPERLINK("https://ceds.ed.gov/cedselementdetails.aspx?termid=14306")</f>
        <v>https://ceds.ed.gov/cedselementdetails.aspx?termid=14306</v>
      </c>
      <c r="Q244" s="9" t="str">
        <f>HYPERLINK("https://ceds.ed.gov/elementComment.aspx?elementName=Early Learning Program Eligibility Status &amp;elementID=14306", "Click here to submit comment")</f>
        <v>Click here to submit comment</v>
      </c>
    </row>
    <row r="245" spans="1:17" ht="45" x14ac:dyDescent="0.25">
      <c r="A245" s="9" t="s">
        <v>6739</v>
      </c>
      <c r="B245" s="9" t="s">
        <v>6740</v>
      </c>
      <c r="C245" s="9" t="s">
        <v>6759</v>
      </c>
      <c r="D245" s="9" t="s">
        <v>6742</v>
      </c>
      <c r="E245" s="9" t="s">
        <v>2521</v>
      </c>
      <c r="F245" s="9" t="s">
        <v>2522</v>
      </c>
      <c r="G245" s="9" t="s">
        <v>12</v>
      </c>
      <c r="H245" s="9"/>
      <c r="I245" s="9"/>
      <c r="J245" s="9" t="s">
        <v>73</v>
      </c>
      <c r="K245" s="9"/>
      <c r="L245" s="9"/>
      <c r="M245" s="9" t="s">
        <v>2523</v>
      </c>
      <c r="N245" s="9"/>
      <c r="O245" s="9" t="s">
        <v>2524</v>
      </c>
      <c r="P245" s="9" t="str">
        <f>HYPERLINK("https://ceds.ed.gov/cedselementdetails.aspx?termid=14307")</f>
        <v>https://ceds.ed.gov/cedselementdetails.aspx?termid=14307</v>
      </c>
      <c r="Q245" s="9" t="str">
        <f>HYPERLINK("https://ceds.ed.gov/elementComment.aspx?elementName=Early Learning Program Eligibility Status Date &amp;elementID=14307", "Click here to submit comment")</f>
        <v>Click here to submit comment</v>
      </c>
    </row>
    <row r="246" spans="1:17" ht="45" x14ac:dyDescent="0.25">
      <c r="A246" s="9" t="s">
        <v>6739</v>
      </c>
      <c r="B246" s="9" t="s">
        <v>6740</v>
      </c>
      <c r="C246" s="9" t="s">
        <v>6759</v>
      </c>
      <c r="D246" s="9" t="s">
        <v>6742</v>
      </c>
      <c r="E246" s="9" t="s">
        <v>2513</v>
      </c>
      <c r="F246" s="9" t="s">
        <v>2514</v>
      </c>
      <c r="G246" s="9" t="s">
        <v>12</v>
      </c>
      <c r="H246" s="9"/>
      <c r="I246" s="9"/>
      <c r="J246" s="9" t="s">
        <v>73</v>
      </c>
      <c r="K246" s="9"/>
      <c r="L246" s="9"/>
      <c r="M246" s="9" t="s">
        <v>2515</v>
      </c>
      <c r="N246" s="9"/>
      <c r="O246" s="9" t="s">
        <v>2516</v>
      </c>
      <c r="P246" s="9" t="str">
        <f>HYPERLINK("https://ceds.ed.gov/cedselementdetails.aspx?termid=14305")</f>
        <v>https://ceds.ed.gov/cedselementdetails.aspx?termid=14305</v>
      </c>
      <c r="Q246" s="9" t="str">
        <f>HYPERLINK("https://ceds.ed.gov/elementComment.aspx?elementName=Early Learning Program Eligibility Expiration Date &amp;elementID=14305", "Click here to submit comment")</f>
        <v>Click here to submit comment</v>
      </c>
    </row>
    <row r="247" spans="1:17" ht="135" x14ac:dyDescent="0.25">
      <c r="A247" s="9" t="s">
        <v>6739</v>
      </c>
      <c r="B247" s="9" t="s">
        <v>6740</v>
      </c>
      <c r="C247" s="9" t="s">
        <v>6760</v>
      </c>
      <c r="D247" s="9" t="s">
        <v>6742</v>
      </c>
      <c r="E247" s="9" t="s">
        <v>3589</v>
      </c>
      <c r="F247" s="9" t="s">
        <v>3590</v>
      </c>
      <c r="G247" s="10" t="s">
        <v>6573</v>
      </c>
      <c r="H247" s="9" t="s">
        <v>6235</v>
      </c>
      <c r="I247" s="9"/>
      <c r="J247" s="9"/>
      <c r="K247" s="9"/>
      <c r="L247" s="9"/>
      <c r="M247" s="9" t="s">
        <v>3591</v>
      </c>
      <c r="N247" s="9"/>
      <c r="O247" s="9" t="s">
        <v>3592</v>
      </c>
      <c r="P247" s="9" t="str">
        <f>HYPERLINK("https://ceds.ed.gov/cedselementdetails.aspx?termid=13316")</f>
        <v>https://ceds.ed.gov/cedselementdetails.aspx?termid=13316</v>
      </c>
      <c r="Q247" s="9" t="str">
        <f>HYPERLINK("https://ceds.ed.gov/elementComment.aspx?elementName=Language Type &amp;elementID=13316", "Click here to submit comment")</f>
        <v>Click here to submit comment</v>
      </c>
    </row>
    <row r="248" spans="1:17" ht="90" x14ac:dyDescent="0.25">
      <c r="A248" s="9" t="s">
        <v>6739</v>
      </c>
      <c r="B248" s="9" t="s">
        <v>6740</v>
      </c>
      <c r="C248" s="9" t="s">
        <v>6760</v>
      </c>
      <c r="D248" s="9" t="s">
        <v>6742</v>
      </c>
      <c r="E248" s="9" t="s">
        <v>3545</v>
      </c>
      <c r="F248" s="9" t="s">
        <v>3546</v>
      </c>
      <c r="G248" s="11" t="s">
        <v>966</v>
      </c>
      <c r="H248" s="9" t="s">
        <v>6235</v>
      </c>
      <c r="I248" s="9"/>
      <c r="J248" s="9"/>
      <c r="K248" s="9"/>
      <c r="L248" s="11" t="s">
        <v>967</v>
      </c>
      <c r="M248" s="9" t="s">
        <v>3547</v>
      </c>
      <c r="N248" s="9"/>
      <c r="O248" s="9" t="s">
        <v>3548</v>
      </c>
      <c r="P248" s="9" t="str">
        <f>HYPERLINK("https://ceds.ed.gov/cedselementdetails.aspx?termid=13317")</f>
        <v>https://ceds.ed.gov/cedselementdetails.aspx?termid=13317</v>
      </c>
      <c r="Q248" s="9" t="str">
        <f>HYPERLINK("https://ceds.ed.gov/elementComment.aspx?elementName=ISO 639-2 Language Code &amp;elementID=13317", "Click here to submit comment")</f>
        <v>Click here to submit comment</v>
      </c>
    </row>
    <row r="249" spans="1:17" ht="105" x14ac:dyDescent="0.25">
      <c r="A249" s="9" t="s">
        <v>6739</v>
      </c>
      <c r="B249" s="9" t="s">
        <v>6740</v>
      </c>
      <c r="C249" s="9" t="s">
        <v>6760</v>
      </c>
      <c r="D249" s="9" t="s">
        <v>6742</v>
      </c>
      <c r="E249" s="9" t="s">
        <v>3549</v>
      </c>
      <c r="F249" s="9" t="s">
        <v>3546</v>
      </c>
      <c r="G249" s="11" t="s">
        <v>11618</v>
      </c>
      <c r="H249" s="9"/>
      <c r="I249" s="9"/>
      <c r="J249" s="9"/>
      <c r="K249" s="9"/>
      <c r="L249" s="11" t="s">
        <v>3550</v>
      </c>
      <c r="M249" s="9" t="s">
        <v>3551</v>
      </c>
      <c r="N249" s="9"/>
      <c r="O249" s="9" t="s">
        <v>3552</v>
      </c>
      <c r="P249" s="9" t="str">
        <f>HYPERLINK("https://ceds.ed.gov/cedselementdetails.aspx?termid=14618")</f>
        <v>https://ceds.ed.gov/cedselementdetails.aspx?termid=14618</v>
      </c>
      <c r="Q249" s="9" t="str">
        <f>HYPERLINK("https://ceds.ed.gov/elementComment.aspx?elementName=ISO 639-3 Language Code &amp;elementID=14618", "Click here to submit comment")</f>
        <v>Click here to submit comment</v>
      </c>
    </row>
    <row r="250" spans="1:17" ht="409.5" x14ac:dyDescent="0.25">
      <c r="A250" s="9" t="s">
        <v>6739</v>
      </c>
      <c r="B250" s="9" t="s">
        <v>6740</v>
      </c>
      <c r="C250" s="9" t="s">
        <v>6760</v>
      </c>
      <c r="D250" s="9" t="s">
        <v>6742</v>
      </c>
      <c r="E250" s="9" t="s">
        <v>3553</v>
      </c>
      <c r="F250" s="9" t="s">
        <v>3554</v>
      </c>
      <c r="G250" s="10" t="s">
        <v>6568</v>
      </c>
      <c r="H250" s="9"/>
      <c r="I250" s="9"/>
      <c r="J250" s="9"/>
      <c r="K250" s="9"/>
      <c r="L250" s="11" t="s">
        <v>3555</v>
      </c>
      <c r="M250" s="9" t="s">
        <v>3556</v>
      </c>
      <c r="N250" s="9"/>
      <c r="O250" s="9" t="s">
        <v>3557</v>
      </c>
      <c r="P250" s="9" t="str">
        <f>HYPERLINK("https://ceds.ed.gov/cedselementdetails.aspx?termid=14619")</f>
        <v>https://ceds.ed.gov/cedselementdetails.aspx?termid=14619</v>
      </c>
      <c r="Q250" s="9" t="str">
        <f>HYPERLINK("https://ceds.ed.gov/elementComment.aspx?elementName=ISO 639-5 Language Family &amp;elementID=14619", "Click here to submit comment")</f>
        <v>Click here to submit comment</v>
      </c>
    </row>
    <row r="251" spans="1:17" ht="45" x14ac:dyDescent="0.25">
      <c r="A251" s="9" t="s">
        <v>6739</v>
      </c>
      <c r="B251" s="9" t="s">
        <v>6740</v>
      </c>
      <c r="C251" s="9" t="s">
        <v>6761</v>
      </c>
      <c r="D251" s="9" t="s">
        <v>6742</v>
      </c>
      <c r="E251" s="9" t="s">
        <v>372</v>
      </c>
      <c r="F251" s="9" t="s">
        <v>373</v>
      </c>
      <c r="G251" s="9" t="s">
        <v>12</v>
      </c>
      <c r="H251" s="9" t="s">
        <v>6124</v>
      </c>
      <c r="I251" s="9"/>
      <c r="J251" s="9" t="s">
        <v>73</v>
      </c>
      <c r="K251" s="9"/>
      <c r="L251" s="9"/>
      <c r="M251" s="9" t="s">
        <v>374</v>
      </c>
      <c r="N251" s="9"/>
      <c r="O251" s="9" t="s">
        <v>375</v>
      </c>
      <c r="P251" s="9" t="str">
        <f>HYPERLINK("https://ceds.ed.gov/cedselementdetails.aspx?termid=13323")</f>
        <v>https://ceds.ed.gov/cedselementdetails.aspx?termid=13323</v>
      </c>
      <c r="Q251" s="9" t="str">
        <f>HYPERLINK("https://ceds.ed.gov/elementComment.aspx?elementName=Application Date &amp;elementID=13323", "Click here to submit comment")</f>
        <v>Click here to submit comment</v>
      </c>
    </row>
    <row r="252" spans="1:17" ht="255" x14ac:dyDescent="0.25">
      <c r="A252" s="9" t="s">
        <v>6739</v>
      </c>
      <c r="B252" s="9" t="s">
        <v>6740</v>
      </c>
      <c r="C252" s="9" t="s">
        <v>6761</v>
      </c>
      <c r="D252" s="9" t="s">
        <v>6742</v>
      </c>
      <c r="E252" s="9" t="s">
        <v>3186</v>
      </c>
      <c r="F252" s="9" t="s">
        <v>3187</v>
      </c>
      <c r="G252" s="10" t="s">
        <v>6538</v>
      </c>
      <c r="H252" s="9" t="s">
        <v>199</v>
      </c>
      <c r="I252" s="9"/>
      <c r="J252" s="9"/>
      <c r="K252" s="9"/>
      <c r="L252" s="9"/>
      <c r="M252" s="9" t="s">
        <v>3188</v>
      </c>
      <c r="N252" s="9"/>
      <c r="O252" s="9" t="s">
        <v>3189</v>
      </c>
      <c r="P252" s="9" t="str">
        <f>HYPERLINK("https://ceds.ed.gov/cedselementdetails.aspx?termid=13550")</f>
        <v>https://ceds.ed.gov/cedselementdetails.aspx?termid=13550</v>
      </c>
      <c r="Q252" s="9" t="str">
        <f>HYPERLINK("https://ceds.ed.gov/elementComment.aspx?elementName=IDEA Educational Environment for Early Childhood &amp;elementID=13550", "Click here to submit comment")</f>
        <v>Click here to submit comment</v>
      </c>
    </row>
    <row r="253" spans="1:17" ht="45" x14ac:dyDescent="0.25">
      <c r="A253" s="9" t="s">
        <v>6739</v>
      </c>
      <c r="B253" s="9" t="s">
        <v>6740</v>
      </c>
      <c r="C253" s="9" t="s">
        <v>6761</v>
      </c>
      <c r="D253" s="9" t="s">
        <v>6742</v>
      </c>
      <c r="E253" s="9" t="s">
        <v>2678</v>
      </c>
      <c r="F253" s="9" t="s">
        <v>2679</v>
      </c>
      <c r="G253" s="9" t="s">
        <v>12</v>
      </c>
      <c r="H253" s="9" t="s">
        <v>6124</v>
      </c>
      <c r="I253" s="9"/>
      <c r="J253" s="9" t="s">
        <v>73</v>
      </c>
      <c r="K253" s="9"/>
      <c r="L253" s="9"/>
      <c r="M253" s="9" t="s">
        <v>2680</v>
      </c>
      <c r="N253" s="9"/>
      <c r="O253" s="9" t="s">
        <v>2681</v>
      </c>
      <c r="P253" s="9" t="str">
        <f>HYPERLINK("https://ceds.ed.gov/cedselementdetails.aspx?termid=13324")</f>
        <v>https://ceds.ed.gov/cedselementdetails.aspx?termid=13324</v>
      </c>
      <c r="Q253" s="9" t="str">
        <f>HYPERLINK("https://ceds.ed.gov/elementComment.aspx?elementName=Enrollment Date &amp;elementID=13324", "Click here to submit comment")</f>
        <v>Click here to submit comment</v>
      </c>
    </row>
    <row r="254" spans="1:17" ht="195" x14ac:dyDescent="0.25">
      <c r="A254" s="9" t="s">
        <v>6739</v>
      </c>
      <c r="B254" s="9" t="s">
        <v>6740</v>
      </c>
      <c r="C254" s="9" t="s">
        <v>6761</v>
      </c>
      <c r="D254" s="9" t="s">
        <v>6742</v>
      </c>
      <c r="E254" s="9" t="s">
        <v>2682</v>
      </c>
      <c r="F254" s="9" t="s">
        <v>2683</v>
      </c>
      <c r="G254" s="9" t="s">
        <v>12</v>
      </c>
      <c r="H254" s="9" t="s">
        <v>6202</v>
      </c>
      <c r="I254" s="9"/>
      <c r="J254" s="9" t="s">
        <v>73</v>
      </c>
      <c r="K254" s="9"/>
      <c r="L254" s="9"/>
      <c r="M254" s="9" t="s">
        <v>2684</v>
      </c>
      <c r="N254" s="9"/>
      <c r="O254" s="9" t="s">
        <v>2685</v>
      </c>
      <c r="P254" s="9" t="str">
        <f>HYPERLINK("https://ceds.ed.gov/cedselementdetails.aspx?termid=13097")</f>
        <v>https://ceds.ed.gov/cedselementdetails.aspx?termid=13097</v>
      </c>
      <c r="Q254" s="9" t="str">
        <f>HYPERLINK("https://ceds.ed.gov/elementComment.aspx?elementName=Enrollment Entry Date &amp;elementID=13097", "Click here to submit comment")</f>
        <v>Click here to submit comment</v>
      </c>
    </row>
    <row r="255" spans="1:17" ht="60" x14ac:dyDescent="0.25">
      <c r="A255" s="9" t="s">
        <v>6739</v>
      </c>
      <c r="B255" s="9" t="s">
        <v>6740</v>
      </c>
      <c r="C255" s="9" t="s">
        <v>6761</v>
      </c>
      <c r="D255" s="9" t="s">
        <v>6742</v>
      </c>
      <c r="E255" s="9" t="s">
        <v>2686</v>
      </c>
      <c r="F255" s="9" t="s">
        <v>2687</v>
      </c>
      <c r="G255" s="9" t="s">
        <v>12</v>
      </c>
      <c r="H255" s="9" t="s">
        <v>25</v>
      </c>
      <c r="I255" s="9"/>
      <c r="J255" s="9" t="s">
        <v>73</v>
      </c>
      <c r="K255" s="9"/>
      <c r="L255" s="9"/>
      <c r="M255" s="9" t="s">
        <v>2688</v>
      </c>
      <c r="N255" s="9"/>
      <c r="O255" s="9" t="s">
        <v>2689</v>
      </c>
      <c r="P255" s="9" t="str">
        <f>HYPERLINK("https://ceds.ed.gov/cedselementdetails.aspx?termid=13107")</f>
        <v>https://ceds.ed.gov/cedselementdetails.aspx?termid=13107</v>
      </c>
      <c r="Q255" s="9" t="str">
        <f>HYPERLINK("https://ceds.ed.gov/elementComment.aspx?elementName=Enrollment Exit Date &amp;elementID=13107", "Click here to submit comment")</f>
        <v>Click here to submit comment</v>
      </c>
    </row>
    <row r="256" spans="1:17" ht="409.5" x14ac:dyDescent="0.25">
      <c r="A256" s="9" t="s">
        <v>6739</v>
      </c>
      <c r="B256" s="9" t="s">
        <v>6740</v>
      </c>
      <c r="C256" s="9" t="s">
        <v>6761</v>
      </c>
      <c r="D256" s="9" t="s">
        <v>6742</v>
      </c>
      <c r="E256" s="9" t="s">
        <v>2723</v>
      </c>
      <c r="F256" s="9" t="s">
        <v>2724</v>
      </c>
      <c r="G256" s="10" t="s">
        <v>6498</v>
      </c>
      <c r="H256" s="9"/>
      <c r="I256" s="9"/>
      <c r="J256" s="9"/>
      <c r="K256" s="9"/>
      <c r="L256" s="9"/>
      <c r="M256" s="9" t="s">
        <v>2725</v>
      </c>
      <c r="N256" s="9"/>
      <c r="O256" s="9" t="s">
        <v>2726</v>
      </c>
      <c r="P256" s="9" t="str">
        <f>HYPERLINK("https://ceds.ed.gov/cedselementdetails.aspx?termid=13222")</f>
        <v>https://ceds.ed.gov/cedselementdetails.aspx?termid=13222</v>
      </c>
      <c r="Q256" s="9" t="str">
        <f>HYPERLINK("https://ceds.ed.gov/elementComment.aspx?elementName=Exit Reason &amp;elementID=13222", "Click here to submit comment")</f>
        <v>Click here to submit comment</v>
      </c>
    </row>
    <row r="257" spans="1:17" ht="255" x14ac:dyDescent="0.25">
      <c r="A257" s="9" t="s">
        <v>6739</v>
      </c>
      <c r="B257" s="9" t="s">
        <v>6740</v>
      </c>
      <c r="C257" s="9" t="s">
        <v>6761</v>
      </c>
      <c r="D257" s="9" t="s">
        <v>6742</v>
      </c>
      <c r="E257" s="9" t="s">
        <v>4377</v>
      </c>
      <c r="F257" s="9" t="s">
        <v>4378</v>
      </c>
      <c r="G257" s="9" t="s">
        <v>12</v>
      </c>
      <c r="H257" s="9" t="s">
        <v>6249</v>
      </c>
      <c r="I257" s="9"/>
      <c r="J257" s="9" t="s">
        <v>1513</v>
      </c>
      <c r="K257" s="9"/>
      <c r="L257" s="9" t="s">
        <v>4379</v>
      </c>
      <c r="M257" s="9" t="s">
        <v>4380</v>
      </c>
      <c r="N257" s="9"/>
      <c r="O257" s="9" t="s">
        <v>4381</v>
      </c>
      <c r="P257" s="9" t="str">
        <f>HYPERLINK("https://ceds.ed.gov/cedselementdetails.aspx?termid=13202")</f>
        <v>https://ceds.ed.gov/cedselementdetails.aspx?termid=13202</v>
      </c>
      <c r="Q257" s="9" t="str">
        <f>HYPERLINK("https://ceds.ed.gov/elementComment.aspx?elementName=Number of Days in Attendance &amp;elementID=13202", "Click here to submit comment")</f>
        <v>Click here to submit comment</v>
      </c>
    </row>
    <row r="258" spans="1:17" ht="300" x14ac:dyDescent="0.25">
      <c r="A258" s="9" t="s">
        <v>6739</v>
      </c>
      <c r="B258" s="9" t="s">
        <v>6740</v>
      </c>
      <c r="C258" s="9" t="s">
        <v>6761</v>
      </c>
      <c r="D258" s="9" t="s">
        <v>6742</v>
      </c>
      <c r="E258" s="9" t="s">
        <v>4529</v>
      </c>
      <c r="F258" s="9" t="s">
        <v>4530</v>
      </c>
      <c r="G258" s="10" t="s">
        <v>6633</v>
      </c>
      <c r="H258" s="9" t="s">
        <v>6124</v>
      </c>
      <c r="I258" s="9"/>
      <c r="J258" s="9"/>
      <c r="K258" s="9"/>
      <c r="L258" s="9"/>
      <c r="M258" s="9" t="s">
        <v>4531</v>
      </c>
      <c r="N258" s="9"/>
      <c r="O258" s="9" t="s">
        <v>4532</v>
      </c>
      <c r="P258" s="9" t="str">
        <f>HYPERLINK("https://ceds.ed.gov/cedselementdetails.aspx?termid=13325")</f>
        <v>https://ceds.ed.gov/cedselementdetails.aspx?termid=13325</v>
      </c>
      <c r="Q258" s="9" t="str">
        <f>HYPERLINK("https://ceds.ed.gov/elementComment.aspx?elementName=Participation in School Food Service Programs &amp;elementID=13325", "Click here to submit comment")</f>
        <v>Click here to submit comment</v>
      </c>
    </row>
    <row r="259" spans="1:17" ht="240" x14ac:dyDescent="0.25">
      <c r="A259" s="9" t="s">
        <v>6739</v>
      </c>
      <c r="B259" s="9" t="s">
        <v>6740</v>
      </c>
      <c r="C259" s="9" t="s">
        <v>6761</v>
      </c>
      <c r="D259" s="9" t="s">
        <v>6742</v>
      </c>
      <c r="E259" s="9" t="s">
        <v>4444</v>
      </c>
      <c r="F259" s="9" t="s">
        <v>4445</v>
      </c>
      <c r="G259" s="10" t="s">
        <v>11903</v>
      </c>
      <c r="H259" s="9" t="s">
        <v>64</v>
      </c>
      <c r="I259" s="9"/>
      <c r="J259" s="9"/>
      <c r="K259" s="9"/>
      <c r="L259" s="9"/>
      <c r="M259" s="9" t="s">
        <v>4446</v>
      </c>
      <c r="N259" s="9"/>
      <c r="O259" s="9" t="s">
        <v>4447</v>
      </c>
      <c r="P259" s="9" t="str">
        <f>HYPERLINK("https://ceds.ed.gov/cedselementdetails.aspx?termid=13827")</f>
        <v>https://ceds.ed.gov/cedselementdetails.aspx?termid=13827</v>
      </c>
      <c r="Q259" s="9" t="str">
        <f>HYPERLINK("https://ceds.ed.gov/elementComment.aspx?elementName=Organization Identification System &amp;elementID=13827", "Click here to submit comment")</f>
        <v>Click here to submit comment</v>
      </c>
    </row>
    <row r="260" spans="1:17" ht="60" x14ac:dyDescent="0.25">
      <c r="A260" s="18" t="s">
        <v>6739</v>
      </c>
      <c r="B260" s="18" t="s">
        <v>6740</v>
      </c>
      <c r="C260" s="18" t="s">
        <v>6761</v>
      </c>
      <c r="D260" s="18" t="s">
        <v>6742</v>
      </c>
      <c r="E260" s="18" t="s">
        <v>5162</v>
      </c>
      <c r="F260" s="18" t="s">
        <v>5163</v>
      </c>
      <c r="G260" s="18" t="s">
        <v>12</v>
      </c>
      <c r="H260" s="18"/>
      <c r="I260" s="18"/>
      <c r="J260" s="18" t="s">
        <v>119</v>
      </c>
      <c r="K260" s="18"/>
      <c r="L260" s="9" t="s">
        <v>5164</v>
      </c>
      <c r="M260" s="18" t="s">
        <v>5165</v>
      </c>
      <c r="N260" s="18"/>
      <c r="O260" s="18" t="s">
        <v>5166</v>
      </c>
      <c r="P260" s="18" t="str">
        <f>HYPERLINK("https://ceds.ed.gov/cedselementdetails.aspx?termid=14438")</f>
        <v>https://ceds.ed.gov/cedselementdetails.aspx?termid=14438</v>
      </c>
      <c r="Q260" s="18" t="str">
        <f>HYPERLINK("https://ceds.ed.gov/elementComment.aspx?elementName=Responsible Organization Identifier &amp;elementID=14438", "Click here to submit comment")</f>
        <v>Click here to submit comment</v>
      </c>
    </row>
    <row r="261" spans="1:17" x14ac:dyDescent="0.25">
      <c r="A261" s="18"/>
      <c r="B261" s="18"/>
      <c r="C261" s="18"/>
      <c r="D261" s="18"/>
      <c r="E261" s="18"/>
      <c r="F261" s="18"/>
      <c r="G261" s="18"/>
      <c r="H261" s="18"/>
      <c r="I261" s="18"/>
      <c r="J261" s="18"/>
      <c r="K261" s="18"/>
      <c r="L261" s="9"/>
      <c r="M261" s="18"/>
      <c r="N261" s="18"/>
      <c r="O261" s="18"/>
      <c r="P261" s="18"/>
      <c r="Q261" s="18"/>
    </row>
    <row r="262" spans="1:17" ht="105" x14ac:dyDescent="0.25">
      <c r="A262" s="18"/>
      <c r="B262" s="18"/>
      <c r="C262" s="18"/>
      <c r="D262" s="18"/>
      <c r="E262" s="18"/>
      <c r="F262" s="18"/>
      <c r="G262" s="18"/>
      <c r="H262" s="18"/>
      <c r="I262" s="18"/>
      <c r="J262" s="18"/>
      <c r="K262" s="18"/>
      <c r="L262" s="9" t="s">
        <v>120</v>
      </c>
      <c r="M262" s="18"/>
      <c r="N262" s="18"/>
      <c r="O262" s="18"/>
      <c r="P262" s="18"/>
      <c r="Q262" s="18"/>
    </row>
    <row r="263" spans="1:17" x14ac:dyDescent="0.25">
      <c r="A263" s="18"/>
      <c r="B263" s="18"/>
      <c r="C263" s="18"/>
      <c r="D263" s="18"/>
      <c r="E263" s="18"/>
      <c r="F263" s="18"/>
      <c r="G263" s="18"/>
      <c r="H263" s="18"/>
      <c r="I263" s="18"/>
      <c r="J263" s="18"/>
      <c r="K263" s="18"/>
      <c r="L263" s="9"/>
      <c r="M263" s="18"/>
      <c r="N263" s="18"/>
      <c r="O263" s="18"/>
      <c r="P263" s="18"/>
      <c r="Q263" s="18"/>
    </row>
    <row r="264" spans="1:17" ht="90" x14ac:dyDescent="0.25">
      <c r="A264" s="18"/>
      <c r="B264" s="18"/>
      <c r="C264" s="18"/>
      <c r="D264" s="18"/>
      <c r="E264" s="18"/>
      <c r="F264" s="18"/>
      <c r="G264" s="18"/>
      <c r="H264" s="18"/>
      <c r="I264" s="18"/>
      <c r="J264" s="18"/>
      <c r="K264" s="18"/>
      <c r="L264" s="9" t="s">
        <v>121</v>
      </c>
      <c r="M264" s="18"/>
      <c r="N264" s="18"/>
      <c r="O264" s="18"/>
      <c r="P264" s="18"/>
      <c r="Q264" s="18"/>
    </row>
    <row r="265" spans="1:17" ht="120" x14ac:dyDescent="0.25">
      <c r="A265" s="9" t="s">
        <v>6739</v>
      </c>
      <c r="B265" s="9" t="s">
        <v>6740</v>
      </c>
      <c r="C265" s="9" t="s">
        <v>6761</v>
      </c>
      <c r="D265" s="9" t="s">
        <v>6742</v>
      </c>
      <c r="E265" s="9" t="s">
        <v>5168</v>
      </c>
      <c r="F265" s="9" t="s">
        <v>5169</v>
      </c>
      <c r="G265" s="10" t="s">
        <v>6681</v>
      </c>
      <c r="H265" s="9"/>
      <c r="I265" s="9"/>
      <c r="J265" s="9"/>
      <c r="K265" s="9"/>
      <c r="L265" s="9" t="s">
        <v>5164</v>
      </c>
      <c r="M265" s="9" t="s">
        <v>5170</v>
      </c>
      <c r="N265" s="9"/>
      <c r="O265" s="9" t="s">
        <v>5171</v>
      </c>
      <c r="P265" s="9" t="str">
        <f>HYPERLINK("https://ceds.ed.gov/cedselementdetails.aspx?termid=14439")</f>
        <v>https://ceds.ed.gov/cedselementdetails.aspx?termid=14439</v>
      </c>
      <c r="Q265" s="9" t="str">
        <f>HYPERLINK("https://ceds.ed.gov/elementComment.aspx?elementName=Responsible Organization Type &amp;elementID=14439", "Click here to submit comment")</f>
        <v>Click here to submit comment</v>
      </c>
    </row>
    <row r="266" spans="1:17" ht="409.5" x14ac:dyDescent="0.25">
      <c r="A266" s="9" t="s">
        <v>6739</v>
      </c>
      <c r="B266" s="9" t="s">
        <v>6740</v>
      </c>
      <c r="C266" s="9" t="s">
        <v>6762</v>
      </c>
      <c r="D266" s="9" t="s">
        <v>6742</v>
      </c>
      <c r="E266" s="9" t="s">
        <v>2463</v>
      </c>
      <c r="F266" s="9" t="s">
        <v>2464</v>
      </c>
      <c r="G266" s="10" t="s">
        <v>6468</v>
      </c>
      <c r="H266" s="9"/>
      <c r="I266" s="9"/>
      <c r="J266" s="9"/>
      <c r="K266" s="9"/>
      <c r="L266" s="9"/>
      <c r="M266" s="9" t="s">
        <v>2465</v>
      </c>
      <c r="N266" s="9"/>
      <c r="O266" s="9" t="s">
        <v>2466</v>
      </c>
      <c r="P266" s="9" t="str">
        <f>HYPERLINK("https://ceds.ed.gov/cedselementdetails.aspx?termid=14294")</f>
        <v>https://ceds.ed.gov/cedselementdetails.aspx?termid=14294</v>
      </c>
      <c r="Q266" s="9" t="str">
        <f>HYPERLINK("https://ceds.ed.gov/elementComment.aspx?elementName=Early Learning Federal Funding Type &amp;elementID=14294", "Click here to submit comment")</f>
        <v>Click here to submit comment</v>
      </c>
    </row>
    <row r="267" spans="1:17" ht="120" x14ac:dyDescent="0.25">
      <c r="A267" s="9" t="s">
        <v>6739</v>
      </c>
      <c r="B267" s="9" t="s">
        <v>6740</v>
      </c>
      <c r="C267" s="9" t="s">
        <v>6762</v>
      </c>
      <c r="D267" s="9" t="s">
        <v>6742</v>
      </c>
      <c r="E267" s="9" t="s">
        <v>2483</v>
      </c>
      <c r="F267" s="9" t="s">
        <v>2484</v>
      </c>
      <c r="G267" s="10" t="s">
        <v>6471</v>
      </c>
      <c r="H267" s="9"/>
      <c r="I267" s="9"/>
      <c r="J267" s="9"/>
      <c r="K267" s="9"/>
      <c r="L267" s="9"/>
      <c r="M267" s="9" t="s">
        <v>2485</v>
      </c>
      <c r="N267" s="9"/>
      <c r="O267" s="9" t="s">
        <v>2486</v>
      </c>
      <c r="P267" s="9" t="str">
        <f>HYPERLINK("https://ceds.ed.gov/cedselementdetails.aspx?termid=14302")</f>
        <v>https://ceds.ed.gov/cedselementdetails.aspx?termid=14302</v>
      </c>
      <c r="Q267" s="9" t="str">
        <f>HYPERLINK("https://ceds.ed.gov/elementComment.aspx?elementName=Early Learning Other Federal Funding Sources &amp;elementID=14302", "Click here to submit comment")</f>
        <v>Click here to submit comment</v>
      </c>
    </row>
    <row r="268" spans="1:17" ht="75" x14ac:dyDescent="0.25">
      <c r="A268" s="9" t="s">
        <v>6739</v>
      </c>
      <c r="B268" s="9" t="s">
        <v>6740</v>
      </c>
      <c r="C268" s="9" t="s">
        <v>6762</v>
      </c>
      <c r="D268" s="9" t="s">
        <v>6742</v>
      </c>
      <c r="E268" s="9" t="s">
        <v>2776</v>
      </c>
      <c r="F268" s="9" t="s">
        <v>2777</v>
      </c>
      <c r="G268" s="9" t="s">
        <v>12</v>
      </c>
      <c r="H268" s="9" t="s">
        <v>199</v>
      </c>
      <c r="I268" s="9"/>
      <c r="J268" s="9" t="s">
        <v>11328</v>
      </c>
      <c r="K268" s="9"/>
      <c r="L268" s="9"/>
      <c r="M268" s="9" t="s">
        <v>2778</v>
      </c>
      <c r="N268" s="9"/>
      <c r="O268" s="9" t="s">
        <v>2779</v>
      </c>
      <c r="P268" s="9" t="str">
        <f>HYPERLINK("https://ceds.ed.gov/cedselementdetails.aspx?termid=13538")</f>
        <v>https://ceds.ed.gov/cedselementdetails.aspx?termid=13538</v>
      </c>
      <c r="Q268" s="9" t="str">
        <f>HYPERLINK("https://ceds.ed.gov/elementComment.aspx?elementName=Federal Program Code &amp;elementID=13538", "Click here to submit comment")</f>
        <v>Click here to submit comment</v>
      </c>
    </row>
    <row r="269" spans="1:17" ht="60" x14ac:dyDescent="0.25">
      <c r="A269" s="9" t="s">
        <v>6739</v>
      </c>
      <c r="B269" s="9" t="s">
        <v>6740</v>
      </c>
      <c r="C269" s="9" t="s">
        <v>6770</v>
      </c>
      <c r="D269" s="9" t="s">
        <v>6742</v>
      </c>
      <c r="E269" s="9" t="s">
        <v>1516</v>
      </c>
      <c r="F269" s="9" t="s">
        <v>1517</v>
      </c>
      <c r="G269" s="9" t="s">
        <v>6106</v>
      </c>
      <c r="H269" s="9" t="s">
        <v>4</v>
      </c>
      <c r="I269" s="9"/>
      <c r="J269" s="9"/>
      <c r="K269" s="9"/>
      <c r="L269" s="9"/>
      <c r="M269" s="9" t="s">
        <v>1518</v>
      </c>
      <c r="N269" s="9"/>
      <c r="O269" s="9" t="s">
        <v>1519</v>
      </c>
      <c r="P269" s="9" t="str">
        <f>HYPERLINK("https://ceds.ed.gov/cedselementdetails.aspx?termid=13031")</f>
        <v>https://ceds.ed.gov/cedselementdetails.aspx?termid=13031</v>
      </c>
      <c r="Q269" s="9" t="str">
        <f>HYPERLINK("https://ceds.ed.gov/elementComment.aspx?elementName=Awaiting Initial IDEA Evaluation Status &amp;elementID=13031", "Click here to submit comment")</f>
        <v>Click here to submit comment</v>
      </c>
    </row>
    <row r="270" spans="1:17" ht="285" x14ac:dyDescent="0.25">
      <c r="A270" s="9" t="s">
        <v>6739</v>
      </c>
      <c r="B270" s="9" t="s">
        <v>6740</v>
      </c>
      <c r="C270" s="9" t="s">
        <v>6770</v>
      </c>
      <c r="D270" s="9" t="s">
        <v>6742</v>
      </c>
      <c r="E270" s="9" t="s">
        <v>3199</v>
      </c>
      <c r="F270" s="9" t="s">
        <v>3200</v>
      </c>
      <c r="G270" s="9" t="s">
        <v>6106</v>
      </c>
      <c r="H270" s="9" t="s">
        <v>6228</v>
      </c>
      <c r="I270" s="9"/>
      <c r="J270" s="9"/>
      <c r="K270" s="9"/>
      <c r="L270" s="9"/>
      <c r="M270" s="9" t="s">
        <v>3201</v>
      </c>
      <c r="N270" s="9"/>
      <c r="O270" s="9" t="s">
        <v>3202</v>
      </c>
      <c r="P270" s="9" t="str">
        <f>HYPERLINK("https://ceds.ed.gov/cedselementdetails.aspx?termid=13151")</f>
        <v>https://ceds.ed.gov/cedselementdetails.aspx?termid=13151</v>
      </c>
      <c r="Q270" s="9" t="str">
        <f>HYPERLINK("https://ceds.ed.gov/elementComment.aspx?elementName=IDEA Indicator &amp;elementID=13151", "Click here to submit comment")</f>
        <v>Click here to submit comment</v>
      </c>
    </row>
    <row r="271" spans="1:17" ht="45" x14ac:dyDescent="0.25">
      <c r="A271" s="9" t="s">
        <v>6739</v>
      </c>
      <c r="B271" s="9" t="s">
        <v>6740</v>
      </c>
      <c r="C271" s="9" t="s">
        <v>6770</v>
      </c>
      <c r="D271" s="9" t="s">
        <v>6742</v>
      </c>
      <c r="E271" s="9" t="s">
        <v>2291</v>
      </c>
      <c r="F271" s="9" t="s">
        <v>2292</v>
      </c>
      <c r="G271" s="9" t="s">
        <v>6106</v>
      </c>
      <c r="H271" s="9" t="s">
        <v>199</v>
      </c>
      <c r="I271" s="9"/>
      <c r="J271" s="9"/>
      <c r="K271" s="9"/>
      <c r="L271" s="9"/>
      <c r="M271" s="9" t="s">
        <v>2293</v>
      </c>
      <c r="N271" s="9"/>
      <c r="O271" s="9" t="s">
        <v>2294</v>
      </c>
      <c r="P271" s="9" t="str">
        <f>HYPERLINK("https://ceds.ed.gov/cedselementdetails.aspx?termid=13569")</f>
        <v>https://ceds.ed.gov/cedselementdetails.aspx?termid=13569</v>
      </c>
      <c r="Q271" s="9" t="str">
        <f>HYPERLINK("https://ceds.ed.gov/elementComment.aspx?elementName=Disability Status &amp;elementID=13569", "Click here to submit comment")</f>
        <v>Click here to submit comment</v>
      </c>
    </row>
    <row r="272" spans="1:17" ht="90" x14ac:dyDescent="0.25">
      <c r="A272" s="9" t="s">
        <v>6739</v>
      </c>
      <c r="B272" s="9" t="s">
        <v>6740</v>
      </c>
      <c r="C272" s="9" t="s">
        <v>6770</v>
      </c>
      <c r="D272" s="9" t="s">
        <v>6742</v>
      </c>
      <c r="E272" s="9" t="s">
        <v>5392</v>
      </c>
      <c r="F272" s="9" t="s">
        <v>5393</v>
      </c>
      <c r="G272" s="9" t="s">
        <v>6106</v>
      </c>
      <c r="H272" s="9" t="s">
        <v>6228</v>
      </c>
      <c r="I272" s="9"/>
      <c r="J272" s="9"/>
      <c r="K272" s="9"/>
      <c r="L272" s="9"/>
      <c r="M272" s="9" t="s">
        <v>5394</v>
      </c>
      <c r="N272" s="9"/>
      <c r="O272" s="9" t="s">
        <v>5395</v>
      </c>
      <c r="P272" s="9" t="str">
        <f>HYPERLINK("https://ceds.ed.gov/cedselementdetails.aspx?termid=13249")</f>
        <v>https://ceds.ed.gov/cedselementdetails.aspx?termid=13249</v>
      </c>
      <c r="Q272" s="9" t="str">
        <f>HYPERLINK("https://ceds.ed.gov/elementComment.aspx?elementName=Section 504 Status &amp;elementID=13249", "Click here to submit comment")</f>
        <v>Click here to submit comment</v>
      </c>
    </row>
    <row r="273" spans="1:17" ht="210" x14ac:dyDescent="0.25">
      <c r="A273" s="9" t="s">
        <v>6739</v>
      </c>
      <c r="B273" s="9" t="s">
        <v>6740</v>
      </c>
      <c r="C273" s="9" t="s">
        <v>6770</v>
      </c>
      <c r="D273" s="9" t="s">
        <v>6742</v>
      </c>
      <c r="E273" s="9" t="s">
        <v>4705</v>
      </c>
      <c r="F273" s="9" t="s">
        <v>4706</v>
      </c>
      <c r="G273" s="10" t="s">
        <v>6648</v>
      </c>
      <c r="H273" s="9" t="s">
        <v>6259</v>
      </c>
      <c r="I273" s="9"/>
      <c r="J273" s="9"/>
      <c r="K273" s="9"/>
      <c r="L273" s="9" t="s">
        <v>11683</v>
      </c>
      <c r="M273" s="9" t="s">
        <v>4707</v>
      </c>
      <c r="N273" s="9"/>
      <c r="O273" s="9" t="s">
        <v>4708</v>
      </c>
      <c r="P273" s="9" t="str">
        <f>HYPERLINK("https://ceds.ed.gov/cedselementdetails.aspx?termid=13218")</f>
        <v>https://ceds.ed.gov/cedselementdetails.aspx?termid=13218</v>
      </c>
      <c r="Q273" s="9" t="str">
        <f>HYPERLINK("https://ceds.ed.gov/elementComment.aspx?elementName=Primary Disability Type &amp;elementID=13218", "Click here to submit comment")</f>
        <v>Click here to submit comment</v>
      </c>
    </row>
    <row r="274" spans="1:17" ht="255" x14ac:dyDescent="0.25">
      <c r="A274" s="9" t="s">
        <v>6739</v>
      </c>
      <c r="B274" s="9" t="s">
        <v>6740</v>
      </c>
      <c r="C274" s="9" t="s">
        <v>6770</v>
      </c>
      <c r="D274" s="9" t="s">
        <v>6742</v>
      </c>
      <c r="E274" s="9" t="s">
        <v>2282</v>
      </c>
      <c r="F274" s="9" t="s">
        <v>2283</v>
      </c>
      <c r="G274" s="10" t="s">
        <v>6449</v>
      </c>
      <c r="H274" s="9"/>
      <c r="I274" s="9"/>
      <c r="J274" s="9"/>
      <c r="K274" s="9"/>
      <c r="L274" s="9" t="s">
        <v>2284</v>
      </c>
      <c r="M274" s="9" t="s">
        <v>2285</v>
      </c>
      <c r="N274" s="9"/>
      <c r="O274" s="9" t="s">
        <v>2286</v>
      </c>
      <c r="P274" s="9" t="str">
        <f>HYPERLINK("https://ceds.ed.gov/cedselementdetails.aspx?termid=14286")</f>
        <v>https://ceds.ed.gov/cedselementdetails.aspx?termid=14286</v>
      </c>
      <c r="Q274" s="9" t="str">
        <f>HYPERLINK("https://ceds.ed.gov/elementComment.aspx?elementName=Disability Condition Type &amp;elementID=14286", "Click here to submit comment")</f>
        <v>Click here to submit comment</v>
      </c>
    </row>
    <row r="275" spans="1:17" ht="180" x14ac:dyDescent="0.25">
      <c r="A275" s="9" t="s">
        <v>6739</v>
      </c>
      <c r="B275" s="9" t="s">
        <v>6740</v>
      </c>
      <c r="C275" s="9" t="s">
        <v>6770</v>
      </c>
      <c r="D275" s="9" t="s">
        <v>6742</v>
      </c>
      <c r="E275" s="9" t="s">
        <v>2287</v>
      </c>
      <c r="F275" s="9" t="s">
        <v>2288</v>
      </c>
      <c r="G275" s="10" t="s">
        <v>6450</v>
      </c>
      <c r="H275" s="9"/>
      <c r="I275" s="9"/>
      <c r="J275" s="9"/>
      <c r="K275" s="9"/>
      <c r="L275" s="9" t="s">
        <v>2284</v>
      </c>
      <c r="M275" s="9" t="s">
        <v>2289</v>
      </c>
      <c r="N275" s="9"/>
      <c r="O275" s="9" t="s">
        <v>2290</v>
      </c>
      <c r="P275" s="9" t="str">
        <f>HYPERLINK("https://ceds.ed.gov/cedselementdetails.aspx?termid=14287")</f>
        <v>https://ceds.ed.gov/cedselementdetails.aspx?termid=14287</v>
      </c>
      <c r="Q275" s="9" t="str">
        <f>HYPERLINK("https://ceds.ed.gov/elementComment.aspx?elementName=Disability Determination Source Type &amp;elementID=14287", "Click here to submit comment")</f>
        <v>Click here to submit comment</v>
      </c>
    </row>
    <row r="276" spans="1:17" ht="255" x14ac:dyDescent="0.25">
      <c r="A276" s="9" t="s">
        <v>6739</v>
      </c>
      <c r="B276" s="9" t="s">
        <v>6740</v>
      </c>
      <c r="C276" s="9" t="s">
        <v>6770</v>
      </c>
      <c r="D276" s="9" t="s">
        <v>6742</v>
      </c>
      <c r="E276" s="9" t="s">
        <v>3186</v>
      </c>
      <c r="F276" s="9" t="s">
        <v>3187</v>
      </c>
      <c r="G276" s="10" t="s">
        <v>6538</v>
      </c>
      <c r="H276" s="9" t="s">
        <v>199</v>
      </c>
      <c r="I276" s="9"/>
      <c r="J276" s="9"/>
      <c r="K276" s="9"/>
      <c r="L276" s="9"/>
      <c r="M276" s="9" t="s">
        <v>3188</v>
      </c>
      <c r="N276" s="9"/>
      <c r="O276" s="9" t="s">
        <v>3189</v>
      </c>
      <c r="P276" s="9" t="str">
        <f>HYPERLINK("https://ceds.ed.gov/cedselementdetails.aspx?termid=13550")</f>
        <v>https://ceds.ed.gov/cedselementdetails.aspx?termid=13550</v>
      </c>
      <c r="Q276" s="9" t="str">
        <f>HYPERLINK("https://ceds.ed.gov/elementComment.aspx?elementName=IDEA Educational Environment for Early Childhood &amp;elementID=13550", "Click here to submit comment")</f>
        <v>Click here to submit comment</v>
      </c>
    </row>
    <row r="277" spans="1:17" ht="409.5" x14ac:dyDescent="0.25">
      <c r="A277" s="9" t="s">
        <v>6739</v>
      </c>
      <c r="B277" s="9" t="s">
        <v>6740</v>
      </c>
      <c r="C277" s="9" t="s">
        <v>6770</v>
      </c>
      <c r="D277" s="9" t="s">
        <v>6742</v>
      </c>
      <c r="E277" s="9" t="s">
        <v>11150</v>
      </c>
      <c r="F277" s="9" t="s">
        <v>11151</v>
      </c>
      <c r="G277" s="9" t="s">
        <v>6106</v>
      </c>
      <c r="H277" s="9" t="s">
        <v>6155</v>
      </c>
      <c r="I277" s="9" t="s">
        <v>91</v>
      </c>
      <c r="J277" s="9"/>
      <c r="K277" s="9" t="s">
        <v>11153</v>
      </c>
      <c r="L277" s="9" t="s">
        <v>11154</v>
      </c>
      <c r="M277" s="9" t="s">
        <v>4077</v>
      </c>
      <c r="N277" s="9" t="s">
        <v>4078</v>
      </c>
      <c r="O277" s="9" t="s">
        <v>11155</v>
      </c>
      <c r="P277" s="9" t="str">
        <f>HYPERLINK("https://ceds.ed.gov/cedselementdetails.aspx?termid=13180")</f>
        <v>https://ceds.ed.gov/cedselementdetails.aspx?termid=13180</v>
      </c>
      <c r="Q277" s="9" t="str">
        <f>HYPERLINK("https://ceds.ed.gov/elementComment.aspx?elementName=English Learner Status &amp;elementID=13180", "Click here to submit comment")</f>
        <v>Click here to submit comment</v>
      </c>
    </row>
    <row r="278" spans="1:17" ht="90" x14ac:dyDescent="0.25">
      <c r="A278" s="9" t="s">
        <v>6739</v>
      </c>
      <c r="B278" s="9" t="s">
        <v>6740</v>
      </c>
      <c r="C278" s="9" t="s">
        <v>6763</v>
      </c>
      <c r="D278" s="9" t="s">
        <v>6742</v>
      </c>
      <c r="E278" s="9" t="s">
        <v>5528</v>
      </c>
      <c r="F278" s="9" t="s">
        <v>5529</v>
      </c>
      <c r="G278" s="9" t="s">
        <v>12</v>
      </c>
      <c r="H278" s="9"/>
      <c r="I278" s="9"/>
      <c r="J278" s="9" t="s">
        <v>11380</v>
      </c>
      <c r="K278" s="9"/>
      <c r="L278" s="9"/>
      <c r="M278" s="9" t="s">
        <v>5530</v>
      </c>
      <c r="N278" s="9" t="s">
        <v>5531</v>
      </c>
      <c r="O278" s="9" t="s">
        <v>5532</v>
      </c>
      <c r="P278" s="9" t="str">
        <f>HYPERLINK("https://ceds.ed.gov/cedselementdetails.aspx?termid=14208")</f>
        <v>https://ceds.ed.gov/cedselementdetails.aspx?termid=14208</v>
      </c>
      <c r="Q278" s="9" t="str">
        <f>HYPERLINK("https://ceds.ed.gov/elementComment.aspx?elementName=Special Education Full Time Equivalency &amp;elementID=14208", "Click here to submit comment")</f>
        <v>Click here to submit comment</v>
      </c>
    </row>
    <row r="279" spans="1:17" ht="60" x14ac:dyDescent="0.25">
      <c r="A279" s="9" t="s">
        <v>6739</v>
      </c>
      <c r="B279" s="9" t="s">
        <v>6740</v>
      </c>
      <c r="C279" s="9" t="s">
        <v>6763</v>
      </c>
      <c r="D279" s="9" t="s">
        <v>6742</v>
      </c>
      <c r="E279" s="9" t="s">
        <v>5404</v>
      </c>
      <c r="F279" s="9" t="s">
        <v>5405</v>
      </c>
      <c r="G279" s="9" t="s">
        <v>12</v>
      </c>
      <c r="H279" s="9"/>
      <c r="I279" s="9"/>
      <c r="J279" s="9" t="s">
        <v>73</v>
      </c>
      <c r="K279" s="9"/>
      <c r="L279" s="9"/>
      <c r="M279" s="9" t="s">
        <v>5406</v>
      </c>
      <c r="N279" s="9"/>
      <c r="O279" s="9" t="s">
        <v>5407</v>
      </c>
      <c r="P279" s="9" t="str">
        <f>HYPERLINK("https://ceds.ed.gov/cedselementdetails.aspx?termid=13326")</f>
        <v>https://ceds.ed.gov/cedselementdetails.aspx?termid=13326</v>
      </c>
      <c r="Q279" s="9" t="str">
        <f>HYPERLINK("https://ceds.ed.gov/elementComment.aspx?elementName=Service Entry Date &amp;elementID=13326", "Click here to submit comment")</f>
        <v>Click here to submit comment</v>
      </c>
    </row>
    <row r="280" spans="1:17" ht="60" x14ac:dyDescent="0.25">
      <c r="A280" s="9" t="s">
        <v>6739</v>
      </c>
      <c r="B280" s="9" t="s">
        <v>6740</v>
      </c>
      <c r="C280" s="9" t="s">
        <v>6763</v>
      </c>
      <c r="D280" s="9" t="s">
        <v>6742</v>
      </c>
      <c r="E280" s="9" t="s">
        <v>5408</v>
      </c>
      <c r="F280" s="9" t="s">
        <v>5409</v>
      </c>
      <c r="G280" s="9" t="s">
        <v>12</v>
      </c>
      <c r="H280" s="9"/>
      <c r="I280" s="9"/>
      <c r="J280" s="9" t="s">
        <v>73</v>
      </c>
      <c r="K280" s="9"/>
      <c r="L280" s="9"/>
      <c r="M280" s="9" t="s">
        <v>5410</v>
      </c>
      <c r="N280" s="9"/>
      <c r="O280" s="9" t="s">
        <v>5411</v>
      </c>
      <c r="P280" s="9" t="str">
        <f>HYPERLINK("https://ceds.ed.gov/cedselementdetails.aspx?termid=13327")</f>
        <v>https://ceds.ed.gov/cedselementdetails.aspx?termid=13327</v>
      </c>
      <c r="Q280" s="9" t="str">
        <f>HYPERLINK("https://ceds.ed.gov/elementComment.aspx?elementName=Service Exit Date &amp;elementID=13327", "Click here to submit comment")</f>
        <v>Click here to submit comment</v>
      </c>
    </row>
    <row r="281" spans="1:17" ht="60" x14ac:dyDescent="0.25">
      <c r="A281" s="9" t="s">
        <v>6739</v>
      </c>
      <c r="B281" s="9" t="s">
        <v>6740</v>
      </c>
      <c r="C281" s="9" t="s">
        <v>6763</v>
      </c>
      <c r="D281" s="9" t="s">
        <v>6742</v>
      </c>
      <c r="E281" s="9" t="s">
        <v>2388</v>
      </c>
      <c r="F281" s="9" t="s">
        <v>2389</v>
      </c>
      <c r="G281" s="9" t="s">
        <v>6106</v>
      </c>
      <c r="H281" s="9"/>
      <c r="I281" s="9"/>
      <c r="J281" s="9"/>
      <c r="K281" s="9"/>
      <c r="L281" s="9"/>
      <c r="M281" s="9" t="s">
        <v>2391</v>
      </c>
      <c r="N281" s="9"/>
      <c r="O281" s="9" t="s">
        <v>2392</v>
      </c>
      <c r="P281" s="9" t="str">
        <f>HYPERLINK("https://ceds.ed.gov/cedselementdetails.aspx?termid=14570")</f>
        <v>https://ceds.ed.gov/cedselementdetails.aspx?termid=14570</v>
      </c>
      <c r="Q281" s="9" t="str">
        <f>HYPERLINK("https://ceds.ed.gov/elementComment.aspx?elementName=Early Childhood Education and Assistance Program Eligibility &amp;elementID=14570", "Click here to submit comment")</f>
        <v>Click here to submit comment</v>
      </c>
    </row>
    <row r="282" spans="1:17" ht="345" x14ac:dyDescent="0.25">
      <c r="A282" s="9" t="s">
        <v>6739</v>
      </c>
      <c r="B282" s="9" t="s">
        <v>6740</v>
      </c>
      <c r="C282" s="9" t="s">
        <v>6763</v>
      </c>
      <c r="D282" s="9" t="s">
        <v>6742</v>
      </c>
      <c r="E282" s="9" t="s">
        <v>2397</v>
      </c>
      <c r="F282" s="9" t="s">
        <v>2398</v>
      </c>
      <c r="G282" s="10" t="s">
        <v>6462</v>
      </c>
      <c r="H282" s="9"/>
      <c r="I282" s="9"/>
      <c r="J282" s="9"/>
      <c r="K282" s="9"/>
      <c r="L282" s="9"/>
      <c r="M282" s="9" t="s">
        <v>2399</v>
      </c>
      <c r="N282" s="9"/>
      <c r="O282" s="9" t="s">
        <v>2400</v>
      </c>
      <c r="P282" s="9" t="str">
        <f>HYPERLINK("https://ceds.ed.gov/cedselementdetails.aspx?termid=14529")</f>
        <v>https://ceds.ed.gov/cedselementdetails.aspx?termid=14529</v>
      </c>
      <c r="Q282" s="9" t="str">
        <f>HYPERLINK("https://ceds.ed.gov/elementComment.aspx?elementName=Early Childhood Services Offered &amp;elementID=14529", "Click here to submit comment")</f>
        <v>Click here to submit comment</v>
      </c>
    </row>
    <row r="283" spans="1:17" ht="345" x14ac:dyDescent="0.25">
      <c r="A283" s="9" t="s">
        <v>6739</v>
      </c>
      <c r="B283" s="9" t="s">
        <v>6740</v>
      </c>
      <c r="C283" s="9" t="s">
        <v>6763</v>
      </c>
      <c r="D283" s="9" t="s">
        <v>6742</v>
      </c>
      <c r="E283" s="9" t="s">
        <v>2401</v>
      </c>
      <c r="F283" s="9" t="s">
        <v>2402</v>
      </c>
      <c r="G283" s="10" t="s">
        <v>6462</v>
      </c>
      <c r="H283" s="9" t="s">
        <v>1714</v>
      </c>
      <c r="I283" s="9"/>
      <c r="J283" s="9"/>
      <c r="K283" s="9"/>
      <c r="L283" s="9"/>
      <c r="M283" s="9" t="s">
        <v>2403</v>
      </c>
      <c r="N283" s="9"/>
      <c r="O283" s="9" t="s">
        <v>2404</v>
      </c>
      <c r="P283" s="9" t="str">
        <f>HYPERLINK("https://ceds.ed.gov/cedselementdetails.aspx?termid=13321")</f>
        <v>https://ceds.ed.gov/cedselementdetails.aspx?termid=13321</v>
      </c>
      <c r="Q283" s="9" t="str">
        <f>HYPERLINK("https://ceds.ed.gov/elementComment.aspx?elementName=Early Childhood Services Received &amp;elementID=13321", "Click here to submit comment")</f>
        <v>Click here to submit comment</v>
      </c>
    </row>
    <row r="284" spans="1:17" ht="45" x14ac:dyDescent="0.25">
      <c r="A284" s="9" t="s">
        <v>6739</v>
      </c>
      <c r="B284" s="9" t="s">
        <v>6740</v>
      </c>
      <c r="C284" s="9" t="s">
        <v>6763</v>
      </c>
      <c r="D284" s="9" t="s">
        <v>6742</v>
      </c>
      <c r="E284" s="9" t="s">
        <v>5077</v>
      </c>
      <c r="F284" s="9" t="s">
        <v>5078</v>
      </c>
      <c r="G284" s="9" t="s">
        <v>12</v>
      </c>
      <c r="H284" s="9"/>
      <c r="I284" s="9"/>
      <c r="J284" s="9" t="s">
        <v>303</v>
      </c>
      <c r="K284" s="9"/>
      <c r="L284" s="9"/>
      <c r="M284" s="9" t="s">
        <v>5079</v>
      </c>
      <c r="N284" s="9"/>
      <c r="O284" s="9" t="s">
        <v>5080</v>
      </c>
      <c r="P284" s="9" t="str">
        <f>HYPERLINK("https://ceds.ed.gov/cedselementdetails.aspx?termid=14460")</f>
        <v>https://ceds.ed.gov/cedselementdetails.aspx?termid=14460</v>
      </c>
      <c r="Q284" s="9" t="str">
        <f>HYPERLINK("https://ceds.ed.gov/elementComment.aspx?elementName=Reason for Declined Services &amp;elementID=14460", "Click here to submit comment")</f>
        <v>Click here to submit comment</v>
      </c>
    </row>
    <row r="285" spans="1:17" ht="120" x14ac:dyDescent="0.25">
      <c r="A285" s="9" t="s">
        <v>6739</v>
      </c>
      <c r="B285" s="9" t="s">
        <v>6740</v>
      </c>
      <c r="C285" s="9" t="s">
        <v>6763</v>
      </c>
      <c r="D285" s="9" t="s">
        <v>6742</v>
      </c>
      <c r="E285" s="9" t="s">
        <v>2545</v>
      </c>
      <c r="F285" s="9" t="s">
        <v>2546</v>
      </c>
      <c r="G285" s="10" t="s">
        <v>6479</v>
      </c>
      <c r="H285" s="9"/>
      <c r="I285" s="9"/>
      <c r="J285" s="9"/>
      <c r="K285" s="9"/>
      <c r="L285" s="9"/>
      <c r="M285" s="9" t="s">
        <v>2547</v>
      </c>
      <c r="N285" s="9"/>
      <c r="O285" s="9" t="s">
        <v>2548</v>
      </c>
      <c r="P285" s="9" t="str">
        <f>HYPERLINK("https://ceds.ed.gov/cedselementdetails.aspx?termid=14583")</f>
        <v>https://ceds.ed.gov/cedselementdetails.aspx?termid=14583</v>
      </c>
      <c r="Q285" s="9" t="str">
        <f>HYPERLINK("https://ceds.ed.gov/elementComment.aspx?elementName=Early Learning Service Type &amp;elementID=14583", "Click here to submit comment")</f>
        <v>Click here to submit comment</v>
      </c>
    </row>
    <row r="286" spans="1:17" ht="45" x14ac:dyDescent="0.25">
      <c r="A286" s="9" t="s">
        <v>6739</v>
      </c>
      <c r="B286" s="9" t="s">
        <v>6740</v>
      </c>
      <c r="C286" s="9" t="s">
        <v>6763</v>
      </c>
      <c r="D286" s="9" t="s">
        <v>6742</v>
      </c>
      <c r="E286" s="9" t="s">
        <v>2598</v>
      </c>
      <c r="F286" s="9" t="s">
        <v>2599</v>
      </c>
      <c r="G286" s="9" t="s">
        <v>12</v>
      </c>
      <c r="H286" s="9"/>
      <c r="I286" s="9"/>
      <c r="J286" s="9" t="s">
        <v>762</v>
      </c>
      <c r="K286" s="9"/>
      <c r="L286" s="9"/>
      <c r="M286" s="9" t="s">
        <v>2600</v>
      </c>
      <c r="N286" s="9"/>
      <c r="O286" s="9" t="s">
        <v>2601</v>
      </c>
      <c r="P286" s="9" t="str">
        <f>HYPERLINK("https://ceds.ed.gov/cedselementdetails.aspx?termid=14597")</f>
        <v>https://ceds.ed.gov/cedselementdetails.aspx?termid=14597</v>
      </c>
      <c r="Q286" s="9" t="str">
        <f>HYPERLINK("https://ceds.ed.gov/elementComment.aspx?elementName=Eligibility Priority Points &amp;elementID=14597", "Click here to submit comment")</f>
        <v>Click here to submit comment</v>
      </c>
    </row>
    <row r="287" spans="1:17" ht="45" x14ac:dyDescent="0.25">
      <c r="A287" s="9" t="s">
        <v>6739</v>
      </c>
      <c r="B287" s="9" t="s">
        <v>6740</v>
      </c>
      <c r="C287" s="9" t="s">
        <v>6763</v>
      </c>
      <c r="D287" s="9" t="s">
        <v>6742</v>
      </c>
      <c r="E287" s="9" t="s">
        <v>5400</v>
      </c>
      <c r="F287" s="9" t="s">
        <v>5401</v>
      </c>
      <c r="G287" s="9" t="s">
        <v>12</v>
      </c>
      <c r="H287" s="9"/>
      <c r="I287" s="9"/>
      <c r="J287" s="9" t="s">
        <v>73</v>
      </c>
      <c r="K287" s="9"/>
      <c r="L287" s="9"/>
      <c r="M287" s="9" t="s">
        <v>5402</v>
      </c>
      <c r="N287" s="9"/>
      <c r="O287" s="9" t="s">
        <v>5403</v>
      </c>
      <c r="P287" s="9" t="str">
        <f>HYPERLINK("https://ceds.ed.gov/cedselementdetails.aspx?termid=14616")</f>
        <v>https://ceds.ed.gov/cedselementdetails.aspx?termid=14616</v>
      </c>
      <c r="Q287" s="9" t="str">
        <f>HYPERLINK("https://ceds.ed.gov/elementComment.aspx?elementName=Service Date &amp;elementID=14616", "Click here to submit comment")</f>
        <v>Click here to submit comment</v>
      </c>
    </row>
    <row r="288" spans="1:17" ht="90" x14ac:dyDescent="0.25">
      <c r="A288" s="9" t="s">
        <v>6739</v>
      </c>
      <c r="B288" s="9" t="s">
        <v>6740</v>
      </c>
      <c r="C288" s="9" t="s">
        <v>6763</v>
      </c>
      <c r="D288" s="9" t="s">
        <v>6742</v>
      </c>
      <c r="E288" s="9" t="s">
        <v>2969</v>
      </c>
      <c r="F288" s="9" t="s">
        <v>2970</v>
      </c>
      <c r="G288" s="10" t="s">
        <v>6519</v>
      </c>
      <c r="H288" s="9"/>
      <c r="I288" s="9"/>
      <c r="J288" s="9"/>
      <c r="K288" s="9"/>
      <c r="L288" s="9"/>
      <c r="M288" s="9" t="s">
        <v>2971</v>
      </c>
      <c r="N288" s="9"/>
      <c r="O288" s="9" t="s">
        <v>2972</v>
      </c>
      <c r="P288" s="9" t="str">
        <f>HYPERLINK("https://ceds.ed.gov/cedselementdetails.aspx?termid=14323")</f>
        <v>https://ceds.ed.gov/cedselementdetails.aspx?termid=14323</v>
      </c>
      <c r="Q288" s="9" t="str">
        <f>HYPERLINK("https://ceds.ed.gov/elementComment.aspx?elementName=Frequency of Service &amp;elementID=14323", "Click here to submit comment")</f>
        <v>Click here to submit comment</v>
      </c>
    </row>
    <row r="289" spans="1:17" ht="270" x14ac:dyDescent="0.25">
      <c r="A289" s="9" t="s">
        <v>6739</v>
      </c>
      <c r="B289" s="9" t="s">
        <v>6740</v>
      </c>
      <c r="C289" s="9" t="s">
        <v>6763</v>
      </c>
      <c r="D289" s="9" t="s">
        <v>6742</v>
      </c>
      <c r="E289" s="9" t="s">
        <v>3416</v>
      </c>
      <c r="F289" s="9" t="s">
        <v>3417</v>
      </c>
      <c r="G289" s="10" t="s">
        <v>11889</v>
      </c>
      <c r="H289" s="9" t="s">
        <v>6124</v>
      </c>
      <c r="I289" s="9" t="s">
        <v>91</v>
      </c>
      <c r="J289" s="9"/>
      <c r="K289" s="9"/>
      <c r="L289" s="9"/>
      <c r="M289" s="9" t="s">
        <v>3418</v>
      </c>
      <c r="N289" s="9"/>
      <c r="O289" s="9" t="s">
        <v>3419</v>
      </c>
      <c r="P289" s="9" t="str">
        <f>HYPERLINK("https://ceds.ed.gov/cedselementdetails.aspx?termid=13320")</f>
        <v>https://ceds.ed.gov/cedselementdetails.aspx?termid=13320</v>
      </c>
      <c r="Q289" s="9" t="str">
        <f>HYPERLINK("https://ceds.ed.gov/elementComment.aspx?elementName=Individualized Program Type &amp;elementID=13320", "Click here to submit comment")</f>
        <v>Click here to submit comment</v>
      </c>
    </row>
    <row r="290" spans="1:17" ht="45" x14ac:dyDescent="0.25">
      <c r="A290" s="9" t="s">
        <v>6739</v>
      </c>
      <c r="B290" s="9" t="s">
        <v>6740</v>
      </c>
      <c r="C290" s="9" t="s">
        <v>6763</v>
      </c>
      <c r="D290" s="9" t="s">
        <v>6742</v>
      </c>
      <c r="E290" s="9" t="s">
        <v>3379</v>
      </c>
      <c r="F290" s="9" t="s">
        <v>3380</v>
      </c>
      <c r="G290" s="9" t="s">
        <v>12</v>
      </c>
      <c r="H290" s="9"/>
      <c r="I290" s="9"/>
      <c r="J290" s="9" t="s">
        <v>73</v>
      </c>
      <c r="K290" s="9"/>
      <c r="L290" s="9" t="s">
        <v>3381</v>
      </c>
      <c r="M290" s="9" t="s">
        <v>3382</v>
      </c>
      <c r="N290" s="9"/>
      <c r="O290" s="9" t="s">
        <v>3383</v>
      </c>
      <c r="P290" s="9" t="str">
        <f>HYPERLINK("https://ceds.ed.gov/cedselementdetails.aspx?termid=14350")</f>
        <v>https://ceds.ed.gov/cedselementdetails.aspx?termid=14350</v>
      </c>
      <c r="Q290" s="9" t="str">
        <f>HYPERLINK("https://ceds.ed.gov/elementComment.aspx?elementName=Individualized Program Planned Service Start Date &amp;elementID=14350", "Click here to submit comment")</f>
        <v>Click here to submit comment</v>
      </c>
    </row>
    <row r="291" spans="1:17" ht="45" x14ac:dyDescent="0.25">
      <c r="A291" s="9" t="s">
        <v>6739</v>
      </c>
      <c r="B291" s="9" t="s">
        <v>6740</v>
      </c>
      <c r="C291" s="9" t="s">
        <v>6763</v>
      </c>
      <c r="D291" s="9" t="s">
        <v>6742</v>
      </c>
      <c r="E291" s="9" t="s">
        <v>3371</v>
      </c>
      <c r="F291" s="9" t="s">
        <v>3372</v>
      </c>
      <c r="G291" s="9" t="s">
        <v>12</v>
      </c>
      <c r="H291" s="9"/>
      <c r="I291" s="9"/>
      <c r="J291" s="9" t="s">
        <v>1513</v>
      </c>
      <c r="K291" s="9"/>
      <c r="L291" s="9"/>
      <c r="M291" s="9" t="s">
        <v>3373</v>
      </c>
      <c r="N291" s="9"/>
      <c r="O291" s="9" t="s">
        <v>3374</v>
      </c>
      <c r="P291" s="9" t="str">
        <f>HYPERLINK("https://ceds.ed.gov/cedselementdetails.aspx?termid=14493")</f>
        <v>https://ceds.ed.gov/cedselementdetails.aspx?termid=14493</v>
      </c>
      <c r="Q291" s="9" t="str">
        <f>HYPERLINK("https://ceds.ed.gov/elementComment.aspx?elementName=Individualized Program Planned Service Duration &amp;elementID=14493", "Click here to submit comment")</f>
        <v>Click here to submit comment</v>
      </c>
    </row>
    <row r="292" spans="1:17" ht="150" x14ac:dyDescent="0.25">
      <c r="A292" s="9" t="s">
        <v>6739</v>
      </c>
      <c r="B292" s="9" t="s">
        <v>6740</v>
      </c>
      <c r="C292" s="9" t="s">
        <v>6763</v>
      </c>
      <c r="D292" s="9" t="s">
        <v>6742</v>
      </c>
      <c r="E292" s="9" t="s">
        <v>3375</v>
      </c>
      <c r="F292" s="9" t="s">
        <v>3376</v>
      </c>
      <c r="G292" s="10" t="s">
        <v>6556</v>
      </c>
      <c r="H292" s="9"/>
      <c r="I292" s="9"/>
      <c r="J292" s="9"/>
      <c r="K292" s="9"/>
      <c r="L292" s="9"/>
      <c r="M292" s="9" t="s">
        <v>3377</v>
      </c>
      <c r="N292" s="9"/>
      <c r="O292" s="9" t="s">
        <v>3378</v>
      </c>
      <c r="P292" s="9" t="str">
        <f>HYPERLINK("https://ceds.ed.gov/cedselementdetails.aspx?termid=14492")</f>
        <v>https://ceds.ed.gov/cedselementdetails.aspx?termid=14492</v>
      </c>
      <c r="Q292" s="9" t="str">
        <f>HYPERLINK("https://ceds.ed.gov/elementComment.aspx?elementName=Individualized Program Planned Service Frequency &amp;elementID=14492", "Click here to submit comment")</f>
        <v>Click here to submit comment</v>
      </c>
    </row>
    <row r="293" spans="1:17" ht="300" x14ac:dyDescent="0.25">
      <c r="A293" s="9" t="s">
        <v>6739</v>
      </c>
      <c r="B293" s="9" t="s">
        <v>6740</v>
      </c>
      <c r="C293" s="9" t="s">
        <v>6763</v>
      </c>
      <c r="D293" s="9" t="s">
        <v>6742</v>
      </c>
      <c r="E293" s="9" t="s">
        <v>3384</v>
      </c>
      <c r="F293" s="9" t="s">
        <v>3385</v>
      </c>
      <c r="G293" s="10" t="s">
        <v>6557</v>
      </c>
      <c r="H293" s="9"/>
      <c r="I293" s="9"/>
      <c r="J293" s="9"/>
      <c r="K293" s="9"/>
      <c r="L293" s="9"/>
      <c r="M293" s="9" t="s">
        <v>3386</v>
      </c>
      <c r="N293" s="9"/>
      <c r="O293" s="9" t="s">
        <v>3387</v>
      </c>
      <c r="P293" s="9" t="str">
        <f>HYPERLINK("https://ceds.ed.gov/cedselementdetails.aspx?termid=14352")</f>
        <v>https://ceds.ed.gov/cedselementdetails.aspx?termid=14352</v>
      </c>
      <c r="Q293" s="9" t="str">
        <f>HYPERLINK("https://ceds.ed.gov/elementComment.aspx?elementName=Individualized Program Planned Service Type &amp;elementID=14352", "Click here to submit comment")</f>
        <v>Click here to submit comment</v>
      </c>
    </row>
    <row r="294" spans="1:17" ht="409.5" x14ac:dyDescent="0.25">
      <c r="A294" s="9" t="s">
        <v>6739</v>
      </c>
      <c r="B294" s="9" t="s">
        <v>6740</v>
      </c>
      <c r="C294" s="9" t="s">
        <v>6763</v>
      </c>
      <c r="D294" s="9" t="s">
        <v>6742</v>
      </c>
      <c r="E294" s="9" t="s">
        <v>5524</v>
      </c>
      <c r="F294" s="9" t="s">
        <v>5525</v>
      </c>
      <c r="G294" s="10" t="s">
        <v>6698</v>
      </c>
      <c r="H294" s="9" t="s">
        <v>199</v>
      </c>
      <c r="I294" s="9"/>
      <c r="J294" s="9"/>
      <c r="K294" s="9"/>
      <c r="L294" s="9"/>
      <c r="M294" s="9" t="s">
        <v>5526</v>
      </c>
      <c r="N294" s="9"/>
      <c r="O294" s="9" t="s">
        <v>5527</v>
      </c>
      <c r="P294" s="9" t="str">
        <f>HYPERLINK("https://ceds.ed.gov/cedselementdetails.aspx?termid=13260")</f>
        <v>https://ceds.ed.gov/cedselementdetails.aspx?termid=13260</v>
      </c>
      <c r="Q294" s="9" t="str">
        <f>HYPERLINK("https://ceds.ed.gov/elementComment.aspx?elementName=Special Education Exit Reason &amp;elementID=13260", "Click here to submit comment")</f>
        <v>Click here to submit comment</v>
      </c>
    </row>
    <row r="295" spans="1:17" ht="45" x14ac:dyDescent="0.25">
      <c r="A295" s="9" t="s">
        <v>6739</v>
      </c>
      <c r="B295" s="9" t="s">
        <v>6740</v>
      </c>
      <c r="C295" s="9" t="s">
        <v>6764</v>
      </c>
      <c r="D295" s="9" t="s">
        <v>6742</v>
      </c>
      <c r="E295" s="9" t="s">
        <v>372</v>
      </c>
      <c r="F295" s="9" t="s">
        <v>373</v>
      </c>
      <c r="G295" s="9" t="s">
        <v>12</v>
      </c>
      <c r="H295" s="9" t="s">
        <v>6124</v>
      </c>
      <c r="I295" s="9"/>
      <c r="J295" s="9" t="s">
        <v>73</v>
      </c>
      <c r="K295" s="9"/>
      <c r="L295" s="9"/>
      <c r="M295" s="9" t="s">
        <v>374</v>
      </c>
      <c r="N295" s="9"/>
      <c r="O295" s="9" t="s">
        <v>375</v>
      </c>
      <c r="P295" s="9" t="str">
        <f>HYPERLINK("https://ceds.ed.gov/cedselementdetails.aspx?termid=13323")</f>
        <v>https://ceds.ed.gov/cedselementdetails.aspx?termid=13323</v>
      </c>
      <c r="Q295" s="9" t="str">
        <f>HYPERLINK("https://ceds.ed.gov/elementComment.aspx?elementName=Application Date &amp;elementID=13323", "Click here to submit comment")</f>
        <v>Click here to submit comment</v>
      </c>
    </row>
    <row r="296" spans="1:17" ht="105" x14ac:dyDescent="0.25">
      <c r="A296" s="18" t="s">
        <v>6739</v>
      </c>
      <c r="B296" s="18" t="s">
        <v>6740</v>
      </c>
      <c r="C296" s="18" t="s">
        <v>6764</v>
      </c>
      <c r="D296" s="18" t="s">
        <v>6742</v>
      </c>
      <c r="E296" s="18" t="s">
        <v>2409</v>
      </c>
      <c r="F296" s="18" t="s">
        <v>2410</v>
      </c>
      <c r="G296" s="18" t="s">
        <v>12</v>
      </c>
      <c r="H296" s="18"/>
      <c r="I296" s="18"/>
      <c r="J296" s="18" t="s">
        <v>119</v>
      </c>
      <c r="K296" s="18"/>
      <c r="L296" s="9" t="s">
        <v>120</v>
      </c>
      <c r="M296" s="18" t="s">
        <v>2412</v>
      </c>
      <c r="N296" s="18"/>
      <c r="O296" s="18" t="s">
        <v>2413</v>
      </c>
      <c r="P296" s="18" t="str">
        <f>HYPERLINK("https://ceds.ed.gov/cedselementdetails.aspx?termid=14576")</f>
        <v>https://ceds.ed.gov/cedselementdetails.aspx?termid=14576</v>
      </c>
      <c r="Q296" s="18" t="str">
        <f>HYPERLINK("https://ceds.ed.gov/elementComment.aspx?elementName=Early Learning Application Identifier &amp;elementID=14576", "Click here to submit comment")</f>
        <v>Click here to submit comment</v>
      </c>
    </row>
    <row r="297" spans="1:17" x14ac:dyDescent="0.25">
      <c r="A297" s="18"/>
      <c r="B297" s="18"/>
      <c r="C297" s="18"/>
      <c r="D297" s="18"/>
      <c r="E297" s="18"/>
      <c r="F297" s="18"/>
      <c r="G297" s="18"/>
      <c r="H297" s="18"/>
      <c r="I297" s="18"/>
      <c r="J297" s="18"/>
      <c r="K297" s="18"/>
      <c r="L297" s="9"/>
      <c r="M297" s="18"/>
      <c r="N297" s="18"/>
      <c r="O297" s="18"/>
      <c r="P297" s="18"/>
      <c r="Q297" s="18"/>
    </row>
    <row r="298" spans="1:17" ht="90" x14ac:dyDescent="0.25">
      <c r="A298" s="18"/>
      <c r="B298" s="18"/>
      <c r="C298" s="18"/>
      <c r="D298" s="18"/>
      <c r="E298" s="18"/>
      <c r="F298" s="18"/>
      <c r="G298" s="18"/>
      <c r="H298" s="18"/>
      <c r="I298" s="18"/>
      <c r="J298" s="18"/>
      <c r="K298" s="18"/>
      <c r="L298" s="9" t="s">
        <v>121</v>
      </c>
      <c r="M298" s="18"/>
      <c r="N298" s="18"/>
      <c r="O298" s="18"/>
      <c r="P298" s="18"/>
      <c r="Q298" s="18"/>
    </row>
    <row r="299" spans="1:17" ht="45" x14ac:dyDescent="0.25">
      <c r="A299" s="9" t="s">
        <v>6739</v>
      </c>
      <c r="B299" s="9" t="s">
        <v>6740</v>
      </c>
      <c r="C299" s="9" t="s">
        <v>6764</v>
      </c>
      <c r="D299" s="9" t="s">
        <v>6742</v>
      </c>
      <c r="E299" s="9" t="s">
        <v>2414</v>
      </c>
      <c r="F299" s="9" t="s">
        <v>2415</v>
      </c>
      <c r="G299" s="9" t="s">
        <v>6106</v>
      </c>
      <c r="H299" s="9"/>
      <c r="I299" s="9"/>
      <c r="J299" s="9"/>
      <c r="K299" s="9"/>
      <c r="L299" s="9"/>
      <c r="M299" s="9" t="s">
        <v>2416</v>
      </c>
      <c r="N299" s="9"/>
      <c r="O299" s="9" t="s">
        <v>2417</v>
      </c>
      <c r="P299" s="9" t="str">
        <f>HYPERLINK("https://ceds.ed.gov/cedselementdetails.aspx?termid=14578")</f>
        <v>https://ceds.ed.gov/cedselementdetails.aspx?termid=14578</v>
      </c>
      <c r="Q299" s="9" t="str">
        <f>HYPERLINK("https://ceds.ed.gov/elementComment.aspx?elementName=Early Learning Application Required Document &amp;elementID=14578", "Click here to submit comment")</f>
        <v>Click here to submit comment</v>
      </c>
    </row>
    <row r="300" spans="1:17" ht="105" x14ac:dyDescent="0.25">
      <c r="A300" s="18" t="s">
        <v>6739</v>
      </c>
      <c r="B300" s="18" t="s">
        <v>6740</v>
      </c>
      <c r="C300" s="18" t="s">
        <v>6764</v>
      </c>
      <c r="D300" s="18" t="s">
        <v>6742</v>
      </c>
      <c r="E300" s="18" t="s">
        <v>2443</v>
      </c>
      <c r="F300" s="18" t="s">
        <v>2444</v>
      </c>
      <c r="G300" s="18" t="s">
        <v>12</v>
      </c>
      <c r="H300" s="18"/>
      <c r="I300" s="18"/>
      <c r="J300" s="18" t="s">
        <v>119</v>
      </c>
      <c r="K300" s="18"/>
      <c r="L300" s="9" t="s">
        <v>120</v>
      </c>
      <c r="M300" s="18" t="s">
        <v>2445</v>
      </c>
      <c r="N300" s="18"/>
      <c r="O300" s="18" t="s">
        <v>2446</v>
      </c>
      <c r="P300" s="18" t="str">
        <f>HYPERLINK("https://ceds.ed.gov/cedselementdetails.aspx?termid=14572")</f>
        <v>https://ceds.ed.gov/cedselementdetails.aspx?termid=14572</v>
      </c>
      <c r="Q300" s="18" t="str">
        <f>HYPERLINK("https://ceds.ed.gov/elementComment.aspx?elementName=Early Learning Enrollment Application Document Identifier &amp;elementID=14572", "Click here to submit comment")</f>
        <v>Click here to submit comment</v>
      </c>
    </row>
    <row r="301" spans="1:17" x14ac:dyDescent="0.25">
      <c r="A301" s="18"/>
      <c r="B301" s="18"/>
      <c r="C301" s="18"/>
      <c r="D301" s="18"/>
      <c r="E301" s="18"/>
      <c r="F301" s="18"/>
      <c r="G301" s="18"/>
      <c r="H301" s="18"/>
      <c r="I301" s="18"/>
      <c r="J301" s="18"/>
      <c r="K301" s="18"/>
      <c r="L301" s="9"/>
      <c r="M301" s="18"/>
      <c r="N301" s="18"/>
      <c r="O301" s="18"/>
      <c r="P301" s="18"/>
      <c r="Q301" s="18"/>
    </row>
    <row r="302" spans="1:17" ht="90" x14ac:dyDescent="0.25">
      <c r="A302" s="18"/>
      <c r="B302" s="18"/>
      <c r="C302" s="18"/>
      <c r="D302" s="18"/>
      <c r="E302" s="18"/>
      <c r="F302" s="18"/>
      <c r="G302" s="18"/>
      <c r="H302" s="18"/>
      <c r="I302" s="18"/>
      <c r="J302" s="18"/>
      <c r="K302" s="18"/>
      <c r="L302" s="9" t="s">
        <v>121</v>
      </c>
      <c r="M302" s="18"/>
      <c r="N302" s="18"/>
      <c r="O302" s="18"/>
      <c r="P302" s="18"/>
      <c r="Q302" s="18"/>
    </row>
    <row r="303" spans="1:17" ht="45" x14ac:dyDescent="0.25">
      <c r="A303" s="9" t="s">
        <v>6739</v>
      </c>
      <c r="B303" s="9" t="s">
        <v>6740</v>
      </c>
      <c r="C303" s="9" t="s">
        <v>6764</v>
      </c>
      <c r="D303" s="9" t="s">
        <v>6742</v>
      </c>
      <c r="E303" s="9" t="s">
        <v>2447</v>
      </c>
      <c r="F303" s="9" t="s">
        <v>2448</v>
      </c>
      <c r="G303" s="9" t="s">
        <v>12</v>
      </c>
      <c r="H303" s="9"/>
      <c r="I303" s="9"/>
      <c r="J303" s="9" t="s">
        <v>92</v>
      </c>
      <c r="K303" s="9"/>
      <c r="L303" s="9"/>
      <c r="M303" s="9" t="s">
        <v>2449</v>
      </c>
      <c r="N303" s="9"/>
      <c r="O303" s="9" t="s">
        <v>2450</v>
      </c>
      <c r="P303" s="9" t="str">
        <f>HYPERLINK("https://ceds.ed.gov/cedselementdetails.aspx?termid=14573")</f>
        <v>https://ceds.ed.gov/cedselementdetails.aspx?termid=14573</v>
      </c>
      <c r="Q303" s="9" t="str">
        <f>HYPERLINK("https://ceds.ed.gov/elementComment.aspx?elementName=Early Learning Enrollment Application Document Name &amp;elementID=14573", "Click here to submit comment")</f>
        <v>Click here to submit comment</v>
      </c>
    </row>
    <row r="304" spans="1:17" ht="45" x14ac:dyDescent="0.25">
      <c r="A304" s="9" t="s">
        <v>6739</v>
      </c>
      <c r="B304" s="9" t="s">
        <v>6740</v>
      </c>
      <c r="C304" s="9" t="s">
        <v>6764</v>
      </c>
      <c r="D304" s="9" t="s">
        <v>6742</v>
      </c>
      <c r="E304" s="9" t="s">
        <v>2451</v>
      </c>
      <c r="F304" s="9" t="s">
        <v>2452</v>
      </c>
      <c r="G304" s="9" t="s">
        <v>12</v>
      </c>
      <c r="H304" s="9"/>
      <c r="I304" s="9"/>
      <c r="J304" s="9" t="s">
        <v>762</v>
      </c>
      <c r="K304" s="9"/>
      <c r="L304" s="9"/>
      <c r="M304" s="9" t="s">
        <v>2453</v>
      </c>
      <c r="N304" s="9"/>
      <c r="O304" s="9" t="s">
        <v>2454</v>
      </c>
      <c r="P304" s="9" t="str">
        <f>HYPERLINK("https://ceds.ed.gov/cedselementdetails.aspx?termid=14574")</f>
        <v>https://ceds.ed.gov/cedselementdetails.aspx?termid=14574</v>
      </c>
      <c r="Q304" s="9" t="str">
        <f>HYPERLINK("https://ceds.ed.gov/elementComment.aspx?elementName=Early Learning Enrollment Application Document Type &amp;elementID=14574", "Click here to submit comment")</f>
        <v>Click here to submit comment</v>
      </c>
    </row>
    <row r="305" spans="1:17" ht="45" x14ac:dyDescent="0.25">
      <c r="A305" s="9" t="s">
        <v>6739</v>
      </c>
      <c r="B305" s="9" t="s">
        <v>6740</v>
      </c>
      <c r="C305" s="9" t="s">
        <v>6764</v>
      </c>
      <c r="D305" s="9" t="s">
        <v>6742</v>
      </c>
      <c r="E305" s="9" t="s">
        <v>2455</v>
      </c>
      <c r="F305" s="9" t="s">
        <v>2456</v>
      </c>
      <c r="G305" s="9" t="s">
        <v>12</v>
      </c>
      <c r="H305" s="9"/>
      <c r="I305" s="9"/>
      <c r="J305" s="9" t="s">
        <v>73</v>
      </c>
      <c r="K305" s="9"/>
      <c r="L305" s="9"/>
      <c r="M305" s="9" t="s">
        <v>2457</v>
      </c>
      <c r="N305" s="9"/>
      <c r="O305" s="9" t="s">
        <v>2458</v>
      </c>
      <c r="P305" s="9" t="str">
        <f>HYPERLINK("https://ceds.ed.gov/cedselementdetails.aspx?termid=14571")</f>
        <v>https://ceds.ed.gov/cedselementdetails.aspx?termid=14571</v>
      </c>
      <c r="Q305" s="9" t="str">
        <f>HYPERLINK("https://ceds.ed.gov/elementComment.aspx?elementName=Early Learning Enrollment Application Verification Date &amp;elementID=14571", "Click here to submit comment")</f>
        <v>Click here to submit comment</v>
      </c>
    </row>
    <row r="306" spans="1:17" ht="45" x14ac:dyDescent="0.25">
      <c r="A306" s="9" t="s">
        <v>6739</v>
      </c>
      <c r="B306" s="9" t="s">
        <v>6740</v>
      </c>
      <c r="C306" s="9" t="s">
        <v>6764</v>
      </c>
      <c r="D306" s="9" t="s">
        <v>6742</v>
      </c>
      <c r="E306" s="9" t="s">
        <v>2459</v>
      </c>
      <c r="F306" s="9" t="s">
        <v>2460</v>
      </c>
      <c r="G306" s="9" t="s">
        <v>12</v>
      </c>
      <c r="H306" s="9"/>
      <c r="I306" s="9"/>
      <c r="J306" s="9" t="s">
        <v>762</v>
      </c>
      <c r="K306" s="9"/>
      <c r="L306" s="9"/>
      <c r="M306" s="9" t="s">
        <v>2461</v>
      </c>
      <c r="N306" s="9"/>
      <c r="O306" s="9" t="s">
        <v>2462</v>
      </c>
      <c r="P306" s="9" t="str">
        <f>HYPERLINK("https://ceds.ed.gov/cedselementdetails.aspx?termid=14579")</f>
        <v>https://ceds.ed.gov/cedselementdetails.aspx?termid=14579</v>
      </c>
      <c r="Q306" s="9" t="str">
        <f>HYPERLINK("https://ceds.ed.gov/elementComment.aspx?elementName=Early Learning Enrollment Application Verification Reason Type &amp;elementID=14579", "Click here to submit comment")</f>
        <v>Click here to submit comment</v>
      </c>
    </row>
    <row r="307" spans="1:17" ht="45" x14ac:dyDescent="0.25">
      <c r="A307" s="9" t="s">
        <v>6739</v>
      </c>
      <c r="B307" s="9" t="s">
        <v>6740</v>
      </c>
      <c r="C307" s="9" t="s">
        <v>6764</v>
      </c>
      <c r="D307" s="9" t="s">
        <v>6742</v>
      </c>
      <c r="E307" s="9" t="s">
        <v>5493</v>
      </c>
      <c r="F307" s="9" t="s">
        <v>5494</v>
      </c>
      <c r="G307" s="9" t="s">
        <v>12</v>
      </c>
      <c r="H307" s="9"/>
      <c r="I307" s="9"/>
      <c r="J307" s="9" t="s">
        <v>68</v>
      </c>
      <c r="K307" s="9"/>
      <c r="L307" s="9"/>
      <c r="M307" s="9" t="s">
        <v>5495</v>
      </c>
      <c r="N307" s="9"/>
      <c r="O307" s="9" t="s">
        <v>5496</v>
      </c>
      <c r="P307" s="9" t="str">
        <f>HYPERLINK("https://ceds.ed.gov/cedselementdetails.aspx?termid=14608")</f>
        <v>https://ceds.ed.gov/cedselementdetails.aspx?termid=14608</v>
      </c>
      <c r="Q307" s="9" t="str">
        <f>HYPERLINK("https://ceds.ed.gov/elementComment.aspx?elementName=Site Preference Rank &amp;elementID=14608", "Click here to submit comment")</f>
        <v>Click here to submit comment</v>
      </c>
    </row>
    <row r="308" spans="1:17" ht="75" x14ac:dyDescent="0.25">
      <c r="A308" s="9" t="s">
        <v>6739</v>
      </c>
      <c r="B308" s="9" t="s">
        <v>6740</v>
      </c>
      <c r="C308" s="9" t="s">
        <v>6765</v>
      </c>
      <c r="D308" s="9" t="s">
        <v>6742</v>
      </c>
      <c r="E308" s="9" t="s">
        <v>5420</v>
      </c>
      <c r="F308" s="9" t="s">
        <v>5421</v>
      </c>
      <c r="G308" s="9" t="s">
        <v>12</v>
      </c>
      <c r="H308" s="9"/>
      <c r="I308" s="9"/>
      <c r="J308" s="9" t="s">
        <v>762</v>
      </c>
      <c r="K308" s="9"/>
      <c r="L308" s="9"/>
      <c r="M308" s="9" t="s">
        <v>5422</v>
      </c>
      <c r="N308" s="9"/>
      <c r="O308" s="9" t="s">
        <v>5423</v>
      </c>
      <c r="P308" s="9" t="str">
        <f>HYPERLINK("https://ceds.ed.gov/cedselementdetails.aspx?termid=14606")</f>
        <v>https://ceds.ed.gov/cedselementdetails.aspx?termid=14606</v>
      </c>
      <c r="Q308" s="9" t="str">
        <f>HYPERLINK("https://ceds.ed.gov/elementComment.aspx?elementName=Service Partner Name &amp;elementID=14606", "Click here to submit comment")</f>
        <v>Click here to submit comment</v>
      </c>
    </row>
    <row r="309" spans="1:17" ht="45" x14ac:dyDescent="0.25">
      <c r="A309" s="9" t="s">
        <v>6739</v>
      </c>
      <c r="B309" s="9" t="s">
        <v>6740</v>
      </c>
      <c r="C309" s="9" t="s">
        <v>6765</v>
      </c>
      <c r="D309" s="9" t="s">
        <v>6742</v>
      </c>
      <c r="E309" s="9" t="s">
        <v>5416</v>
      </c>
      <c r="F309" s="9" t="s">
        <v>5417</v>
      </c>
      <c r="G309" s="9" t="s">
        <v>12</v>
      </c>
      <c r="H309" s="9"/>
      <c r="I309" s="9"/>
      <c r="J309" s="9" t="s">
        <v>68</v>
      </c>
      <c r="K309" s="9"/>
      <c r="L309" s="9"/>
      <c r="M309" s="9" t="s">
        <v>5418</v>
      </c>
      <c r="N309" s="9"/>
      <c r="O309" s="9" t="s">
        <v>5419</v>
      </c>
      <c r="P309" s="9" t="str">
        <f>HYPERLINK("https://ceds.ed.gov/cedselementdetails.aspx?termid=14603")</f>
        <v>https://ceds.ed.gov/cedselementdetails.aspx?termid=14603</v>
      </c>
      <c r="Q309" s="9" t="str">
        <f>HYPERLINK("https://ceds.ed.gov/elementComment.aspx?elementName=Service Partner Description &amp;elementID=14603", "Click here to submit comment")</f>
        <v>Click here to submit comment</v>
      </c>
    </row>
    <row r="310" spans="1:17" ht="270" x14ac:dyDescent="0.25">
      <c r="A310" s="9" t="s">
        <v>6739</v>
      </c>
      <c r="B310" s="9" t="s">
        <v>6740</v>
      </c>
      <c r="C310" s="9" t="s">
        <v>6766</v>
      </c>
      <c r="D310" s="9" t="s">
        <v>6742</v>
      </c>
      <c r="E310" s="9" t="s">
        <v>3416</v>
      </c>
      <c r="F310" s="9" t="s">
        <v>3417</v>
      </c>
      <c r="G310" s="10" t="s">
        <v>11889</v>
      </c>
      <c r="H310" s="9" t="s">
        <v>6124</v>
      </c>
      <c r="I310" s="9" t="s">
        <v>91</v>
      </c>
      <c r="J310" s="9"/>
      <c r="K310" s="9"/>
      <c r="L310" s="9"/>
      <c r="M310" s="9" t="s">
        <v>3418</v>
      </c>
      <c r="N310" s="9"/>
      <c r="O310" s="9" t="s">
        <v>3419</v>
      </c>
      <c r="P310" s="9" t="str">
        <f>HYPERLINK("https://ceds.ed.gov/cedselementdetails.aspx?termid=13320")</f>
        <v>https://ceds.ed.gov/cedselementdetails.aspx?termid=13320</v>
      </c>
      <c r="Q310" s="9" t="str">
        <f>HYPERLINK("https://ceds.ed.gov/elementComment.aspx?elementName=Individualized Program Type &amp;elementID=13320", "Click here to submit comment")</f>
        <v>Click here to submit comment</v>
      </c>
    </row>
    <row r="311" spans="1:17" ht="120" x14ac:dyDescent="0.25">
      <c r="A311" s="9" t="s">
        <v>6739</v>
      </c>
      <c r="B311" s="9" t="s">
        <v>6740</v>
      </c>
      <c r="C311" s="9" t="s">
        <v>6766</v>
      </c>
      <c r="D311" s="9" t="s">
        <v>6742</v>
      </c>
      <c r="E311" s="9" t="s">
        <v>11535</v>
      </c>
      <c r="F311" s="9" t="s">
        <v>3360</v>
      </c>
      <c r="G311" s="10" t="s">
        <v>6555</v>
      </c>
      <c r="H311" s="9"/>
      <c r="I311" s="9"/>
      <c r="J311" s="9"/>
      <c r="K311" s="9"/>
      <c r="L311" s="9"/>
      <c r="M311" s="9" t="s">
        <v>3361</v>
      </c>
      <c r="N311" s="9"/>
      <c r="O311" s="9" t="s">
        <v>3362</v>
      </c>
      <c r="P311" s="9" t="str">
        <f>HYPERLINK("https://ceds.ed.gov/cedselementdetails.aspx?termid=14196")</f>
        <v>https://ceds.ed.gov/cedselementdetails.aspx?termid=14196</v>
      </c>
      <c r="Q311" s="9" t="str">
        <f>HYPERLINK("https://ceds.ed.gov/elementComment.aspx?elementName=Individualized Program Service Plan Date Type &amp;elementID=14196", "Click here to submit comment")</f>
        <v>Click here to submit comment</v>
      </c>
    </row>
    <row r="312" spans="1:17" ht="45" x14ac:dyDescent="0.25">
      <c r="A312" s="9" t="s">
        <v>6739</v>
      </c>
      <c r="B312" s="9" t="s">
        <v>6740</v>
      </c>
      <c r="C312" s="9" t="s">
        <v>6766</v>
      </c>
      <c r="D312" s="9" t="s">
        <v>6742</v>
      </c>
      <c r="E312" s="9" t="s">
        <v>3388</v>
      </c>
      <c r="F312" s="9" t="s">
        <v>3389</v>
      </c>
      <c r="G312" s="9" t="s">
        <v>12</v>
      </c>
      <c r="H312" s="9"/>
      <c r="I312" s="9"/>
      <c r="J312" s="9" t="s">
        <v>73</v>
      </c>
      <c r="K312" s="9"/>
      <c r="L312" s="9"/>
      <c r="M312" s="9" t="s">
        <v>3390</v>
      </c>
      <c r="N312" s="9"/>
      <c r="O312" s="9" t="s">
        <v>3391</v>
      </c>
      <c r="P312" s="9" t="str">
        <f>HYPERLINK("https://ceds.ed.gov/cedselementdetails.aspx?termid=14201")</f>
        <v>https://ceds.ed.gov/cedselementdetails.aspx?termid=14201</v>
      </c>
      <c r="Q312" s="9" t="str">
        <f>HYPERLINK("https://ceds.ed.gov/elementComment.aspx?elementName=Individualized Program Service Plan Date &amp;elementID=14201", "Click here to submit comment")</f>
        <v>Click here to submit comment</v>
      </c>
    </row>
    <row r="313" spans="1:17" ht="45" x14ac:dyDescent="0.25">
      <c r="A313" s="9" t="s">
        <v>6739</v>
      </c>
      <c r="B313" s="9" t="s">
        <v>6740</v>
      </c>
      <c r="C313" s="9" t="s">
        <v>6766</v>
      </c>
      <c r="D313" s="9" t="s">
        <v>6742</v>
      </c>
      <c r="E313" s="9" t="s">
        <v>3356</v>
      </c>
      <c r="F313" s="9" t="s">
        <v>3357</v>
      </c>
      <c r="G313" s="9" t="s">
        <v>12</v>
      </c>
      <c r="H313" s="9"/>
      <c r="I313" s="9"/>
      <c r="J313" s="9" t="s">
        <v>73</v>
      </c>
      <c r="K313" s="9"/>
      <c r="L313" s="9"/>
      <c r="M313" s="9" t="s">
        <v>3358</v>
      </c>
      <c r="N313" s="9"/>
      <c r="O313" s="9" t="s">
        <v>3359</v>
      </c>
      <c r="P313" s="9" t="str">
        <f>HYPERLINK("https://ceds.ed.gov/cedselementdetails.aspx?termid=14197")</f>
        <v>https://ceds.ed.gov/cedselementdetails.aspx?termid=14197</v>
      </c>
      <c r="Q313" s="9" t="str">
        <f>HYPERLINK("https://ceds.ed.gov/elementComment.aspx?elementName=Individualized Program Date &amp;elementID=14197", "Click here to submit comment")</f>
        <v>Click here to submit comment</v>
      </c>
    </row>
    <row r="314" spans="1:17" ht="255" x14ac:dyDescent="0.25">
      <c r="A314" s="9" t="s">
        <v>6739</v>
      </c>
      <c r="B314" s="9" t="s">
        <v>6740</v>
      </c>
      <c r="C314" s="9" t="s">
        <v>6766</v>
      </c>
      <c r="D314" s="9" t="s">
        <v>6742</v>
      </c>
      <c r="E314" s="9" t="s">
        <v>3392</v>
      </c>
      <c r="F314" s="9" t="s">
        <v>3393</v>
      </c>
      <c r="G314" s="10" t="s">
        <v>6558</v>
      </c>
      <c r="H314" s="9"/>
      <c r="I314" s="9"/>
      <c r="J314" s="9"/>
      <c r="K314" s="9"/>
      <c r="L314" s="9"/>
      <c r="M314" s="9" t="s">
        <v>3394</v>
      </c>
      <c r="N314" s="9"/>
      <c r="O314" s="9" t="s">
        <v>3395</v>
      </c>
      <c r="P314" s="9" t="str">
        <f>HYPERLINK("https://ceds.ed.gov/cedselementdetails.aspx?termid=14202")</f>
        <v>https://ceds.ed.gov/cedselementdetails.aspx?termid=14202</v>
      </c>
      <c r="Q314" s="9" t="str">
        <f>HYPERLINK("https://ceds.ed.gov/elementComment.aspx?elementName=Individualized Program Service Plan Meeting Location &amp;elementID=14202", "Click here to submit comment")</f>
        <v>Click here to submit comment</v>
      </c>
    </row>
    <row r="315" spans="1:17" ht="45" x14ac:dyDescent="0.25">
      <c r="A315" s="9" t="s">
        <v>6739</v>
      </c>
      <c r="B315" s="9" t="s">
        <v>6740</v>
      </c>
      <c r="C315" s="9" t="s">
        <v>6766</v>
      </c>
      <c r="D315" s="9" t="s">
        <v>6742</v>
      </c>
      <c r="E315" s="9" t="s">
        <v>3396</v>
      </c>
      <c r="F315" s="9" t="s">
        <v>3397</v>
      </c>
      <c r="G315" s="9" t="s">
        <v>12</v>
      </c>
      <c r="H315" s="9"/>
      <c r="I315" s="9"/>
      <c r="J315" s="9" t="s">
        <v>303</v>
      </c>
      <c r="K315" s="9"/>
      <c r="L315" s="9"/>
      <c r="M315" s="9" t="s">
        <v>3398</v>
      </c>
      <c r="N315" s="9"/>
      <c r="O315" s="9" t="s">
        <v>3399</v>
      </c>
      <c r="P315" s="9" t="str">
        <f>HYPERLINK("https://ceds.ed.gov/cedselementdetails.aspx?termid=14203")</f>
        <v>https://ceds.ed.gov/cedselementdetails.aspx?termid=14203</v>
      </c>
      <c r="Q315" s="9" t="str">
        <f>HYPERLINK("https://ceds.ed.gov/elementComment.aspx?elementName=Individualized Program Service Plan Meeting Participants &amp;elementID=14203", "Click here to submit comment")</f>
        <v>Click here to submit comment</v>
      </c>
    </row>
    <row r="316" spans="1:17" ht="45" x14ac:dyDescent="0.25">
      <c r="A316" s="9" t="s">
        <v>6739</v>
      </c>
      <c r="B316" s="9" t="s">
        <v>6740</v>
      </c>
      <c r="C316" s="9" t="s">
        <v>6766</v>
      </c>
      <c r="D316" s="9" t="s">
        <v>6742</v>
      </c>
      <c r="E316" s="9" t="s">
        <v>3408</v>
      </c>
      <c r="F316" s="9" t="s">
        <v>3409</v>
      </c>
      <c r="G316" s="9" t="s">
        <v>12</v>
      </c>
      <c r="H316" s="9"/>
      <c r="I316" s="9"/>
      <c r="J316" s="9" t="s">
        <v>303</v>
      </c>
      <c r="K316" s="9"/>
      <c r="L316" s="9"/>
      <c r="M316" s="9" t="s">
        <v>3410</v>
      </c>
      <c r="N316" s="9"/>
      <c r="O316" s="9" t="s">
        <v>3411</v>
      </c>
      <c r="P316" s="9" t="str">
        <f>HYPERLINK("https://ceds.ed.gov/cedselementdetails.aspx?termid=14204")</f>
        <v>https://ceds.ed.gov/cedselementdetails.aspx?termid=14204</v>
      </c>
      <c r="Q316" s="9" t="str">
        <f>HYPERLINK("https://ceds.ed.gov/elementComment.aspx?elementName=Individualized Program Service Plan Signed By &amp;elementID=14204", "Click here to submit comment")</f>
        <v>Click here to submit comment</v>
      </c>
    </row>
    <row r="317" spans="1:17" ht="45" x14ac:dyDescent="0.25">
      <c r="A317" s="9" t="s">
        <v>6739</v>
      </c>
      <c r="B317" s="9" t="s">
        <v>6740</v>
      </c>
      <c r="C317" s="9" t="s">
        <v>6766</v>
      </c>
      <c r="D317" s="9" t="s">
        <v>6742</v>
      </c>
      <c r="E317" s="9" t="s">
        <v>3404</v>
      </c>
      <c r="F317" s="9" t="s">
        <v>3405</v>
      </c>
      <c r="G317" s="9" t="s">
        <v>12</v>
      </c>
      <c r="H317" s="9"/>
      <c r="I317" s="9"/>
      <c r="J317" s="9" t="s">
        <v>73</v>
      </c>
      <c r="K317" s="9"/>
      <c r="L317" s="9"/>
      <c r="M317" s="9" t="s">
        <v>3406</v>
      </c>
      <c r="N317" s="9"/>
      <c r="O317" s="9" t="s">
        <v>3407</v>
      </c>
      <c r="P317" s="9" t="str">
        <f>HYPERLINK("https://ceds.ed.gov/cedselementdetails.aspx?termid=14205")</f>
        <v>https://ceds.ed.gov/cedselementdetails.aspx?termid=14205</v>
      </c>
      <c r="Q317" s="9" t="str">
        <f>HYPERLINK("https://ceds.ed.gov/elementComment.aspx?elementName=Individualized Program Service Plan Signature Date &amp;elementID=14205", "Click here to submit comment")</f>
        <v>Click here to submit comment</v>
      </c>
    </row>
    <row r="318" spans="1:17" ht="45" x14ac:dyDescent="0.25">
      <c r="A318" s="9" t="s">
        <v>6739</v>
      </c>
      <c r="B318" s="9" t="s">
        <v>6740</v>
      </c>
      <c r="C318" s="9" t="s">
        <v>6766</v>
      </c>
      <c r="D318" s="9" t="s">
        <v>6742</v>
      </c>
      <c r="E318" s="9" t="s">
        <v>3400</v>
      </c>
      <c r="F318" s="9" t="s">
        <v>3401</v>
      </c>
      <c r="G318" s="9" t="s">
        <v>12</v>
      </c>
      <c r="H318" s="9"/>
      <c r="I318" s="9"/>
      <c r="J318" s="9" t="s">
        <v>73</v>
      </c>
      <c r="K318" s="9"/>
      <c r="L318" s="9"/>
      <c r="M318" s="9" t="s">
        <v>3402</v>
      </c>
      <c r="N318" s="9"/>
      <c r="O318" s="9" t="s">
        <v>3403</v>
      </c>
      <c r="P318" s="9" t="str">
        <f>HYPERLINK("https://ceds.ed.gov/cedselementdetails.aspx?termid=14207")</f>
        <v>https://ceds.ed.gov/cedselementdetails.aspx?termid=14207</v>
      </c>
      <c r="Q318" s="9" t="str">
        <f>HYPERLINK("https://ceds.ed.gov/elementComment.aspx?elementName=Individualized Program Service Plan Reevaluation Date &amp;elementID=14207", "Click here to submit comment")</f>
        <v>Click here to submit comment</v>
      </c>
    </row>
    <row r="319" spans="1:17" ht="45" x14ac:dyDescent="0.25">
      <c r="A319" s="9" t="s">
        <v>6739</v>
      </c>
      <c r="B319" s="9" t="s">
        <v>6740</v>
      </c>
      <c r="C319" s="9" t="s">
        <v>6766</v>
      </c>
      <c r="D319" s="9" t="s">
        <v>6742</v>
      </c>
      <c r="E319" s="9" t="s">
        <v>4175</v>
      </c>
      <c r="F319" s="9" t="s">
        <v>4176</v>
      </c>
      <c r="G319" s="10" t="s">
        <v>6612</v>
      </c>
      <c r="H319" s="9"/>
      <c r="I319" s="9"/>
      <c r="J319" s="9" t="s">
        <v>92</v>
      </c>
      <c r="K319" s="9"/>
      <c r="L319" s="9"/>
      <c r="M319" s="9" t="s">
        <v>4177</v>
      </c>
      <c r="N319" s="9"/>
      <c r="O319" s="9" t="s">
        <v>4178</v>
      </c>
      <c r="P319" s="9" t="str">
        <f>HYPERLINK("https://ceds.ed.gov/cedselementdetails.aspx?termid=14482")</f>
        <v>https://ceds.ed.gov/cedselementdetails.aspx?termid=14482</v>
      </c>
      <c r="Q319" s="9" t="str">
        <f>HYPERLINK("https://ceds.ed.gov/elementComment.aspx?elementName=Method of Service Delivery &amp;elementID=14482", "Click here to submit comment")</f>
        <v>Click here to submit comment</v>
      </c>
    </row>
    <row r="320" spans="1:17" ht="60" x14ac:dyDescent="0.25">
      <c r="A320" s="9" t="s">
        <v>6739</v>
      </c>
      <c r="B320" s="9" t="s">
        <v>6740</v>
      </c>
      <c r="C320" s="9" t="s">
        <v>6766</v>
      </c>
      <c r="D320" s="9" t="s">
        <v>6742</v>
      </c>
      <c r="E320" s="9" t="s">
        <v>3367</v>
      </c>
      <c r="F320" s="9" t="s">
        <v>3368</v>
      </c>
      <c r="G320" s="9" t="s">
        <v>12</v>
      </c>
      <c r="H320" s="9"/>
      <c r="I320" s="9"/>
      <c r="J320" s="9" t="s">
        <v>10489</v>
      </c>
      <c r="K320" s="9"/>
      <c r="L320" s="9"/>
      <c r="M320" s="9" t="s">
        <v>3369</v>
      </c>
      <c r="N320" s="9"/>
      <c r="O320" s="9" t="s">
        <v>3370</v>
      </c>
      <c r="P320" s="9" t="str">
        <f>HYPERLINK("https://ceds.ed.gov/cedselementdetails.aspx?termid=14198")</f>
        <v>https://ceds.ed.gov/cedselementdetails.aspx?termid=14198</v>
      </c>
      <c r="Q320" s="9" t="str">
        <f>HYPERLINK("https://ceds.ed.gov/elementComment.aspx?elementName=Individualized Program NonInclusion Minutes Per Week &amp;elementID=14198", "Click here to submit comment")</f>
        <v>Click here to submit comment</v>
      </c>
    </row>
    <row r="321" spans="1:17" ht="60" x14ac:dyDescent="0.25">
      <c r="A321" s="9" t="s">
        <v>6739</v>
      </c>
      <c r="B321" s="9" t="s">
        <v>6740</v>
      </c>
      <c r="C321" s="9" t="s">
        <v>6766</v>
      </c>
      <c r="D321" s="9" t="s">
        <v>6742</v>
      </c>
      <c r="E321" s="9" t="s">
        <v>3363</v>
      </c>
      <c r="F321" s="9" t="s">
        <v>3364</v>
      </c>
      <c r="G321" s="9" t="s">
        <v>12</v>
      </c>
      <c r="H321" s="9"/>
      <c r="I321" s="9"/>
      <c r="J321" s="9" t="s">
        <v>10489</v>
      </c>
      <c r="K321" s="9"/>
      <c r="L321" s="9"/>
      <c r="M321" s="9" t="s">
        <v>3365</v>
      </c>
      <c r="N321" s="9"/>
      <c r="O321" s="9" t="s">
        <v>3366</v>
      </c>
      <c r="P321" s="9" t="str">
        <f>HYPERLINK("https://ceds.ed.gov/cedselementdetails.aspx?termid=14199")</f>
        <v>https://ceds.ed.gov/cedselementdetails.aspx?termid=14199</v>
      </c>
      <c r="Q321" s="9" t="str">
        <f>HYPERLINK("https://ceds.ed.gov/elementComment.aspx?elementName=Individualized Program Inclusion Minutes Per Week &amp;elementID=14199", "Click here to submit comment")</f>
        <v>Click here to submit comment</v>
      </c>
    </row>
    <row r="322" spans="1:17" ht="60" x14ac:dyDescent="0.25">
      <c r="A322" s="9" t="s">
        <v>6739</v>
      </c>
      <c r="B322" s="9" t="s">
        <v>6740</v>
      </c>
      <c r="C322" s="9" t="s">
        <v>6766</v>
      </c>
      <c r="D322" s="9" t="s">
        <v>6742</v>
      </c>
      <c r="E322" s="9" t="s">
        <v>3194</v>
      </c>
      <c r="F322" s="9" t="s">
        <v>3195</v>
      </c>
      <c r="G322" s="10" t="s">
        <v>6540</v>
      </c>
      <c r="H322" s="9"/>
      <c r="I322" s="9"/>
      <c r="J322" s="9"/>
      <c r="K322" s="9"/>
      <c r="L322" s="9"/>
      <c r="M322" s="9" t="s">
        <v>3197</v>
      </c>
      <c r="N322" s="9"/>
      <c r="O322" s="9" t="s">
        <v>3198</v>
      </c>
      <c r="P322" s="9" t="str">
        <f>HYPERLINK("https://ceds.ed.gov/cedselementdetails.aspx?termid=14473")</f>
        <v>https://ceds.ed.gov/cedselementdetails.aspx?termid=14473</v>
      </c>
      <c r="Q322" s="9" t="str">
        <f>HYPERLINK("https://ceds.ed.gov/elementComment.aspx?elementName=IDEA IEP Status &amp;elementID=14473", "Click here to submit comment")</f>
        <v>Click here to submit comment</v>
      </c>
    </row>
    <row r="323" spans="1:17" ht="90" x14ac:dyDescent="0.25">
      <c r="A323" s="9" t="s">
        <v>6739</v>
      </c>
      <c r="B323" s="9" t="s">
        <v>6740</v>
      </c>
      <c r="C323" s="9" t="s">
        <v>6766</v>
      </c>
      <c r="D323" s="9" t="s">
        <v>6742</v>
      </c>
      <c r="E323" s="9" t="s">
        <v>3215</v>
      </c>
      <c r="F323" s="9" t="s">
        <v>3216</v>
      </c>
      <c r="G323" s="10" t="s">
        <v>6543</v>
      </c>
      <c r="H323" s="9"/>
      <c r="I323" s="9"/>
      <c r="J323" s="9"/>
      <c r="K323" s="9"/>
      <c r="L323" s="11" t="s">
        <v>3217</v>
      </c>
      <c r="M323" s="9" t="s">
        <v>3218</v>
      </c>
      <c r="N323" s="9"/>
      <c r="O323" s="9" t="s">
        <v>3219</v>
      </c>
      <c r="P323" s="9" t="str">
        <f>HYPERLINK("https://ceds.ed.gov/cedselementdetails.aspx?termid=14637")</f>
        <v>https://ceds.ed.gov/cedselementdetails.aspx?termid=14637</v>
      </c>
      <c r="Q323" s="9" t="str">
        <f>HYPERLINK("https://ceds.ed.gov/elementComment.aspx?elementName=IDEA Part C Eligibility Category &amp;elementID=14637", "Click here to submit comment")</f>
        <v>Click here to submit comment</v>
      </c>
    </row>
    <row r="324" spans="1:17" ht="45" x14ac:dyDescent="0.25">
      <c r="A324" s="9" t="s">
        <v>6739</v>
      </c>
      <c r="B324" s="9" t="s">
        <v>6740</v>
      </c>
      <c r="C324" s="9" t="s">
        <v>6766</v>
      </c>
      <c r="D324" s="9" t="s">
        <v>6742</v>
      </c>
      <c r="E324" s="9" t="s">
        <v>1632</v>
      </c>
      <c r="F324" s="9" t="s">
        <v>1633</v>
      </c>
      <c r="G324" s="9" t="s">
        <v>12</v>
      </c>
      <c r="H324" s="9"/>
      <c r="I324" s="9"/>
      <c r="J324" s="9" t="s">
        <v>73</v>
      </c>
      <c r="K324" s="9"/>
      <c r="L324" s="9"/>
      <c r="M324" s="9" t="s">
        <v>1634</v>
      </c>
      <c r="N324" s="9"/>
      <c r="O324" s="9" t="s">
        <v>1635</v>
      </c>
      <c r="P324" s="9" t="str">
        <f>HYPERLINK("https://ceds.ed.gov/cedselementdetails.aspx?termid=14255")</f>
        <v>https://ceds.ed.gov/cedselementdetails.aspx?termid=14255</v>
      </c>
      <c r="Q324" s="9" t="str">
        <f>HYPERLINK("https://ceds.ed.gov/elementComment.aspx?elementName=Career Education Plan Date &amp;elementID=14255", "Click here to submit comment")</f>
        <v>Click here to submit comment</v>
      </c>
    </row>
    <row r="325" spans="1:17" ht="75" x14ac:dyDescent="0.25">
      <c r="A325" s="9" t="s">
        <v>6739</v>
      </c>
      <c r="B325" s="9" t="s">
        <v>6740</v>
      </c>
      <c r="C325" s="9" t="s">
        <v>6766</v>
      </c>
      <c r="D325" s="9" t="s">
        <v>6742</v>
      </c>
      <c r="E325" s="9" t="s">
        <v>1636</v>
      </c>
      <c r="F325" s="9" t="s">
        <v>1637</v>
      </c>
      <c r="G325" s="10" t="s">
        <v>6397</v>
      </c>
      <c r="H325" s="9"/>
      <c r="I325" s="9"/>
      <c r="J325" s="9"/>
      <c r="K325" s="9"/>
      <c r="L325" s="9"/>
      <c r="M325" s="9" t="s">
        <v>1638</v>
      </c>
      <c r="N325" s="9"/>
      <c r="O325" s="9" t="s">
        <v>1639</v>
      </c>
      <c r="P325" s="9" t="str">
        <f>HYPERLINK("https://ceds.ed.gov/cedselementdetails.aspx?termid=14256")</f>
        <v>https://ceds.ed.gov/cedselementdetails.aspx?termid=14256</v>
      </c>
      <c r="Q325" s="9" t="str">
        <f>HYPERLINK("https://ceds.ed.gov/elementComment.aspx?elementName=Career Education Plan Type &amp;elementID=14256", "Click here to submit comment")</f>
        <v>Click here to submit comment</v>
      </c>
    </row>
    <row r="326" spans="1:17" ht="45" x14ac:dyDescent="0.25">
      <c r="A326" s="9" t="s">
        <v>6739</v>
      </c>
      <c r="B326" s="9" t="s">
        <v>6740</v>
      </c>
      <c r="C326" s="9" t="s">
        <v>11912</v>
      </c>
      <c r="D326" s="9" t="s">
        <v>6742</v>
      </c>
      <c r="E326" s="9" t="s">
        <v>11407</v>
      </c>
      <c r="F326" s="9" t="s">
        <v>11408</v>
      </c>
      <c r="G326" s="9" t="s">
        <v>12</v>
      </c>
      <c r="H326" s="9"/>
      <c r="I326" s="9"/>
      <c r="J326" s="9" t="s">
        <v>73</v>
      </c>
      <c r="K326" s="9"/>
      <c r="L326" s="9"/>
      <c r="M326" s="9" t="s">
        <v>3707</v>
      </c>
      <c r="N326" s="9"/>
      <c r="O326" s="9" t="s">
        <v>11409</v>
      </c>
      <c r="P326" s="9" t="str">
        <f>HYPERLINK("https://ceds.ed.gov/cedselementdetails.aspx?termid=14169")</f>
        <v>https://ceds.ed.gov/cedselementdetails.aspx?termid=14169</v>
      </c>
      <c r="Q326" s="9" t="str">
        <f>HYPERLINK("https://ceds.ed.gov/elementComment.aspx?elementName=Goal Start Date &amp;elementID=14169", "Click here to submit comment")</f>
        <v>Click here to submit comment</v>
      </c>
    </row>
    <row r="327" spans="1:17" ht="45" x14ac:dyDescent="0.25">
      <c r="A327" s="9" t="s">
        <v>6739</v>
      </c>
      <c r="B327" s="9" t="s">
        <v>6740</v>
      </c>
      <c r="C327" s="9" t="s">
        <v>11912</v>
      </c>
      <c r="D327" s="9" t="s">
        <v>6742</v>
      </c>
      <c r="E327" s="9" t="s">
        <v>11374</v>
      </c>
      <c r="F327" s="9" t="s">
        <v>11375</v>
      </c>
      <c r="G327" s="9" t="s">
        <v>12</v>
      </c>
      <c r="H327" s="9"/>
      <c r="I327" s="9"/>
      <c r="J327" s="9" t="s">
        <v>73</v>
      </c>
      <c r="K327" s="9"/>
      <c r="L327" s="9" t="s">
        <v>3705</v>
      </c>
      <c r="M327" s="9" t="s">
        <v>3706</v>
      </c>
      <c r="N327" s="9"/>
      <c r="O327" s="9" t="s">
        <v>11376</v>
      </c>
      <c r="P327" s="9" t="str">
        <f>HYPERLINK("https://ceds.ed.gov/cedselementdetails.aspx?termid=14170")</f>
        <v>https://ceds.ed.gov/cedselementdetails.aspx?termid=14170</v>
      </c>
      <c r="Q327" s="9" t="str">
        <f>HYPERLINK("https://ceds.ed.gov/elementComment.aspx?elementName=Goal End Date &amp;elementID=14170", "Click here to submit comment")</f>
        <v>Click here to submit comment</v>
      </c>
    </row>
    <row r="328" spans="1:17" ht="45" x14ac:dyDescent="0.25">
      <c r="A328" s="9" t="s">
        <v>6739</v>
      </c>
      <c r="B328" s="9" t="s">
        <v>6740</v>
      </c>
      <c r="C328" s="9" t="s">
        <v>11912</v>
      </c>
      <c r="D328" s="9" t="s">
        <v>6742</v>
      </c>
      <c r="E328" s="9" t="s">
        <v>11370</v>
      </c>
      <c r="F328" s="9" t="s">
        <v>11371</v>
      </c>
      <c r="G328" s="9" t="s">
        <v>12</v>
      </c>
      <c r="H328" s="9"/>
      <c r="I328" s="9"/>
      <c r="J328" s="9" t="s">
        <v>68</v>
      </c>
      <c r="K328" s="9"/>
      <c r="L328" s="9"/>
      <c r="M328" s="9" t="s">
        <v>3704</v>
      </c>
      <c r="N328" s="9"/>
      <c r="O328" s="9" t="s">
        <v>11373</v>
      </c>
      <c r="P328" s="9" t="str">
        <f>HYPERLINK("https://ceds.ed.gov/cedselementdetails.aspx?termid=13903")</f>
        <v>https://ceds.ed.gov/cedselementdetails.aspx?termid=13903</v>
      </c>
      <c r="Q328" s="9" t="str">
        <f>HYPERLINK("https://ceds.ed.gov/elementComment.aspx?elementName=Goal Description &amp;elementID=13903", "Click here to submit comment")</f>
        <v>Click here to submit comment</v>
      </c>
    </row>
    <row r="329" spans="1:17" ht="60" x14ac:dyDescent="0.25">
      <c r="A329" s="9" t="s">
        <v>6739</v>
      </c>
      <c r="B329" s="9" t="s">
        <v>6740</v>
      </c>
      <c r="C329" s="9" t="s">
        <v>11912</v>
      </c>
      <c r="D329" s="9" t="s">
        <v>6742</v>
      </c>
      <c r="E329" s="9" t="s">
        <v>11419</v>
      </c>
      <c r="F329" s="9" t="s">
        <v>11420</v>
      </c>
      <c r="G329" s="9" t="s">
        <v>12</v>
      </c>
      <c r="H329" s="9"/>
      <c r="I329" s="9"/>
      <c r="J329" s="9" t="s">
        <v>68</v>
      </c>
      <c r="K329" s="9"/>
      <c r="L329" s="9"/>
      <c r="M329" s="9" t="s">
        <v>3708</v>
      </c>
      <c r="N329" s="9"/>
      <c r="O329" s="9" t="s">
        <v>11421</v>
      </c>
      <c r="P329" s="9" t="str">
        <f>HYPERLINK("https://ceds.ed.gov/cedselementdetails.aspx?termid=13902")</f>
        <v>https://ceds.ed.gov/cedselementdetails.aspx?termid=13902</v>
      </c>
      <c r="Q329" s="9" t="str">
        <f>HYPERLINK("https://ceds.ed.gov/elementComment.aspx?elementName=Goal Success Criteria &amp;elementID=13902", "Click here to submit comment")</f>
        <v>Click here to submit comment</v>
      </c>
    </row>
    <row r="330" spans="1:17" ht="45" x14ac:dyDescent="0.25">
      <c r="A330" s="9" t="s">
        <v>6739</v>
      </c>
      <c r="B330" s="9" t="s">
        <v>6740</v>
      </c>
      <c r="C330" s="9" t="s">
        <v>6767</v>
      </c>
      <c r="D330" s="9" t="s">
        <v>6742</v>
      </c>
      <c r="E330" s="9" t="s">
        <v>2173</v>
      </c>
      <c r="F330" s="9" t="s">
        <v>2174</v>
      </c>
      <c r="G330" s="9" t="s">
        <v>12</v>
      </c>
      <c r="H330" s="9"/>
      <c r="I330" s="9"/>
      <c r="J330" s="9" t="s">
        <v>73</v>
      </c>
      <c r="K330" s="9"/>
      <c r="L330" s="9"/>
      <c r="M330" s="9" t="s">
        <v>2176</v>
      </c>
      <c r="N330" s="9"/>
      <c r="O330" s="9" t="s">
        <v>2177</v>
      </c>
      <c r="P330" s="9" t="str">
        <f>HYPERLINK("https://ceds.ed.gov/cedselementdetails.aspx?termid=14335")</f>
        <v>https://ceds.ed.gov/cedselementdetails.aspx?termid=14335</v>
      </c>
      <c r="Q330" s="9" t="str">
        <f>HYPERLINK("https://ceds.ed.gov/elementComment.aspx?elementName=Date of Transition Plan &amp;elementID=14335", "Click here to submit comment")</f>
        <v>Click here to submit comment</v>
      </c>
    </row>
    <row r="331" spans="1:17" ht="45" x14ac:dyDescent="0.25">
      <c r="A331" s="9" t="s">
        <v>6739</v>
      </c>
      <c r="B331" s="9" t="s">
        <v>6740</v>
      </c>
      <c r="C331" s="9" t="s">
        <v>6767</v>
      </c>
      <c r="D331" s="9" t="s">
        <v>6742</v>
      </c>
      <c r="E331" s="9" t="s">
        <v>3211</v>
      </c>
      <c r="F331" s="9" t="s">
        <v>3212</v>
      </c>
      <c r="G331" s="9" t="s">
        <v>6106</v>
      </c>
      <c r="H331" s="9"/>
      <c r="I331" s="9"/>
      <c r="J331" s="9"/>
      <c r="K331" s="9"/>
      <c r="L331" s="9"/>
      <c r="M331" s="9" t="s">
        <v>3213</v>
      </c>
      <c r="N331" s="9"/>
      <c r="O331" s="9" t="s">
        <v>3214</v>
      </c>
      <c r="P331" s="9" t="str">
        <f>HYPERLINK("https://ceds.ed.gov/cedselementdetails.aspx?termid=14327")</f>
        <v>https://ceds.ed.gov/cedselementdetails.aspx?termid=14327</v>
      </c>
      <c r="Q331" s="9" t="str">
        <f>HYPERLINK("https://ceds.ed.gov/elementComment.aspx?elementName=IDEA Part B 619 Potential Eligibility Indicator &amp;elementID=14327", "Click here to submit comment")</f>
        <v>Click here to submit comment</v>
      </c>
    </row>
    <row r="332" spans="1:17" ht="90" x14ac:dyDescent="0.25">
      <c r="A332" s="9" t="s">
        <v>6739</v>
      </c>
      <c r="B332" s="9" t="s">
        <v>6740</v>
      </c>
      <c r="C332" s="9" t="s">
        <v>6767</v>
      </c>
      <c r="D332" s="9" t="s">
        <v>6742</v>
      </c>
      <c r="E332" s="9" t="s">
        <v>3220</v>
      </c>
      <c r="F332" s="9" t="s">
        <v>3221</v>
      </c>
      <c r="G332" s="9" t="s">
        <v>12</v>
      </c>
      <c r="H332" s="9"/>
      <c r="I332" s="9"/>
      <c r="J332" s="9" t="s">
        <v>73</v>
      </c>
      <c r="K332" s="9"/>
      <c r="L332" s="9"/>
      <c r="M332" s="9" t="s">
        <v>3222</v>
      </c>
      <c r="N332" s="9"/>
      <c r="O332" s="9" t="s">
        <v>3223</v>
      </c>
      <c r="P332" s="9" t="str">
        <f>HYPERLINK("https://ceds.ed.gov/cedselementdetails.aspx?termid=14472")</f>
        <v>https://ceds.ed.gov/cedselementdetails.aspx?termid=14472</v>
      </c>
      <c r="Q332" s="9" t="str">
        <f>HYPERLINK("https://ceds.ed.gov/elementComment.aspx?elementName=IDEA Part C to Part B Notification Date &amp;elementID=14472", "Click here to submit comment")</f>
        <v>Click here to submit comment</v>
      </c>
    </row>
    <row r="333" spans="1:17" ht="75" x14ac:dyDescent="0.25">
      <c r="A333" s="9" t="s">
        <v>6739</v>
      </c>
      <c r="B333" s="9" t="s">
        <v>6740</v>
      </c>
      <c r="C333" s="9" t="s">
        <v>6767</v>
      </c>
      <c r="D333" s="9" t="s">
        <v>6742</v>
      </c>
      <c r="E333" s="9" t="s">
        <v>3228</v>
      </c>
      <c r="F333" s="9" t="s">
        <v>11444</v>
      </c>
      <c r="G333" s="9" t="s">
        <v>6106</v>
      </c>
      <c r="H333" s="9"/>
      <c r="I333" s="9"/>
      <c r="J333" s="9"/>
      <c r="K333" s="9"/>
      <c r="L333" s="9"/>
      <c r="M333" s="9" t="s">
        <v>3229</v>
      </c>
      <c r="N333" s="9"/>
      <c r="O333" s="9" t="s">
        <v>3230</v>
      </c>
      <c r="P333" s="9" t="str">
        <f>HYPERLINK("https://ceds.ed.gov/cedselementdetails.aspx?termid=14330")</f>
        <v>https://ceds.ed.gov/cedselementdetails.aspx?termid=14330</v>
      </c>
      <c r="Q333" s="9" t="str">
        <f>HYPERLINK("https://ceds.ed.gov/elementComment.aspx?elementName=IDEA Part C to Part B Notification Opt Out Indicator &amp;elementID=14330", "Click here to submit comment")</f>
        <v>Click here to submit comment</v>
      </c>
    </row>
    <row r="334" spans="1:17" ht="75" x14ac:dyDescent="0.25">
      <c r="A334" s="9" t="s">
        <v>6739</v>
      </c>
      <c r="B334" s="9" t="s">
        <v>6740</v>
      </c>
      <c r="C334" s="9" t="s">
        <v>6767</v>
      </c>
      <c r="D334" s="9" t="s">
        <v>6742</v>
      </c>
      <c r="E334" s="9" t="s">
        <v>3224</v>
      </c>
      <c r="F334" s="9" t="s">
        <v>3225</v>
      </c>
      <c r="G334" s="9" t="s">
        <v>12</v>
      </c>
      <c r="H334" s="9"/>
      <c r="I334" s="9"/>
      <c r="J334" s="9" t="s">
        <v>73</v>
      </c>
      <c r="K334" s="9"/>
      <c r="L334" s="9"/>
      <c r="M334" s="9" t="s">
        <v>3226</v>
      </c>
      <c r="N334" s="9"/>
      <c r="O334" s="9" t="s">
        <v>3227</v>
      </c>
      <c r="P334" s="9" t="str">
        <f>HYPERLINK("https://ceds.ed.gov/cedselementdetails.aspx?termid=14331")</f>
        <v>https://ceds.ed.gov/cedselementdetails.aspx?termid=14331</v>
      </c>
      <c r="Q334" s="9" t="str">
        <f>HYPERLINK("https://ceds.ed.gov/elementComment.aspx?elementName=IDEA Part C to Part B Notification Opt Out Date &amp;elementID=14331", "Click here to submit comment")</f>
        <v>Click here to submit comment</v>
      </c>
    </row>
    <row r="335" spans="1:17" ht="60" x14ac:dyDescent="0.25">
      <c r="A335" s="9" t="s">
        <v>6739</v>
      </c>
      <c r="B335" s="9" t="s">
        <v>6740</v>
      </c>
      <c r="C335" s="9" t="s">
        <v>6767</v>
      </c>
      <c r="D335" s="9" t="s">
        <v>6742</v>
      </c>
      <c r="E335" s="9" t="s">
        <v>5964</v>
      </c>
      <c r="F335" s="9" t="s">
        <v>5965</v>
      </c>
      <c r="G335" s="9" t="s">
        <v>12</v>
      </c>
      <c r="H335" s="9"/>
      <c r="I335" s="9"/>
      <c r="J335" s="9" t="s">
        <v>73</v>
      </c>
      <c r="K335" s="9"/>
      <c r="L335" s="9"/>
      <c r="M335" s="9" t="s">
        <v>5966</v>
      </c>
      <c r="N335" s="9"/>
      <c r="O335" s="9" t="s">
        <v>5967</v>
      </c>
      <c r="P335" s="9" t="str">
        <f>HYPERLINK("https://ceds.ed.gov/cedselementdetails.aspx?termid=14333")</f>
        <v>https://ceds.ed.gov/cedselementdetails.aspx?termid=14333</v>
      </c>
      <c r="Q335" s="9" t="str">
        <f>HYPERLINK("https://ceds.ed.gov/elementComment.aspx?elementName=Transition Conference Date &amp;elementID=14333", "Click here to submit comment")</f>
        <v>Click here to submit comment</v>
      </c>
    </row>
    <row r="336" spans="1:17" ht="105" x14ac:dyDescent="0.25">
      <c r="A336" s="9" t="s">
        <v>6739</v>
      </c>
      <c r="B336" s="9" t="s">
        <v>6740</v>
      </c>
      <c r="C336" s="9" t="s">
        <v>6767</v>
      </c>
      <c r="D336" s="9" t="s">
        <v>6742</v>
      </c>
      <c r="E336" s="9" t="s">
        <v>5081</v>
      </c>
      <c r="F336" s="9" t="s">
        <v>5082</v>
      </c>
      <c r="G336" s="10" t="s">
        <v>6674</v>
      </c>
      <c r="H336" s="9"/>
      <c r="I336" s="9"/>
      <c r="J336" s="9"/>
      <c r="K336" s="9"/>
      <c r="L336" s="9"/>
      <c r="M336" s="9" t="s">
        <v>5083</v>
      </c>
      <c r="N336" s="9"/>
      <c r="O336" s="9" t="s">
        <v>5084</v>
      </c>
      <c r="P336" s="9" t="str">
        <f>HYPERLINK("https://ceds.ed.gov/cedselementdetails.aspx?termid=14494")</f>
        <v>https://ceds.ed.gov/cedselementdetails.aspx?termid=14494</v>
      </c>
      <c r="Q336" s="9" t="str">
        <f>HYPERLINK("https://ceds.ed.gov/elementComment.aspx?elementName=Reason for Delay of Transition Conference &amp;elementID=14494", "Click here to submit comment")</f>
        <v>Click here to submit comment</v>
      </c>
    </row>
    <row r="337" spans="1:17" ht="60" x14ac:dyDescent="0.25">
      <c r="A337" s="9" t="s">
        <v>6739</v>
      </c>
      <c r="B337" s="9" t="s">
        <v>6740</v>
      </c>
      <c r="C337" s="9" t="s">
        <v>6767</v>
      </c>
      <c r="D337" s="9" t="s">
        <v>6742</v>
      </c>
      <c r="E337" s="9" t="s">
        <v>5968</v>
      </c>
      <c r="F337" s="9" t="s">
        <v>5969</v>
      </c>
      <c r="G337" s="9" t="s">
        <v>12</v>
      </c>
      <c r="H337" s="9"/>
      <c r="I337" s="9"/>
      <c r="J337" s="9" t="s">
        <v>73</v>
      </c>
      <c r="K337" s="9"/>
      <c r="L337" s="9"/>
      <c r="M337" s="9" t="s">
        <v>5970</v>
      </c>
      <c r="N337" s="9"/>
      <c r="O337" s="9" t="s">
        <v>5971</v>
      </c>
      <c r="P337" s="9" t="str">
        <f>HYPERLINK("https://ceds.ed.gov/cedselementdetails.aspx?termid=14334")</f>
        <v>https://ceds.ed.gov/cedselementdetails.aspx?termid=14334</v>
      </c>
      <c r="Q337" s="9" t="str">
        <f>HYPERLINK("https://ceds.ed.gov/elementComment.aspx?elementName=Transition Conference Decline Date &amp;elementID=14334", "Click here to submit comment")</f>
        <v>Click here to submit comment</v>
      </c>
    </row>
    <row r="338" spans="1:17" ht="45" x14ac:dyDescent="0.25">
      <c r="A338" s="9" t="s">
        <v>6739</v>
      </c>
      <c r="B338" s="9" t="s">
        <v>6740</v>
      </c>
      <c r="C338" s="9" t="s">
        <v>6768</v>
      </c>
      <c r="D338" s="9" t="s">
        <v>6742</v>
      </c>
      <c r="E338" s="9" t="s">
        <v>1723</v>
      </c>
      <c r="F338" s="9" t="s">
        <v>10728</v>
      </c>
      <c r="G338" s="9" t="s">
        <v>6106</v>
      </c>
      <c r="H338" s="9"/>
      <c r="I338" s="9"/>
      <c r="J338" s="9"/>
      <c r="K338" s="9"/>
      <c r="L338" s="9"/>
      <c r="M338" s="9" t="s">
        <v>1725</v>
      </c>
      <c r="N338" s="9" t="s">
        <v>1726</v>
      </c>
      <c r="O338" s="9" t="s">
        <v>1727</v>
      </c>
      <c r="P338" s="9" t="str">
        <f>HYPERLINK("https://ceds.ed.gov/cedselementdetails.aspx?termid=14476")</f>
        <v>https://ceds.ed.gov/cedselementdetails.aspx?termid=14476</v>
      </c>
      <c r="Q338" s="9" t="str">
        <f>HYPERLINK("https://ceds.ed.gov/elementComment.aspx?elementName=Child Outcomes Summary Progress A Indicator &amp;elementID=14476", "Click here to submit comment")</f>
        <v>Click here to submit comment</v>
      </c>
    </row>
    <row r="339" spans="1:17" ht="60" x14ac:dyDescent="0.25">
      <c r="A339" s="9" t="s">
        <v>6739</v>
      </c>
      <c r="B339" s="9" t="s">
        <v>6740</v>
      </c>
      <c r="C339" s="9" t="s">
        <v>6768</v>
      </c>
      <c r="D339" s="9" t="s">
        <v>6742</v>
      </c>
      <c r="E339" s="9" t="s">
        <v>1728</v>
      </c>
      <c r="F339" s="9" t="s">
        <v>10729</v>
      </c>
      <c r="G339" s="9" t="s">
        <v>6106</v>
      </c>
      <c r="H339" s="9"/>
      <c r="I339" s="9"/>
      <c r="J339" s="9"/>
      <c r="K339" s="9"/>
      <c r="L339" s="9"/>
      <c r="M339" s="9" t="s">
        <v>1729</v>
      </c>
      <c r="N339" s="9" t="s">
        <v>1730</v>
      </c>
      <c r="O339" s="9" t="s">
        <v>1731</v>
      </c>
      <c r="P339" s="9" t="str">
        <f>HYPERLINK("https://ceds.ed.gov/cedselementdetails.aspx?termid=14477")</f>
        <v>https://ceds.ed.gov/cedselementdetails.aspx?termid=14477</v>
      </c>
      <c r="Q339" s="9" t="str">
        <f>HYPERLINK("https://ceds.ed.gov/elementComment.aspx?elementName=Child Outcomes Summary Progress B Indicator &amp;elementID=14477", "Click here to submit comment")</f>
        <v>Click here to submit comment</v>
      </c>
    </row>
    <row r="340" spans="1:17" ht="45" x14ac:dyDescent="0.25">
      <c r="A340" s="9" t="s">
        <v>6739</v>
      </c>
      <c r="B340" s="9" t="s">
        <v>6740</v>
      </c>
      <c r="C340" s="9" t="s">
        <v>6768</v>
      </c>
      <c r="D340" s="9" t="s">
        <v>6742</v>
      </c>
      <c r="E340" s="9" t="s">
        <v>1732</v>
      </c>
      <c r="F340" s="9" t="s">
        <v>1733</v>
      </c>
      <c r="G340" s="9" t="s">
        <v>6106</v>
      </c>
      <c r="H340" s="9"/>
      <c r="I340" s="9"/>
      <c r="J340" s="9"/>
      <c r="K340" s="9"/>
      <c r="L340" s="9"/>
      <c r="M340" s="9" t="s">
        <v>1734</v>
      </c>
      <c r="N340" s="9" t="s">
        <v>1735</v>
      </c>
      <c r="O340" s="9" t="s">
        <v>1736</v>
      </c>
      <c r="P340" s="9" t="str">
        <f>HYPERLINK("https://ceds.ed.gov/cedselementdetails.aspx?termid=14478")</f>
        <v>https://ceds.ed.gov/cedselementdetails.aspx?termid=14478</v>
      </c>
      <c r="Q340" s="9" t="str">
        <f>HYPERLINK("https://ceds.ed.gov/elementComment.aspx?elementName=Child Outcomes Summary Progress C Indicator &amp;elementID=14478", "Click here to submit comment")</f>
        <v>Click here to submit comment</v>
      </c>
    </row>
    <row r="341" spans="1:17" ht="330" x14ac:dyDescent="0.25">
      <c r="A341" s="9" t="s">
        <v>6739</v>
      </c>
      <c r="B341" s="9" t="s">
        <v>6740</v>
      </c>
      <c r="C341" s="9" t="s">
        <v>6768</v>
      </c>
      <c r="D341" s="9" t="s">
        <v>6742</v>
      </c>
      <c r="E341" s="9" t="s">
        <v>1737</v>
      </c>
      <c r="F341" s="9" t="s">
        <v>1738</v>
      </c>
      <c r="G341" s="10" t="s">
        <v>6406</v>
      </c>
      <c r="H341" s="9"/>
      <c r="I341" s="9"/>
      <c r="J341" s="9"/>
      <c r="K341" s="9"/>
      <c r="L341" s="9"/>
      <c r="M341" s="9" t="s">
        <v>1739</v>
      </c>
      <c r="N341" s="9" t="s">
        <v>1740</v>
      </c>
      <c r="O341" s="9" t="s">
        <v>1741</v>
      </c>
      <c r="P341" s="9" t="str">
        <f>HYPERLINK("https://ceds.ed.gov/cedselementdetails.aspx?termid=14479")</f>
        <v>https://ceds.ed.gov/cedselementdetails.aspx?termid=14479</v>
      </c>
      <c r="Q341" s="9" t="str">
        <f>HYPERLINK("https://ceds.ed.gov/elementComment.aspx?elementName=Child Outcomes Summary Rating A &amp;elementID=14479", "Click here to submit comment")</f>
        <v>Click here to submit comment</v>
      </c>
    </row>
    <row r="342" spans="1:17" ht="330" x14ac:dyDescent="0.25">
      <c r="A342" s="9" t="s">
        <v>6739</v>
      </c>
      <c r="B342" s="9" t="s">
        <v>6740</v>
      </c>
      <c r="C342" s="9" t="s">
        <v>6768</v>
      </c>
      <c r="D342" s="9" t="s">
        <v>6742</v>
      </c>
      <c r="E342" s="9" t="s">
        <v>1742</v>
      </c>
      <c r="F342" s="9" t="s">
        <v>1743</v>
      </c>
      <c r="G342" s="10" t="s">
        <v>6406</v>
      </c>
      <c r="H342" s="9"/>
      <c r="I342" s="9"/>
      <c r="J342" s="9"/>
      <c r="K342" s="9"/>
      <c r="L342" s="9"/>
      <c r="M342" s="9" t="s">
        <v>1744</v>
      </c>
      <c r="N342" s="9" t="s">
        <v>1745</v>
      </c>
      <c r="O342" s="9" t="s">
        <v>1746</v>
      </c>
      <c r="P342" s="9" t="str">
        <f>HYPERLINK("https://ceds.ed.gov/cedselementdetails.aspx?termid=14480")</f>
        <v>https://ceds.ed.gov/cedselementdetails.aspx?termid=14480</v>
      </c>
      <c r="Q342" s="9" t="str">
        <f>HYPERLINK("https://ceds.ed.gov/elementComment.aspx?elementName=Child Outcomes Summary Rating B &amp;elementID=14480", "Click here to submit comment")</f>
        <v>Click here to submit comment</v>
      </c>
    </row>
    <row r="343" spans="1:17" ht="330" x14ac:dyDescent="0.25">
      <c r="A343" s="9" t="s">
        <v>6739</v>
      </c>
      <c r="B343" s="9" t="s">
        <v>6740</v>
      </c>
      <c r="C343" s="9" t="s">
        <v>6768</v>
      </c>
      <c r="D343" s="9" t="s">
        <v>6742</v>
      </c>
      <c r="E343" s="9" t="s">
        <v>1747</v>
      </c>
      <c r="F343" s="9" t="s">
        <v>1748</v>
      </c>
      <c r="G343" s="10" t="s">
        <v>6406</v>
      </c>
      <c r="H343" s="9"/>
      <c r="I343" s="9"/>
      <c r="J343" s="9"/>
      <c r="K343" s="9"/>
      <c r="L343" s="9"/>
      <c r="M343" s="9" t="s">
        <v>1749</v>
      </c>
      <c r="N343" s="9" t="s">
        <v>1750</v>
      </c>
      <c r="O343" s="9" t="s">
        <v>1751</v>
      </c>
      <c r="P343" s="9" t="str">
        <f>HYPERLINK("https://ceds.ed.gov/cedselementdetails.aspx?termid=14481")</f>
        <v>https://ceds.ed.gov/cedselementdetails.aspx?termid=14481</v>
      </c>
      <c r="Q343" s="9" t="str">
        <f>HYPERLINK("https://ceds.ed.gov/elementComment.aspx?elementName=Child Outcomes Summary Rating C &amp;elementID=14481", "Click here to submit comment")</f>
        <v>Click here to submit comment</v>
      </c>
    </row>
    <row r="344" spans="1:17" ht="75" x14ac:dyDescent="0.25">
      <c r="A344" s="9" t="s">
        <v>6739</v>
      </c>
      <c r="B344" s="9" t="s">
        <v>6740</v>
      </c>
      <c r="C344" s="9" t="s">
        <v>6768</v>
      </c>
      <c r="D344" s="9" t="s">
        <v>6742</v>
      </c>
      <c r="E344" s="9" t="s">
        <v>2487</v>
      </c>
      <c r="F344" s="9" t="s">
        <v>2488</v>
      </c>
      <c r="G344" s="10" t="s">
        <v>6472</v>
      </c>
      <c r="H344" s="9"/>
      <c r="I344" s="9"/>
      <c r="J344" s="9"/>
      <c r="K344" s="9"/>
      <c r="L344" s="9"/>
      <c r="M344" s="9" t="s">
        <v>2489</v>
      </c>
      <c r="N344" s="9"/>
      <c r="O344" s="9" t="s">
        <v>2490</v>
      </c>
      <c r="P344" s="9" t="str">
        <f>HYPERLINK("https://ceds.ed.gov/cedselementdetails.aspx?termid=14303")</f>
        <v>https://ceds.ed.gov/cedselementdetails.aspx?termid=14303</v>
      </c>
      <c r="Q344" s="9" t="str">
        <f>HYPERLINK("https://ceds.ed.gov/elementComment.aspx?elementName=Early Learning Outcome Measurement Level &amp;elementID=14303", "Click here to submit comment")</f>
        <v>Click here to submit comment</v>
      </c>
    </row>
    <row r="345" spans="1:17" ht="75" x14ac:dyDescent="0.25">
      <c r="A345" s="9" t="s">
        <v>6739</v>
      </c>
      <c r="B345" s="9" t="s">
        <v>6740</v>
      </c>
      <c r="C345" s="9" t="s">
        <v>6768</v>
      </c>
      <c r="D345" s="9" t="s">
        <v>6742</v>
      </c>
      <c r="E345" s="9" t="s">
        <v>2491</v>
      </c>
      <c r="F345" s="9" t="s">
        <v>2492</v>
      </c>
      <c r="G345" s="10" t="s">
        <v>6473</v>
      </c>
      <c r="H345" s="9"/>
      <c r="I345" s="9"/>
      <c r="J345" s="9"/>
      <c r="K345" s="9"/>
      <c r="L345" s="9"/>
      <c r="M345" s="9" t="s">
        <v>2493</v>
      </c>
      <c r="N345" s="9"/>
      <c r="O345" s="9" t="s">
        <v>2494</v>
      </c>
      <c r="P345" s="9" t="str">
        <f>HYPERLINK("https://ceds.ed.gov/cedselementdetails.aspx?termid=14475")</f>
        <v>https://ceds.ed.gov/cedselementdetails.aspx?termid=14475</v>
      </c>
      <c r="Q345" s="9" t="str">
        <f>HYPERLINK("https://ceds.ed.gov/elementComment.aspx?elementName=Early Learning Outcome Time Point &amp;elementID=14475", "Click here to submit comment")</f>
        <v>Click here to submit comment</v>
      </c>
    </row>
    <row r="346" spans="1:17" ht="409.5" x14ac:dyDescent="0.25">
      <c r="A346" s="9" t="s">
        <v>6739</v>
      </c>
      <c r="B346" s="9" t="s">
        <v>6740</v>
      </c>
      <c r="C346" s="9" t="s">
        <v>6769</v>
      </c>
      <c r="D346" s="9" t="s">
        <v>6742</v>
      </c>
      <c r="E346" s="9" t="s">
        <v>4969</v>
      </c>
      <c r="F346" s="9" t="s">
        <v>4970</v>
      </c>
      <c r="G346" s="10" t="s">
        <v>11907</v>
      </c>
      <c r="H346" s="9" t="s">
        <v>6109</v>
      </c>
      <c r="I346" s="9"/>
      <c r="J346" s="9"/>
      <c r="K346" s="9"/>
      <c r="L346" s="9"/>
      <c r="M346" s="9" t="s">
        <v>4971</v>
      </c>
      <c r="N346" s="9"/>
      <c r="O346" s="9" t="s">
        <v>4972</v>
      </c>
      <c r="P346" s="9" t="str">
        <f>HYPERLINK("https://ceds.ed.gov/cedselementdetails.aspx?termid=13225")</f>
        <v>https://ceds.ed.gov/cedselementdetails.aspx?termid=13225</v>
      </c>
      <c r="Q346" s="9" t="str">
        <f>HYPERLINK("https://ceds.ed.gov/elementComment.aspx?elementName=Program Type &amp;elementID=13225", "Click here to submit comment")</f>
        <v>Click here to submit comment</v>
      </c>
    </row>
    <row r="347" spans="1:17" ht="210" x14ac:dyDescent="0.25">
      <c r="A347" s="9" t="s">
        <v>6739</v>
      </c>
      <c r="B347" s="9" t="s">
        <v>6740</v>
      </c>
      <c r="C347" s="9" t="s">
        <v>6769</v>
      </c>
      <c r="D347" s="9" t="s">
        <v>6742</v>
      </c>
      <c r="E347" s="9" t="s">
        <v>2393</v>
      </c>
      <c r="F347" s="9" t="s">
        <v>2394</v>
      </c>
      <c r="G347" s="10" t="s">
        <v>6461</v>
      </c>
      <c r="H347" s="9" t="s">
        <v>64</v>
      </c>
      <c r="I347" s="9"/>
      <c r="J347" s="9"/>
      <c r="K347" s="9"/>
      <c r="L347" s="9"/>
      <c r="M347" s="9" t="s">
        <v>2395</v>
      </c>
      <c r="N347" s="9"/>
      <c r="O347" s="9" t="s">
        <v>2396</v>
      </c>
      <c r="P347" s="9" t="str">
        <f>HYPERLINK("https://ceds.ed.gov/cedselementdetails.aspx?termid=13829")</f>
        <v>https://ceds.ed.gov/cedselementdetails.aspx?termid=13829</v>
      </c>
      <c r="Q347" s="9" t="str">
        <f>HYPERLINK("https://ceds.ed.gov/elementComment.aspx?elementName=Early Childhood Program Enrollment Type &amp;elementID=13829", "Click here to submit comment")</f>
        <v>Click here to submit comment</v>
      </c>
    </row>
    <row r="348" spans="1:17" ht="135" x14ac:dyDescent="0.25">
      <c r="A348" s="9" t="s">
        <v>6739</v>
      </c>
      <c r="B348" s="9" t="s">
        <v>6740</v>
      </c>
      <c r="C348" s="9" t="s">
        <v>6769</v>
      </c>
      <c r="D348" s="9" t="s">
        <v>6742</v>
      </c>
      <c r="E348" s="9" t="s">
        <v>4940</v>
      </c>
      <c r="F348" s="9" t="s">
        <v>4941</v>
      </c>
      <c r="G348" s="10" t="s">
        <v>6664</v>
      </c>
      <c r="H348" s="9" t="s">
        <v>1963</v>
      </c>
      <c r="I348" s="9"/>
      <c r="J348" s="9"/>
      <c r="K348" s="9"/>
      <c r="L348" s="9"/>
      <c r="M348" s="9" t="s">
        <v>4942</v>
      </c>
      <c r="N348" s="9"/>
      <c r="O348" s="9" t="s">
        <v>4943</v>
      </c>
      <c r="P348" s="9" t="str">
        <f>HYPERLINK("https://ceds.ed.gov/cedselementdetails.aspx?termid=14209")</f>
        <v>https://ceds.ed.gov/cedselementdetails.aspx?termid=14209</v>
      </c>
      <c r="Q348" s="9" t="str">
        <f>HYPERLINK("https://ceds.ed.gov/elementComment.aspx?elementName=Program Participation Status &amp;elementID=14209", "Click here to submit comment")</f>
        <v>Click here to submit comment</v>
      </c>
    </row>
    <row r="349" spans="1:17" ht="60" x14ac:dyDescent="0.25">
      <c r="A349" s="9" t="s">
        <v>6739</v>
      </c>
      <c r="B349" s="9" t="s">
        <v>6740</v>
      </c>
      <c r="C349" s="9" t="s">
        <v>6769</v>
      </c>
      <c r="D349" s="9" t="s">
        <v>6742</v>
      </c>
      <c r="E349" s="9" t="s">
        <v>4936</v>
      </c>
      <c r="F349" s="9" t="s">
        <v>4937</v>
      </c>
      <c r="G349" s="9" t="s">
        <v>12</v>
      </c>
      <c r="H349" s="9" t="s">
        <v>6267</v>
      </c>
      <c r="I349" s="9"/>
      <c r="J349" s="9" t="s">
        <v>73</v>
      </c>
      <c r="K349" s="9"/>
      <c r="L349" s="9"/>
      <c r="M349" s="9" t="s">
        <v>4938</v>
      </c>
      <c r="N349" s="9"/>
      <c r="O349" s="9" t="s">
        <v>4939</v>
      </c>
      <c r="P349" s="9" t="str">
        <f>HYPERLINK("https://ceds.ed.gov/cedselementdetails.aspx?termid=13583")</f>
        <v>https://ceds.ed.gov/cedselementdetails.aspx?termid=13583</v>
      </c>
      <c r="Q349" s="9" t="str">
        <f>HYPERLINK("https://ceds.ed.gov/elementComment.aspx?elementName=Program Participation Start Date &amp;elementID=13583", "Click here to submit comment")</f>
        <v>Click here to submit comment</v>
      </c>
    </row>
    <row r="350" spans="1:17" ht="45" x14ac:dyDescent="0.25">
      <c r="A350" s="9" t="s">
        <v>6739</v>
      </c>
      <c r="B350" s="9" t="s">
        <v>6740</v>
      </c>
      <c r="C350" s="9" t="s">
        <v>6769</v>
      </c>
      <c r="D350" s="9" t="s">
        <v>6742</v>
      </c>
      <c r="E350" s="9" t="s">
        <v>4933</v>
      </c>
      <c r="F350" s="9" t="s">
        <v>1641</v>
      </c>
      <c r="G350" s="9" t="s">
        <v>12</v>
      </c>
      <c r="H350" s="9" t="s">
        <v>6266</v>
      </c>
      <c r="I350" s="9"/>
      <c r="J350" s="9" t="s">
        <v>73</v>
      </c>
      <c r="K350" s="9"/>
      <c r="L350" s="9"/>
      <c r="M350" s="9" t="s">
        <v>4934</v>
      </c>
      <c r="N350" s="9"/>
      <c r="O350" s="9" t="s">
        <v>4935</v>
      </c>
      <c r="P350" s="9" t="str">
        <f>HYPERLINK("https://ceds.ed.gov/cedselementdetails.aspx?termid=13584")</f>
        <v>https://ceds.ed.gov/cedselementdetails.aspx?termid=13584</v>
      </c>
      <c r="Q350" s="9" t="str">
        <f>HYPERLINK("https://ceds.ed.gov/elementComment.aspx?elementName=Program Participation Exit Date &amp;elementID=13584", "Click here to submit comment")</f>
        <v>Click here to submit comment</v>
      </c>
    </row>
    <row r="351" spans="1:17" ht="409.5" x14ac:dyDescent="0.25">
      <c r="A351" s="9" t="s">
        <v>6739</v>
      </c>
      <c r="B351" s="9" t="s">
        <v>6740</v>
      </c>
      <c r="C351" s="9" t="s">
        <v>6769</v>
      </c>
      <c r="D351" s="9" t="s">
        <v>6742</v>
      </c>
      <c r="E351" s="9" t="s">
        <v>2723</v>
      </c>
      <c r="F351" s="9" t="s">
        <v>2724</v>
      </c>
      <c r="G351" s="10" t="s">
        <v>6498</v>
      </c>
      <c r="H351" s="9"/>
      <c r="I351" s="9"/>
      <c r="J351" s="9"/>
      <c r="K351" s="9"/>
      <c r="L351" s="9"/>
      <c r="M351" s="9" t="s">
        <v>2725</v>
      </c>
      <c r="N351" s="9"/>
      <c r="O351" s="9" t="s">
        <v>2726</v>
      </c>
      <c r="P351" s="9" t="str">
        <f>HYPERLINK("https://ceds.ed.gov/cedselementdetails.aspx?termid=13222")</f>
        <v>https://ceds.ed.gov/cedselementdetails.aspx?termid=13222</v>
      </c>
      <c r="Q351" s="9" t="str">
        <f>HYPERLINK("https://ceds.ed.gov/elementComment.aspx?elementName=Exit Reason &amp;elementID=13222", "Click here to submit comment")</f>
        <v>Click here to submit comment</v>
      </c>
    </row>
    <row r="352" spans="1:17" ht="135" x14ac:dyDescent="0.25">
      <c r="A352" s="9" t="s">
        <v>6739</v>
      </c>
      <c r="B352" s="9" t="s">
        <v>6740</v>
      </c>
      <c r="C352" s="9" t="s">
        <v>6769</v>
      </c>
      <c r="D352" s="9" t="s">
        <v>6742</v>
      </c>
      <c r="E352" s="9" t="s">
        <v>1820</v>
      </c>
      <c r="F352" s="9" t="s">
        <v>1821</v>
      </c>
      <c r="G352" s="10" t="s">
        <v>6411</v>
      </c>
      <c r="H352" s="9"/>
      <c r="I352" s="9"/>
      <c r="J352" s="9"/>
      <c r="K352" s="9"/>
      <c r="L352" s="9"/>
      <c r="M352" s="9" t="s">
        <v>1822</v>
      </c>
      <c r="N352" s="9"/>
      <c r="O352" s="9" t="s">
        <v>1823</v>
      </c>
      <c r="P352" s="9" t="str">
        <f>HYPERLINK("https://ceds.ed.gov/cedselementdetails.aspx?termid=14614")</f>
        <v>https://ceds.ed.gov/cedselementdetails.aspx?termid=14614</v>
      </c>
      <c r="Q352" s="9" t="str">
        <f>HYPERLINK("https://ceds.ed.gov/elementComment.aspx?elementName=Community-based Type &amp;elementID=14614", "Click here to submit comment")</f>
        <v>Click here to submit comment</v>
      </c>
    </row>
    <row r="353" spans="1:17" ht="45" x14ac:dyDescent="0.25">
      <c r="A353" s="9" t="s">
        <v>6739</v>
      </c>
      <c r="B353" s="9" t="s">
        <v>6740</v>
      </c>
      <c r="C353" s="9" t="s">
        <v>6769</v>
      </c>
      <c r="D353" s="9" t="s">
        <v>6742</v>
      </c>
      <c r="E353" s="9" t="s">
        <v>3345</v>
      </c>
      <c r="F353" s="9" t="s">
        <v>11510</v>
      </c>
      <c r="G353" s="9" t="s">
        <v>6106</v>
      </c>
      <c r="H353" s="9"/>
      <c r="I353" s="9"/>
      <c r="J353" s="9"/>
      <c r="K353" s="9"/>
      <c r="L353" s="9"/>
      <c r="M353" s="9" t="s">
        <v>3346</v>
      </c>
      <c r="N353" s="9"/>
      <c r="O353" s="9" t="s">
        <v>3347</v>
      </c>
      <c r="P353" s="9" t="str">
        <f>HYPERLINK("https://ceds.ed.gov/cedselementdetails.aspx?termid=14615")</f>
        <v>https://ceds.ed.gov/cedselementdetails.aspx?termid=14615</v>
      </c>
      <c r="Q353" s="9" t="str">
        <f>HYPERLINK("https://ceds.ed.gov/elementComment.aspx?elementName=Inclusive Setting Indicator &amp;elementID=14615", "Click here to submit comment")</f>
        <v>Click here to submit comment</v>
      </c>
    </row>
    <row r="354" spans="1:17" ht="240" x14ac:dyDescent="0.25">
      <c r="A354" s="9" t="s">
        <v>6739</v>
      </c>
      <c r="B354" s="9" t="s">
        <v>6740</v>
      </c>
      <c r="C354" s="9" t="s">
        <v>6769</v>
      </c>
      <c r="D354" s="9" t="s">
        <v>6742</v>
      </c>
      <c r="E354" s="9" t="s">
        <v>4444</v>
      </c>
      <c r="F354" s="9" t="s">
        <v>4445</v>
      </c>
      <c r="G354" s="10" t="s">
        <v>11903</v>
      </c>
      <c r="H354" s="9" t="s">
        <v>64</v>
      </c>
      <c r="I354" s="9"/>
      <c r="J354" s="9"/>
      <c r="K354" s="9"/>
      <c r="L354" s="9"/>
      <c r="M354" s="9" t="s">
        <v>4446</v>
      </c>
      <c r="N354" s="9"/>
      <c r="O354" s="9" t="s">
        <v>4447</v>
      </c>
      <c r="P354" s="9" t="str">
        <f>HYPERLINK("https://ceds.ed.gov/cedselementdetails.aspx?termid=13827")</f>
        <v>https://ceds.ed.gov/cedselementdetails.aspx?termid=13827</v>
      </c>
      <c r="Q354" s="9" t="str">
        <f>HYPERLINK("https://ceds.ed.gov/elementComment.aspx?elementName=Organization Identification System &amp;elementID=13827", "Click here to submit comment")</f>
        <v>Click here to submit comment</v>
      </c>
    </row>
    <row r="355" spans="1:17" ht="60" x14ac:dyDescent="0.25">
      <c r="A355" s="18" t="s">
        <v>6739</v>
      </c>
      <c r="B355" s="18" t="s">
        <v>6740</v>
      </c>
      <c r="C355" s="18" t="s">
        <v>6769</v>
      </c>
      <c r="D355" s="18" t="s">
        <v>6742</v>
      </c>
      <c r="E355" s="18" t="s">
        <v>5162</v>
      </c>
      <c r="F355" s="18" t="s">
        <v>5163</v>
      </c>
      <c r="G355" s="18" t="s">
        <v>12</v>
      </c>
      <c r="H355" s="18"/>
      <c r="I355" s="18"/>
      <c r="J355" s="18" t="s">
        <v>119</v>
      </c>
      <c r="K355" s="18"/>
      <c r="L355" s="9" t="s">
        <v>5164</v>
      </c>
      <c r="M355" s="18" t="s">
        <v>5165</v>
      </c>
      <c r="N355" s="18"/>
      <c r="O355" s="18" t="s">
        <v>5166</v>
      </c>
      <c r="P355" s="18" t="str">
        <f>HYPERLINK("https://ceds.ed.gov/cedselementdetails.aspx?termid=14438")</f>
        <v>https://ceds.ed.gov/cedselementdetails.aspx?termid=14438</v>
      </c>
      <c r="Q355" s="18" t="str">
        <f>HYPERLINK("https://ceds.ed.gov/elementComment.aspx?elementName=Responsible Organization Identifier &amp;elementID=14438", "Click here to submit comment")</f>
        <v>Click here to submit comment</v>
      </c>
    </row>
    <row r="356" spans="1:17" x14ac:dyDescent="0.25">
      <c r="A356" s="18"/>
      <c r="B356" s="18"/>
      <c r="C356" s="18"/>
      <c r="D356" s="18"/>
      <c r="E356" s="18"/>
      <c r="F356" s="18"/>
      <c r="G356" s="18"/>
      <c r="H356" s="18"/>
      <c r="I356" s="18"/>
      <c r="J356" s="18"/>
      <c r="K356" s="18"/>
      <c r="L356" s="9"/>
      <c r="M356" s="18"/>
      <c r="N356" s="18"/>
      <c r="O356" s="18"/>
      <c r="P356" s="18"/>
      <c r="Q356" s="18"/>
    </row>
    <row r="357" spans="1:17" ht="105" x14ac:dyDescent="0.25">
      <c r="A357" s="18"/>
      <c r="B357" s="18"/>
      <c r="C357" s="18"/>
      <c r="D357" s="18"/>
      <c r="E357" s="18"/>
      <c r="F357" s="18"/>
      <c r="G357" s="18"/>
      <c r="H357" s="18"/>
      <c r="I357" s="18"/>
      <c r="J357" s="18"/>
      <c r="K357" s="18"/>
      <c r="L357" s="9" t="s">
        <v>120</v>
      </c>
      <c r="M357" s="18"/>
      <c r="N357" s="18"/>
      <c r="O357" s="18"/>
      <c r="P357" s="18"/>
      <c r="Q357" s="18"/>
    </row>
    <row r="358" spans="1:17" x14ac:dyDescent="0.25">
      <c r="A358" s="18"/>
      <c r="B358" s="18"/>
      <c r="C358" s="18"/>
      <c r="D358" s="18"/>
      <c r="E358" s="18"/>
      <c r="F358" s="18"/>
      <c r="G358" s="18"/>
      <c r="H358" s="18"/>
      <c r="I358" s="18"/>
      <c r="J358" s="18"/>
      <c r="K358" s="18"/>
      <c r="L358" s="9"/>
      <c r="M358" s="18"/>
      <c r="N358" s="18"/>
      <c r="O358" s="18"/>
      <c r="P358" s="18"/>
      <c r="Q358" s="18"/>
    </row>
    <row r="359" spans="1:17" ht="90" x14ac:dyDescent="0.25">
      <c r="A359" s="18"/>
      <c r="B359" s="18"/>
      <c r="C359" s="18"/>
      <c r="D359" s="18"/>
      <c r="E359" s="18"/>
      <c r="F359" s="18"/>
      <c r="G359" s="18"/>
      <c r="H359" s="18"/>
      <c r="I359" s="18"/>
      <c r="J359" s="18"/>
      <c r="K359" s="18"/>
      <c r="L359" s="9" t="s">
        <v>121</v>
      </c>
      <c r="M359" s="18"/>
      <c r="N359" s="18"/>
      <c r="O359" s="18"/>
      <c r="P359" s="18"/>
      <c r="Q359" s="18"/>
    </row>
    <row r="360" spans="1:17" ht="120" x14ac:dyDescent="0.25">
      <c r="A360" s="9" t="s">
        <v>6739</v>
      </c>
      <c r="B360" s="9" t="s">
        <v>6740</v>
      </c>
      <c r="C360" s="9" t="s">
        <v>6769</v>
      </c>
      <c r="D360" s="9" t="s">
        <v>6742</v>
      </c>
      <c r="E360" s="9" t="s">
        <v>5168</v>
      </c>
      <c r="F360" s="9" t="s">
        <v>5169</v>
      </c>
      <c r="G360" s="10" t="s">
        <v>6681</v>
      </c>
      <c r="H360" s="9"/>
      <c r="I360" s="9"/>
      <c r="J360" s="9"/>
      <c r="K360" s="9"/>
      <c r="L360" s="9" t="s">
        <v>5164</v>
      </c>
      <c r="M360" s="9" t="s">
        <v>5170</v>
      </c>
      <c r="N360" s="9"/>
      <c r="O360" s="9" t="s">
        <v>5171</v>
      </c>
      <c r="P360" s="9" t="str">
        <f>HYPERLINK("https://ceds.ed.gov/cedselementdetails.aspx?termid=14439")</f>
        <v>https://ceds.ed.gov/cedselementdetails.aspx?termid=14439</v>
      </c>
      <c r="Q360" s="9" t="str">
        <f>HYPERLINK("https://ceds.ed.gov/elementComment.aspx?elementName=Responsible Organization Type &amp;elementID=14439", "Click here to submit comment")</f>
        <v>Click here to submit comment</v>
      </c>
    </row>
    <row r="361" spans="1:17" ht="105" x14ac:dyDescent="0.25">
      <c r="A361" s="18" t="s">
        <v>6739</v>
      </c>
      <c r="B361" s="18" t="s">
        <v>6740</v>
      </c>
      <c r="C361" s="18" t="s">
        <v>6769</v>
      </c>
      <c r="D361" s="18" t="s">
        <v>6742</v>
      </c>
      <c r="E361" s="18" t="s">
        <v>4913</v>
      </c>
      <c r="F361" s="18" t="s">
        <v>4914</v>
      </c>
      <c r="G361" s="18" t="s">
        <v>12</v>
      </c>
      <c r="H361" s="18" t="s">
        <v>1963</v>
      </c>
      <c r="I361" s="18"/>
      <c r="J361" s="18" t="s">
        <v>119</v>
      </c>
      <c r="K361" s="18"/>
      <c r="L361" s="9" t="s">
        <v>120</v>
      </c>
      <c r="M361" s="18" t="s">
        <v>4915</v>
      </c>
      <c r="N361" s="18"/>
      <c r="O361" s="18" t="s">
        <v>4916</v>
      </c>
      <c r="P361" s="18" t="str">
        <f>HYPERLINK("https://ceds.ed.gov/cedselementdetails.aspx?termid=13618")</f>
        <v>https://ceds.ed.gov/cedselementdetails.aspx?termid=13618</v>
      </c>
      <c r="Q361" s="18" t="str">
        <f>HYPERLINK("https://ceds.ed.gov/elementComment.aspx?elementName=Program Identifier &amp;elementID=13618", "Click here to submit comment")</f>
        <v>Click here to submit comment</v>
      </c>
    </row>
    <row r="362" spans="1:17" x14ac:dyDescent="0.25">
      <c r="A362" s="18"/>
      <c r="B362" s="18"/>
      <c r="C362" s="18"/>
      <c r="D362" s="18"/>
      <c r="E362" s="18"/>
      <c r="F362" s="18"/>
      <c r="G362" s="18"/>
      <c r="H362" s="18"/>
      <c r="I362" s="18"/>
      <c r="J362" s="18"/>
      <c r="K362" s="18"/>
      <c r="L362" s="9"/>
      <c r="M362" s="18"/>
      <c r="N362" s="18"/>
      <c r="O362" s="18"/>
      <c r="P362" s="18"/>
      <c r="Q362" s="18"/>
    </row>
    <row r="363" spans="1:17" ht="90" x14ac:dyDescent="0.25">
      <c r="A363" s="18"/>
      <c r="B363" s="18"/>
      <c r="C363" s="18"/>
      <c r="D363" s="18"/>
      <c r="E363" s="18"/>
      <c r="F363" s="18"/>
      <c r="G363" s="18"/>
      <c r="H363" s="18"/>
      <c r="I363" s="18"/>
      <c r="J363" s="18"/>
      <c r="K363" s="18"/>
      <c r="L363" s="9" t="s">
        <v>121</v>
      </c>
      <c r="M363" s="18"/>
      <c r="N363" s="18"/>
      <c r="O363" s="18"/>
      <c r="P363" s="18"/>
      <c r="Q363" s="18"/>
    </row>
    <row r="364" spans="1:17" ht="60" x14ac:dyDescent="0.25">
      <c r="A364" s="9" t="s">
        <v>6739</v>
      </c>
      <c r="B364" s="9" t="s">
        <v>6740</v>
      </c>
      <c r="C364" s="9" t="s">
        <v>6769</v>
      </c>
      <c r="D364" s="9" t="s">
        <v>6742</v>
      </c>
      <c r="E364" s="9" t="s">
        <v>4929</v>
      </c>
      <c r="F364" s="9" t="s">
        <v>4930</v>
      </c>
      <c r="G364" s="9" t="s">
        <v>12</v>
      </c>
      <c r="H364" s="9" t="s">
        <v>1963</v>
      </c>
      <c r="I364" s="9"/>
      <c r="J364" s="9" t="s">
        <v>92</v>
      </c>
      <c r="K364" s="9"/>
      <c r="L364" s="9"/>
      <c r="M364" s="9" t="s">
        <v>4931</v>
      </c>
      <c r="N364" s="9"/>
      <c r="O364" s="9" t="s">
        <v>4932</v>
      </c>
      <c r="P364" s="9" t="str">
        <f>HYPERLINK("https://ceds.ed.gov/cedselementdetails.aspx?termid=13619")</f>
        <v>https://ceds.ed.gov/cedselementdetails.aspx?termid=13619</v>
      </c>
      <c r="Q364" s="9" t="str">
        <f>HYPERLINK("https://ceds.ed.gov/elementComment.aspx?elementName=Program Name &amp;elementID=13619", "Click here to submit comment")</f>
        <v>Click here to submit comment</v>
      </c>
    </row>
    <row r="365" spans="1:17" ht="45" x14ac:dyDescent="0.25">
      <c r="A365" s="9" t="s">
        <v>6739</v>
      </c>
      <c r="B365" s="9" t="s">
        <v>6771</v>
      </c>
      <c r="C365" s="9"/>
      <c r="D365" s="9" t="s">
        <v>6742</v>
      </c>
      <c r="E365" s="9" t="s">
        <v>3341</v>
      </c>
      <c r="F365" s="9" t="s">
        <v>3342</v>
      </c>
      <c r="G365" s="9" t="s">
        <v>6106</v>
      </c>
      <c r="H365" s="9"/>
      <c r="I365" s="9"/>
      <c r="J365" s="9"/>
      <c r="K365" s="9"/>
      <c r="L365" s="9"/>
      <c r="M365" s="9" t="s">
        <v>3343</v>
      </c>
      <c r="N365" s="9"/>
      <c r="O365" s="9" t="s">
        <v>3344</v>
      </c>
      <c r="P365" s="9" t="str">
        <f>HYPERLINK("https://ceds.ed.gov/cedselementdetails.aspx?termid=14591")</f>
        <v>https://ceds.ed.gov/cedselementdetails.aspx?termid=14591</v>
      </c>
      <c r="Q365" s="9" t="str">
        <f>HYPERLINK("https://ceds.ed.gov/elementComment.aspx?elementName=Included in Counted Family Size &amp;elementID=14591", "Click here to submit comment")</f>
        <v>Click here to submit comment</v>
      </c>
    </row>
    <row r="366" spans="1:17" ht="195" x14ac:dyDescent="0.25">
      <c r="A366" s="9" t="s">
        <v>6739</v>
      </c>
      <c r="B366" s="9" t="s">
        <v>6771</v>
      </c>
      <c r="C366" s="9" t="s">
        <v>6741</v>
      </c>
      <c r="D366" s="9" t="s">
        <v>6742</v>
      </c>
      <c r="E366" s="9" t="s">
        <v>2935</v>
      </c>
      <c r="F366" s="9" t="s">
        <v>2936</v>
      </c>
      <c r="G366" s="9" t="s">
        <v>12</v>
      </c>
      <c r="H366" s="9" t="s">
        <v>6211</v>
      </c>
      <c r="I366" s="9"/>
      <c r="J366" s="9" t="s">
        <v>1310</v>
      </c>
      <c r="K366" s="9"/>
      <c r="L366" s="9" t="s">
        <v>2937</v>
      </c>
      <c r="M366" s="9" t="s">
        <v>2938</v>
      </c>
      <c r="N366" s="9"/>
      <c r="O366" s="9" t="s">
        <v>2939</v>
      </c>
      <c r="P366" s="9" t="str">
        <f>HYPERLINK("https://ceds.ed.gov/cedselementdetails.aspx?termid=13115")</f>
        <v>https://ceds.ed.gov/cedselementdetails.aspx?termid=13115</v>
      </c>
      <c r="Q366" s="9" t="str">
        <f>HYPERLINK("https://ceds.ed.gov/elementComment.aspx?elementName=First Name &amp;elementID=13115", "Click here to submit comment")</f>
        <v>Click here to submit comment</v>
      </c>
    </row>
    <row r="367" spans="1:17" ht="90" customHeight="1" x14ac:dyDescent="0.25">
      <c r="A367" s="18" t="s">
        <v>6739</v>
      </c>
      <c r="B367" s="18" t="s">
        <v>6771</v>
      </c>
      <c r="C367" s="18" t="s">
        <v>6741</v>
      </c>
      <c r="D367" s="18" t="s">
        <v>6742</v>
      </c>
      <c r="E367" s="18" t="s">
        <v>4183</v>
      </c>
      <c r="F367" s="18" t="s">
        <v>4184</v>
      </c>
      <c r="G367" s="18" t="s">
        <v>12</v>
      </c>
      <c r="H367" s="18" t="s">
        <v>6211</v>
      </c>
      <c r="I367" s="18"/>
      <c r="J367" s="18" t="s">
        <v>1310</v>
      </c>
      <c r="K367" s="18"/>
      <c r="L367" s="9" t="s">
        <v>2996</v>
      </c>
      <c r="M367" s="18" t="s">
        <v>4185</v>
      </c>
      <c r="N367" s="18"/>
      <c r="O367" s="18" t="s">
        <v>4186</v>
      </c>
      <c r="P367" s="18" t="str">
        <f>HYPERLINK("https://ceds.ed.gov/cedselementdetails.aspx?termid=13184")</f>
        <v>https://ceds.ed.gov/cedselementdetails.aspx?termid=13184</v>
      </c>
      <c r="Q367" s="18" t="str">
        <f>HYPERLINK("https://ceds.ed.gov/elementComment.aspx?elementName=Middle Name &amp;elementID=13184", "Click here to submit comment")</f>
        <v>Click here to submit comment</v>
      </c>
    </row>
    <row r="368" spans="1:17" ht="90" x14ac:dyDescent="0.25">
      <c r="A368" s="18"/>
      <c r="B368" s="18"/>
      <c r="C368" s="18"/>
      <c r="D368" s="18"/>
      <c r="E368" s="18"/>
      <c r="F368" s="18"/>
      <c r="G368" s="18"/>
      <c r="H368" s="18"/>
      <c r="I368" s="18"/>
      <c r="J368" s="18"/>
      <c r="K368" s="18"/>
      <c r="L368" s="9" t="s">
        <v>2997</v>
      </c>
      <c r="M368" s="18"/>
      <c r="N368" s="18"/>
      <c r="O368" s="18"/>
      <c r="P368" s="18"/>
      <c r="Q368" s="18"/>
    </row>
    <row r="369" spans="1:17" ht="90" customHeight="1" x14ac:dyDescent="0.25">
      <c r="A369" s="18" t="s">
        <v>6739</v>
      </c>
      <c r="B369" s="18" t="s">
        <v>6771</v>
      </c>
      <c r="C369" s="18" t="s">
        <v>6741</v>
      </c>
      <c r="D369" s="18" t="s">
        <v>6742</v>
      </c>
      <c r="E369" s="18" t="s">
        <v>3597</v>
      </c>
      <c r="F369" s="18" t="s">
        <v>3598</v>
      </c>
      <c r="G369" s="18" t="s">
        <v>12</v>
      </c>
      <c r="H369" s="18" t="s">
        <v>6211</v>
      </c>
      <c r="I369" s="18"/>
      <c r="J369" s="18" t="s">
        <v>1310</v>
      </c>
      <c r="K369" s="18"/>
      <c r="L369" s="9" t="s">
        <v>2996</v>
      </c>
      <c r="M369" s="18" t="s">
        <v>3599</v>
      </c>
      <c r="N369" s="18" t="s">
        <v>3600</v>
      </c>
      <c r="O369" s="18" t="s">
        <v>3601</v>
      </c>
      <c r="P369" s="18" t="str">
        <f>HYPERLINK("https://ceds.ed.gov/cedselementdetails.aspx?termid=13172")</f>
        <v>https://ceds.ed.gov/cedselementdetails.aspx?termid=13172</v>
      </c>
      <c r="Q369" s="18" t="str">
        <f>HYPERLINK("https://ceds.ed.gov/elementComment.aspx?elementName=Last or Surname &amp;elementID=13172", "Click here to submit comment")</f>
        <v>Click here to submit comment</v>
      </c>
    </row>
    <row r="370" spans="1:17" ht="90" x14ac:dyDescent="0.25">
      <c r="A370" s="18"/>
      <c r="B370" s="18"/>
      <c r="C370" s="18"/>
      <c r="D370" s="18"/>
      <c r="E370" s="18"/>
      <c r="F370" s="18"/>
      <c r="G370" s="18"/>
      <c r="H370" s="18"/>
      <c r="I370" s="18"/>
      <c r="J370" s="18"/>
      <c r="K370" s="18"/>
      <c r="L370" s="9" t="s">
        <v>2997</v>
      </c>
      <c r="M370" s="18"/>
      <c r="N370" s="18"/>
      <c r="O370" s="18"/>
      <c r="P370" s="18"/>
      <c r="Q370" s="18"/>
    </row>
    <row r="371" spans="1:17" ht="45" customHeight="1" x14ac:dyDescent="0.25">
      <c r="A371" s="18" t="s">
        <v>6739</v>
      </c>
      <c r="B371" s="18" t="s">
        <v>6771</v>
      </c>
      <c r="C371" s="18" t="s">
        <v>6741</v>
      </c>
      <c r="D371" s="18" t="s">
        <v>6742</v>
      </c>
      <c r="E371" s="18" t="s">
        <v>2994</v>
      </c>
      <c r="F371" s="18" t="s">
        <v>2995</v>
      </c>
      <c r="G371" s="18" t="s">
        <v>12</v>
      </c>
      <c r="H371" s="18" t="s">
        <v>6212</v>
      </c>
      <c r="I371" s="18"/>
      <c r="J371" s="18" t="s">
        <v>2088</v>
      </c>
      <c r="K371" s="18"/>
      <c r="L371" s="9" t="s">
        <v>2996</v>
      </c>
      <c r="M371" s="18" t="s">
        <v>2998</v>
      </c>
      <c r="N371" s="18"/>
      <c r="O371" s="18" t="s">
        <v>2999</v>
      </c>
      <c r="P371" s="18" t="str">
        <f>HYPERLINK("https://ceds.ed.gov/cedselementdetails.aspx?termid=13121")</f>
        <v>https://ceds.ed.gov/cedselementdetails.aspx?termid=13121</v>
      </c>
      <c r="Q371" s="18" t="str">
        <f>HYPERLINK("https://ceds.ed.gov/elementComment.aspx?elementName=Generation Code or Suffix &amp;elementID=13121", "Click here to submit comment")</f>
        <v>Click here to submit comment</v>
      </c>
    </row>
    <row r="372" spans="1:17" ht="90" x14ac:dyDescent="0.25">
      <c r="A372" s="18"/>
      <c r="B372" s="18"/>
      <c r="C372" s="18"/>
      <c r="D372" s="18"/>
      <c r="E372" s="18"/>
      <c r="F372" s="18"/>
      <c r="G372" s="18"/>
      <c r="H372" s="18"/>
      <c r="I372" s="18"/>
      <c r="J372" s="18"/>
      <c r="K372" s="18"/>
      <c r="L372" s="9" t="s">
        <v>2997</v>
      </c>
      <c r="M372" s="18"/>
      <c r="N372" s="18"/>
      <c r="O372" s="18"/>
      <c r="P372" s="18"/>
      <c r="Q372" s="18"/>
    </row>
    <row r="373" spans="1:17" ht="105" x14ac:dyDescent="0.25">
      <c r="A373" s="9" t="s">
        <v>6739</v>
      </c>
      <c r="B373" s="9" t="s">
        <v>6771</v>
      </c>
      <c r="C373" s="9" t="s">
        <v>6741</v>
      </c>
      <c r="D373" s="9" t="s">
        <v>6742</v>
      </c>
      <c r="E373" s="9" t="s">
        <v>4610</v>
      </c>
      <c r="F373" s="9" t="s">
        <v>4611</v>
      </c>
      <c r="G373" s="9" t="s">
        <v>12</v>
      </c>
      <c r="H373" s="9" t="s">
        <v>6255</v>
      </c>
      <c r="I373" s="9"/>
      <c r="J373" s="9" t="s">
        <v>87</v>
      </c>
      <c r="K373" s="9"/>
      <c r="L373" s="9"/>
      <c r="M373" s="9" t="s">
        <v>4612</v>
      </c>
      <c r="N373" s="9" t="s">
        <v>4613</v>
      </c>
      <c r="O373" s="9" t="s">
        <v>4614</v>
      </c>
      <c r="P373" s="9" t="str">
        <f>HYPERLINK("https://ceds.ed.gov/cedselementdetails.aspx?termid=13212")</f>
        <v>https://ceds.ed.gov/cedselementdetails.aspx?termid=13212</v>
      </c>
      <c r="Q373" s="9" t="str">
        <f>HYPERLINK("https://ceds.ed.gov/elementComment.aspx?elementName=Personal Title or Prefix &amp;elementID=13212", "Click here to submit comment")</f>
        <v>Click here to submit comment</v>
      </c>
    </row>
    <row r="374" spans="1:17" ht="165" x14ac:dyDescent="0.25">
      <c r="A374" s="9" t="s">
        <v>6739</v>
      </c>
      <c r="B374" s="9" t="s">
        <v>6771</v>
      </c>
      <c r="C374" s="9" t="s">
        <v>6743</v>
      </c>
      <c r="D374" s="9" t="s">
        <v>6742</v>
      </c>
      <c r="E374" s="9" t="s">
        <v>4500</v>
      </c>
      <c r="F374" s="9" t="s">
        <v>4501</v>
      </c>
      <c r="G374" s="10" t="s">
        <v>6630</v>
      </c>
      <c r="H374" s="9" t="s">
        <v>6251</v>
      </c>
      <c r="I374" s="9"/>
      <c r="J374" s="9" t="s">
        <v>87</v>
      </c>
      <c r="K374" s="9"/>
      <c r="L374" s="9"/>
      <c r="M374" s="9" t="s">
        <v>4502</v>
      </c>
      <c r="N374" s="9"/>
      <c r="O374" s="9" t="s">
        <v>4503</v>
      </c>
      <c r="P374" s="9" t="str">
        <f>HYPERLINK("https://ceds.ed.gov/cedselementdetails.aspx?termid=13627")</f>
        <v>https://ceds.ed.gov/cedselementdetails.aspx?termid=13627</v>
      </c>
      <c r="Q374" s="9" t="str">
        <f>HYPERLINK("https://ceds.ed.gov/elementComment.aspx?elementName=Other Name Type &amp;elementID=13627", "Click here to submit comment")</f>
        <v>Click here to submit comment</v>
      </c>
    </row>
    <row r="375" spans="1:17" ht="45" x14ac:dyDescent="0.25">
      <c r="A375" s="9" t="s">
        <v>6739</v>
      </c>
      <c r="B375" s="9" t="s">
        <v>6771</v>
      </c>
      <c r="C375" s="9" t="s">
        <v>6743</v>
      </c>
      <c r="D375" s="9" t="s">
        <v>6742</v>
      </c>
      <c r="E375" s="9" t="s">
        <v>4481</v>
      </c>
      <c r="F375" s="9" t="s">
        <v>4482</v>
      </c>
      <c r="G375" s="9" t="s">
        <v>12</v>
      </c>
      <c r="H375" s="9"/>
      <c r="I375" s="9"/>
      <c r="J375" s="9" t="s">
        <v>1310</v>
      </c>
      <c r="K375" s="9"/>
      <c r="L375" s="9" t="s">
        <v>4483</v>
      </c>
      <c r="M375" s="9" t="s">
        <v>4484</v>
      </c>
      <c r="N375" s="9"/>
      <c r="O375" s="9" t="s">
        <v>4485</v>
      </c>
      <c r="P375" s="9" t="str">
        <f>HYPERLINK("https://ceds.ed.gov/cedselementdetails.aspx?termid=14486")</f>
        <v>https://ceds.ed.gov/cedselementdetails.aspx?termid=14486</v>
      </c>
      <c r="Q375" s="9" t="str">
        <f>HYPERLINK("https://ceds.ed.gov/elementComment.aspx?elementName=Other First Name &amp;elementID=14486", "Click here to submit comment")</f>
        <v>Click here to submit comment</v>
      </c>
    </row>
    <row r="376" spans="1:17" ht="45" x14ac:dyDescent="0.25">
      <c r="A376" s="9" t="s">
        <v>6739</v>
      </c>
      <c r="B376" s="9" t="s">
        <v>6771</v>
      </c>
      <c r="C376" s="9" t="s">
        <v>6743</v>
      </c>
      <c r="D376" s="9" t="s">
        <v>6742</v>
      </c>
      <c r="E376" s="9" t="s">
        <v>4491</v>
      </c>
      <c r="F376" s="9" t="s">
        <v>4492</v>
      </c>
      <c r="G376" s="9" t="s">
        <v>12</v>
      </c>
      <c r="H376" s="9"/>
      <c r="I376" s="9"/>
      <c r="J376" s="9" t="s">
        <v>1310</v>
      </c>
      <c r="K376" s="9"/>
      <c r="L376" s="9" t="s">
        <v>4493</v>
      </c>
      <c r="M376" s="9" t="s">
        <v>4494</v>
      </c>
      <c r="N376" s="9"/>
      <c r="O376" s="9" t="s">
        <v>4495</v>
      </c>
      <c r="P376" s="9" t="str">
        <f>HYPERLINK("https://ceds.ed.gov/cedselementdetails.aspx?termid=14487")</f>
        <v>https://ceds.ed.gov/cedselementdetails.aspx?termid=14487</v>
      </c>
      <c r="Q376" s="9" t="str">
        <f>HYPERLINK("https://ceds.ed.gov/elementComment.aspx?elementName=Other Middle Name &amp;elementID=14487", "Click here to submit comment")</f>
        <v>Click here to submit comment</v>
      </c>
    </row>
    <row r="377" spans="1:17" ht="45" x14ac:dyDescent="0.25">
      <c r="A377" s="9" t="s">
        <v>6739</v>
      </c>
      <c r="B377" s="9" t="s">
        <v>6771</v>
      </c>
      <c r="C377" s="9" t="s">
        <v>6743</v>
      </c>
      <c r="D377" s="9" t="s">
        <v>6742</v>
      </c>
      <c r="E377" s="9" t="s">
        <v>4486</v>
      </c>
      <c r="F377" s="9" t="s">
        <v>4487</v>
      </c>
      <c r="G377" s="9" t="s">
        <v>12</v>
      </c>
      <c r="H377" s="9"/>
      <c r="I377" s="9"/>
      <c r="J377" s="9" t="s">
        <v>1310</v>
      </c>
      <c r="K377" s="9"/>
      <c r="L377" s="9" t="s">
        <v>4488</v>
      </c>
      <c r="M377" s="9" t="s">
        <v>4489</v>
      </c>
      <c r="N377" s="9"/>
      <c r="O377" s="9" t="s">
        <v>4490</v>
      </c>
      <c r="P377" s="9" t="str">
        <f>HYPERLINK("https://ceds.ed.gov/cedselementdetails.aspx?termid=14485")</f>
        <v>https://ceds.ed.gov/cedselementdetails.aspx?termid=14485</v>
      </c>
      <c r="Q377" s="9" t="str">
        <f>HYPERLINK("https://ceds.ed.gov/elementComment.aspx?elementName=Other Last Name &amp;elementID=14485", "Click here to submit comment")</f>
        <v>Click here to submit comment</v>
      </c>
    </row>
    <row r="378" spans="1:17" ht="150" x14ac:dyDescent="0.25">
      <c r="A378" s="9" t="s">
        <v>6739</v>
      </c>
      <c r="B378" s="9" t="s">
        <v>6771</v>
      </c>
      <c r="C378" s="9" t="s">
        <v>6743</v>
      </c>
      <c r="D378" s="9" t="s">
        <v>6742</v>
      </c>
      <c r="E378" s="9" t="s">
        <v>4496</v>
      </c>
      <c r="F378" s="9" t="s">
        <v>4497</v>
      </c>
      <c r="G378" s="9" t="s">
        <v>12</v>
      </c>
      <c r="H378" s="9" t="s">
        <v>6212</v>
      </c>
      <c r="I378" s="9"/>
      <c r="J378" s="9" t="s">
        <v>119</v>
      </c>
      <c r="K378" s="9"/>
      <c r="L378" s="9"/>
      <c r="M378" s="9" t="s">
        <v>4498</v>
      </c>
      <c r="N378" s="9"/>
      <c r="O378" s="9" t="s">
        <v>4499</v>
      </c>
      <c r="P378" s="9" t="str">
        <f>HYPERLINK("https://ceds.ed.gov/cedselementdetails.aspx?termid=13206")</f>
        <v>https://ceds.ed.gov/cedselementdetails.aspx?termid=13206</v>
      </c>
      <c r="Q378" s="9" t="str">
        <f>HYPERLINK("https://ceds.ed.gov/elementComment.aspx?elementName=Other Name &amp;elementID=13206", "Click here to submit comment")</f>
        <v>Click here to submit comment</v>
      </c>
    </row>
    <row r="379" spans="1:17" ht="105" x14ac:dyDescent="0.25">
      <c r="A379" s="18" t="s">
        <v>6739</v>
      </c>
      <c r="B379" s="18" t="s">
        <v>6771</v>
      </c>
      <c r="C379" s="18" t="s">
        <v>6744</v>
      </c>
      <c r="D379" s="18" t="s">
        <v>6742</v>
      </c>
      <c r="E379" s="18" t="s">
        <v>4587</v>
      </c>
      <c r="F379" s="18" t="s">
        <v>4588</v>
      </c>
      <c r="G379" s="18" t="s">
        <v>12</v>
      </c>
      <c r="H379" s="18"/>
      <c r="I379" s="18"/>
      <c r="J379" s="18" t="s">
        <v>119</v>
      </c>
      <c r="K379" s="18"/>
      <c r="L379" s="9" t="s">
        <v>120</v>
      </c>
      <c r="M379" s="18" t="s">
        <v>4589</v>
      </c>
      <c r="N379" s="18"/>
      <c r="O379" s="18" t="s">
        <v>4590</v>
      </c>
      <c r="P379" s="18" t="str">
        <f>HYPERLINK("https://ceds.ed.gov/cedselementdetails.aspx?termid=14551")</f>
        <v>https://ceds.ed.gov/cedselementdetails.aspx?termid=14551</v>
      </c>
      <c r="Q379" s="18" t="str">
        <f>HYPERLINK("https://ceds.ed.gov/elementComment.aspx?elementName=Person Identifier &amp;elementID=14551", "Click here to submit comment")</f>
        <v>Click here to submit comment</v>
      </c>
    </row>
    <row r="380" spans="1:17" x14ac:dyDescent="0.25">
      <c r="A380" s="18"/>
      <c r="B380" s="18"/>
      <c r="C380" s="18"/>
      <c r="D380" s="18"/>
      <c r="E380" s="18"/>
      <c r="F380" s="18"/>
      <c r="G380" s="18"/>
      <c r="H380" s="18"/>
      <c r="I380" s="18"/>
      <c r="J380" s="18"/>
      <c r="K380" s="18"/>
      <c r="L380" s="9"/>
      <c r="M380" s="18"/>
      <c r="N380" s="18"/>
      <c r="O380" s="18"/>
      <c r="P380" s="18"/>
      <c r="Q380" s="18"/>
    </row>
    <row r="381" spans="1:17" ht="90" x14ac:dyDescent="0.25">
      <c r="A381" s="18"/>
      <c r="B381" s="18"/>
      <c r="C381" s="18"/>
      <c r="D381" s="18"/>
      <c r="E381" s="18"/>
      <c r="F381" s="18"/>
      <c r="G381" s="18"/>
      <c r="H381" s="18"/>
      <c r="I381" s="18"/>
      <c r="J381" s="18"/>
      <c r="K381" s="18"/>
      <c r="L381" s="9" t="s">
        <v>121</v>
      </c>
      <c r="M381" s="18"/>
      <c r="N381" s="18"/>
      <c r="O381" s="18"/>
      <c r="P381" s="18"/>
      <c r="Q381" s="18"/>
    </row>
    <row r="382" spans="1:17" ht="375" x14ac:dyDescent="0.25">
      <c r="A382" s="9" t="s">
        <v>6739</v>
      </c>
      <c r="B382" s="9" t="s">
        <v>6771</v>
      </c>
      <c r="C382" s="9" t="s">
        <v>6744</v>
      </c>
      <c r="D382" s="9" t="s">
        <v>6742</v>
      </c>
      <c r="E382" s="9" t="s">
        <v>4583</v>
      </c>
      <c r="F382" s="9" t="s">
        <v>4584</v>
      </c>
      <c r="G382" s="10" t="s">
        <v>6635</v>
      </c>
      <c r="H382" s="9"/>
      <c r="I382" s="9"/>
      <c r="J382" s="9"/>
      <c r="K382" s="9"/>
      <c r="L382" s="9"/>
      <c r="M382" s="9" t="s">
        <v>4585</v>
      </c>
      <c r="N382" s="9"/>
      <c r="O382" s="9" t="s">
        <v>4586</v>
      </c>
      <c r="P382" s="9" t="str">
        <f>HYPERLINK("https://ceds.ed.gov/cedselementdetails.aspx?termid=14550")</f>
        <v>https://ceds.ed.gov/cedselementdetails.aspx?termid=14550</v>
      </c>
      <c r="Q382" s="9" t="str">
        <f>HYPERLINK("https://ceds.ed.gov/elementComment.aspx?elementName=Person Identification System &amp;elementID=14550", "Click here to submit comment")</f>
        <v>Click here to submit comment</v>
      </c>
    </row>
    <row r="383" spans="1:17" ht="409.5" x14ac:dyDescent="0.25">
      <c r="A383" s="9" t="s">
        <v>6739</v>
      </c>
      <c r="B383" s="9" t="s">
        <v>6771</v>
      </c>
      <c r="C383" s="9" t="s">
        <v>6772</v>
      </c>
      <c r="D383" s="9" t="s">
        <v>6742</v>
      </c>
      <c r="E383" s="9" t="s">
        <v>4602</v>
      </c>
      <c r="F383" s="9" t="s">
        <v>4603</v>
      </c>
      <c r="G383" s="10" t="s">
        <v>6636</v>
      </c>
      <c r="H383" s="9" t="s">
        <v>1537</v>
      </c>
      <c r="I383" s="9"/>
      <c r="J383" s="9"/>
      <c r="K383" s="9"/>
      <c r="L383" s="9"/>
      <c r="M383" s="9" t="s">
        <v>4604</v>
      </c>
      <c r="N383" s="9"/>
      <c r="O383" s="9" t="s">
        <v>4605</v>
      </c>
      <c r="P383" s="9" t="str">
        <f>HYPERLINK("https://ceds.ed.gov/cedselementdetails.aspx?termid=13415")</f>
        <v>https://ceds.ed.gov/cedselementdetails.aspx?termid=13415</v>
      </c>
      <c r="Q383" s="9" t="str">
        <f>HYPERLINK("https://ceds.ed.gov/elementComment.aspx?elementName=Person Relationship to Learner Type &amp;elementID=13415", "Click here to submit comment")</f>
        <v>Click here to submit comment</v>
      </c>
    </row>
    <row r="384" spans="1:17" ht="90" x14ac:dyDescent="0.25">
      <c r="A384" s="9" t="s">
        <v>6739</v>
      </c>
      <c r="B384" s="9" t="s">
        <v>6771</v>
      </c>
      <c r="C384" s="9" t="s">
        <v>6772</v>
      </c>
      <c r="D384" s="9" t="s">
        <v>6742</v>
      </c>
      <c r="E384" s="9" t="s">
        <v>4701</v>
      </c>
      <c r="F384" s="9" t="s">
        <v>4702</v>
      </c>
      <c r="G384" s="9" t="s">
        <v>6106</v>
      </c>
      <c r="H384" s="9"/>
      <c r="I384" s="9"/>
      <c r="J384" s="9"/>
      <c r="K384" s="9"/>
      <c r="L384" s="9"/>
      <c r="M384" s="9" t="s">
        <v>4703</v>
      </c>
      <c r="N384" s="9"/>
      <c r="O384" s="9" t="s">
        <v>4704</v>
      </c>
      <c r="P384" s="9" t="str">
        <f>HYPERLINK("https://ceds.ed.gov/cedselementdetails.aspx?termid=14397")</f>
        <v>https://ceds.ed.gov/cedselementdetails.aspx?termid=14397</v>
      </c>
      <c r="Q384" s="9" t="str">
        <f>HYPERLINK("https://ceds.ed.gov/elementComment.aspx?elementName=Primary Contact Indicator &amp;elementID=14397", "Click here to submit comment")</f>
        <v>Click here to submit comment</v>
      </c>
    </row>
    <row r="385" spans="1:17" ht="165" x14ac:dyDescent="0.25">
      <c r="A385" s="9" t="s">
        <v>6739</v>
      </c>
      <c r="B385" s="9" t="s">
        <v>6771</v>
      </c>
      <c r="C385" s="9" t="s">
        <v>6772</v>
      </c>
      <c r="D385" s="9" t="s">
        <v>6742</v>
      </c>
      <c r="E385" s="9" t="s">
        <v>2168</v>
      </c>
      <c r="F385" s="9" t="s">
        <v>2169</v>
      </c>
      <c r="G385" s="10" t="s">
        <v>6439</v>
      </c>
      <c r="H385" s="9" t="s">
        <v>6124</v>
      </c>
      <c r="I385" s="9"/>
      <c r="J385" s="9"/>
      <c r="K385" s="9"/>
      <c r="L385" s="9"/>
      <c r="M385" s="9" t="s">
        <v>2171</v>
      </c>
      <c r="N385" s="9"/>
      <c r="O385" s="9" t="s">
        <v>2172</v>
      </c>
      <c r="P385" s="9" t="str">
        <f>HYPERLINK("https://ceds.ed.gov/cedselementdetails.aspx?termid=13328")</f>
        <v>https://ceds.ed.gov/cedselementdetails.aspx?termid=13328</v>
      </c>
      <c r="Q385" s="9" t="str">
        <f>HYPERLINK("https://ceds.ed.gov/elementComment.aspx?elementName=Custodial Parent or Guardian Indicator &amp;elementID=13328", "Click here to submit comment")</f>
        <v>Click here to submit comment</v>
      </c>
    </row>
    <row r="386" spans="1:17" ht="225" x14ac:dyDescent="0.25">
      <c r="A386" s="9" t="s">
        <v>6739</v>
      </c>
      <c r="B386" s="9" t="s">
        <v>6771</v>
      </c>
      <c r="C386" s="9" t="s">
        <v>6772</v>
      </c>
      <c r="D386" s="9" t="s">
        <v>6742</v>
      </c>
      <c r="E386" s="9" t="s">
        <v>1715</v>
      </c>
      <c r="F386" s="9" t="s">
        <v>1716</v>
      </c>
      <c r="G386" s="10" t="s">
        <v>6405</v>
      </c>
      <c r="H386" s="9" t="s">
        <v>6165</v>
      </c>
      <c r="I386" s="9"/>
      <c r="J386" s="9"/>
      <c r="K386" s="9"/>
      <c r="L386" s="9"/>
      <c r="M386" s="9" t="s">
        <v>1717</v>
      </c>
      <c r="N386" s="9"/>
      <c r="O386" s="9" t="s">
        <v>1718</v>
      </c>
      <c r="P386" s="9" t="str">
        <f>HYPERLINK("https://ceds.ed.gov/cedselementdetails.aspx?termid=13782")</f>
        <v>https://ceds.ed.gov/cedselementdetails.aspx?termid=13782</v>
      </c>
      <c r="Q386" s="9" t="str">
        <f>HYPERLINK("https://ceds.ed.gov/elementComment.aspx?elementName=Child Identification System &amp;elementID=13782", "Click here to submit comment")</f>
        <v>Click here to submit comment</v>
      </c>
    </row>
    <row r="387" spans="1:17" ht="45" x14ac:dyDescent="0.25">
      <c r="A387" s="9" t="s">
        <v>6739</v>
      </c>
      <c r="B387" s="9" t="s">
        <v>6771</v>
      </c>
      <c r="C387" s="9" t="s">
        <v>6772</v>
      </c>
      <c r="D387" s="9" t="s">
        <v>6742</v>
      </c>
      <c r="E387" s="9" t="s">
        <v>2606</v>
      </c>
      <c r="F387" s="9" t="s">
        <v>2607</v>
      </c>
      <c r="G387" s="9" t="s">
        <v>6106</v>
      </c>
      <c r="H387" s="9"/>
      <c r="I387" s="9"/>
      <c r="J387" s="9"/>
      <c r="K387" s="9"/>
      <c r="L387" s="9"/>
      <c r="M387" s="9" t="s">
        <v>2608</v>
      </c>
      <c r="N387" s="9"/>
      <c r="O387" s="9" t="s">
        <v>2609</v>
      </c>
      <c r="P387" s="9" t="str">
        <f>HYPERLINK("https://ceds.ed.gov/cedselementdetails.aspx?termid=14308")</f>
        <v>https://ceds.ed.gov/cedselementdetails.aspx?termid=14308</v>
      </c>
      <c r="Q387" s="9" t="str">
        <f>HYPERLINK("https://ceds.ed.gov/elementComment.aspx?elementName=Emergency Contact Indicator &amp;elementID=14308", "Click here to submit comment")</f>
        <v>Click here to submit comment</v>
      </c>
    </row>
    <row r="388" spans="1:17" ht="45" x14ac:dyDescent="0.25">
      <c r="A388" s="9" t="s">
        <v>6739</v>
      </c>
      <c r="B388" s="9" t="s">
        <v>6771</v>
      </c>
      <c r="C388" s="9" t="s">
        <v>6772</v>
      </c>
      <c r="D388" s="9" t="s">
        <v>6742</v>
      </c>
      <c r="E388" s="9" t="s">
        <v>4591</v>
      </c>
      <c r="F388" s="9" t="s">
        <v>4592</v>
      </c>
      <c r="G388" s="9" t="s">
        <v>12</v>
      </c>
      <c r="H388" s="9"/>
      <c r="I388" s="9"/>
      <c r="J388" s="9" t="s">
        <v>10489</v>
      </c>
      <c r="K388" s="9"/>
      <c r="L388" s="9"/>
      <c r="M388" s="9" t="s">
        <v>4593</v>
      </c>
      <c r="N388" s="9"/>
      <c r="O388" s="9" t="s">
        <v>4594</v>
      </c>
      <c r="P388" s="9" t="str">
        <f>HYPERLINK("https://ceds.ed.gov/cedselementdetails.aspx?termid=14392")</f>
        <v>https://ceds.ed.gov/cedselementdetails.aspx?termid=14392</v>
      </c>
      <c r="Q388" s="9" t="str">
        <f>HYPERLINK("https://ceds.ed.gov/elementComment.aspx?elementName=Person Relationship to Learner Contact Priority Number &amp;elementID=14392", "Click here to submit comment")</f>
        <v>Click here to submit comment</v>
      </c>
    </row>
    <row r="389" spans="1:17" ht="60" x14ac:dyDescent="0.25">
      <c r="A389" s="9" t="s">
        <v>6739</v>
      </c>
      <c r="B389" s="9" t="s">
        <v>6771</v>
      </c>
      <c r="C389" s="9" t="s">
        <v>6772</v>
      </c>
      <c r="D389" s="9" t="s">
        <v>6742</v>
      </c>
      <c r="E389" s="9" t="s">
        <v>4595</v>
      </c>
      <c r="F389" s="9" t="s">
        <v>4596</v>
      </c>
      <c r="G389" s="9" t="s">
        <v>12</v>
      </c>
      <c r="H389" s="9"/>
      <c r="I389" s="9"/>
      <c r="J389" s="9" t="s">
        <v>303</v>
      </c>
      <c r="K389" s="9"/>
      <c r="L389" s="9"/>
      <c r="M389" s="9" t="s">
        <v>4597</v>
      </c>
      <c r="N389" s="9"/>
      <c r="O389" s="9" t="s">
        <v>4598</v>
      </c>
      <c r="P389" s="9" t="str">
        <f>HYPERLINK("https://ceds.ed.gov/cedselementdetails.aspx?termid=14393")</f>
        <v>https://ceds.ed.gov/cedselementdetails.aspx?termid=14393</v>
      </c>
      <c r="Q389" s="9" t="str">
        <f>HYPERLINK("https://ceds.ed.gov/elementComment.aspx?elementName=Person Relationship to Learner Contact Restrictions Description &amp;elementID=14393", "Click here to submit comment")</f>
        <v>Click here to submit comment</v>
      </c>
    </row>
    <row r="390" spans="1:17" ht="45" x14ac:dyDescent="0.25">
      <c r="A390" s="9" t="s">
        <v>6739</v>
      </c>
      <c r="B390" s="9" t="s">
        <v>6771</v>
      </c>
      <c r="C390" s="9" t="s">
        <v>6772</v>
      </c>
      <c r="D390" s="9" t="s">
        <v>6742</v>
      </c>
      <c r="E390" s="9" t="s">
        <v>12217</v>
      </c>
      <c r="F390" s="9" t="s">
        <v>4599</v>
      </c>
      <c r="G390" s="9" t="s">
        <v>6106</v>
      </c>
      <c r="H390" s="9"/>
      <c r="I390" s="9"/>
      <c r="J390" s="9"/>
      <c r="K390" s="9"/>
      <c r="L390" s="9"/>
      <c r="M390" s="9" t="s">
        <v>4600</v>
      </c>
      <c r="N390" s="9"/>
      <c r="O390" s="9" t="s">
        <v>4601</v>
      </c>
      <c r="P390" s="9" t="str">
        <f>HYPERLINK("https://ceds.ed.gov/cedselementdetails.aspx?termid=14394")</f>
        <v>https://ceds.ed.gov/cedselementdetails.aspx?termid=14394</v>
      </c>
      <c r="Q390" s="9" t="str">
        <f>HYPERLINK("https://ceds.ed.gov/elementComment.aspx?elementName=Person Relationship to Learner Lives with Indicator &amp;elementID=14394", "Click here to submit comment")</f>
        <v>Click here to submit comment</v>
      </c>
    </row>
    <row r="391" spans="1:17" ht="45" x14ac:dyDescent="0.25">
      <c r="A391" s="9" t="s">
        <v>6739</v>
      </c>
      <c r="B391" s="9" t="s">
        <v>6771</v>
      </c>
      <c r="C391" s="9" t="s">
        <v>6772</v>
      </c>
      <c r="D391" s="9" t="s">
        <v>6742</v>
      </c>
      <c r="E391" s="9" t="s">
        <v>3341</v>
      </c>
      <c r="F391" s="9" t="s">
        <v>3342</v>
      </c>
      <c r="G391" s="9" t="s">
        <v>6106</v>
      </c>
      <c r="H391" s="9"/>
      <c r="I391" s="9"/>
      <c r="J391" s="9"/>
      <c r="K391" s="9"/>
      <c r="L391" s="9"/>
      <c r="M391" s="9" t="s">
        <v>3343</v>
      </c>
      <c r="N391" s="9"/>
      <c r="O391" s="9" t="s">
        <v>3344</v>
      </c>
      <c r="P391" s="9" t="str">
        <f>HYPERLINK("https://ceds.ed.gov/cedselementdetails.aspx?termid=14591")</f>
        <v>https://ceds.ed.gov/cedselementdetails.aspx?termid=14591</v>
      </c>
      <c r="Q391" s="9" t="str">
        <f>HYPERLINK("https://ceds.ed.gov/elementComment.aspx?elementName=Included in Counted Family Size &amp;elementID=14591", "Click here to submit comment")</f>
        <v>Click here to submit comment</v>
      </c>
    </row>
    <row r="392" spans="1:17" ht="210" x14ac:dyDescent="0.25">
      <c r="A392" s="9" t="s">
        <v>6739</v>
      </c>
      <c r="B392" s="9" t="s">
        <v>6771</v>
      </c>
      <c r="C392" s="9" t="s">
        <v>6745</v>
      </c>
      <c r="D392" s="9" t="s">
        <v>6742</v>
      </c>
      <c r="E392" s="9" t="s">
        <v>170</v>
      </c>
      <c r="F392" s="9" t="s">
        <v>171</v>
      </c>
      <c r="G392" s="10" t="s">
        <v>6319</v>
      </c>
      <c r="H392" s="9" t="s">
        <v>6115</v>
      </c>
      <c r="I392" s="9"/>
      <c r="J392" s="9" t="s">
        <v>87</v>
      </c>
      <c r="K392" s="9"/>
      <c r="L392" s="9"/>
      <c r="M392" s="9" t="s">
        <v>172</v>
      </c>
      <c r="N392" s="9"/>
      <c r="O392" s="9" t="s">
        <v>173</v>
      </c>
      <c r="P392" s="9" t="str">
        <f>HYPERLINK("https://ceds.ed.gov/cedselementdetails.aspx?termid=13358")</f>
        <v>https://ceds.ed.gov/cedselementdetails.aspx?termid=13358</v>
      </c>
      <c r="Q392" s="9" t="str">
        <f>HYPERLINK("https://ceds.ed.gov/elementComment.aspx?elementName=Address Type for Learner or Family &amp;elementID=13358", "Click here to submit comment")</f>
        <v>Click here to submit comment</v>
      </c>
    </row>
    <row r="393" spans="1:17" ht="225" x14ac:dyDescent="0.25">
      <c r="A393" s="9" t="s">
        <v>6739</v>
      </c>
      <c r="B393" s="9" t="s">
        <v>6771</v>
      </c>
      <c r="C393" s="9" t="s">
        <v>6745</v>
      </c>
      <c r="D393" s="9" t="s">
        <v>6742</v>
      </c>
      <c r="E393" s="9" t="s">
        <v>166</v>
      </c>
      <c r="F393" s="9" t="s">
        <v>167</v>
      </c>
      <c r="G393" s="9" t="s">
        <v>12</v>
      </c>
      <c r="H393" s="9" t="s">
        <v>6113</v>
      </c>
      <c r="I393" s="9"/>
      <c r="J393" s="9" t="s">
        <v>119</v>
      </c>
      <c r="K393" s="9"/>
      <c r="L393" s="9"/>
      <c r="M393" s="9" t="s">
        <v>168</v>
      </c>
      <c r="N393" s="9"/>
      <c r="O393" s="9" t="s">
        <v>169</v>
      </c>
      <c r="P393" s="9" t="str">
        <f>HYPERLINK("https://ceds.ed.gov/cedselementdetails.aspx?termid=13269")</f>
        <v>https://ceds.ed.gov/cedselementdetails.aspx?termid=13269</v>
      </c>
      <c r="Q393" s="9" t="str">
        <f>HYPERLINK("https://ceds.ed.gov/elementComment.aspx?elementName=Address Street Number and Name &amp;elementID=13269", "Click here to submit comment")</f>
        <v>Click here to submit comment</v>
      </c>
    </row>
    <row r="394" spans="1:17" ht="225" x14ac:dyDescent="0.25">
      <c r="A394" s="9" t="s">
        <v>6739</v>
      </c>
      <c r="B394" s="9" t="s">
        <v>6771</v>
      </c>
      <c r="C394" s="9" t="s">
        <v>6745</v>
      </c>
      <c r="D394" s="9" t="s">
        <v>6742</v>
      </c>
      <c r="E394" s="9" t="s">
        <v>149</v>
      </c>
      <c r="F394" s="9" t="s">
        <v>150</v>
      </c>
      <c r="G394" s="9" t="s">
        <v>12</v>
      </c>
      <c r="H394" s="9" t="s">
        <v>6113</v>
      </c>
      <c r="I394" s="9"/>
      <c r="J394" s="9" t="s">
        <v>87</v>
      </c>
      <c r="K394" s="9"/>
      <c r="L394" s="9"/>
      <c r="M394" s="9" t="s">
        <v>151</v>
      </c>
      <c r="N394" s="9"/>
      <c r="O394" s="9" t="s">
        <v>152</v>
      </c>
      <c r="P394" s="9" t="str">
        <f>HYPERLINK("https://ceds.ed.gov/cedselementdetails.aspx?termid=13019")</f>
        <v>https://ceds.ed.gov/cedselementdetails.aspx?termid=13019</v>
      </c>
      <c r="Q394" s="9" t="str">
        <f>HYPERLINK("https://ceds.ed.gov/elementComment.aspx?elementName=Address Apartment Room or Suite Number &amp;elementID=13019", "Click here to submit comment")</f>
        <v>Click here to submit comment</v>
      </c>
    </row>
    <row r="395" spans="1:17" ht="225" x14ac:dyDescent="0.25">
      <c r="A395" s="9" t="s">
        <v>6739</v>
      </c>
      <c r="B395" s="9" t="s">
        <v>6771</v>
      </c>
      <c r="C395" s="9" t="s">
        <v>6745</v>
      </c>
      <c r="D395" s="9" t="s">
        <v>6742</v>
      </c>
      <c r="E395" s="9" t="s">
        <v>153</v>
      </c>
      <c r="F395" s="9" t="s">
        <v>154</v>
      </c>
      <c r="G395" s="9" t="s">
        <v>12</v>
      </c>
      <c r="H395" s="9" t="s">
        <v>6113</v>
      </c>
      <c r="I395" s="9"/>
      <c r="J395" s="9" t="s">
        <v>87</v>
      </c>
      <c r="K395" s="9"/>
      <c r="L395" s="9"/>
      <c r="M395" s="9" t="s">
        <v>155</v>
      </c>
      <c r="N395" s="9"/>
      <c r="O395" s="9" t="s">
        <v>156</v>
      </c>
      <c r="P395" s="9" t="str">
        <f>HYPERLINK("https://ceds.ed.gov/cedselementdetails.aspx?termid=13040")</f>
        <v>https://ceds.ed.gov/cedselementdetails.aspx?termid=13040</v>
      </c>
      <c r="Q395" s="9" t="str">
        <f>HYPERLINK("https://ceds.ed.gov/elementComment.aspx?elementName=Address City &amp;elementID=13040", "Click here to submit comment")</f>
        <v>Click here to submit comment</v>
      </c>
    </row>
    <row r="396" spans="1:17" ht="409.5" x14ac:dyDescent="0.25">
      <c r="A396" s="9" t="s">
        <v>6739</v>
      </c>
      <c r="B396" s="9" t="s">
        <v>6771</v>
      </c>
      <c r="C396" s="9" t="s">
        <v>6745</v>
      </c>
      <c r="D396" s="9" t="s">
        <v>6742</v>
      </c>
      <c r="E396" s="9" t="s">
        <v>5647</v>
      </c>
      <c r="F396" s="9" t="s">
        <v>5648</v>
      </c>
      <c r="G396" s="10" t="s">
        <v>6702</v>
      </c>
      <c r="H396" s="9" t="s">
        <v>6285</v>
      </c>
      <c r="I396" s="9"/>
      <c r="J396" s="9"/>
      <c r="K396" s="9"/>
      <c r="L396" s="9"/>
      <c r="M396" s="9" t="s">
        <v>5649</v>
      </c>
      <c r="N396" s="9"/>
      <c r="O396" s="9" t="s">
        <v>5650</v>
      </c>
      <c r="P396" s="9" t="str">
        <f>HYPERLINK("https://ceds.ed.gov/cedselementdetails.aspx?termid=13267")</f>
        <v>https://ceds.ed.gov/cedselementdetails.aspx?termid=13267</v>
      </c>
      <c r="Q396" s="9" t="str">
        <f>HYPERLINK("https://ceds.ed.gov/elementComment.aspx?elementName=State Abbreviation &amp;elementID=13267", "Click here to submit comment")</f>
        <v>Click here to submit comment</v>
      </c>
    </row>
    <row r="397" spans="1:17" ht="225" x14ac:dyDescent="0.25">
      <c r="A397" s="9" t="s">
        <v>6739</v>
      </c>
      <c r="B397" s="9" t="s">
        <v>6771</v>
      </c>
      <c r="C397" s="9" t="s">
        <v>6745</v>
      </c>
      <c r="D397" s="9" t="s">
        <v>6742</v>
      </c>
      <c r="E397" s="9" t="s">
        <v>161</v>
      </c>
      <c r="F397" s="9" t="s">
        <v>162</v>
      </c>
      <c r="G397" s="9" t="s">
        <v>12</v>
      </c>
      <c r="H397" s="9" t="s">
        <v>6113</v>
      </c>
      <c r="I397" s="9"/>
      <c r="J397" s="9" t="s">
        <v>163</v>
      </c>
      <c r="K397" s="9"/>
      <c r="L397" s="9"/>
      <c r="M397" s="9" t="s">
        <v>164</v>
      </c>
      <c r="N397" s="9"/>
      <c r="O397" s="9" t="s">
        <v>165</v>
      </c>
      <c r="P397" s="9" t="str">
        <f>HYPERLINK("https://ceds.ed.gov/cedselementdetails.aspx?termid=13214")</f>
        <v>https://ceds.ed.gov/cedselementdetails.aspx?termid=13214</v>
      </c>
      <c r="Q397" s="9" t="str">
        <f>HYPERLINK("https://ceds.ed.gov/elementComment.aspx?elementName=Address Postal Code &amp;elementID=13214", "Click here to submit comment")</f>
        <v>Click here to submit comment</v>
      </c>
    </row>
    <row r="398" spans="1:17" ht="225" x14ac:dyDescent="0.25">
      <c r="A398" s="9" t="s">
        <v>6739</v>
      </c>
      <c r="B398" s="9" t="s">
        <v>6771</v>
      </c>
      <c r="C398" s="9" t="s">
        <v>6745</v>
      </c>
      <c r="D398" s="9" t="s">
        <v>6742</v>
      </c>
      <c r="E398" s="9" t="s">
        <v>157</v>
      </c>
      <c r="F398" s="9" t="s">
        <v>158</v>
      </c>
      <c r="G398" s="9" t="s">
        <v>12</v>
      </c>
      <c r="H398" s="9" t="s">
        <v>6113</v>
      </c>
      <c r="I398" s="9"/>
      <c r="J398" s="9" t="s">
        <v>87</v>
      </c>
      <c r="K398" s="9"/>
      <c r="L398" s="9"/>
      <c r="M398" s="9" t="s">
        <v>159</v>
      </c>
      <c r="N398" s="9"/>
      <c r="O398" s="9" t="s">
        <v>160</v>
      </c>
      <c r="P398" s="9" t="str">
        <f>HYPERLINK("https://ceds.ed.gov/cedselementdetails.aspx?termid=13190")</f>
        <v>https://ceds.ed.gov/cedselementdetails.aspx?termid=13190</v>
      </c>
      <c r="Q398" s="9" t="str">
        <f>HYPERLINK("https://ceds.ed.gov/elementComment.aspx?elementName=Address County Name &amp;elementID=13190", "Click here to submit comment")</f>
        <v>Click here to submit comment</v>
      </c>
    </row>
    <row r="399" spans="1:17" ht="409.5" x14ac:dyDescent="0.25">
      <c r="A399" s="9" t="s">
        <v>6739</v>
      </c>
      <c r="B399" s="9" t="s">
        <v>6771</v>
      </c>
      <c r="C399" s="9" t="s">
        <v>6745</v>
      </c>
      <c r="D399" s="9" t="s">
        <v>6742</v>
      </c>
      <c r="E399" s="9" t="s">
        <v>1885</v>
      </c>
      <c r="F399" s="9" t="s">
        <v>1886</v>
      </c>
      <c r="G399" s="10" t="s">
        <v>11839</v>
      </c>
      <c r="H399" s="9" t="s">
        <v>6174</v>
      </c>
      <c r="I399" s="9"/>
      <c r="J399" s="9"/>
      <c r="K399" s="9"/>
      <c r="L399" s="11" t="s">
        <v>1887</v>
      </c>
      <c r="M399" s="9" t="s">
        <v>1888</v>
      </c>
      <c r="N399" s="9"/>
      <c r="O399" s="9" t="s">
        <v>1889</v>
      </c>
      <c r="P399" s="9" t="str">
        <f>HYPERLINK("https://ceds.ed.gov/cedselementdetails.aspx?termid=13050")</f>
        <v>https://ceds.ed.gov/cedselementdetails.aspx?termid=13050</v>
      </c>
      <c r="Q399" s="9" t="str">
        <f>HYPERLINK("https://ceds.ed.gov/elementComment.aspx?elementName=Country Code &amp;elementID=13050", "Click here to submit comment")</f>
        <v>Click here to submit comment</v>
      </c>
    </row>
    <row r="400" spans="1:17" ht="75" x14ac:dyDescent="0.25">
      <c r="A400" s="9" t="s">
        <v>6739</v>
      </c>
      <c r="B400" s="9" t="s">
        <v>6771</v>
      </c>
      <c r="C400" s="9" t="s">
        <v>6745</v>
      </c>
      <c r="D400" s="9" t="s">
        <v>6742</v>
      </c>
      <c r="E400" s="9" t="s">
        <v>3606</v>
      </c>
      <c r="F400" s="9" t="s">
        <v>3607</v>
      </c>
      <c r="G400" s="9" t="s">
        <v>12</v>
      </c>
      <c r="H400" s="9"/>
      <c r="I400" s="9"/>
      <c r="J400" s="9" t="s">
        <v>1165</v>
      </c>
      <c r="K400" s="9"/>
      <c r="L400" s="9"/>
      <c r="M400" s="9" t="s">
        <v>3608</v>
      </c>
      <c r="N400" s="9"/>
      <c r="O400" s="9" t="s">
        <v>3606</v>
      </c>
      <c r="P400" s="9" t="str">
        <f>HYPERLINK("https://ceds.ed.gov/cedselementdetails.aspx?termid=13599")</f>
        <v>https://ceds.ed.gov/cedselementdetails.aspx?termid=13599</v>
      </c>
      <c r="Q400" s="9" t="str">
        <f>HYPERLINK("https://ceds.ed.gov/elementComment.aspx?elementName=Latitude &amp;elementID=13599", "Click here to submit comment")</f>
        <v>Click here to submit comment</v>
      </c>
    </row>
    <row r="401" spans="1:17" ht="75" x14ac:dyDescent="0.25">
      <c r="A401" s="9" t="s">
        <v>6739</v>
      </c>
      <c r="B401" s="9" t="s">
        <v>6771</v>
      </c>
      <c r="C401" s="9" t="s">
        <v>6745</v>
      </c>
      <c r="D401" s="9" t="s">
        <v>6742</v>
      </c>
      <c r="E401" s="9" t="s">
        <v>4139</v>
      </c>
      <c r="F401" s="9" t="s">
        <v>4140</v>
      </c>
      <c r="G401" s="9" t="s">
        <v>12</v>
      </c>
      <c r="H401" s="9"/>
      <c r="I401" s="9"/>
      <c r="J401" s="9" t="s">
        <v>1165</v>
      </c>
      <c r="K401" s="9"/>
      <c r="L401" s="9"/>
      <c r="M401" s="9" t="s">
        <v>4141</v>
      </c>
      <c r="N401" s="9"/>
      <c r="O401" s="9" t="s">
        <v>4139</v>
      </c>
      <c r="P401" s="9" t="str">
        <f>HYPERLINK("https://ceds.ed.gov/cedselementdetails.aspx?termid=13600")</f>
        <v>https://ceds.ed.gov/cedselementdetails.aspx?termid=13600</v>
      </c>
      <c r="Q401" s="9" t="str">
        <f>HYPERLINK("https://ceds.ed.gov/elementComment.aspx?elementName=Longitude &amp;elementID=13600", "Click here to submit comment")</f>
        <v>Click here to submit comment</v>
      </c>
    </row>
    <row r="402" spans="1:17" ht="90" x14ac:dyDescent="0.25">
      <c r="A402" s="9" t="s">
        <v>6739</v>
      </c>
      <c r="B402" s="9" t="s">
        <v>6771</v>
      </c>
      <c r="C402" s="9" t="s">
        <v>6747</v>
      </c>
      <c r="D402" s="9" t="s">
        <v>6742</v>
      </c>
      <c r="E402" s="9" t="s">
        <v>5849</v>
      </c>
      <c r="F402" s="9" t="s">
        <v>5850</v>
      </c>
      <c r="G402" s="9" t="s">
        <v>12</v>
      </c>
      <c r="H402" s="9" t="s">
        <v>6109</v>
      </c>
      <c r="I402" s="9"/>
      <c r="J402" s="9" t="s">
        <v>5851</v>
      </c>
      <c r="K402" s="9"/>
      <c r="L402" s="9"/>
      <c r="M402" s="9" t="s">
        <v>5852</v>
      </c>
      <c r="N402" s="9"/>
      <c r="O402" s="9" t="s">
        <v>5853</v>
      </c>
      <c r="P402" s="9" t="str">
        <f>HYPERLINK("https://ceds.ed.gov/cedselementdetails.aspx?termid=13279")</f>
        <v>https://ceds.ed.gov/cedselementdetails.aspx?termid=13279</v>
      </c>
      <c r="Q402" s="9" t="str">
        <f>HYPERLINK("https://ceds.ed.gov/elementComment.aspx?elementName=Telephone Number &amp;elementID=13279", "Click here to submit comment")</f>
        <v>Click here to submit comment</v>
      </c>
    </row>
    <row r="403" spans="1:17" ht="90" x14ac:dyDescent="0.25">
      <c r="A403" s="9" t="s">
        <v>6739</v>
      </c>
      <c r="B403" s="9" t="s">
        <v>6771</v>
      </c>
      <c r="C403" s="9" t="s">
        <v>6747</v>
      </c>
      <c r="D403" s="9" t="s">
        <v>6742</v>
      </c>
      <c r="E403" s="9" t="s">
        <v>5854</v>
      </c>
      <c r="F403" s="9" t="s">
        <v>5855</v>
      </c>
      <c r="G403" s="10" t="s">
        <v>6717</v>
      </c>
      <c r="H403" s="9" t="s">
        <v>6109</v>
      </c>
      <c r="I403" s="9"/>
      <c r="J403" s="9" t="s">
        <v>1900</v>
      </c>
      <c r="K403" s="9"/>
      <c r="L403" s="9"/>
      <c r="M403" s="9" t="s">
        <v>5856</v>
      </c>
      <c r="N403" s="9"/>
      <c r="O403" s="9" t="s">
        <v>5857</v>
      </c>
      <c r="P403" s="9" t="str">
        <f>HYPERLINK("https://ceds.ed.gov/cedselementdetails.aspx?termid=13280")</f>
        <v>https://ceds.ed.gov/cedselementdetails.aspx?termid=13280</v>
      </c>
      <c r="Q403" s="9" t="str">
        <f>HYPERLINK("https://ceds.ed.gov/elementComment.aspx?elementName=Telephone Number Type &amp;elementID=13280", "Click here to submit comment")</f>
        <v>Click here to submit comment</v>
      </c>
    </row>
    <row r="404" spans="1:17" ht="90" x14ac:dyDescent="0.25">
      <c r="A404" s="9" t="s">
        <v>6739</v>
      </c>
      <c r="B404" s="9" t="s">
        <v>6771</v>
      </c>
      <c r="C404" s="9" t="s">
        <v>6747</v>
      </c>
      <c r="D404" s="9" t="s">
        <v>6742</v>
      </c>
      <c r="E404" s="9" t="s">
        <v>4709</v>
      </c>
      <c r="F404" s="9" t="s">
        <v>4710</v>
      </c>
      <c r="G404" s="9" t="s">
        <v>6106</v>
      </c>
      <c r="H404" s="9" t="s">
        <v>6109</v>
      </c>
      <c r="I404" s="9"/>
      <c r="J404" s="9"/>
      <c r="K404" s="9"/>
      <c r="L404" s="9"/>
      <c r="M404" s="9" t="s">
        <v>4711</v>
      </c>
      <c r="N404" s="9"/>
      <c r="O404" s="9" t="s">
        <v>4712</v>
      </c>
      <c r="P404" s="9" t="str">
        <f>HYPERLINK("https://ceds.ed.gov/cedselementdetails.aspx?termid=13219")</f>
        <v>https://ceds.ed.gov/cedselementdetails.aspx?termid=13219</v>
      </c>
      <c r="Q404" s="9" t="str">
        <f>HYPERLINK("https://ceds.ed.gov/elementComment.aspx?elementName=Primary Telephone Number Indicator &amp;elementID=13219", "Click here to submit comment")</f>
        <v>Click here to submit comment</v>
      </c>
    </row>
    <row r="405" spans="1:17" ht="90" x14ac:dyDescent="0.25">
      <c r="A405" s="9" t="s">
        <v>6739</v>
      </c>
      <c r="B405" s="9" t="s">
        <v>6771</v>
      </c>
      <c r="C405" s="9" t="s">
        <v>6773</v>
      </c>
      <c r="D405" s="9" t="s">
        <v>6742</v>
      </c>
      <c r="E405" s="9" t="s">
        <v>2584</v>
      </c>
      <c r="F405" s="9" t="s">
        <v>2585</v>
      </c>
      <c r="G405" s="9" t="s">
        <v>12</v>
      </c>
      <c r="H405" s="9" t="s">
        <v>6109</v>
      </c>
      <c r="I405" s="9"/>
      <c r="J405" s="9" t="s">
        <v>11127</v>
      </c>
      <c r="K405" s="9"/>
      <c r="L405" s="9"/>
      <c r="M405" s="9" t="s">
        <v>2586</v>
      </c>
      <c r="N405" s="9" t="s">
        <v>2587</v>
      </c>
      <c r="O405" s="9" t="s">
        <v>2588</v>
      </c>
      <c r="P405" s="9" t="str">
        <f>HYPERLINK("https://ceds.ed.gov/cedselementdetails.aspx?termid=13088")</f>
        <v>https://ceds.ed.gov/cedselementdetails.aspx?termid=13088</v>
      </c>
      <c r="Q405" s="9" t="str">
        <f>HYPERLINK("https://ceds.ed.gov/elementComment.aspx?elementName=Electronic Mail Address &amp;elementID=13088", "Click here to submit comment")</f>
        <v>Click here to submit comment</v>
      </c>
    </row>
    <row r="406" spans="1:17" ht="90" x14ac:dyDescent="0.25">
      <c r="A406" s="9" t="s">
        <v>6739</v>
      </c>
      <c r="B406" s="9" t="s">
        <v>6771</v>
      </c>
      <c r="C406" s="9" t="s">
        <v>6773</v>
      </c>
      <c r="D406" s="9" t="s">
        <v>6742</v>
      </c>
      <c r="E406" s="9" t="s">
        <v>2589</v>
      </c>
      <c r="F406" s="9" t="s">
        <v>2590</v>
      </c>
      <c r="G406" s="10" t="s">
        <v>6484</v>
      </c>
      <c r="H406" s="9" t="s">
        <v>6109</v>
      </c>
      <c r="I406" s="9"/>
      <c r="J406" s="9"/>
      <c r="K406" s="9"/>
      <c r="L406" s="9"/>
      <c r="M406" s="9" t="s">
        <v>2591</v>
      </c>
      <c r="N406" s="9" t="s">
        <v>2592</v>
      </c>
      <c r="O406" s="9" t="s">
        <v>2593</v>
      </c>
      <c r="P406" s="9" t="str">
        <f>HYPERLINK("https://ceds.ed.gov/cedselementdetails.aspx?termid=13089")</f>
        <v>https://ceds.ed.gov/cedselementdetails.aspx?termid=13089</v>
      </c>
      <c r="Q406" s="9" t="str">
        <f>HYPERLINK("https://ceds.ed.gov/elementComment.aspx?elementName=Electronic Mail Address Type &amp;elementID=13089", "Click here to submit comment")</f>
        <v>Click here to submit comment</v>
      </c>
    </row>
    <row r="407" spans="1:17" ht="240" x14ac:dyDescent="0.25">
      <c r="A407" s="9" t="s">
        <v>6739</v>
      </c>
      <c r="B407" s="9" t="s">
        <v>6771</v>
      </c>
      <c r="C407" s="9" t="s">
        <v>6748</v>
      </c>
      <c r="D407" s="9" t="s">
        <v>6742</v>
      </c>
      <c r="E407" s="9" t="s">
        <v>1530</v>
      </c>
      <c r="F407" s="9" t="s">
        <v>1531</v>
      </c>
      <c r="G407" s="9" t="s">
        <v>12</v>
      </c>
      <c r="H407" s="9" t="s">
        <v>6151</v>
      </c>
      <c r="I407" s="9"/>
      <c r="J407" s="9" t="s">
        <v>73</v>
      </c>
      <c r="K407" s="9"/>
      <c r="L407" s="9"/>
      <c r="M407" s="9" t="s">
        <v>1532</v>
      </c>
      <c r="N407" s="9"/>
      <c r="O407" s="9" t="s">
        <v>1530</v>
      </c>
      <c r="P407" s="9" t="str">
        <f>HYPERLINK("https://ceds.ed.gov/cedselementdetails.aspx?termid=13033")</f>
        <v>https://ceds.ed.gov/cedselementdetails.aspx?termid=13033</v>
      </c>
      <c r="Q407" s="9" t="str">
        <f>HYPERLINK("https://ceds.ed.gov/elementComment.aspx?elementName=Birthdate &amp;elementID=13033", "Click here to submit comment")</f>
        <v>Click here to submit comment</v>
      </c>
    </row>
    <row r="408" spans="1:17" ht="255" x14ac:dyDescent="0.25">
      <c r="A408" s="9" t="s">
        <v>6739</v>
      </c>
      <c r="B408" s="9" t="s">
        <v>6771</v>
      </c>
      <c r="C408" s="9" t="s">
        <v>6748</v>
      </c>
      <c r="D408" s="9" t="s">
        <v>6742</v>
      </c>
      <c r="E408" s="9" t="s">
        <v>5468</v>
      </c>
      <c r="F408" s="9" t="s">
        <v>5469</v>
      </c>
      <c r="G408" s="10" t="s">
        <v>6694</v>
      </c>
      <c r="H408" s="9" t="s">
        <v>6277</v>
      </c>
      <c r="I408" s="9"/>
      <c r="J408" s="9"/>
      <c r="K408" s="9"/>
      <c r="L408" s="9" t="s">
        <v>5470</v>
      </c>
      <c r="M408" s="9" t="s">
        <v>5471</v>
      </c>
      <c r="N408" s="9"/>
      <c r="O408" s="9" t="s">
        <v>5468</v>
      </c>
      <c r="P408" s="9" t="str">
        <f>HYPERLINK("https://ceds.ed.gov/cedselementdetails.aspx?termid=13255")</f>
        <v>https://ceds.ed.gov/cedselementdetails.aspx?termid=13255</v>
      </c>
      <c r="Q408" s="9" t="str">
        <f>HYPERLINK("https://ceds.ed.gov/elementComment.aspx?elementName=Sex &amp;elementID=13255", "Click here to submit comment")</f>
        <v>Click here to submit comment</v>
      </c>
    </row>
    <row r="409" spans="1:17" ht="120" x14ac:dyDescent="0.25">
      <c r="A409" s="9" t="s">
        <v>6739</v>
      </c>
      <c r="B409" s="9" t="s">
        <v>6771</v>
      </c>
      <c r="C409" s="9" t="s">
        <v>6748</v>
      </c>
      <c r="D409" s="9" t="s">
        <v>6742</v>
      </c>
      <c r="E409" s="9" t="s">
        <v>5633</v>
      </c>
      <c r="F409" s="9" t="s">
        <v>5634</v>
      </c>
      <c r="G409" s="9" t="s">
        <v>12</v>
      </c>
      <c r="H409" s="9" t="s">
        <v>37</v>
      </c>
      <c r="I409" s="9"/>
      <c r="J409" s="9" t="s">
        <v>5635</v>
      </c>
      <c r="K409" s="9"/>
      <c r="L409" s="9"/>
      <c r="M409" s="9" t="s">
        <v>5636</v>
      </c>
      <c r="N409" s="9"/>
      <c r="O409" s="9" t="s">
        <v>5637</v>
      </c>
      <c r="P409" s="9" t="str">
        <f>HYPERLINK("https://ceds.ed.gov/cedselementdetails.aspx?termid=13707")</f>
        <v>https://ceds.ed.gov/cedselementdetails.aspx?termid=13707</v>
      </c>
      <c r="Q409" s="9" t="str">
        <f>HYPERLINK("https://ceds.ed.gov/elementComment.aspx?elementName=Standard Occupational Classification &amp;elementID=13707", "Click here to submit comment")</f>
        <v>Click here to submit comment</v>
      </c>
    </row>
    <row r="410" spans="1:17" ht="409.5" x14ac:dyDescent="0.25">
      <c r="A410" s="9" t="s">
        <v>6739</v>
      </c>
      <c r="B410" s="9" t="s">
        <v>6771</v>
      </c>
      <c r="C410" s="9" t="s">
        <v>6774</v>
      </c>
      <c r="D410" s="9" t="s">
        <v>6742</v>
      </c>
      <c r="E410" s="9" t="s">
        <v>3131</v>
      </c>
      <c r="F410" s="9" t="s">
        <v>3132</v>
      </c>
      <c r="G410" s="10" t="s">
        <v>6377</v>
      </c>
      <c r="H410" s="9" t="s">
        <v>6223</v>
      </c>
      <c r="I410" s="9"/>
      <c r="J410" s="9"/>
      <c r="K410" s="9"/>
      <c r="L410" s="9"/>
      <c r="M410" s="9" t="s">
        <v>3133</v>
      </c>
      <c r="N410" s="9"/>
      <c r="O410" s="9" t="s">
        <v>3134</v>
      </c>
      <c r="P410" s="9" t="str">
        <f>HYPERLINK("https://ceds.ed.gov/cedselementdetails.aspx?termid=13141")</f>
        <v>https://ceds.ed.gov/cedselementdetails.aspx?termid=13141</v>
      </c>
      <c r="Q410" s="9" t="str">
        <f>HYPERLINK("https://ceds.ed.gov/elementComment.aspx?elementName=Highest Level of Education Completed &amp;elementID=13141", "Click here to submit comment")</f>
        <v>Click here to submit comment</v>
      </c>
    </row>
    <row r="411" spans="1:17" ht="210" x14ac:dyDescent="0.25">
      <c r="A411" s="9" t="s">
        <v>6739</v>
      </c>
      <c r="B411" s="9" t="s">
        <v>6771</v>
      </c>
      <c r="C411" s="9" t="s">
        <v>6775</v>
      </c>
      <c r="D411" s="9" t="s">
        <v>6742</v>
      </c>
      <c r="E411" s="9" t="s">
        <v>3496</v>
      </c>
      <c r="F411" s="9" t="s">
        <v>3497</v>
      </c>
      <c r="G411" s="10" t="s">
        <v>6441</v>
      </c>
      <c r="H411" s="9" t="s">
        <v>2225</v>
      </c>
      <c r="I411" s="9"/>
      <c r="J411" s="9"/>
      <c r="K411" s="9"/>
      <c r="L411" s="9" t="s">
        <v>2222</v>
      </c>
      <c r="M411" s="9" t="s">
        <v>3498</v>
      </c>
      <c r="N411" s="9"/>
      <c r="O411" s="9" t="s">
        <v>3499</v>
      </c>
      <c r="P411" s="9" t="str">
        <f>HYPERLINK("https://ceds.ed.gov/cedselementdetails.aspx?termid=13334")</f>
        <v>https://ceds.ed.gov/cedselementdetails.aspx?termid=13334</v>
      </c>
      <c r="Q411" s="9" t="str">
        <f>HYPERLINK("https://ceds.ed.gov/elementComment.aspx?elementName=Insurance Coverage &amp;elementID=13334", "Click here to submit comment")</f>
        <v>Click here to submit comment</v>
      </c>
    </row>
    <row r="412" spans="1:17" ht="210" x14ac:dyDescent="0.25">
      <c r="A412" s="9" t="s">
        <v>6739</v>
      </c>
      <c r="B412" s="9" t="s">
        <v>6771</v>
      </c>
      <c r="C412" s="9" t="s">
        <v>6775</v>
      </c>
      <c r="D412" s="9" t="s">
        <v>6742</v>
      </c>
      <c r="E412" s="9" t="s">
        <v>2220</v>
      </c>
      <c r="F412" s="9" t="s">
        <v>2221</v>
      </c>
      <c r="G412" s="10" t="s">
        <v>6441</v>
      </c>
      <c r="H412" s="9" t="s">
        <v>2225</v>
      </c>
      <c r="I412" s="9"/>
      <c r="J412" s="9"/>
      <c r="K412" s="9"/>
      <c r="L412" s="9" t="s">
        <v>2222</v>
      </c>
      <c r="M412" s="9" t="s">
        <v>2223</v>
      </c>
      <c r="N412" s="9"/>
      <c r="O412" s="9" t="s">
        <v>2224</v>
      </c>
      <c r="P412" s="9" t="str">
        <f>HYPERLINK("https://ceds.ed.gov/cedselementdetails.aspx?termid=13335")</f>
        <v>https://ceds.ed.gov/cedselementdetails.aspx?termid=13335</v>
      </c>
      <c r="Q412" s="9" t="str">
        <f>HYPERLINK("https://ceds.ed.gov/elementComment.aspx?elementName=Dental Insurance Coverage Type &amp;elementID=13335", "Click here to submit comment")</f>
        <v>Click here to submit comment</v>
      </c>
    </row>
    <row r="413" spans="1:17" ht="105" x14ac:dyDescent="0.25">
      <c r="A413" s="18" t="s">
        <v>6739</v>
      </c>
      <c r="B413" s="18" t="s">
        <v>6776</v>
      </c>
      <c r="C413" s="18" t="s">
        <v>6777</v>
      </c>
      <c r="D413" s="18" t="s">
        <v>6742</v>
      </c>
      <c r="E413" s="18" t="s">
        <v>2766</v>
      </c>
      <c r="F413" s="18" t="s">
        <v>2767</v>
      </c>
      <c r="G413" s="18" t="s">
        <v>12</v>
      </c>
      <c r="H413" s="18" t="s">
        <v>6165</v>
      </c>
      <c r="I413" s="18"/>
      <c r="J413" s="18" t="s">
        <v>119</v>
      </c>
      <c r="K413" s="18"/>
      <c r="L413" s="9" t="s">
        <v>120</v>
      </c>
      <c r="M413" s="18" t="s">
        <v>2768</v>
      </c>
      <c r="N413" s="18"/>
      <c r="O413" s="18" t="s">
        <v>2769</v>
      </c>
      <c r="P413" s="18" t="str">
        <f>HYPERLINK("https://ceds.ed.gov/cedselementdetails.aspx?termid=13784")</f>
        <v>https://ceds.ed.gov/cedselementdetails.aspx?termid=13784</v>
      </c>
      <c r="Q413" s="18" t="str">
        <f>HYPERLINK("https://ceds.ed.gov/elementComment.aspx?elementName=Family Identifier &amp;elementID=13784", "Click here to submit comment")</f>
        <v>Click here to submit comment</v>
      </c>
    </row>
    <row r="414" spans="1:17" x14ac:dyDescent="0.25">
      <c r="A414" s="18"/>
      <c r="B414" s="18"/>
      <c r="C414" s="18"/>
      <c r="D414" s="18"/>
      <c r="E414" s="18"/>
      <c r="F414" s="18"/>
      <c r="G414" s="18"/>
      <c r="H414" s="18"/>
      <c r="I414" s="18"/>
      <c r="J414" s="18"/>
      <c r="K414" s="18"/>
      <c r="L414" s="9"/>
      <c r="M414" s="18"/>
      <c r="N414" s="18"/>
      <c r="O414" s="18"/>
      <c r="P414" s="18"/>
      <c r="Q414" s="18"/>
    </row>
    <row r="415" spans="1:17" ht="90" x14ac:dyDescent="0.25">
      <c r="A415" s="18"/>
      <c r="B415" s="18"/>
      <c r="C415" s="18"/>
      <c r="D415" s="18"/>
      <c r="E415" s="18"/>
      <c r="F415" s="18"/>
      <c r="G415" s="18"/>
      <c r="H415" s="18"/>
      <c r="I415" s="18"/>
      <c r="J415" s="18"/>
      <c r="K415" s="18"/>
      <c r="L415" s="9" t="s">
        <v>121</v>
      </c>
      <c r="M415" s="18"/>
      <c r="N415" s="18"/>
      <c r="O415" s="18"/>
      <c r="P415" s="18"/>
      <c r="Q415" s="18"/>
    </row>
    <row r="416" spans="1:17" ht="195" x14ac:dyDescent="0.25">
      <c r="A416" s="9" t="s">
        <v>6739</v>
      </c>
      <c r="B416" s="9" t="s">
        <v>6776</v>
      </c>
      <c r="C416" s="9" t="s">
        <v>6778</v>
      </c>
      <c r="D416" s="9" t="s">
        <v>6742</v>
      </c>
      <c r="E416" s="9" t="s">
        <v>4402</v>
      </c>
      <c r="F416" s="9" t="s">
        <v>4403</v>
      </c>
      <c r="G416" s="9" t="s">
        <v>12</v>
      </c>
      <c r="H416" s="9" t="s">
        <v>2225</v>
      </c>
      <c r="I416" s="9"/>
      <c r="J416" s="9" t="s">
        <v>10489</v>
      </c>
      <c r="K416" s="9"/>
      <c r="L416" s="9"/>
      <c r="M416" s="9" t="s">
        <v>4404</v>
      </c>
      <c r="N416" s="9"/>
      <c r="O416" s="9" t="s">
        <v>4405</v>
      </c>
      <c r="P416" s="9" t="str">
        <f>HYPERLINK("https://ceds.ed.gov/cedselementdetails.aspx?termid=13329")</f>
        <v>https://ceds.ed.gov/cedselementdetails.aspx?termid=13329</v>
      </c>
      <c r="Q416" s="9" t="str">
        <f>HYPERLINK("https://ceds.ed.gov/elementComment.aspx?elementName=Number of People in Family &amp;elementID=13329", "Click here to submit comment")</f>
        <v>Click here to submit comment</v>
      </c>
    </row>
    <row r="417" spans="1:17" ht="45" x14ac:dyDescent="0.25">
      <c r="A417" s="9" t="s">
        <v>6739</v>
      </c>
      <c r="B417" s="9" t="s">
        <v>6776</v>
      </c>
      <c r="C417" s="9" t="s">
        <v>6778</v>
      </c>
      <c r="D417" s="9" t="s">
        <v>6742</v>
      </c>
      <c r="E417" s="9" t="s">
        <v>4406</v>
      </c>
      <c r="F417" s="9" t="s">
        <v>4407</v>
      </c>
      <c r="G417" s="9" t="s">
        <v>12</v>
      </c>
      <c r="H417" s="9" t="s">
        <v>2225</v>
      </c>
      <c r="I417" s="9"/>
      <c r="J417" s="9" t="s">
        <v>10489</v>
      </c>
      <c r="K417" s="9"/>
      <c r="L417" s="9"/>
      <c r="M417" s="9" t="s">
        <v>4408</v>
      </c>
      <c r="N417" s="9"/>
      <c r="O417" s="9" t="s">
        <v>4409</v>
      </c>
      <c r="P417" s="9" t="str">
        <f>HYPERLINK("https://ceds.ed.gov/cedselementdetails.aspx?termid=13330")</f>
        <v>https://ceds.ed.gov/cedselementdetails.aspx?termid=13330</v>
      </c>
      <c r="Q417" s="9" t="str">
        <f>HYPERLINK("https://ceds.ed.gov/elementComment.aspx?elementName=Number of People in Household &amp;elementID=13330", "Click here to submit comment")</f>
        <v>Click here to submit comment</v>
      </c>
    </row>
    <row r="418" spans="1:17" ht="409.5" x14ac:dyDescent="0.25">
      <c r="A418" s="9" t="s">
        <v>6739</v>
      </c>
      <c r="B418" s="9" t="s">
        <v>6776</v>
      </c>
      <c r="C418" s="9" t="s">
        <v>6778</v>
      </c>
      <c r="D418" s="9" t="s">
        <v>6742</v>
      </c>
      <c r="E418" s="9" t="s">
        <v>2770</v>
      </c>
      <c r="F418" s="9" t="s">
        <v>2771</v>
      </c>
      <c r="G418" s="9" t="s">
        <v>12</v>
      </c>
      <c r="H418" s="9" t="s">
        <v>6124</v>
      </c>
      <c r="I418" s="9"/>
      <c r="J418" s="9" t="s">
        <v>1513</v>
      </c>
      <c r="K418" s="9"/>
      <c r="L418" s="9" t="s">
        <v>2773</v>
      </c>
      <c r="M418" s="9" t="s">
        <v>2774</v>
      </c>
      <c r="N418" s="9"/>
      <c r="O418" s="9" t="s">
        <v>2775</v>
      </c>
      <c r="P418" s="9" t="str">
        <f>HYPERLINK("https://ceds.ed.gov/cedselementdetails.aspx?termid=13331")</f>
        <v>https://ceds.ed.gov/cedselementdetails.aspx?termid=13331</v>
      </c>
      <c r="Q418" s="9" t="str">
        <f>HYPERLINK("https://ceds.ed.gov/elementComment.aspx?elementName=Family Income &amp;elementID=13331", "Click here to submit comment")</f>
        <v>Click here to submit comment</v>
      </c>
    </row>
    <row r="419" spans="1:17" ht="180" x14ac:dyDescent="0.25">
      <c r="A419" s="9" t="s">
        <v>6739</v>
      </c>
      <c r="B419" s="9" t="s">
        <v>6776</v>
      </c>
      <c r="C419" s="9" t="s">
        <v>6778</v>
      </c>
      <c r="D419" s="9" t="s">
        <v>6742</v>
      </c>
      <c r="E419" s="9" t="s">
        <v>5512</v>
      </c>
      <c r="F419" s="9" t="s">
        <v>5513</v>
      </c>
      <c r="G419" s="10" t="s">
        <v>6695</v>
      </c>
      <c r="H419" s="9" t="s">
        <v>6124</v>
      </c>
      <c r="I419" s="9"/>
      <c r="J419" s="9"/>
      <c r="K419" s="9"/>
      <c r="L419" s="9"/>
      <c r="M419" s="9" t="s">
        <v>5514</v>
      </c>
      <c r="N419" s="9"/>
      <c r="O419" s="9" t="s">
        <v>5515</v>
      </c>
      <c r="P419" s="9" t="str">
        <f>HYPERLINK("https://ceds.ed.gov/cedselementdetails.aspx?termid=13332")</f>
        <v>https://ceds.ed.gov/cedselementdetails.aspx?termid=13332</v>
      </c>
      <c r="Q419" s="9" t="str">
        <f>HYPERLINK("https://ceds.ed.gov/elementComment.aspx?elementName=Source of Family Income &amp;elementID=13332", "Click here to submit comment")</f>
        <v>Click here to submit comment</v>
      </c>
    </row>
    <row r="420" spans="1:17" ht="60" x14ac:dyDescent="0.25">
      <c r="A420" s="9" t="s">
        <v>6739</v>
      </c>
      <c r="B420" s="9" t="s">
        <v>6776</v>
      </c>
      <c r="C420" s="9" t="s">
        <v>6778</v>
      </c>
      <c r="D420" s="9" t="s">
        <v>6742</v>
      </c>
      <c r="E420" s="9" t="s">
        <v>3348</v>
      </c>
      <c r="F420" s="9" t="s">
        <v>3349</v>
      </c>
      <c r="G420" s="10" t="s">
        <v>6553</v>
      </c>
      <c r="H420" s="9"/>
      <c r="I420" s="9"/>
      <c r="J420" s="9"/>
      <c r="K420" s="9"/>
      <c r="L420" s="9"/>
      <c r="M420" s="9" t="s">
        <v>3350</v>
      </c>
      <c r="N420" s="9"/>
      <c r="O420" s="9" t="s">
        <v>3351</v>
      </c>
      <c r="P420" s="9" t="str">
        <f>HYPERLINK("https://ceds.ed.gov/cedselementdetails.aspx?termid=13333")</f>
        <v>https://ceds.ed.gov/cedselementdetails.aspx?termid=13333</v>
      </c>
      <c r="Q420" s="9" t="str">
        <f>HYPERLINK("https://ceds.ed.gov/elementComment.aspx?elementName=Income Calculation Method &amp;elementID=13333", "Click here to submit comment")</f>
        <v>Click here to submit comment</v>
      </c>
    </row>
    <row r="421" spans="1:17" ht="75" x14ac:dyDescent="0.25">
      <c r="A421" s="9" t="s">
        <v>6739</v>
      </c>
      <c r="B421" s="9" t="s">
        <v>6776</v>
      </c>
      <c r="C421" s="9" t="s">
        <v>6778</v>
      </c>
      <c r="D421" s="9" t="s">
        <v>6742</v>
      </c>
      <c r="E421" s="9" t="s">
        <v>4985</v>
      </c>
      <c r="F421" s="9" t="s">
        <v>4986</v>
      </c>
      <c r="G421" s="10" t="s">
        <v>6668</v>
      </c>
      <c r="H421" s="9" t="s">
        <v>2225</v>
      </c>
      <c r="I421" s="9"/>
      <c r="J421" s="9"/>
      <c r="K421" s="9"/>
      <c r="L421" s="9"/>
      <c r="M421" s="9" t="s">
        <v>4987</v>
      </c>
      <c r="N421" s="9"/>
      <c r="O421" s="9" t="s">
        <v>4988</v>
      </c>
      <c r="P421" s="9" t="str">
        <f>HYPERLINK("https://ceds.ed.gov/cedselementdetails.aspx?termid=13305")</f>
        <v>https://ceds.ed.gov/cedselementdetails.aspx?termid=13305</v>
      </c>
      <c r="Q421" s="9" t="str">
        <f>HYPERLINK("https://ceds.ed.gov/elementComment.aspx?elementName=Proof of Residency Type &amp;elementID=13305", "Click here to submit comment")</f>
        <v>Click here to submit comment</v>
      </c>
    </row>
    <row r="422" spans="1:17" ht="45" x14ac:dyDescent="0.25">
      <c r="A422" s="9" t="s">
        <v>6739</v>
      </c>
      <c r="B422" s="9" t="s">
        <v>6776</v>
      </c>
      <c r="C422" s="9" t="s">
        <v>6778</v>
      </c>
      <c r="D422" s="9" t="s">
        <v>6742</v>
      </c>
      <c r="E422" s="9" t="s">
        <v>3341</v>
      </c>
      <c r="F422" s="9" t="s">
        <v>3342</v>
      </c>
      <c r="G422" s="9" t="s">
        <v>6106</v>
      </c>
      <c r="H422" s="9"/>
      <c r="I422" s="9"/>
      <c r="J422" s="9"/>
      <c r="K422" s="9"/>
      <c r="L422" s="9"/>
      <c r="M422" s="9" t="s">
        <v>3343</v>
      </c>
      <c r="N422" s="9"/>
      <c r="O422" s="9" t="s">
        <v>3344</v>
      </c>
      <c r="P422" s="9" t="str">
        <f>HYPERLINK("https://ceds.ed.gov/cedselementdetails.aspx?termid=14591")</f>
        <v>https://ceds.ed.gov/cedselementdetails.aspx?termid=14591</v>
      </c>
      <c r="Q422" s="9" t="str">
        <f>HYPERLINK("https://ceds.ed.gov/elementComment.aspx?elementName=Included in Counted Family Size &amp;elementID=14591", "Click here to submit comment")</f>
        <v>Click here to submit comment</v>
      </c>
    </row>
    <row r="423" spans="1:17" ht="195" x14ac:dyDescent="0.25">
      <c r="A423" s="9" t="s">
        <v>6739</v>
      </c>
      <c r="B423" s="9" t="s">
        <v>6802</v>
      </c>
      <c r="C423" s="9" t="s">
        <v>6741</v>
      </c>
      <c r="D423" s="9" t="s">
        <v>6742</v>
      </c>
      <c r="E423" s="9" t="s">
        <v>2935</v>
      </c>
      <c r="F423" s="9" t="s">
        <v>2936</v>
      </c>
      <c r="G423" s="9" t="s">
        <v>12</v>
      </c>
      <c r="H423" s="9" t="s">
        <v>6211</v>
      </c>
      <c r="I423" s="9"/>
      <c r="J423" s="9" t="s">
        <v>1310</v>
      </c>
      <c r="K423" s="9"/>
      <c r="L423" s="9" t="s">
        <v>2937</v>
      </c>
      <c r="M423" s="9" t="s">
        <v>2938</v>
      </c>
      <c r="N423" s="9"/>
      <c r="O423" s="9" t="s">
        <v>2939</v>
      </c>
      <c r="P423" s="9" t="str">
        <f>HYPERLINK("https://ceds.ed.gov/cedselementdetails.aspx?termid=13115")</f>
        <v>https://ceds.ed.gov/cedselementdetails.aspx?termid=13115</v>
      </c>
      <c r="Q423" s="9" t="str">
        <f>HYPERLINK("https://ceds.ed.gov/elementComment.aspx?elementName=First Name &amp;elementID=13115", "Click here to submit comment")</f>
        <v>Click here to submit comment</v>
      </c>
    </row>
    <row r="424" spans="1:17" ht="90" customHeight="1" x14ac:dyDescent="0.25">
      <c r="A424" s="18" t="s">
        <v>6739</v>
      </c>
      <c r="B424" s="18" t="s">
        <v>6802</v>
      </c>
      <c r="C424" s="18" t="s">
        <v>6741</v>
      </c>
      <c r="D424" s="18" t="s">
        <v>6742</v>
      </c>
      <c r="E424" s="18" t="s">
        <v>4183</v>
      </c>
      <c r="F424" s="18" t="s">
        <v>4184</v>
      </c>
      <c r="G424" s="18" t="s">
        <v>12</v>
      </c>
      <c r="H424" s="18" t="s">
        <v>6211</v>
      </c>
      <c r="I424" s="18"/>
      <c r="J424" s="18" t="s">
        <v>1310</v>
      </c>
      <c r="K424" s="18"/>
      <c r="L424" s="9" t="s">
        <v>2996</v>
      </c>
      <c r="M424" s="18" t="s">
        <v>4185</v>
      </c>
      <c r="N424" s="18"/>
      <c r="O424" s="18" t="s">
        <v>4186</v>
      </c>
      <c r="P424" s="18" t="str">
        <f>HYPERLINK("https://ceds.ed.gov/cedselementdetails.aspx?termid=13184")</f>
        <v>https://ceds.ed.gov/cedselementdetails.aspx?termid=13184</v>
      </c>
      <c r="Q424" s="18" t="str">
        <f>HYPERLINK("https://ceds.ed.gov/elementComment.aspx?elementName=Middle Name &amp;elementID=13184", "Click here to submit comment")</f>
        <v>Click here to submit comment</v>
      </c>
    </row>
    <row r="425" spans="1:17" ht="90" x14ac:dyDescent="0.25">
      <c r="A425" s="18"/>
      <c r="B425" s="18"/>
      <c r="C425" s="18"/>
      <c r="D425" s="18"/>
      <c r="E425" s="18"/>
      <c r="F425" s="18"/>
      <c r="G425" s="18"/>
      <c r="H425" s="18"/>
      <c r="I425" s="18"/>
      <c r="J425" s="18"/>
      <c r="K425" s="18"/>
      <c r="L425" s="9" t="s">
        <v>2997</v>
      </c>
      <c r="M425" s="18"/>
      <c r="N425" s="18"/>
      <c r="O425" s="18"/>
      <c r="P425" s="18"/>
      <c r="Q425" s="18"/>
    </row>
    <row r="426" spans="1:17" ht="90" customHeight="1" x14ac:dyDescent="0.25">
      <c r="A426" s="18" t="s">
        <v>6739</v>
      </c>
      <c r="B426" s="18" t="s">
        <v>6802</v>
      </c>
      <c r="C426" s="18" t="s">
        <v>6741</v>
      </c>
      <c r="D426" s="18" t="s">
        <v>6742</v>
      </c>
      <c r="E426" s="18" t="s">
        <v>3597</v>
      </c>
      <c r="F426" s="18" t="s">
        <v>3598</v>
      </c>
      <c r="G426" s="18" t="s">
        <v>12</v>
      </c>
      <c r="H426" s="18" t="s">
        <v>6211</v>
      </c>
      <c r="I426" s="18"/>
      <c r="J426" s="18" t="s">
        <v>1310</v>
      </c>
      <c r="K426" s="18"/>
      <c r="L426" s="9" t="s">
        <v>2996</v>
      </c>
      <c r="M426" s="18" t="s">
        <v>3599</v>
      </c>
      <c r="N426" s="18" t="s">
        <v>3600</v>
      </c>
      <c r="O426" s="18" t="s">
        <v>3601</v>
      </c>
      <c r="P426" s="18" t="str">
        <f>HYPERLINK("https://ceds.ed.gov/cedselementdetails.aspx?termid=13172")</f>
        <v>https://ceds.ed.gov/cedselementdetails.aspx?termid=13172</v>
      </c>
      <c r="Q426" s="18" t="str">
        <f>HYPERLINK("https://ceds.ed.gov/elementComment.aspx?elementName=Last or Surname &amp;elementID=13172", "Click here to submit comment")</f>
        <v>Click here to submit comment</v>
      </c>
    </row>
    <row r="427" spans="1:17" ht="90" x14ac:dyDescent="0.25">
      <c r="A427" s="18"/>
      <c r="B427" s="18"/>
      <c r="C427" s="18"/>
      <c r="D427" s="18"/>
      <c r="E427" s="18"/>
      <c r="F427" s="18"/>
      <c r="G427" s="18"/>
      <c r="H427" s="18"/>
      <c r="I427" s="18"/>
      <c r="J427" s="18"/>
      <c r="K427" s="18"/>
      <c r="L427" s="9" t="s">
        <v>2997</v>
      </c>
      <c r="M427" s="18"/>
      <c r="N427" s="18"/>
      <c r="O427" s="18"/>
      <c r="P427" s="18"/>
      <c r="Q427" s="18"/>
    </row>
    <row r="428" spans="1:17" ht="45" customHeight="1" x14ac:dyDescent="0.25">
      <c r="A428" s="18" t="s">
        <v>6739</v>
      </c>
      <c r="B428" s="18" t="s">
        <v>6802</v>
      </c>
      <c r="C428" s="18" t="s">
        <v>6741</v>
      </c>
      <c r="D428" s="18" t="s">
        <v>6742</v>
      </c>
      <c r="E428" s="18" t="s">
        <v>2994</v>
      </c>
      <c r="F428" s="18" t="s">
        <v>2995</v>
      </c>
      <c r="G428" s="18" t="s">
        <v>12</v>
      </c>
      <c r="H428" s="18" t="s">
        <v>6212</v>
      </c>
      <c r="I428" s="18"/>
      <c r="J428" s="18" t="s">
        <v>2088</v>
      </c>
      <c r="K428" s="18"/>
      <c r="L428" s="9" t="s">
        <v>2996</v>
      </c>
      <c r="M428" s="18" t="s">
        <v>2998</v>
      </c>
      <c r="N428" s="18"/>
      <c r="O428" s="18" t="s">
        <v>2999</v>
      </c>
      <c r="P428" s="18" t="str">
        <f>HYPERLINK("https://ceds.ed.gov/cedselementdetails.aspx?termid=13121")</f>
        <v>https://ceds.ed.gov/cedselementdetails.aspx?termid=13121</v>
      </c>
      <c r="Q428" s="18" t="str">
        <f>HYPERLINK("https://ceds.ed.gov/elementComment.aspx?elementName=Generation Code or Suffix &amp;elementID=13121", "Click here to submit comment")</f>
        <v>Click here to submit comment</v>
      </c>
    </row>
    <row r="429" spans="1:17" ht="90" x14ac:dyDescent="0.25">
      <c r="A429" s="18"/>
      <c r="B429" s="18"/>
      <c r="C429" s="18"/>
      <c r="D429" s="18"/>
      <c r="E429" s="18"/>
      <c r="F429" s="18"/>
      <c r="G429" s="18"/>
      <c r="H429" s="18"/>
      <c r="I429" s="18"/>
      <c r="J429" s="18"/>
      <c r="K429" s="18"/>
      <c r="L429" s="9" t="s">
        <v>2997</v>
      </c>
      <c r="M429" s="18"/>
      <c r="N429" s="18"/>
      <c r="O429" s="18"/>
      <c r="P429" s="18"/>
      <c r="Q429" s="18"/>
    </row>
    <row r="430" spans="1:17" ht="105" x14ac:dyDescent="0.25">
      <c r="A430" s="9" t="s">
        <v>6739</v>
      </c>
      <c r="B430" s="9" t="s">
        <v>6802</v>
      </c>
      <c r="C430" s="9" t="s">
        <v>6741</v>
      </c>
      <c r="D430" s="9" t="s">
        <v>6742</v>
      </c>
      <c r="E430" s="9" t="s">
        <v>4610</v>
      </c>
      <c r="F430" s="9" t="s">
        <v>4611</v>
      </c>
      <c r="G430" s="9" t="s">
        <v>12</v>
      </c>
      <c r="H430" s="9" t="s">
        <v>6255</v>
      </c>
      <c r="I430" s="9"/>
      <c r="J430" s="9" t="s">
        <v>87</v>
      </c>
      <c r="K430" s="9"/>
      <c r="L430" s="9"/>
      <c r="M430" s="9" t="s">
        <v>4612</v>
      </c>
      <c r="N430" s="9" t="s">
        <v>4613</v>
      </c>
      <c r="O430" s="9" t="s">
        <v>4614</v>
      </c>
      <c r="P430" s="9" t="str">
        <f>HYPERLINK("https://ceds.ed.gov/cedselementdetails.aspx?termid=13212")</f>
        <v>https://ceds.ed.gov/cedselementdetails.aspx?termid=13212</v>
      </c>
      <c r="Q430" s="9" t="str">
        <f>HYPERLINK("https://ceds.ed.gov/elementComment.aspx?elementName=Personal Title or Prefix &amp;elementID=13212", "Click here to submit comment")</f>
        <v>Click here to submit comment</v>
      </c>
    </row>
    <row r="431" spans="1:17" ht="165" x14ac:dyDescent="0.25">
      <c r="A431" s="9" t="s">
        <v>6739</v>
      </c>
      <c r="B431" s="9" t="s">
        <v>6802</v>
      </c>
      <c r="C431" s="9" t="s">
        <v>6743</v>
      </c>
      <c r="D431" s="9" t="s">
        <v>6742</v>
      </c>
      <c r="E431" s="9" t="s">
        <v>4500</v>
      </c>
      <c r="F431" s="9" t="s">
        <v>4501</v>
      </c>
      <c r="G431" s="10" t="s">
        <v>6630</v>
      </c>
      <c r="H431" s="9" t="s">
        <v>6251</v>
      </c>
      <c r="I431" s="9"/>
      <c r="J431" s="9" t="s">
        <v>87</v>
      </c>
      <c r="K431" s="9"/>
      <c r="L431" s="9"/>
      <c r="M431" s="9" t="s">
        <v>4502</v>
      </c>
      <c r="N431" s="9"/>
      <c r="O431" s="9" t="s">
        <v>4503</v>
      </c>
      <c r="P431" s="9" t="str">
        <f>HYPERLINK("https://ceds.ed.gov/cedselementdetails.aspx?termid=13627")</f>
        <v>https://ceds.ed.gov/cedselementdetails.aspx?termid=13627</v>
      </c>
      <c r="Q431" s="9" t="str">
        <f>HYPERLINK("https://ceds.ed.gov/elementComment.aspx?elementName=Other Name Type &amp;elementID=13627", "Click here to submit comment")</f>
        <v>Click here to submit comment</v>
      </c>
    </row>
    <row r="432" spans="1:17" ht="45" x14ac:dyDescent="0.25">
      <c r="A432" s="9" t="s">
        <v>6739</v>
      </c>
      <c r="B432" s="9" t="s">
        <v>6802</v>
      </c>
      <c r="C432" s="9" t="s">
        <v>6743</v>
      </c>
      <c r="D432" s="9" t="s">
        <v>6742</v>
      </c>
      <c r="E432" s="9" t="s">
        <v>4481</v>
      </c>
      <c r="F432" s="9" t="s">
        <v>4482</v>
      </c>
      <c r="G432" s="9" t="s">
        <v>12</v>
      </c>
      <c r="H432" s="9"/>
      <c r="I432" s="9"/>
      <c r="J432" s="9" t="s">
        <v>1310</v>
      </c>
      <c r="K432" s="9"/>
      <c r="L432" s="9" t="s">
        <v>4483</v>
      </c>
      <c r="M432" s="9" t="s">
        <v>4484</v>
      </c>
      <c r="N432" s="9"/>
      <c r="O432" s="9" t="s">
        <v>4485</v>
      </c>
      <c r="P432" s="9" t="str">
        <f>HYPERLINK("https://ceds.ed.gov/cedselementdetails.aspx?termid=14486")</f>
        <v>https://ceds.ed.gov/cedselementdetails.aspx?termid=14486</v>
      </c>
      <c r="Q432" s="9" t="str">
        <f>HYPERLINK("https://ceds.ed.gov/elementComment.aspx?elementName=Other First Name &amp;elementID=14486", "Click here to submit comment")</f>
        <v>Click here to submit comment</v>
      </c>
    </row>
    <row r="433" spans="1:17" ht="45" x14ac:dyDescent="0.25">
      <c r="A433" s="9" t="s">
        <v>6739</v>
      </c>
      <c r="B433" s="9" t="s">
        <v>6802</v>
      </c>
      <c r="C433" s="9" t="s">
        <v>6743</v>
      </c>
      <c r="D433" s="9" t="s">
        <v>6742</v>
      </c>
      <c r="E433" s="9" t="s">
        <v>4491</v>
      </c>
      <c r="F433" s="9" t="s">
        <v>4492</v>
      </c>
      <c r="G433" s="9" t="s">
        <v>12</v>
      </c>
      <c r="H433" s="9"/>
      <c r="I433" s="9"/>
      <c r="J433" s="9" t="s">
        <v>1310</v>
      </c>
      <c r="K433" s="9"/>
      <c r="L433" s="9" t="s">
        <v>4493</v>
      </c>
      <c r="M433" s="9" t="s">
        <v>4494</v>
      </c>
      <c r="N433" s="9"/>
      <c r="O433" s="9" t="s">
        <v>4495</v>
      </c>
      <c r="P433" s="9" t="str">
        <f>HYPERLINK("https://ceds.ed.gov/cedselementdetails.aspx?termid=14487")</f>
        <v>https://ceds.ed.gov/cedselementdetails.aspx?termid=14487</v>
      </c>
      <c r="Q433" s="9" t="str">
        <f>HYPERLINK("https://ceds.ed.gov/elementComment.aspx?elementName=Other Middle Name &amp;elementID=14487", "Click here to submit comment")</f>
        <v>Click here to submit comment</v>
      </c>
    </row>
    <row r="434" spans="1:17" ht="45" x14ac:dyDescent="0.25">
      <c r="A434" s="9" t="s">
        <v>6739</v>
      </c>
      <c r="B434" s="9" t="s">
        <v>6802</v>
      </c>
      <c r="C434" s="9" t="s">
        <v>6743</v>
      </c>
      <c r="D434" s="9" t="s">
        <v>6742</v>
      </c>
      <c r="E434" s="9" t="s">
        <v>4486</v>
      </c>
      <c r="F434" s="9" t="s">
        <v>4487</v>
      </c>
      <c r="G434" s="9" t="s">
        <v>12</v>
      </c>
      <c r="H434" s="9"/>
      <c r="I434" s="9"/>
      <c r="J434" s="9" t="s">
        <v>1310</v>
      </c>
      <c r="K434" s="9"/>
      <c r="L434" s="9" t="s">
        <v>4488</v>
      </c>
      <c r="M434" s="9" t="s">
        <v>4489</v>
      </c>
      <c r="N434" s="9"/>
      <c r="O434" s="9" t="s">
        <v>4490</v>
      </c>
      <c r="P434" s="9" t="str">
        <f>HYPERLINK("https://ceds.ed.gov/cedselementdetails.aspx?termid=14485")</f>
        <v>https://ceds.ed.gov/cedselementdetails.aspx?termid=14485</v>
      </c>
      <c r="Q434" s="9" t="str">
        <f>HYPERLINK("https://ceds.ed.gov/elementComment.aspx?elementName=Other Last Name &amp;elementID=14485", "Click here to submit comment")</f>
        <v>Click here to submit comment</v>
      </c>
    </row>
    <row r="435" spans="1:17" ht="150" x14ac:dyDescent="0.25">
      <c r="A435" s="9" t="s">
        <v>6739</v>
      </c>
      <c r="B435" s="9" t="s">
        <v>6802</v>
      </c>
      <c r="C435" s="9" t="s">
        <v>6743</v>
      </c>
      <c r="D435" s="9" t="s">
        <v>6742</v>
      </c>
      <c r="E435" s="9" t="s">
        <v>4496</v>
      </c>
      <c r="F435" s="9" t="s">
        <v>4497</v>
      </c>
      <c r="G435" s="9" t="s">
        <v>12</v>
      </c>
      <c r="H435" s="9" t="s">
        <v>6212</v>
      </c>
      <c r="I435" s="9"/>
      <c r="J435" s="9" t="s">
        <v>119</v>
      </c>
      <c r="K435" s="9"/>
      <c r="L435" s="9"/>
      <c r="M435" s="9" t="s">
        <v>4498</v>
      </c>
      <c r="N435" s="9"/>
      <c r="O435" s="9" t="s">
        <v>4499</v>
      </c>
      <c r="P435" s="9" t="str">
        <f>HYPERLINK("https://ceds.ed.gov/cedselementdetails.aspx?termid=13206")</f>
        <v>https://ceds.ed.gov/cedselementdetails.aspx?termid=13206</v>
      </c>
      <c r="Q435" s="9" t="str">
        <f>HYPERLINK("https://ceds.ed.gov/elementComment.aspx?elementName=Other Name &amp;elementID=13206", "Click here to submit comment")</f>
        <v>Click here to submit comment</v>
      </c>
    </row>
    <row r="436" spans="1:17" ht="105" x14ac:dyDescent="0.25">
      <c r="A436" s="18" t="s">
        <v>6739</v>
      </c>
      <c r="B436" s="18" t="s">
        <v>6802</v>
      </c>
      <c r="C436" s="18" t="s">
        <v>6744</v>
      </c>
      <c r="D436" s="18" t="s">
        <v>6742</v>
      </c>
      <c r="E436" s="18" t="s">
        <v>5621</v>
      </c>
      <c r="F436" s="18" t="s">
        <v>5622</v>
      </c>
      <c r="G436" s="18" t="s">
        <v>12</v>
      </c>
      <c r="H436" s="18" t="s">
        <v>6284</v>
      </c>
      <c r="I436" s="18"/>
      <c r="J436" s="18" t="s">
        <v>119</v>
      </c>
      <c r="K436" s="18"/>
      <c r="L436" s="9" t="s">
        <v>120</v>
      </c>
      <c r="M436" s="18" t="s">
        <v>5623</v>
      </c>
      <c r="N436" s="18"/>
      <c r="O436" s="18" t="s">
        <v>5624</v>
      </c>
      <c r="P436" s="18" t="str">
        <f>HYPERLINK("https://ceds.ed.gov/cedselementdetails.aspx?termid=13156")</f>
        <v>https://ceds.ed.gov/cedselementdetails.aspx?termid=13156</v>
      </c>
      <c r="Q436" s="18" t="str">
        <f>HYPERLINK("https://ceds.ed.gov/elementComment.aspx?elementName=Staff Member Identifier &amp;elementID=13156", "Click here to submit comment")</f>
        <v>Click here to submit comment</v>
      </c>
    </row>
    <row r="437" spans="1:17" x14ac:dyDescent="0.25">
      <c r="A437" s="18"/>
      <c r="B437" s="18"/>
      <c r="C437" s="18"/>
      <c r="D437" s="18"/>
      <c r="E437" s="18"/>
      <c r="F437" s="18"/>
      <c r="G437" s="18"/>
      <c r="H437" s="18"/>
      <c r="I437" s="18"/>
      <c r="J437" s="18"/>
      <c r="K437" s="18"/>
      <c r="L437" s="9"/>
      <c r="M437" s="18"/>
      <c r="N437" s="18"/>
      <c r="O437" s="18"/>
      <c r="P437" s="18"/>
      <c r="Q437" s="18"/>
    </row>
    <row r="438" spans="1:17" ht="90" x14ac:dyDescent="0.25">
      <c r="A438" s="18"/>
      <c r="B438" s="18"/>
      <c r="C438" s="18"/>
      <c r="D438" s="18"/>
      <c r="E438" s="18"/>
      <c r="F438" s="18"/>
      <c r="G438" s="18"/>
      <c r="H438" s="18"/>
      <c r="I438" s="18"/>
      <c r="J438" s="18"/>
      <c r="K438" s="18"/>
      <c r="L438" s="9" t="s">
        <v>121</v>
      </c>
      <c r="M438" s="18"/>
      <c r="N438" s="18"/>
      <c r="O438" s="18"/>
      <c r="P438" s="18"/>
      <c r="Q438" s="18"/>
    </row>
    <row r="439" spans="1:17" ht="345" x14ac:dyDescent="0.25">
      <c r="A439" s="9" t="s">
        <v>6739</v>
      </c>
      <c r="B439" s="9" t="s">
        <v>6802</v>
      </c>
      <c r="C439" s="9" t="s">
        <v>6744</v>
      </c>
      <c r="D439" s="9" t="s">
        <v>6742</v>
      </c>
      <c r="E439" s="9" t="s">
        <v>5617</v>
      </c>
      <c r="F439" s="9" t="s">
        <v>5618</v>
      </c>
      <c r="G439" s="10" t="s">
        <v>6700</v>
      </c>
      <c r="H439" s="9" t="s">
        <v>6283</v>
      </c>
      <c r="I439" s="9"/>
      <c r="J439" s="9"/>
      <c r="K439" s="9"/>
      <c r="L439" s="9"/>
      <c r="M439" s="9" t="s">
        <v>5619</v>
      </c>
      <c r="N439" s="9"/>
      <c r="O439" s="9" t="s">
        <v>5620</v>
      </c>
      <c r="P439" s="9" t="str">
        <f>HYPERLINK("https://ceds.ed.gov/cedselementdetails.aspx?termid=13162")</f>
        <v>https://ceds.ed.gov/cedselementdetails.aspx?termid=13162</v>
      </c>
      <c r="Q439" s="9" t="str">
        <f>HYPERLINK("https://ceds.ed.gov/elementComment.aspx?elementName=Staff Member Identification System &amp;elementID=13162", "Click here to submit comment")</f>
        <v>Click here to submit comment</v>
      </c>
    </row>
    <row r="440" spans="1:17" ht="105" x14ac:dyDescent="0.25">
      <c r="A440" s="9" t="s">
        <v>6739</v>
      </c>
      <c r="B440" s="9" t="s">
        <v>6802</v>
      </c>
      <c r="C440" s="9" t="s">
        <v>6745</v>
      </c>
      <c r="D440" s="9" t="s">
        <v>6742</v>
      </c>
      <c r="E440" s="9" t="s">
        <v>178</v>
      </c>
      <c r="F440" s="9" t="s">
        <v>179</v>
      </c>
      <c r="G440" s="10" t="s">
        <v>6321</v>
      </c>
      <c r="H440" s="9" t="s">
        <v>182</v>
      </c>
      <c r="I440" s="9"/>
      <c r="J440" s="9" t="s">
        <v>87</v>
      </c>
      <c r="K440" s="9"/>
      <c r="L440" s="9"/>
      <c r="M440" s="9" t="s">
        <v>180</v>
      </c>
      <c r="N440" s="9"/>
      <c r="O440" s="9" t="s">
        <v>181</v>
      </c>
      <c r="P440" s="9" t="str">
        <f>HYPERLINK("https://ceds.ed.gov/cedselementdetails.aspx?termid=13698")</f>
        <v>https://ceds.ed.gov/cedselementdetails.aspx?termid=13698</v>
      </c>
      <c r="Q440" s="9" t="str">
        <f>HYPERLINK("https://ceds.ed.gov/elementComment.aspx?elementName=Address Type for Staff &amp;elementID=13698", "Click here to submit comment")</f>
        <v>Click here to submit comment</v>
      </c>
    </row>
    <row r="441" spans="1:17" ht="225" x14ac:dyDescent="0.25">
      <c r="A441" s="9" t="s">
        <v>6739</v>
      </c>
      <c r="B441" s="9" t="s">
        <v>6802</v>
      </c>
      <c r="C441" s="9" t="s">
        <v>6745</v>
      </c>
      <c r="D441" s="9" t="s">
        <v>6742</v>
      </c>
      <c r="E441" s="9" t="s">
        <v>166</v>
      </c>
      <c r="F441" s="9" t="s">
        <v>167</v>
      </c>
      <c r="G441" s="9" t="s">
        <v>12</v>
      </c>
      <c r="H441" s="9" t="s">
        <v>6113</v>
      </c>
      <c r="I441" s="9"/>
      <c r="J441" s="9" t="s">
        <v>119</v>
      </c>
      <c r="K441" s="9"/>
      <c r="L441" s="9"/>
      <c r="M441" s="9" t="s">
        <v>168</v>
      </c>
      <c r="N441" s="9"/>
      <c r="O441" s="9" t="s">
        <v>169</v>
      </c>
      <c r="P441" s="9" t="str">
        <f>HYPERLINK("https://ceds.ed.gov/cedselementdetails.aspx?termid=13269")</f>
        <v>https://ceds.ed.gov/cedselementdetails.aspx?termid=13269</v>
      </c>
      <c r="Q441" s="9" t="str">
        <f>HYPERLINK("https://ceds.ed.gov/elementComment.aspx?elementName=Address Street Number and Name &amp;elementID=13269", "Click here to submit comment")</f>
        <v>Click here to submit comment</v>
      </c>
    </row>
    <row r="442" spans="1:17" ht="225" x14ac:dyDescent="0.25">
      <c r="A442" s="9" t="s">
        <v>6739</v>
      </c>
      <c r="B442" s="9" t="s">
        <v>6802</v>
      </c>
      <c r="C442" s="9" t="s">
        <v>6745</v>
      </c>
      <c r="D442" s="9" t="s">
        <v>6742</v>
      </c>
      <c r="E442" s="9" t="s">
        <v>149</v>
      </c>
      <c r="F442" s="9" t="s">
        <v>150</v>
      </c>
      <c r="G442" s="9" t="s">
        <v>12</v>
      </c>
      <c r="H442" s="9" t="s">
        <v>6113</v>
      </c>
      <c r="I442" s="9"/>
      <c r="J442" s="9" t="s">
        <v>87</v>
      </c>
      <c r="K442" s="9"/>
      <c r="L442" s="9"/>
      <c r="M442" s="9" t="s">
        <v>151</v>
      </c>
      <c r="N442" s="9"/>
      <c r="O442" s="9" t="s">
        <v>152</v>
      </c>
      <c r="P442" s="9" t="str">
        <f>HYPERLINK("https://ceds.ed.gov/cedselementdetails.aspx?termid=13019")</f>
        <v>https://ceds.ed.gov/cedselementdetails.aspx?termid=13019</v>
      </c>
      <c r="Q442" s="9" t="str">
        <f>HYPERLINK("https://ceds.ed.gov/elementComment.aspx?elementName=Address Apartment Room or Suite Number &amp;elementID=13019", "Click here to submit comment")</f>
        <v>Click here to submit comment</v>
      </c>
    </row>
    <row r="443" spans="1:17" ht="225" x14ac:dyDescent="0.25">
      <c r="A443" s="9" t="s">
        <v>6739</v>
      </c>
      <c r="B443" s="9" t="s">
        <v>6802</v>
      </c>
      <c r="C443" s="9" t="s">
        <v>6745</v>
      </c>
      <c r="D443" s="9" t="s">
        <v>6742</v>
      </c>
      <c r="E443" s="9" t="s">
        <v>153</v>
      </c>
      <c r="F443" s="9" t="s">
        <v>154</v>
      </c>
      <c r="G443" s="9" t="s">
        <v>12</v>
      </c>
      <c r="H443" s="9" t="s">
        <v>6113</v>
      </c>
      <c r="I443" s="9"/>
      <c r="J443" s="9" t="s">
        <v>87</v>
      </c>
      <c r="K443" s="9"/>
      <c r="L443" s="9"/>
      <c r="M443" s="9" t="s">
        <v>155</v>
      </c>
      <c r="N443" s="9"/>
      <c r="O443" s="9" t="s">
        <v>156</v>
      </c>
      <c r="P443" s="9" t="str">
        <f>HYPERLINK("https://ceds.ed.gov/cedselementdetails.aspx?termid=13040")</f>
        <v>https://ceds.ed.gov/cedselementdetails.aspx?termid=13040</v>
      </c>
      <c r="Q443" s="9" t="str">
        <f>HYPERLINK("https://ceds.ed.gov/elementComment.aspx?elementName=Address City &amp;elementID=13040", "Click here to submit comment")</f>
        <v>Click here to submit comment</v>
      </c>
    </row>
    <row r="444" spans="1:17" ht="409.5" x14ac:dyDescent="0.25">
      <c r="A444" s="9" t="s">
        <v>6739</v>
      </c>
      <c r="B444" s="9" t="s">
        <v>6802</v>
      </c>
      <c r="C444" s="9" t="s">
        <v>6745</v>
      </c>
      <c r="D444" s="9" t="s">
        <v>6742</v>
      </c>
      <c r="E444" s="9" t="s">
        <v>5647</v>
      </c>
      <c r="F444" s="9" t="s">
        <v>5648</v>
      </c>
      <c r="G444" s="10" t="s">
        <v>6702</v>
      </c>
      <c r="H444" s="9" t="s">
        <v>6285</v>
      </c>
      <c r="I444" s="9"/>
      <c r="J444" s="9"/>
      <c r="K444" s="9"/>
      <c r="L444" s="9"/>
      <c r="M444" s="9" t="s">
        <v>5649</v>
      </c>
      <c r="N444" s="9"/>
      <c r="O444" s="9" t="s">
        <v>5650</v>
      </c>
      <c r="P444" s="9" t="str">
        <f>HYPERLINK("https://ceds.ed.gov/cedselementdetails.aspx?termid=13267")</f>
        <v>https://ceds.ed.gov/cedselementdetails.aspx?termid=13267</v>
      </c>
      <c r="Q444" s="9" t="str">
        <f>HYPERLINK("https://ceds.ed.gov/elementComment.aspx?elementName=State Abbreviation &amp;elementID=13267", "Click here to submit comment")</f>
        <v>Click here to submit comment</v>
      </c>
    </row>
    <row r="445" spans="1:17" ht="225" x14ac:dyDescent="0.25">
      <c r="A445" s="9" t="s">
        <v>6739</v>
      </c>
      <c r="B445" s="9" t="s">
        <v>6802</v>
      </c>
      <c r="C445" s="9" t="s">
        <v>6745</v>
      </c>
      <c r="D445" s="9" t="s">
        <v>6742</v>
      </c>
      <c r="E445" s="9" t="s">
        <v>161</v>
      </c>
      <c r="F445" s="9" t="s">
        <v>162</v>
      </c>
      <c r="G445" s="9" t="s">
        <v>12</v>
      </c>
      <c r="H445" s="9" t="s">
        <v>6113</v>
      </c>
      <c r="I445" s="9"/>
      <c r="J445" s="9" t="s">
        <v>163</v>
      </c>
      <c r="K445" s="9"/>
      <c r="L445" s="9"/>
      <c r="M445" s="9" t="s">
        <v>164</v>
      </c>
      <c r="N445" s="9"/>
      <c r="O445" s="9" t="s">
        <v>165</v>
      </c>
      <c r="P445" s="9" t="str">
        <f>HYPERLINK("https://ceds.ed.gov/cedselementdetails.aspx?termid=13214")</f>
        <v>https://ceds.ed.gov/cedselementdetails.aspx?termid=13214</v>
      </c>
      <c r="Q445" s="9" t="str">
        <f>HYPERLINK("https://ceds.ed.gov/elementComment.aspx?elementName=Address Postal Code &amp;elementID=13214", "Click here to submit comment")</f>
        <v>Click here to submit comment</v>
      </c>
    </row>
    <row r="446" spans="1:17" ht="225" x14ac:dyDescent="0.25">
      <c r="A446" s="9" t="s">
        <v>6739</v>
      </c>
      <c r="B446" s="9" t="s">
        <v>6802</v>
      </c>
      <c r="C446" s="9" t="s">
        <v>6745</v>
      </c>
      <c r="D446" s="9" t="s">
        <v>6742</v>
      </c>
      <c r="E446" s="9" t="s">
        <v>157</v>
      </c>
      <c r="F446" s="9" t="s">
        <v>158</v>
      </c>
      <c r="G446" s="9" t="s">
        <v>12</v>
      </c>
      <c r="H446" s="9" t="s">
        <v>6113</v>
      </c>
      <c r="I446" s="9"/>
      <c r="J446" s="9" t="s">
        <v>87</v>
      </c>
      <c r="K446" s="9"/>
      <c r="L446" s="9"/>
      <c r="M446" s="9" t="s">
        <v>159</v>
      </c>
      <c r="N446" s="9"/>
      <c r="O446" s="9" t="s">
        <v>160</v>
      </c>
      <c r="P446" s="9" t="str">
        <f>HYPERLINK("https://ceds.ed.gov/cedselementdetails.aspx?termid=13190")</f>
        <v>https://ceds.ed.gov/cedselementdetails.aspx?termid=13190</v>
      </c>
      <c r="Q446" s="9" t="str">
        <f>HYPERLINK("https://ceds.ed.gov/elementComment.aspx?elementName=Address County Name &amp;elementID=13190", "Click here to submit comment")</f>
        <v>Click here to submit comment</v>
      </c>
    </row>
    <row r="447" spans="1:17" ht="409.5" x14ac:dyDescent="0.25">
      <c r="A447" s="9" t="s">
        <v>6739</v>
      </c>
      <c r="B447" s="9" t="s">
        <v>6802</v>
      </c>
      <c r="C447" s="9" t="s">
        <v>6745</v>
      </c>
      <c r="D447" s="9" t="s">
        <v>6742</v>
      </c>
      <c r="E447" s="9" t="s">
        <v>1885</v>
      </c>
      <c r="F447" s="9" t="s">
        <v>1886</v>
      </c>
      <c r="G447" s="10" t="s">
        <v>11839</v>
      </c>
      <c r="H447" s="9" t="s">
        <v>6174</v>
      </c>
      <c r="I447" s="9"/>
      <c r="J447" s="9"/>
      <c r="K447" s="9"/>
      <c r="L447" s="11" t="s">
        <v>1887</v>
      </c>
      <c r="M447" s="9" t="s">
        <v>1888</v>
      </c>
      <c r="N447" s="9"/>
      <c r="O447" s="9" t="s">
        <v>1889</v>
      </c>
      <c r="P447" s="9" t="str">
        <f>HYPERLINK("https://ceds.ed.gov/cedselementdetails.aspx?termid=13050")</f>
        <v>https://ceds.ed.gov/cedselementdetails.aspx?termid=13050</v>
      </c>
      <c r="Q447" s="9" t="str">
        <f>HYPERLINK("https://ceds.ed.gov/elementComment.aspx?elementName=Country Code &amp;elementID=13050", "Click here to submit comment")</f>
        <v>Click here to submit comment</v>
      </c>
    </row>
    <row r="448" spans="1:17" ht="75" x14ac:dyDescent="0.25">
      <c r="A448" s="9" t="s">
        <v>6739</v>
      </c>
      <c r="B448" s="9" t="s">
        <v>6802</v>
      </c>
      <c r="C448" s="9" t="s">
        <v>6745</v>
      </c>
      <c r="D448" s="9" t="s">
        <v>6742</v>
      </c>
      <c r="E448" s="9" t="s">
        <v>3606</v>
      </c>
      <c r="F448" s="9" t="s">
        <v>3607</v>
      </c>
      <c r="G448" s="9" t="s">
        <v>12</v>
      </c>
      <c r="H448" s="9"/>
      <c r="I448" s="9"/>
      <c r="J448" s="9" t="s">
        <v>1165</v>
      </c>
      <c r="K448" s="9"/>
      <c r="L448" s="9"/>
      <c r="M448" s="9" t="s">
        <v>3608</v>
      </c>
      <c r="N448" s="9"/>
      <c r="O448" s="9" t="s">
        <v>3606</v>
      </c>
      <c r="P448" s="9" t="str">
        <f>HYPERLINK("https://ceds.ed.gov/cedselementdetails.aspx?termid=13599")</f>
        <v>https://ceds.ed.gov/cedselementdetails.aspx?termid=13599</v>
      </c>
      <c r="Q448" s="9" t="str">
        <f>HYPERLINK("https://ceds.ed.gov/elementComment.aspx?elementName=Latitude &amp;elementID=13599", "Click here to submit comment")</f>
        <v>Click here to submit comment</v>
      </c>
    </row>
    <row r="449" spans="1:17" ht="75" x14ac:dyDescent="0.25">
      <c r="A449" s="9" t="s">
        <v>6739</v>
      </c>
      <c r="B449" s="9" t="s">
        <v>6802</v>
      </c>
      <c r="C449" s="9" t="s">
        <v>6745</v>
      </c>
      <c r="D449" s="9" t="s">
        <v>6742</v>
      </c>
      <c r="E449" s="9" t="s">
        <v>4139</v>
      </c>
      <c r="F449" s="9" t="s">
        <v>4140</v>
      </c>
      <c r="G449" s="9" t="s">
        <v>12</v>
      </c>
      <c r="H449" s="9"/>
      <c r="I449" s="9"/>
      <c r="J449" s="9" t="s">
        <v>1165</v>
      </c>
      <c r="K449" s="9"/>
      <c r="L449" s="9"/>
      <c r="M449" s="9" t="s">
        <v>4141</v>
      </c>
      <c r="N449" s="9"/>
      <c r="O449" s="9" t="s">
        <v>4139</v>
      </c>
      <c r="P449" s="9" t="str">
        <f>HYPERLINK("https://ceds.ed.gov/cedselementdetails.aspx?termid=13600")</f>
        <v>https://ceds.ed.gov/cedselementdetails.aspx?termid=13600</v>
      </c>
      <c r="Q449" s="9" t="str">
        <f>HYPERLINK("https://ceds.ed.gov/elementComment.aspx?elementName=Longitude &amp;elementID=13600", "Click here to submit comment")</f>
        <v>Click here to submit comment</v>
      </c>
    </row>
    <row r="450" spans="1:17" ht="90" x14ac:dyDescent="0.25">
      <c r="A450" s="9" t="s">
        <v>6739</v>
      </c>
      <c r="B450" s="9" t="s">
        <v>6802</v>
      </c>
      <c r="C450" s="9" t="s">
        <v>6747</v>
      </c>
      <c r="D450" s="9" t="s">
        <v>6742</v>
      </c>
      <c r="E450" s="9" t="s">
        <v>5849</v>
      </c>
      <c r="F450" s="9" t="s">
        <v>5850</v>
      </c>
      <c r="G450" s="9" t="s">
        <v>12</v>
      </c>
      <c r="H450" s="9" t="s">
        <v>6109</v>
      </c>
      <c r="I450" s="9"/>
      <c r="J450" s="9" t="s">
        <v>5851</v>
      </c>
      <c r="K450" s="9"/>
      <c r="L450" s="9"/>
      <c r="M450" s="9" t="s">
        <v>5852</v>
      </c>
      <c r="N450" s="9"/>
      <c r="O450" s="9" t="s">
        <v>5853</v>
      </c>
      <c r="P450" s="9" t="str">
        <f>HYPERLINK("https://ceds.ed.gov/cedselementdetails.aspx?termid=13279")</f>
        <v>https://ceds.ed.gov/cedselementdetails.aspx?termid=13279</v>
      </c>
      <c r="Q450" s="9" t="str">
        <f>HYPERLINK("https://ceds.ed.gov/elementComment.aspx?elementName=Telephone Number &amp;elementID=13279", "Click here to submit comment")</f>
        <v>Click here to submit comment</v>
      </c>
    </row>
    <row r="451" spans="1:17" ht="90" x14ac:dyDescent="0.25">
      <c r="A451" s="9" t="s">
        <v>6739</v>
      </c>
      <c r="B451" s="9" t="s">
        <v>6802</v>
      </c>
      <c r="C451" s="9" t="s">
        <v>6747</v>
      </c>
      <c r="D451" s="9" t="s">
        <v>6742</v>
      </c>
      <c r="E451" s="9" t="s">
        <v>5854</v>
      </c>
      <c r="F451" s="9" t="s">
        <v>5855</v>
      </c>
      <c r="G451" s="10" t="s">
        <v>6717</v>
      </c>
      <c r="H451" s="9" t="s">
        <v>6109</v>
      </c>
      <c r="I451" s="9"/>
      <c r="J451" s="9" t="s">
        <v>1900</v>
      </c>
      <c r="K451" s="9"/>
      <c r="L451" s="9"/>
      <c r="M451" s="9" t="s">
        <v>5856</v>
      </c>
      <c r="N451" s="9"/>
      <c r="O451" s="9" t="s">
        <v>5857</v>
      </c>
      <c r="P451" s="9" t="str">
        <f>HYPERLINK("https://ceds.ed.gov/cedselementdetails.aspx?termid=13280")</f>
        <v>https://ceds.ed.gov/cedselementdetails.aspx?termid=13280</v>
      </c>
      <c r="Q451" s="9" t="str">
        <f>HYPERLINK("https://ceds.ed.gov/elementComment.aspx?elementName=Telephone Number Type &amp;elementID=13280", "Click here to submit comment")</f>
        <v>Click here to submit comment</v>
      </c>
    </row>
    <row r="452" spans="1:17" ht="90" x14ac:dyDescent="0.25">
      <c r="A452" s="9" t="s">
        <v>6739</v>
      </c>
      <c r="B452" s="9" t="s">
        <v>6802</v>
      </c>
      <c r="C452" s="9" t="s">
        <v>6747</v>
      </c>
      <c r="D452" s="9" t="s">
        <v>6742</v>
      </c>
      <c r="E452" s="9" t="s">
        <v>4709</v>
      </c>
      <c r="F452" s="9" t="s">
        <v>4710</v>
      </c>
      <c r="G452" s="9" t="s">
        <v>6106</v>
      </c>
      <c r="H452" s="9" t="s">
        <v>6109</v>
      </c>
      <c r="I452" s="9"/>
      <c r="J452" s="9"/>
      <c r="K452" s="9"/>
      <c r="L452" s="9"/>
      <c r="M452" s="9" t="s">
        <v>4711</v>
      </c>
      <c r="N452" s="9"/>
      <c r="O452" s="9" t="s">
        <v>4712</v>
      </c>
      <c r="P452" s="9" t="str">
        <f>HYPERLINK("https://ceds.ed.gov/cedselementdetails.aspx?termid=13219")</f>
        <v>https://ceds.ed.gov/cedselementdetails.aspx?termid=13219</v>
      </c>
      <c r="Q452" s="9" t="str">
        <f>HYPERLINK("https://ceds.ed.gov/elementComment.aspx?elementName=Primary Telephone Number Indicator &amp;elementID=13219", "Click here to submit comment")</f>
        <v>Click here to submit comment</v>
      </c>
    </row>
    <row r="453" spans="1:17" ht="90" x14ac:dyDescent="0.25">
      <c r="A453" s="9" t="s">
        <v>6739</v>
      </c>
      <c r="B453" s="9" t="s">
        <v>6802</v>
      </c>
      <c r="C453" s="9" t="s">
        <v>6773</v>
      </c>
      <c r="D453" s="9" t="s">
        <v>6742</v>
      </c>
      <c r="E453" s="9" t="s">
        <v>2584</v>
      </c>
      <c r="F453" s="9" t="s">
        <v>2585</v>
      </c>
      <c r="G453" s="9" t="s">
        <v>12</v>
      </c>
      <c r="H453" s="9" t="s">
        <v>6109</v>
      </c>
      <c r="I453" s="9"/>
      <c r="J453" s="9" t="s">
        <v>11127</v>
      </c>
      <c r="K453" s="9"/>
      <c r="L453" s="9"/>
      <c r="M453" s="9" t="s">
        <v>2586</v>
      </c>
      <c r="N453" s="9" t="s">
        <v>2587</v>
      </c>
      <c r="O453" s="9" t="s">
        <v>2588</v>
      </c>
      <c r="P453" s="9" t="str">
        <f>HYPERLINK("https://ceds.ed.gov/cedselementdetails.aspx?termid=13088")</f>
        <v>https://ceds.ed.gov/cedselementdetails.aspx?termid=13088</v>
      </c>
      <c r="Q453" s="9" t="str">
        <f>HYPERLINK("https://ceds.ed.gov/elementComment.aspx?elementName=Electronic Mail Address &amp;elementID=13088", "Click here to submit comment")</f>
        <v>Click here to submit comment</v>
      </c>
    </row>
    <row r="454" spans="1:17" ht="90" x14ac:dyDescent="0.25">
      <c r="A454" s="9" t="s">
        <v>6739</v>
      </c>
      <c r="B454" s="9" t="s">
        <v>6802</v>
      </c>
      <c r="C454" s="9" t="s">
        <v>6773</v>
      </c>
      <c r="D454" s="9" t="s">
        <v>6742</v>
      </c>
      <c r="E454" s="9" t="s">
        <v>2589</v>
      </c>
      <c r="F454" s="9" t="s">
        <v>2590</v>
      </c>
      <c r="G454" s="10" t="s">
        <v>6484</v>
      </c>
      <c r="H454" s="9" t="s">
        <v>6109</v>
      </c>
      <c r="I454" s="9"/>
      <c r="J454" s="9"/>
      <c r="K454" s="9"/>
      <c r="L454" s="9"/>
      <c r="M454" s="9" t="s">
        <v>2591</v>
      </c>
      <c r="N454" s="9" t="s">
        <v>2592</v>
      </c>
      <c r="O454" s="9" t="s">
        <v>2593</v>
      </c>
      <c r="P454" s="9" t="str">
        <f>HYPERLINK("https://ceds.ed.gov/cedselementdetails.aspx?termid=13089")</f>
        <v>https://ceds.ed.gov/cedselementdetails.aspx?termid=13089</v>
      </c>
      <c r="Q454" s="9" t="str">
        <f>HYPERLINK("https://ceds.ed.gov/elementComment.aspx?elementName=Electronic Mail Address Type &amp;elementID=13089", "Click here to submit comment")</f>
        <v>Click here to submit comment</v>
      </c>
    </row>
    <row r="455" spans="1:17" ht="240" x14ac:dyDescent="0.25">
      <c r="A455" s="9" t="s">
        <v>6739</v>
      </c>
      <c r="B455" s="9" t="s">
        <v>6802</v>
      </c>
      <c r="C455" s="9" t="s">
        <v>6748</v>
      </c>
      <c r="D455" s="9" t="s">
        <v>6742</v>
      </c>
      <c r="E455" s="9" t="s">
        <v>1530</v>
      </c>
      <c r="F455" s="9" t="s">
        <v>1531</v>
      </c>
      <c r="G455" s="9" t="s">
        <v>12</v>
      </c>
      <c r="H455" s="9" t="s">
        <v>6151</v>
      </c>
      <c r="I455" s="9"/>
      <c r="J455" s="9" t="s">
        <v>73</v>
      </c>
      <c r="K455" s="9"/>
      <c r="L455" s="9"/>
      <c r="M455" s="9" t="s">
        <v>1532</v>
      </c>
      <c r="N455" s="9"/>
      <c r="O455" s="9" t="s">
        <v>1530</v>
      </c>
      <c r="P455" s="9" t="str">
        <f>HYPERLINK("https://ceds.ed.gov/cedselementdetails.aspx?termid=13033")</f>
        <v>https://ceds.ed.gov/cedselementdetails.aspx?termid=13033</v>
      </c>
      <c r="Q455" s="9" t="str">
        <f>HYPERLINK("https://ceds.ed.gov/elementComment.aspx?elementName=Birthdate &amp;elementID=13033", "Click here to submit comment")</f>
        <v>Click here to submit comment</v>
      </c>
    </row>
    <row r="456" spans="1:17" ht="255" x14ac:dyDescent="0.25">
      <c r="A456" s="9" t="s">
        <v>6739</v>
      </c>
      <c r="B456" s="9" t="s">
        <v>6802</v>
      </c>
      <c r="C456" s="9" t="s">
        <v>6748</v>
      </c>
      <c r="D456" s="9" t="s">
        <v>6742</v>
      </c>
      <c r="E456" s="9" t="s">
        <v>5468</v>
      </c>
      <c r="F456" s="9" t="s">
        <v>5469</v>
      </c>
      <c r="G456" s="10" t="s">
        <v>6694</v>
      </c>
      <c r="H456" s="9" t="s">
        <v>6277</v>
      </c>
      <c r="I456" s="9"/>
      <c r="J456" s="9"/>
      <c r="K456" s="9"/>
      <c r="L456" s="9" t="s">
        <v>5470</v>
      </c>
      <c r="M456" s="9" t="s">
        <v>5471</v>
      </c>
      <c r="N456" s="9"/>
      <c r="O456" s="9" t="s">
        <v>5468</v>
      </c>
      <c r="P456" s="9" t="str">
        <f>HYPERLINK("https://ceds.ed.gov/cedselementdetails.aspx?termid=13255")</f>
        <v>https://ceds.ed.gov/cedselementdetails.aspx?termid=13255</v>
      </c>
      <c r="Q456" s="9" t="str">
        <f>HYPERLINK("https://ceds.ed.gov/elementComment.aspx?elementName=Sex &amp;elementID=13255", "Click here to submit comment")</f>
        <v>Click here to submit comment</v>
      </c>
    </row>
    <row r="457" spans="1:17" ht="165" customHeight="1" x14ac:dyDescent="0.25">
      <c r="A457" s="18" t="s">
        <v>6739</v>
      </c>
      <c r="B457" s="18" t="s">
        <v>6802</v>
      </c>
      <c r="C457" s="18" t="s">
        <v>6748</v>
      </c>
      <c r="D457" s="18" t="s">
        <v>6742</v>
      </c>
      <c r="E457" s="18" t="s">
        <v>334</v>
      </c>
      <c r="F457" s="18" t="s">
        <v>335</v>
      </c>
      <c r="G457" s="19" t="s">
        <v>6342</v>
      </c>
      <c r="H457" s="18" t="s">
        <v>6121</v>
      </c>
      <c r="I457" s="18"/>
      <c r="J457" s="18"/>
      <c r="K457" s="18"/>
      <c r="L457" s="9" t="s">
        <v>336</v>
      </c>
      <c r="M457" s="18" t="s">
        <v>340</v>
      </c>
      <c r="N457" s="18"/>
      <c r="O457" s="18" t="s">
        <v>341</v>
      </c>
      <c r="P457" s="18" t="str">
        <f>HYPERLINK("https://ceds.ed.gov/cedselementdetails.aspx?termid=13655")</f>
        <v>https://ceds.ed.gov/cedselementdetails.aspx?termid=13655</v>
      </c>
      <c r="Q457" s="18" t="str">
        <f>HYPERLINK("https://ceds.ed.gov/elementComment.aspx?elementName=American Indian or Alaska Native &amp;elementID=13655", "Click here to submit comment")</f>
        <v>Click here to submit comment</v>
      </c>
    </row>
    <row r="458" spans="1:17" x14ac:dyDescent="0.25">
      <c r="A458" s="18"/>
      <c r="B458" s="18"/>
      <c r="C458" s="18"/>
      <c r="D458" s="18"/>
      <c r="E458" s="18"/>
      <c r="F458" s="18"/>
      <c r="G458" s="18"/>
      <c r="H458" s="18"/>
      <c r="I458" s="18"/>
      <c r="J458" s="18"/>
      <c r="K458" s="18"/>
      <c r="L458" s="9"/>
      <c r="M458" s="18"/>
      <c r="N458" s="18"/>
      <c r="O458" s="18"/>
      <c r="P458" s="18"/>
      <c r="Q458" s="18"/>
    </row>
    <row r="459" spans="1:17" x14ac:dyDescent="0.25">
      <c r="A459" s="18"/>
      <c r="B459" s="18"/>
      <c r="C459" s="18"/>
      <c r="D459" s="18"/>
      <c r="E459" s="18"/>
      <c r="F459" s="18"/>
      <c r="G459" s="18"/>
      <c r="H459" s="18"/>
      <c r="I459" s="18"/>
      <c r="J459" s="18"/>
      <c r="K459" s="18"/>
      <c r="L459" s="9" t="s">
        <v>337</v>
      </c>
      <c r="M459" s="18"/>
      <c r="N459" s="18"/>
      <c r="O459" s="18"/>
      <c r="P459" s="18"/>
      <c r="Q459" s="18"/>
    </row>
    <row r="460" spans="1:17" ht="30" x14ac:dyDescent="0.25">
      <c r="A460" s="18"/>
      <c r="B460" s="18"/>
      <c r="C460" s="18"/>
      <c r="D460" s="18"/>
      <c r="E460" s="18"/>
      <c r="F460" s="18"/>
      <c r="G460" s="18"/>
      <c r="H460" s="18"/>
      <c r="I460" s="18"/>
      <c r="J460" s="18"/>
      <c r="K460" s="18"/>
      <c r="L460" s="9" t="s">
        <v>338</v>
      </c>
      <c r="M460" s="18"/>
      <c r="N460" s="18"/>
      <c r="O460" s="18"/>
      <c r="P460" s="18"/>
      <c r="Q460" s="18"/>
    </row>
    <row r="461" spans="1:17" x14ac:dyDescent="0.25">
      <c r="A461" s="18"/>
      <c r="B461" s="18"/>
      <c r="C461" s="18"/>
      <c r="D461" s="18"/>
      <c r="E461" s="18"/>
      <c r="F461" s="18"/>
      <c r="G461" s="18"/>
      <c r="H461" s="18"/>
      <c r="I461" s="18"/>
      <c r="J461" s="18"/>
      <c r="K461" s="18"/>
      <c r="L461" s="9" t="s">
        <v>339</v>
      </c>
      <c r="M461" s="18"/>
      <c r="N461" s="18"/>
      <c r="O461" s="18"/>
      <c r="P461" s="18"/>
      <c r="Q461" s="18"/>
    </row>
    <row r="462" spans="1:17" ht="165" customHeight="1" x14ac:dyDescent="0.25">
      <c r="A462" s="18" t="s">
        <v>6739</v>
      </c>
      <c r="B462" s="18" t="s">
        <v>6802</v>
      </c>
      <c r="C462" s="18" t="s">
        <v>6748</v>
      </c>
      <c r="D462" s="18" t="s">
        <v>6742</v>
      </c>
      <c r="E462" s="18" t="s">
        <v>376</v>
      </c>
      <c r="F462" s="18" t="s">
        <v>377</v>
      </c>
      <c r="G462" s="19" t="s">
        <v>6342</v>
      </c>
      <c r="H462" s="18" t="s">
        <v>6121</v>
      </c>
      <c r="I462" s="18"/>
      <c r="J462" s="18"/>
      <c r="K462" s="18"/>
      <c r="L462" s="9" t="s">
        <v>336</v>
      </c>
      <c r="M462" s="18" t="s">
        <v>378</v>
      </c>
      <c r="N462" s="18"/>
      <c r="O462" s="18" t="s">
        <v>376</v>
      </c>
      <c r="P462" s="18" t="str">
        <f>HYPERLINK("https://ceds.ed.gov/cedselementdetails.aspx?termid=13656")</f>
        <v>https://ceds.ed.gov/cedselementdetails.aspx?termid=13656</v>
      </c>
      <c r="Q462" s="18" t="str">
        <f>HYPERLINK("https://ceds.ed.gov/elementComment.aspx?elementName=Asian &amp;elementID=13656", "Click here to submit comment")</f>
        <v>Click here to submit comment</v>
      </c>
    </row>
    <row r="463" spans="1:17" x14ac:dyDescent="0.25">
      <c r="A463" s="18"/>
      <c r="B463" s="18"/>
      <c r="C463" s="18"/>
      <c r="D463" s="18"/>
      <c r="E463" s="18"/>
      <c r="F463" s="18"/>
      <c r="G463" s="18"/>
      <c r="H463" s="18"/>
      <c r="I463" s="18"/>
      <c r="J463" s="18"/>
      <c r="K463" s="18"/>
      <c r="L463" s="9"/>
      <c r="M463" s="18"/>
      <c r="N463" s="18"/>
      <c r="O463" s="18"/>
      <c r="P463" s="18"/>
      <c r="Q463" s="18"/>
    </row>
    <row r="464" spans="1:17" x14ac:dyDescent="0.25">
      <c r="A464" s="18"/>
      <c r="B464" s="18"/>
      <c r="C464" s="18"/>
      <c r="D464" s="18"/>
      <c r="E464" s="18"/>
      <c r="F464" s="18"/>
      <c r="G464" s="18"/>
      <c r="H464" s="18"/>
      <c r="I464" s="18"/>
      <c r="J464" s="18"/>
      <c r="K464" s="18"/>
      <c r="L464" s="9" t="s">
        <v>337</v>
      </c>
      <c r="M464" s="18"/>
      <c r="N464" s="18"/>
      <c r="O464" s="18"/>
      <c r="P464" s="18"/>
      <c r="Q464" s="18"/>
    </row>
    <row r="465" spans="1:17" ht="30" x14ac:dyDescent="0.25">
      <c r="A465" s="18"/>
      <c r="B465" s="18"/>
      <c r="C465" s="18"/>
      <c r="D465" s="18"/>
      <c r="E465" s="18"/>
      <c r="F465" s="18"/>
      <c r="G465" s="18"/>
      <c r="H465" s="18"/>
      <c r="I465" s="18"/>
      <c r="J465" s="18"/>
      <c r="K465" s="18"/>
      <c r="L465" s="9" t="s">
        <v>338</v>
      </c>
      <c r="M465" s="18"/>
      <c r="N465" s="18"/>
      <c r="O465" s="18"/>
      <c r="P465" s="18"/>
      <c r="Q465" s="18"/>
    </row>
    <row r="466" spans="1:17" x14ac:dyDescent="0.25">
      <c r="A466" s="18"/>
      <c r="B466" s="18"/>
      <c r="C466" s="18"/>
      <c r="D466" s="18"/>
      <c r="E466" s="18"/>
      <c r="F466" s="18"/>
      <c r="G466" s="18"/>
      <c r="H466" s="18"/>
      <c r="I466" s="18"/>
      <c r="J466" s="18"/>
      <c r="K466" s="18"/>
      <c r="L466" s="9" t="s">
        <v>339</v>
      </c>
      <c r="M466" s="18"/>
      <c r="N466" s="18"/>
      <c r="O466" s="18"/>
      <c r="P466" s="18"/>
      <c r="Q466" s="18"/>
    </row>
    <row r="467" spans="1:17" ht="165" customHeight="1" x14ac:dyDescent="0.25">
      <c r="A467" s="18" t="s">
        <v>6739</v>
      </c>
      <c r="B467" s="18" t="s">
        <v>6802</v>
      </c>
      <c r="C467" s="18" t="s">
        <v>6748</v>
      </c>
      <c r="D467" s="18" t="s">
        <v>6742</v>
      </c>
      <c r="E467" s="18" t="s">
        <v>1538</v>
      </c>
      <c r="F467" s="18" t="s">
        <v>1539</v>
      </c>
      <c r="G467" s="19" t="s">
        <v>6342</v>
      </c>
      <c r="H467" s="18" t="s">
        <v>6121</v>
      </c>
      <c r="I467" s="18"/>
      <c r="J467" s="18"/>
      <c r="K467" s="18"/>
      <c r="L467" s="9" t="s">
        <v>336</v>
      </c>
      <c r="M467" s="18" t="s">
        <v>1540</v>
      </c>
      <c r="N467" s="18"/>
      <c r="O467" s="18" t="s">
        <v>1541</v>
      </c>
      <c r="P467" s="18" t="str">
        <f>HYPERLINK("https://ceds.ed.gov/cedselementdetails.aspx?termid=13657")</f>
        <v>https://ceds.ed.gov/cedselementdetails.aspx?termid=13657</v>
      </c>
      <c r="Q467" s="18" t="str">
        <f>HYPERLINK("https://ceds.ed.gov/elementComment.aspx?elementName=Black or African American &amp;elementID=13657", "Click here to submit comment")</f>
        <v>Click here to submit comment</v>
      </c>
    </row>
    <row r="468" spans="1:17" x14ac:dyDescent="0.25">
      <c r="A468" s="18"/>
      <c r="B468" s="18"/>
      <c r="C468" s="18"/>
      <c r="D468" s="18"/>
      <c r="E468" s="18"/>
      <c r="F468" s="18"/>
      <c r="G468" s="18"/>
      <c r="H468" s="18"/>
      <c r="I468" s="18"/>
      <c r="J468" s="18"/>
      <c r="K468" s="18"/>
      <c r="L468" s="9"/>
      <c r="M468" s="18"/>
      <c r="N468" s="18"/>
      <c r="O468" s="18"/>
      <c r="P468" s="18"/>
      <c r="Q468" s="18"/>
    </row>
    <row r="469" spans="1:17" x14ac:dyDescent="0.25">
      <c r="A469" s="18"/>
      <c r="B469" s="18"/>
      <c r="C469" s="18"/>
      <c r="D469" s="18"/>
      <c r="E469" s="18"/>
      <c r="F469" s="18"/>
      <c r="G469" s="18"/>
      <c r="H469" s="18"/>
      <c r="I469" s="18"/>
      <c r="J469" s="18"/>
      <c r="K469" s="18"/>
      <c r="L469" s="9" t="s">
        <v>337</v>
      </c>
      <c r="M469" s="18"/>
      <c r="N469" s="18"/>
      <c r="O469" s="18"/>
      <c r="P469" s="18"/>
      <c r="Q469" s="18"/>
    </row>
    <row r="470" spans="1:17" ht="30" x14ac:dyDescent="0.25">
      <c r="A470" s="18"/>
      <c r="B470" s="18"/>
      <c r="C470" s="18"/>
      <c r="D470" s="18"/>
      <c r="E470" s="18"/>
      <c r="F470" s="18"/>
      <c r="G470" s="18"/>
      <c r="H470" s="18"/>
      <c r="I470" s="18"/>
      <c r="J470" s="18"/>
      <c r="K470" s="18"/>
      <c r="L470" s="9" t="s">
        <v>338</v>
      </c>
      <c r="M470" s="18"/>
      <c r="N470" s="18"/>
      <c r="O470" s="18"/>
      <c r="P470" s="18"/>
      <c r="Q470" s="18"/>
    </row>
    <row r="471" spans="1:17" x14ac:dyDescent="0.25">
      <c r="A471" s="18"/>
      <c r="B471" s="18"/>
      <c r="C471" s="18"/>
      <c r="D471" s="18"/>
      <c r="E471" s="18"/>
      <c r="F471" s="18"/>
      <c r="G471" s="18"/>
      <c r="H471" s="18"/>
      <c r="I471" s="18"/>
      <c r="J471" s="18"/>
      <c r="K471" s="18"/>
      <c r="L471" s="9" t="s">
        <v>339</v>
      </c>
      <c r="M471" s="18"/>
      <c r="N471" s="18"/>
      <c r="O471" s="18"/>
      <c r="P471" s="18"/>
      <c r="Q471" s="18"/>
    </row>
    <row r="472" spans="1:17" ht="165" customHeight="1" x14ac:dyDescent="0.25">
      <c r="A472" s="18" t="s">
        <v>6739</v>
      </c>
      <c r="B472" s="18" t="s">
        <v>6802</v>
      </c>
      <c r="C472" s="18" t="s">
        <v>6748</v>
      </c>
      <c r="D472" s="18" t="s">
        <v>6742</v>
      </c>
      <c r="E472" s="18" t="s">
        <v>4314</v>
      </c>
      <c r="F472" s="18" t="s">
        <v>4315</v>
      </c>
      <c r="G472" s="19" t="s">
        <v>6342</v>
      </c>
      <c r="H472" s="18" t="s">
        <v>6121</v>
      </c>
      <c r="I472" s="18"/>
      <c r="J472" s="18"/>
      <c r="K472" s="18"/>
      <c r="L472" s="9" t="s">
        <v>336</v>
      </c>
      <c r="M472" s="18" t="s">
        <v>4316</v>
      </c>
      <c r="N472" s="18"/>
      <c r="O472" s="18" t="s">
        <v>4317</v>
      </c>
      <c r="P472" s="18" t="str">
        <f>HYPERLINK("https://ceds.ed.gov/cedselementdetails.aspx?termid=13658")</f>
        <v>https://ceds.ed.gov/cedselementdetails.aspx?termid=13658</v>
      </c>
      <c r="Q472" s="18" t="str">
        <f>HYPERLINK("https://ceds.ed.gov/elementComment.aspx?elementName=Native Hawaiian or Other Pacific Islander &amp;elementID=13658", "Click here to submit comment")</f>
        <v>Click here to submit comment</v>
      </c>
    </row>
    <row r="473" spans="1:17" x14ac:dyDescent="0.25">
      <c r="A473" s="18"/>
      <c r="B473" s="18"/>
      <c r="C473" s="18"/>
      <c r="D473" s="18"/>
      <c r="E473" s="18"/>
      <c r="F473" s="18"/>
      <c r="G473" s="18"/>
      <c r="H473" s="18"/>
      <c r="I473" s="18"/>
      <c r="J473" s="18"/>
      <c r="K473" s="18"/>
      <c r="L473" s="9"/>
      <c r="M473" s="18"/>
      <c r="N473" s="18"/>
      <c r="O473" s="18"/>
      <c r="P473" s="18"/>
      <c r="Q473" s="18"/>
    </row>
    <row r="474" spans="1:17" x14ac:dyDescent="0.25">
      <c r="A474" s="18"/>
      <c r="B474" s="18"/>
      <c r="C474" s="18"/>
      <c r="D474" s="18"/>
      <c r="E474" s="18"/>
      <c r="F474" s="18"/>
      <c r="G474" s="18"/>
      <c r="H474" s="18"/>
      <c r="I474" s="18"/>
      <c r="J474" s="18"/>
      <c r="K474" s="18"/>
      <c r="L474" s="9" t="s">
        <v>337</v>
      </c>
      <c r="M474" s="18"/>
      <c r="N474" s="18"/>
      <c r="O474" s="18"/>
      <c r="P474" s="18"/>
      <c r="Q474" s="18"/>
    </row>
    <row r="475" spans="1:17" ht="30" x14ac:dyDescent="0.25">
      <c r="A475" s="18"/>
      <c r="B475" s="18"/>
      <c r="C475" s="18"/>
      <c r="D475" s="18"/>
      <c r="E475" s="18"/>
      <c r="F475" s="18"/>
      <c r="G475" s="18"/>
      <c r="H475" s="18"/>
      <c r="I475" s="18"/>
      <c r="J475" s="18"/>
      <c r="K475" s="18"/>
      <c r="L475" s="9" t="s">
        <v>338</v>
      </c>
      <c r="M475" s="18"/>
      <c r="N475" s="18"/>
      <c r="O475" s="18"/>
      <c r="P475" s="18"/>
      <c r="Q475" s="18"/>
    </row>
    <row r="476" spans="1:17" x14ac:dyDescent="0.25">
      <c r="A476" s="18"/>
      <c r="B476" s="18"/>
      <c r="C476" s="18"/>
      <c r="D476" s="18"/>
      <c r="E476" s="18"/>
      <c r="F476" s="18"/>
      <c r="G476" s="18"/>
      <c r="H476" s="18"/>
      <c r="I476" s="18"/>
      <c r="J476" s="18"/>
      <c r="K476" s="18"/>
      <c r="L476" s="9" t="s">
        <v>339</v>
      </c>
      <c r="M476" s="18"/>
      <c r="N476" s="18"/>
      <c r="O476" s="18"/>
      <c r="P476" s="18"/>
      <c r="Q476" s="18"/>
    </row>
    <row r="477" spans="1:17" ht="165" customHeight="1" x14ac:dyDescent="0.25">
      <c r="A477" s="18" t="s">
        <v>6739</v>
      </c>
      <c r="B477" s="18" t="s">
        <v>6802</v>
      </c>
      <c r="C477" s="18" t="s">
        <v>6748</v>
      </c>
      <c r="D477" s="18" t="s">
        <v>6742</v>
      </c>
      <c r="E477" s="18" t="s">
        <v>6077</v>
      </c>
      <c r="F477" s="18" t="s">
        <v>6078</v>
      </c>
      <c r="G477" s="19" t="s">
        <v>6342</v>
      </c>
      <c r="H477" s="18" t="s">
        <v>6121</v>
      </c>
      <c r="I477" s="18"/>
      <c r="J477" s="18"/>
      <c r="K477" s="18"/>
      <c r="L477" s="9" t="s">
        <v>336</v>
      </c>
      <c r="M477" s="18" t="s">
        <v>6079</v>
      </c>
      <c r="N477" s="18"/>
      <c r="O477" s="18" t="s">
        <v>6077</v>
      </c>
      <c r="P477" s="18" t="str">
        <f>HYPERLINK("https://ceds.ed.gov/cedselementdetails.aspx?termid=13659")</f>
        <v>https://ceds.ed.gov/cedselementdetails.aspx?termid=13659</v>
      </c>
      <c r="Q477" s="18" t="str">
        <f>HYPERLINK("https://ceds.ed.gov/elementComment.aspx?elementName=White &amp;elementID=13659", "Click here to submit comment")</f>
        <v>Click here to submit comment</v>
      </c>
    </row>
    <row r="478" spans="1:17" x14ac:dyDescent="0.25">
      <c r="A478" s="18"/>
      <c r="B478" s="18"/>
      <c r="C478" s="18"/>
      <c r="D478" s="18"/>
      <c r="E478" s="18"/>
      <c r="F478" s="18"/>
      <c r="G478" s="18"/>
      <c r="H478" s="18"/>
      <c r="I478" s="18"/>
      <c r="J478" s="18"/>
      <c r="K478" s="18"/>
      <c r="L478" s="9"/>
      <c r="M478" s="18"/>
      <c r="N478" s="18"/>
      <c r="O478" s="18"/>
      <c r="P478" s="18"/>
      <c r="Q478" s="18"/>
    </row>
    <row r="479" spans="1:17" x14ac:dyDescent="0.25">
      <c r="A479" s="18"/>
      <c r="B479" s="18"/>
      <c r="C479" s="18"/>
      <c r="D479" s="18"/>
      <c r="E479" s="18"/>
      <c r="F479" s="18"/>
      <c r="G479" s="18"/>
      <c r="H479" s="18"/>
      <c r="I479" s="18"/>
      <c r="J479" s="18"/>
      <c r="K479" s="18"/>
      <c r="L479" s="9" t="s">
        <v>337</v>
      </c>
      <c r="M479" s="18"/>
      <c r="N479" s="18"/>
      <c r="O479" s="18"/>
      <c r="P479" s="18"/>
      <c r="Q479" s="18"/>
    </row>
    <row r="480" spans="1:17" ht="30" x14ac:dyDescent="0.25">
      <c r="A480" s="18"/>
      <c r="B480" s="18"/>
      <c r="C480" s="18"/>
      <c r="D480" s="18"/>
      <c r="E480" s="18"/>
      <c r="F480" s="18"/>
      <c r="G480" s="18"/>
      <c r="H480" s="18"/>
      <c r="I480" s="18"/>
      <c r="J480" s="18"/>
      <c r="K480" s="18"/>
      <c r="L480" s="9" t="s">
        <v>338</v>
      </c>
      <c r="M480" s="18"/>
      <c r="N480" s="18"/>
      <c r="O480" s="18"/>
      <c r="P480" s="18"/>
      <c r="Q480" s="18"/>
    </row>
    <row r="481" spans="1:17" x14ac:dyDescent="0.25">
      <c r="A481" s="18"/>
      <c r="B481" s="18"/>
      <c r="C481" s="18"/>
      <c r="D481" s="18"/>
      <c r="E481" s="18"/>
      <c r="F481" s="18"/>
      <c r="G481" s="18"/>
      <c r="H481" s="18"/>
      <c r="I481" s="18"/>
      <c r="J481" s="18"/>
      <c r="K481" s="18"/>
      <c r="L481" s="9" t="s">
        <v>339</v>
      </c>
      <c r="M481" s="18"/>
      <c r="N481" s="18"/>
      <c r="O481" s="18"/>
      <c r="P481" s="18"/>
      <c r="Q481" s="18"/>
    </row>
    <row r="482" spans="1:17" ht="165" customHeight="1" x14ac:dyDescent="0.25">
      <c r="A482" s="18" t="s">
        <v>6739</v>
      </c>
      <c r="B482" s="18" t="s">
        <v>6802</v>
      </c>
      <c r="C482" s="18" t="s">
        <v>6748</v>
      </c>
      <c r="D482" s="18" t="s">
        <v>6742</v>
      </c>
      <c r="E482" s="18" t="s">
        <v>3145</v>
      </c>
      <c r="F482" s="18" t="s">
        <v>3146</v>
      </c>
      <c r="G482" s="19" t="s">
        <v>6342</v>
      </c>
      <c r="H482" s="18" t="s">
        <v>6121</v>
      </c>
      <c r="I482" s="18"/>
      <c r="J482" s="18"/>
      <c r="K482" s="18"/>
      <c r="L482" s="9" t="s">
        <v>336</v>
      </c>
      <c r="M482" s="18" t="s">
        <v>3147</v>
      </c>
      <c r="N482" s="18"/>
      <c r="O482" s="18" t="s">
        <v>3148</v>
      </c>
      <c r="P482" s="18" t="str">
        <f>HYPERLINK("https://ceds.ed.gov/cedselementdetails.aspx?termid=13144")</f>
        <v>https://ceds.ed.gov/cedselementdetails.aspx?termid=13144</v>
      </c>
      <c r="Q482" s="18" t="str">
        <f>HYPERLINK("https://ceds.ed.gov/elementComment.aspx?elementName=Hispanic or Latino Ethnicity &amp;elementID=13144", "Click here to submit comment")</f>
        <v>Click here to submit comment</v>
      </c>
    </row>
    <row r="483" spans="1:17" x14ac:dyDescent="0.25">
      <c r="A483" s="18"/>
      <c r="B483" s="18"/>
      <c r="C483" s="18"/>
      <c r="D483" s="18"/>
      <c r="E483" s="18"/>
      <c r="F483" s="18"/>
      <c r="G483" s="18"/>
      <c r="H483" s="18"/>
      <c r="I483" s="18"/>
      <c r="J483" s="18"/>
      <c r="K483" s="18"/>
      <c r="L483" s="9"/>
      <c r="M483" s="18"/>
      <c r="N483" s="18"/>
      <c r="O483" s="18"/>
      <c r="P483" s="18"/>
      <c r="Q483" s="18"/>
    </row>
    <row r="484" spans="1:17" x14ac:dyDescent="0.25">
      <c r="A484" s="18"/>
      <c r="B484" s="18"/>
      <c r="C484" s="18"/>
      <c r="D484" s="18"/>
      <c r="E484" s="18"/>
      <c r="F484" s="18"/>
      <c r="G484" s="18"/>
      <c r="H484" s="18"/>
      <c r="I484" s="18"/>
      <c r="J484" s="18"/>
      <c r="K484" s="18"/>
      <c r="L484" s="9" t="s">
        <v>337</v>
      </c>
      <c r="M484" s="18"/>
      <c r="N484" s="18"/>
      <c r="O484" s="18"/>
      <c r="P484" s="18"/>
      <c r="Q484" s="18"/>
    </row>
    <row r="485" spans="1:17" ht="30" x14ac:dyDescent="0.25">
      <c r="A485" s="18"/>
      <c r="B485" s="18"/>
      <c r="C485" s="18"/>
      <c r="D485" s="18"/>
      <c r="E485" s="18"/>
      <c r="F485" s="18"/>
      <c r="G485" s="18"/>
      <c r="H485" s="18"/>
      <c r="I485" s="18"/>
      <c r="J485" s="18"/>
      <c r="K485" s="18"/>
      <c r="L485" s="9" t="s">
        <v>338</v>
      </c>
      <c r="M485" s="18"/>
      <c r="N485" s="18"/>
      <c r="O485" s="18"/>
      <c r="P485" s="18"/>
      <c r="Q485" s="18"/>
    </row>
    <row r="486" spans="1:17" x14ac:dyDescent="0.25">
      <c r="A486" s="18"/>
      <c r="B486" s="18"/>
      <c r="C486" s="18"/>
      <c r="D486" s="18"/>
      <c r="E486" s="18"/>
      <c r="F486" s="18"/>
      <c r="G486" s="18"/>
      <c r="H486" s="18"/>
      <c r="I486" s="18"/>
      <c r="J486" s="18"/>
      <c r="K486" s="18"/>
      <c r="L486" s="9" t="s">
        <v>339</v>
      </c>
      <c r="M486" s="18"/>
      <c r="N486" s="18"/>
      <c r="O486" s="18"/>
      <c r="P486" s="18"/>
      <c r="Q486" s="18"/>
    </row>
    <row r="487" spans="1:17" ht="225" x14ac:dyDescent="0.25">
      <c r="A487" s="9" t="s">
        <v>6739</v>
      </c>
      <c r="B487" s="9" t="s">
        <v>6802</v>
      </c>
      <c r="C487" s="9" t="s">
        <v>6774</v>
      </c>
      <c r="D487" s="9" t="s">
        <v>6742</v>
      </c>
      <c r="E487" s="9" t="s">
        <v>4296</v>
      </c>
      <c r="F487" s="9" t="s">
        <v>4297</v>
      </c>
      <c r="G487" s="9" t="s">
        <v>12</v>
      </c>
      <c r="H487" s="9" t="s">
        <v>6245</v>
      </c>
      <c r="I487" s="9"/>
      <c r="J487" s="9" t="s">
        <v>92</v>
      </c>
      <c r="K487" s="9"/>
      <c r="L487" s="9"/>
      <c r="M487" s="9" t="s">
        <v>4298</v>
      </c>
      <c r="N487" s="9"/>
      <c r="O487" s="9" t="s">
        <v>4299</v>
      </c>
      <c r="P487" s="9" t="str">
        <f>HYPERLINK("https://ceds.ed.gov/cedselementdetails.aspx?termid=13191")</f>
        <v>https://ceds.ed.gov/cedselementdetails.aspx?termid=13191</v>
      </c>
      <c r="Q487" s="9" t="str">
        <f>HYPERLINK("https://ceds.ed.gov/elementComment.aspx?elementName=Name of Institution &amp;elementID=13191", "Click here to submit comment")</f>
        <v>Click here to submit comment</v>
      </c>
    </row>
    <row r="488" spans="1:17" ht="45" x14ac:dyDescent="0.25">
      <c r="A488" s="9" t="s">
        <v>6739</v>
      </c>
      <c r="B488" s="9" t="s">
        <v>6802</v>
      </c>
      <c r="C488" s="9" t="s">
        <v>6774</v>
      </c>
      <c r="D488" s="9" t="s">
        <v>6742</v>
      </c>
      <c r="E488" s="9" t="s">
        <v>2383</v>
      </c>
      <c r="F488" s="9" t="s">
        <v>2384</v>
      </c>
      <c r="G488" s="9" t="s">
        <v>6106</v>
      </c>
      <c r="H488" s="9" t="s">
        <v>182</v>
      </c>
      <c r="I488" s="9"/>
      <c r="J488" s="9"/>
      <c r="K488" s="9"/>
      <c r="L488" s="9"/>
      <c r="M488" s="9" t="s">
        <v>2386</v>
      </c>
      <c r="N488" s="9"/>
      <c r="O488" s="9" t="s">
        <v>2387</v>
      </c>
      <c r="P488" s="9" t="str">
        <f>HYPERLINK("https://ceds.ed.gov/cedselementdetails.aspx?termid=13786")</f>
        <v>https://ceds.ed.gov/cedselementdetails.aspx?termid=13786</v>
      </c>
      <c r="Q488" s="9" t="str">
        <f>HYPERLINK("https://ceds.ed.gov/elementComment.aspx?elementName=Early Childhood Degree or Certificate Holder &amp;elementID=13786", "Click here to submit comment")</f>
        <v>Click here to submit comment</v>
      </c>
    </row>
    <row r="489" spans="1:17" ht="105" x14ac:dyDescent="0.25">
      <c r="A489" s="9" t="s">
        <v>6739</v>
      </c>
      <c r="B489" s="9" t="s">
        <v>6802</v>
      </c>
      <c r="C489" s="9" t="s">
        <v>6774</v>
      </c>
      <c r="D489" s="9" t="s">
        <v>6742</v>
      </c>
      <c r="E489" s="9" t="s">
        <v>4060</v>
      </c>
      <c r="F489" s="9" t="s">
        <v>4061</v>
      </c>
      <c r="G489" s="10" t="s">
        <v>6601</v>
      </c>
      <c r="H489" s="9" t="s">
        <v>6199</v>
      </c>
      <c r="I489" s="9"/>
      <c r="J489" s="9"/>
      <c r="K489" s="9"/>
      <c r="L489" s="9"/>
      <c r="M489" s="9" t="s">
        <v>4062</v>
      </c>
      <c r="N489" s="9"/>
      <c r="O489" s="9" t="s">
        <v>4063</v>
      </c>
      <c r="P489" s="9" t="str">
        <f>HYPERLINK("https://ceds.ed.gov/cedselementdetails.aspx?termid=13340")</f>
        <v>https://ceds.ed.gov/cedselementdetails.aspx?termid=13340</v>
      </c>
      <c r="Q489" s="9" t="str">
        <f>HYPERLINK("https://ceds.ed.gov/elementComment.aspx?elementName=Level of Specialization in Early Learning &amp;elementID=13340", "Click here to submit comment")</f>
        <v>Click here to submit comment</v>
      </c>
    </row>
    <row r="490" spans="1:17" ht="60" x14ac:dyDescent="0.25">
      <c r="A490" s="9" t="s">
        <v>6739</v>
      </c>
      <c r="B490" s="9" t="s">
        <v>6802</v>
      </c>
      <c r="C490" s="9" t="s">
        <v>6774</v>
      </c>
      <c r="D490" s="9" t="s">
        <v>6742</v>
      </c>
      <c r="E490" s="9" t="s">
        <v>2207</v>
      </c>
      <c r="F490" s="9" t="s">
        <v>2208</v>
      </c>
      <c r="G490" s="9" t="s">
        <v>12</v>
      </c>
      <c r="H490" s="9" t="s">
        <v>6183</v>
      </c>
      <c r="I490" s="9"/>
      <c r="J490" s="9" t="s">
        <v>1347</v>
      </c>
      <c r="K490" s="9"/>
      <c r="L490" s="9"/>
      <c r="M490" s="9" t="s">
        <v>2209</v>
      </c>
      <c r="N490" s="9"/>
      <c r="O490" s="9" t="s">
        <v>2210</v>
      </c>
      <c r="P490" s="9" t="str">
        <f>HYPERLINK("https://ceds.ed.gov/cedselementdetails.aspx?termid=13341")</f>
        <v>https://ceds.ed.gov/cedselementdetails.aspx?termid=13341</v>
      </c>
      <c r="Q490" s="9" t="str">
        <f>HYPERLINK("https://ceds.ed.gov/elementComment.aspx?elementName=Degree or Certificate Title or Subject &amp;elementID=13341", "Click here to submit comment")</f>
        <v>Click here to submit comment</v>
      </c>
    </row>
    <row r="491" spans="1:17" ht="405" x14ac:dyDescent="0.25">
      <c r="A491" s="9" t="s">
        <v>6739</v>
      </c>
      <c r="B491" s="9" t="s">
        <v>6802</v>
      </c>
      <c r="C491" s="9" t="s">
        <v>6774</v>
      </c>
      <c r="D491" s="9" t="s">
        <v>6742</v>
      </c>
      <c r="E491" s="9" t="s">
        <v>2211</v>
      </c>
      <c r="F491" s="9" t="s">
        <v>2212</v>
      </c>
      <c r="G491" s="10" t="s">
        <v>6440</v>
      </c>
      <c r="H491" s="9" t="s">
        <v>6183</v>
      </c>
      <c r="I491" s="9"/>
      <c r="J491" s="9"/>
      <c r="K491" s="9"/>
      <c r="L491" s="9"/>
      <c r="M491" s="9" t="s">
        <v>2213</v>
      </c>
      <c r="N491" s="9"/>
      <c r="O491" s="9" t="s">
        <v>2214</v>
      </c>
      <c r="P491" s="9" t="str">
        <f>HYPERLINK("https://ceds.ed.gov/cedselementdetails.aspx?termid=13342")</f>
        <v>https://ceds.ed.gov/cedselementdetails.aspx?termid=13342</v>
      </c>
      <c r="Q491" s="9" t="str">
        <f>HYPERLINK("https://ceds.ed.gov/elementComment.aspx?elementName=Degree or Certificate Type &amp;elementID=13342", "Click here to submit comment")</f>
        <v>Click here to submit comment</v>
      </c>
    </row>
    <row r="492" spans="1:17" ht="60" x14ac:dyDescent="0.25">
      <c r="A492" s="9" t="s">
        <v>6739</v>
      </c>
      <c r="B492" s="9" t="s">
        <v>6802</v>
      </c>
      <c r="C492" s="9" t="s">
        <v>6774</v>
      </c>
      <c r="D492" s="9" t="s">
        <v>6742</v>
      </c>
      <c r="E492" s="9" t="s">
        <v>2199</v>
      </c>
      <c r="F492" s="9" t="s">
        <v>2200</v>
      </c>
      <c r="G492" s="9" t="s">
        <v>12</v>
      </c>
      <c r="H492" s="9" t="s">
        <v>6183</v>
      </c>
      <c r="I492" s="9"/>
      <c r="J492" s="9" t="s">
        <v>73</v>
      </c>
      <c r="K492" s="9"/>
      <c r="L492" s="9"/>
      <c r="M492" s="9" t="s">
        <v>2201</v>
      </c>
      <c r="N492" s="9"/>
      <c r="O492" s="9" t="s">
        <v>2202</v>
      </c>
      <c r="P492" s="9" t="str">
        <f>HYPERLINK("https://ceds.ed.gov/cedselementdetails.aspx?termid=13343")</f>
        <v>https://ceds.ed.gov/cedselementdetails.aspx?termid=13343</v>
      </c>
      <c r="Q492" s="9" t="str">
        <f>HYPERLINK("https://ceds.ed.gov/elementComment.aspx?elementName=Degree or Certificate Conferring Date &amp;elementID=13343", "Click here to submit comment")</f>
        <v>Click here to submit comment</v>
      </c>
    </row>
    <row r="493" spans="1:17" ht="90" x14ac:dyDescent="0.25">
      <c r="A493" s="9" t="s">
        <v>6739</v>
      </c>
      <c r="B493" s="9" t="s">
        <v>6802</v>
      </c>
      <c r="C493" s="9" t="s">
        <v>6774</v>
      </c>
      <c r="D493" s="9" t="s">
        <v>6742</v>
      </c>
      <c r="E493" s="9" t="s">
        <v>5948</v>
      </c>
      <c r="F493" s="9" t="s">
        <v>5949</v>
      </c>
      <c r="G493" s="9" t="s">
        <v>12</v>
      </c>
      <c r="H493" s="9" t="s">
        <v>182</v>
      </c>
      <c r="I493" s="9"/>
      <c r="J493" s="9" t="s">
        <v>1513</v>
      </c>
      <c r="K493" s="9"/>
      <c r="L493" s="9"/>
      <c r="M493" s="9" t="s">
        <v>5950</v>
      </c>
      <c r="N493" s="9"/>
      <c r="O493" s="9" t="s">
        <v>5951</v>
      </c>
      <c r="P493" s="9" t="str">
        <f>HYPERLINK("https://ceds.ed.gov/cedselementdetails.aspx?termid=13787")</f>
        <v>https://ceds.ed.gov/cedselementdetails.aspx?termid=13787</v>
      </c>
      <c r="Q493" s="9" t="str">
        <f>HYPERLINK("https://ceds.ed.gov/elementComment.aspx?elementName=Total Approved Early Childhood Credits Earned &amp;elementID=13787", "Click here to submit comment")</f>
        <v>Click here to submit comment</v>
      </c>
    </row>
    <row r="494" spans="1:17" ht="75" x14ac:dyDescent="0.25">
      <c r="A494" s="9" t="s">
        <v>6739</v>
      </c>
      <c r="B494" s="9" t="s">
        <v>6802</v>
      </c>
      <c r="C494" s="9" t="s">
        <v>6774</v>
      </c>
      <c r="D494" s="9" t="s">
        <v>6742</v>
      </c>
      <c r="E494" s="9" t="s">
        <v>2549</v>
      </c>
      <c r="F494" s="9" t="s">
        <v>2550</v>
      </c>
      <c r="G494" s="9" t="s">
        <v>12</v>
      </c>
      <c r="H494" s="9" t="s">
        <v>182</v>
      </c>
      <c r="I494" s="9"/>
      <c r="J494" s="9" t="s">
        <v>1513</v>
      </c>
      <c r="K494" s="9"/>
      <c r="L494" s="9"/>
      <c r="M494" s="9" t="s">
        <v>2551</v>
      </c>
      <c r="N494" s="9"/>
      <c r="O494" s="9" t="s">
        <v>2552</v>
      </c>
      <c r="P494" s="9" t="str">
        <f>HYPERLINK("https://ceds.ed.gov/cedselementdetails.aspx?termid=13791")</f>
        <v>https://ceds.ed.gov/cedselementdetails.aspx?termid=13791</v>
      </c>
      <c r="Q494" s="9" t="str">
        <f>HYPERLINK("https://ceds.ed.gov/elementComment.aspx?elementName=Early Learning Staff Total College Credits Earned &amp;elementID=13791", "Click here to submit comment")</f>
        <v>Click here to submit comment</v>
      </c>
    </row>
    <row r="495" spans="1:17" ht="75" x14ac:dyDescent="0.25">
      <c r="A495" s="9" t="s">
        <v>6739</v>
      </c>
      <c r="B495" s="9" t="s">
        <v>6802</v>
      </c>
      <c r="C495" s="9" t="s">
        <v>6774</v>
      </c>
      <c r="D495" s="9" t="s">
        <v>6742</v>
      </c>
      <c r="E495" s="9" t="s">
        <v>4416</v>
      </c>
      <c r="F495" s="9" t="s">
        <v>4417</v>
      </c>
      <c r="G495" s="9" t="s">
        <v>12</v>
      </c>
      <c r="H495" s="9" t="s">
        <v>182</v>
      </c>
      <c r="I495" s="9"/>
      <c r="J495" s="9" t="s">
        <v>1513</v>
      </c>
      <c r="K495" s="9"/>
      <c r="L495" s="9"/>
      <c r="M495" s="9" t="s">
        <v>4418</v>
      </c>
      <c r="N495" s="9"/>
      <c r="O495" s="9" t="s">
        <v>4419</v>
      </c>
      <c r="P495" s="9" t="str">
        <f>HYPERLINK("https://ceds.ed.gov/cedselementdetails.aspx?termid=13815")</f>
        <v>https://ceds.ed.gov/cedselementdetails.aspx?termid=13815</v>
      </c>
      <c r="Q495" s="9" t="str">
        <f>HYPERLINK("https://ceds.ed.gov/elementComment.aspx?elementName=Number of School-age Education Postsecondary Credit Hours &amp;elementID=13815", "Click here to submit comment")</f>
        <v>Click here to submit comment</v>
      </c>
    </row>
    <row r="496" spans="1:17" ht="75" x14ac:dyDescent="0.25">
      <c r="A496" s="9" t="s">
        <v>6739</v>
      </c>
      <c r="B496" s="9" t="s">
        <v>6802</v>
      </c>
      <c r="C496" s="9" t="s">
        <v>6774</v>
      </c>
      <c r="D496" s="9" t="s">
        <v>6742</v>
      </c>
      <c r="E496" s="9" t="s">
        <v>5588</v>
      </c>
      <c r="F496" s="9" t="s">
        <v>5589</v>
      </c>
      <c r="G496" s="9" t="s">
        <v>12</v>
      </c>
      <c r="H496" s="9" t="s">
        <v>182</v>
      </c>
      <c r="I496" s="9"/>
      <c r="J496" s="9" t="s">
        <v>73</v>
      </c>
      <c r="K496" s="9"/>
      <c r="L496" s="9"/>
      <c r="M496" s="9" t="s">
        <v>5590</v>
      </c>
      <c r="N496" s="9"/>
      <c r="O496" s="9" t="s">
        <v>5591</v>
      </c>
      <c r="P496" s="9" t="str">
        <f>HYPERLINK("https://ceds.ed.gov/cedselementdetails.aspx?termid=13792")</f>
        <v>https://ceds.ed.gov/cedselementdetails.aspx?termid=13792</v>
      </c>
      <c r="Q496" s="9" t="str">
        <f>HYPERLINK("https://ceds.ed.gov/elementComment.aspx?elementName=Staff Education Entry Date &amp;elementID=13792", "Click here to submit comment")</f>
        <v>Click here to submit comment</v>
      </c>
    </row>
    <row r="497" spans="1:17" ht="75" x14ac:dyDescent="0.25">
      <c r="A497" s="9" t="s">
        <v>6739</v>
      </c>
      <c r="B497" s="9" t="s">
        <v>6802</v>
      </c>
      <c r="C497" s="9" t="s">
        <v>6774</v>
      </c>
      <c r="D497" s="9" t="s">
        <v>6742</v>
      </c>
      <c r="E497" s="9" t="s">
        <v>5592</v>
      </c>
      <c r="F497" s="9" t="s">
        <v>5593</v>
      </c>
      <c r="G497" s="9" t="s">
        <v>12</v>
      </c>
      <c r="H497" s="9" t="s">
        <v>182</v>
      </c>
      <c r="I497" s="9"/>
      <c r="J497" s="9" t="s">
        <v>73</v>
      </c>
      <c r="K497" s="9"/>
      <c r="L497" s="9"/>
      <c r="M497" s="9" t="s">
        <v>5594</v>
      </c>
      <c r="N497" s="9"/>
      <c r="O497" s="9" t="s">
        <v>5595</v>
      </c>
      <c r="P497" s="9" t="str">
        <f>HYPERLINK("https://ceds.ed.gov/cedselementdetails.aspx?termid=13793")</f>
        <v>https://ceds.ed.gov/cedselementdetails.aspx?termid=13793</v>
      </c>
      <c r="Q497" s="9" t="str">
        <f>HYPERLINK("https://ceds.ed.gov/elementComment.aspx?elementName=Staff Education Withdrawal Date &amp;elementID=13793", "Click here to submit comment")</f>
        <v>Click here to submit comment</v>
      </c>
    </row>
    <row r="498" spans="1:17" ht="409.5" x14ac:dyDescent="0.25">
      <c r="A498" s="9" t="s">
        <v>6739</v>
      </c>
      <c r="B498" s="9" t="s">
        <v>6802</v>
      </c>
      <c r="C498" s="9" t="s">
        <v>6774</v>
      </c>
      <c r="D498" s="9" t="s">
        <v>6742</v>
      </c>
      <c r="E498" s="9" t="s">
        <v>3131</v>
      </c>
      <c r="F498" s="9" t="s">
        <v>3132</v>
      </c>
      <c r="G498" s="10" t="s">
        <v>6377</v>
      </c>
      <c r="H498" s="9" t="s">
        <v>6223</v>
      </c>
      <c r="I498" s="9"/>
      <c r="J498" s="9"/>
      <c r="K498" s="9"/>
      <c r="L498" s="9"/>
      <c r="M498" s="9" t="s">
        <v>3133</v>
      </c>
      <c r="N498" s="9"/>
      <c r="O498" s="9" t="s">
        <v>3134</v>
      </c>
      <c r="P498" s="9" t="str">
        <f>HYPERLINK("https://ceds.ed.gov/cedselementdetails.aspx?termid=13141")</f>
        <v>https://ceds.ed.gov/cedselementdetails.aspx?termid=13141</v>
      </c>
      <c r="Q498" s="9" t="str">
        <f>HYPERLINK("https://ceds.ed.gov/elementComment.aspx?elementName=Highest Level of Education Completed &amp;elementID=13141", "Click here to submit comment")</f>
        <v>Click here to submit comment</v>
      </c>
    </row>
    <row r="499" spans="1:17" ht="90" x14ac:dyDescent="0.25">
      <c r="A499" s="9" t="s">
        <v>6739</v>
      </c>
      <c r="B499" s="9" t="s">
        <v>6802</v>
      </c>
      <c r="C499" s="9" t="s">
        <v>6774</v>
      </c>
      <c r="D499" s="9" t="s">
        <v>6742</v>
      </c>
      <c r="E499" s="9" t="s">
        <v>5476</v>
      </c>
      <c r="F499" s="9" t="s">
        <v>5477</v>
      </c>
      <c r="G499" s="9" t="s">
        <v>12</v>
      </c>
      <c r="H499" s="9"/>
      <c r="I499" s="9"/>
      <c r="J499" s="9" t="s">
        <v>87</v>
      </c>
      <c r="K499" s="9"/>
      <c r="L499" s="9" t="s">
        <v>5478</v>
      </c>
      <c r="M499" s="9" t="s">
        <v>5479</v>
      </c>
      <c r="N499" s="9"/>
      <c r="O499" s="9" t="s">
        <v>5480</v>
      </c>
      <c r="P499" s="9" t="str">
        <f>HYPERLINK("https://ceds.ed.gov/cedselementdetails.aspx?termid=14459")</f>
        <v>https://ceds.ed.gov/cedselementdetails.aspx?termid=14459</v>
      </c>
      <c r="Q499" s="9" t="str">
        <f>HYPERLINK("https://ceds.ed.gov/elementComment.aspx?elementName=Short Name of Institution &amp;elementID=14459", "Click here to submit comment")</f>
        <v>Click here to submit comment</v>
      </c>
    </row>
    <row r="500" spans="1:17" ht="120" x14ac:dyDescent="0.25">
      <c r="A500" s="9" t="s">
        <v>6739</v>
      </c>
      <c r="B500" s="9" t="s">
        <v>6802</v>
      </c>
      <c r="C500" s="9" t="s">
        <v>6774</v>
      </c>
      <c r="D500" s="9" t="s">
        <v>6742</v>
      </c>
      <c r="E500" s="9" t="s">
        <v>3127</v>
      </c>
      <c r="F500" s="9" t="s">
        <v>3128</v>
      </c>
      <c r="G500" s="10" t="s">
        <v>6534</v>
      </c>
      <c r="H500" s="9" t="s">
        <v>182</v>
      </c>
      <c r="I500" s="9"/>
      <c r="J500" s="9"/>
      <c r="K500" s="9"/>
      <c r="L500" s="9"/>
      <c r="M500" s="9" t="s">
        <v>3129</v>
      </c>
      <c r="N500" s="9"/>
      <c r="O500" s="9" t="s">
        <v>3130</v>
      </c>
      <c r="P500" s="9" t="str">
        <f>HYPERLINK("https://ceds.ed.gov/cedselementdetails.aspx?termid=13817")</f>
        <v>https://ceds.ed.gov/cedselementdetails.aspx?termid=13817</v>
      </c>
      <c r="Q500" s="9" t="str">
        <f>HYPERLINK("https://ceds.ed.gov/elementComment.aspx?elementName=Higher Education Institution Accreditation Status &amp;elementID=13817", "Click here to submit comment")</f>
        <v>Click here to submit comment</v>
      </c>
    </row>
    <row r="501" spans="1:17" ht="90" x14ac:dyDescent="0.25">
      <c r="A501" s="9" t="s">
        <v>6739</v>
      </c>
      <c r="B501" s="9" t="s">
        <v>6802</v>
      </c>
      <c r="C501" s="9" t="s">
        <v>6774</v>
      </c>
      <c r="D501" s="9" t="s">
        <v>6742</v>
      </c>
      <c r="E501" s="9" t="s">
        <v>2576</v>
      </c>
      <c r="F501" s="9" t="s">
        <v>2577</v>
      </c>
      <c r="G501" s="10" t="s">
        <v>6483</v>
      </c>
      <c r="H501" s="9"/>
      <c r="I501" s="9"/>
      <c r="J501" s="9"/>
      <c r="K501" s="9"/>
      <c r="L501" s="9"/>
      <c r="M501" s="9" t="s">
        <v>2578</v>
      </c>
      <c r="N501" s="9"/>
      <c r="O501" s="9" t="s">
        <v>2579</v>
      </c>
      <c r="P501" s="9" t="str">
        <f>HYPERLINK("https://ceds.ed.gov/cedselementdetails.aspx?termid=14586")</f>
        <v>https://ceds.ed.gov/cedselementdetails.aspx?termid=14586</v>
      </c>
      <c r="Q501" s="9" t="str">
        <f>HYPERLINK("https://ceds.ed.gov/elementComment.aspx?elementName=Education Verification Method &amp;elementID=14586", "Click here to submit comment")</f>
        <v>Click here to submit comment</v>
      </c>
    </row>
    <row r="502" spans="1:17" ht="210" x14ac:dyDescent="0.25">
      <c r="A502" s="9" t="s">
        <v>6739</v>
      </c>
      <c r="B502" s="9" t="s">
        <v>6802</v>
      </c>
      <c r="C502" s="9" t="s">
        <v>6803</v>
      </c>
      <c r="D502" s="9" t="s">
        <v>6742</v>
      </c>
      <c r="E502" s="9" t="s">
        <v>2666</v>
      </c>
      <c r="F502" s="9" t="s">
        <v>270</v>
      </c>
      <c r="G502" s="10" t="s">
        <v>6490</v>
      </c>
      <c r="H502" s="9" t="s">
        <v>6183</v>
      </c>
      <c r="I502" s="9"/>
      <c r="J502" s="9"/>
      <c r="K502" s="9"/>
      <c r="L502" s="9"/>
      <c r="M502" s="9" t="s">
        <v>2667</v>
      </c>
      <c r="N502" s="9"/>
      <c r="O502" s="9" t="s">
        <v>2668</v>
      </c>
      <c r="P502" s="9" t="str">
        <f>HYPERLINK("https://ceds.ed.gov/cedselementdetails.aspx?termid=13346")</f>
        <v>https://ceds.ed.gov/cedselementdetails.aspx?termid=13346</v>
      </c>
      <c r="Q502" s="9" t="str">
        <f>HYPERLINK("https://ceds.ed.gov/elementComment.aspx?elementName=Employment Status &amp;elementID=13346", "Click here to submit comment")</f>
        <v>Click here to submit comment</v>
      </c>
    </row>
    <row r="503" spans="1:17" ht="210" x14ac:dyDescent="0.25">
      <c r="A503" s="9" t="s">
        <v>6739</v>
      </c>
      <c r="B503" s="9" t="s">
        <v>6802</v>
      </c>
      <c r="C503" s="9" t="s">
        <v>6803</v>
      </c>
      <c r="D503" s="9" t="s">
        <v>6742</v>
      </c>
      <c r="E503" s="9" t="s">
        <v>3140</v>
      </c>
      <c r="F503" s="9" t="s">
        <v>3141</v>
      </c>
      <c r="G503" s="9" t="s">
        <v>12</v>
      </c>
      <c r="H503" s="9" t="s">
        <v>6225</v>
      </c>
      <c r="I503" s="9"/>
      <c r="J503" s="9" t="s">
        <v>73</v>
      </c>
      <c r="K503" s="9"/>
      <c r="L503" s="9" t="s">
        <v>3142</v>
      </c>
      <c r="M503" s="9" t="s">
        <v>3143</v>
      </c>
      <c r="N503" s="9"/>
      <c r="O503" s="9" t="s">
        <v>3144</v>
      </c>
      <c r="P503" s="9" t="str">
        <f>HYPERLINK("https://ceds.ed.gov/cedselementdetails.aspx?termid=13143")</f>
        <v>https://ceds.ed.gov/cedselementdetails.aspx?termid=13143</v>
      </c>
      <c r="Q503" s="9" t="str">
        <f>HYPERLINK("https://ceds.ed.gov/elementComment.aspx?elementName=Hire Date &amp;elementID=13143", "Click here to submit comment")</f>
        <v>Click here to submit comment</v>
      </c>
    </row>
    <row r="504" spans="1:17" ht="60" x14ac:dyDescent="0.25">
      <c r="A504" s="9" t="s">
        <v>6739</v>
      </c>
      <c r="B504" s="9" t="s">
        <v>6802</v>
      </c>
      <c r="C504" s="9" t="s">
        <v>6803</v>
      </c>
      <c r="D504" s="9" t="s">
        <v>6742</v>
      </c>
      <c r="E504" s="9" t="s">
        <v>2662</v>
      </c>
      <c r="F504" s="9" t="s">
        <v>2663</v>
      </c>
      <c r="G504" s="9" t="s">
        <v>12</v>
      </c>
      <c r="H504" s="9" t="s">
        <v>6199</v>
      </c>
      <c r="I504" s="9"/>
      <c r="J504" s="9" t="s">
        <v>73</v>
      </c>
      <c r="K504" s="9"/>
      <c r="L504" s="9"/>
      <c r="M504" s="9" t="s">
        <v>2664</v>
      </c>
      <c r="N504" s="9"/>
      <c r="O504" s="9" t="s">
        <v>2665</v>
      </c>
      <c r="P504" s="9" t="str">
        <f>HYPERLINK("https://ceds.ed.gov/cedselementdetails.aspx?termid=13345")</f>
        <v>https://ceds.ed.gov/cedselementdetails.aspx?termid=13345</v>
      </c>
      <c r="Q504" s="9" t="str">
        <f>HYPERLINK("https://ceds.ed.gov/elementComment.aspx?elementName=Employment Start Date &amp;elementID=13345", "Click here to submit comment")</f>
        <v>Click here to submit comment</v>
      </c>
    </row>
    <row r="505" spans="1:17" ht="60" x14ac:dyDescent="0.25">
      <c r="A505" s="9" t="s">
        <v>6739</v>
      </c>
      <c r="B505" s="9" t="s">
        <v>6802</v>
      </c>
      <c r="C505" s="9" t="s">
        <v>6803</v>
      </c>
      <c r="D505" s="9" t="s">
        <v>6742</v>
      </c>
      <c r="E505" s="9" t="s">
        <v>2627</v>
      </c>
      <c r="F505" s="9" t="s">
        <v>2628</v>
      </c>
      <c r="G505" s="9" t="s">
        <v>12</v>
      </c>
      <c r="H505" s="9" t="s">
        <v>182</v>
      </c>
      <c r="I505" s="9"/>
      <c r="J505" s="9" t="s">
        <v>73</v>
      </c>
      <c r="K505" s="9"/>
      <c r="L505" s="9"/>
      <c r="M505" s="9" t="s">
        <v>2629</v>
      </c>
      <c r="N505" s="9"/>
      <c r="O505" s="9" t="s">
        <v>2630</v>
      </c>
      <c r="P505" s="9" t="str">
        <f>HYPERLINK("https://ceds.ed.gov/cedselementdetails.aspx?termid=13794")</f>
        <v>https://ceds.ed.gov/cedselementdetails.aspx?termid=13794</v>
      </c>
      <c r="Q505" s="9" t="str">
        <f>HYPERLINK("https://ceds.ed.gov/elementComment.aspx?elementName=Employment End Date &amp;elementID=13794", "Click here to submit comment")</f>
        <v>Click here to submit comment</v>
      </c>
    </row>
    <row r="506" spans="1:17" ht="405" x14ac:dyDescent="0.25">
      <c r="A506" s="9" t="s">
        <v>6739</v>
      </c>
      <c r="B506" s="9" t="s">
        <v>6802</v>
      </c>
      <c r="C506" s="9" t="s">
        <v>6803</v>
      </c>
      <c r="D506" s="9" t="s">
        <v>6742</v>
      </c>
      <c r="E506" s="9" t="s">
        <v>2439</v>
      </c>
      <c r="F506" s="9" t="s">
        <v>2440</v>
      </c>
      <c r="G506" s="10" t="s">
        <v>6467</v>
      </c>
      <c r="H506" s="9"/>
      <c r="I506" s="9"/>
      <c r="J506" s="9"/>
      <c r="K506" s="9"/>
      <c r="L506" s="9"/>
      <c r="M506" s="9" t="s">
        <v>2441</v>
      </c>
      <c r="N506" s="9"/>
      <c r="O506" s="9" t="s">
        <v>2442</v>
      </c>
      <c r="P506" s="9" t="str">
        <f>HYPERLINK("https://ceds.ed.gov/cedselementdetails.aspx?termid=14613")</f>
        <v>https://ceds.ed.gov/cedselementdetails.aspx?termid=14613</v>
      </c>
      <c r="Q506" s="9" t="str">
        <f>HYPERLINK("https://ceds.ed.gov/elementComment.aspx?elementName=Early Learning Employment Separation Reason &amp;elementID=14613", "Click here to submit comment")</f>
        <v>Click here to submit comment</v>
      </c>
    </row>
    <row r="507" spans="1:17" ht="405" x14ac:dyDescent="0.25">
      <c r="A507" s="9" t="s">
        <v>6739</v>
      </c>
      <c r="B507" s="9" t="s">
        <v>6802</v>
      </c>
      <c r="C507" s="9" t="s">
        <v>6803</v>
      </c>
      <c r="D507" s="9" t="s">
        <v>6742</v>
      </c>
      <c r="E507" s="9" t="s">
        <v>2655</v>
      </c>
      <c r="F507" s="9" t="s">
        <v>2440</v>
      </c>
      <c r="G507" s="10" t="s">
        <v>6467</v>
      </c>
      <c r="H507" s="9"/>
      <c r="I507" s="9"/>
      <c r="J507" s="9"/>
      <c r="K507" s="9"/>
      <c r="L507" s="9"/>
      <c r="M507" s="9" t="s">
        <v>2656</v>
      </c>
      <c r="N507" s="9"/>
      <c r="O507" s="9" t="s">
        <v>2657</v>
      </c>
      <c r="P507" s="9" t="str">
        <f>HYPERLINK("https://ceds.ed.gov/cedselementdetails.aspx?termid=13613")</f>
        <v>https://ceds.ed.gov/cedselementdetails.aspx?termid=13613</v>
      </c>
      <c r="Q507" s="9" t="str">
        <f>HYPERLINK("https://ceds.ed.gov/elementComment.aspx?elementName=Employment Separation Reason &amp;elementID=13613", "Click here to submit comment")</f>
        <v>Click here to submit comment</v>
      </c>
    </row>
    <row r="508" spans="1:17" ht="75" x14ac:dyDescent="0.25">
      <c r="A508" s="9" t="s">
        <v>6739</v>
      </c>
      <c r="B508" s="9" t="s">
        <v>6802</v>
      </c>
      <c r="C508" s="9" t="s">
        <v>6803</v>
      </c>
      <c r="D508" s="9" t="s">
        <v>6742</v>
      </c>
      <c r="E508" s="9" t="s">
        <v>2658</v>
      </c>
      <c r="F508" s="9" t="s">
        <v>2659</v>
      </c>
      <c r="G508" s="10" t="s">
        <v>6489</v>
      </c>
      <c r="H508" s="9"/>
      <c r="I508" s="9"/>
      <c r="J508" s="9"/>
      <c r="K508" s="9"/>
      <c r="L508" s="9"/>
      <c r="M508" s="9" t="s">
        <v>2660</v>
      </c>
      <c r="N508" s="9"/>
      <c r="O508" s="9" t="s">
        <v>2661</v>
      </c>
      <c r="P508" s="9" t="str">
        <f>HYPERLINK("https://ceds.ed.gov/cedselementdetails.aspx?termid=13614")</f>
        <v>https://ceds.ed.gov/cedselementdetails.aspx?termid=13614</v>
      </c>
      <c r="Q508" s="9" t="str">
        <f>HYPERLINK("https://ceds.ed.gov/elementComment.aspx?elementName=Employment Separation Type &amp;elementID=13614", "Click here to submit comment")</f>
        <v>Click here to submit comment</v>
      </c>
    </row>
    <row r="509" spans="1:17" ht="45" x14ac:dyDescent="0.25">
      <c r="A509" s="9" t="s">
        <v>6739</v>
      </c>
      <c r="B509" s="9" t="s">
        <v>6802</v>
      </c>
      <c r="C509" s="9" t="s">
        <v>6803</v>
      </c>
      <c r="D509" s="9" t="s">
        <v>6742</v>
      </c>
      <c r="E509" s="9" t="s">
        <v>6061</v>
      </c>
      <c r="F509" s="9" t="s">
        <v>6062</v>
      </c>
      <c r="G509" s="9" t="s">
        <v>12</v>
      </c>
      <c r="H509" s="9"/>
      <c r="I509" s="9"/>
      <c r="J509" s="9" t="s">
        <v>589</v>
      </c>
      <c r="K509" s="9"/>
      <c r="L509" s="9"/>
      <c r="M509" s="9" t="s">
        <v>6063</v>
      </c>
      <c r="N509" s="9"/>
      <c r="O509" s="9" t="s">
        <v>6064</v>
      </c>
      <c r="P509" s="9" t="str">
        <f>HYPERLINK("https://ceds.ed.gov/cedselementdetails.aspx?termid=14470")</f>
        <v>https://ceds.ed.gov/cedselementdetails.aspx?termid=14470</v>
      </c>
      <c r="Q509" s="9" t="str">
        <f>HYPERLINK("https://ceds.ed.gov/elementComment.aspx?elementName=Weeks Employed Per Year &amp;elementID=14470", "Click here to submit comment")</f>
        <v>Click here to submit comment</v>
      </c>
    </row>
    <row r="510" spans="1:17" ht="45" x14ac:dyDescent="0.25">
      <c r="A510" s="9" t="s">
        <v>6739</v>
      </c>
      <c r="B510" s="9" t="s">
        <v>6802</v>
      </c>
      <c r="C510" s="9" t="s">
        <v>6803</v>
      </c>
      <c r="D510" s="9" t="s">
        <v>6742</v>
      </c>
      <c r="E510" s="9" t="s">
        <v>3178</v>
      </c>
      <c r="F510" s="9" t="s">
        <v>3179</v>
      </c>
      <c r="G510" s="9" t="s">
        <v>12</v>
      </c>
      <c r="H510" s="9" t="s">
        <v>182</v>
      </c>
      <c r="I510" s="9"/>
      <c r="J510" s="9" t="s">
        <v>1513</v>
      </c>
      <c r="K510" s="9"/>
      <c r="L510" s="9"/>
      <c r="M510" s="9" t="s">
        <v>3180</v>
      </c>
      <c r="N510" s="9"/>
      <c r="O510" s="9" t="s">
        <v>3181</v>
      </c>
      <c r="P510" s="9" t="str">
        <f>HYPERLINK("https://ceds.ed.gov/cedselementdetails.aspx?termid=13795")</f>
        <v>https://ceds.ed.gov/cedselementdetails.aspx?termid=13795</v>
      </c>
      <c r="Q510" s="9" t="str">
        <f>HYPERLINK("https://ceds.ed.gov/elementComment.aspx?elementName=Hours Worked Per Week &amp;elementID=13795", "Click here to submit comment")</f>
        <v>Click here to submit comment</v>
      </c>
    </row>
    <row r="511" spans="1:17" ht="45" x14ac:dyDescent="0.25">
      <c r="A511" s="9" t="s">
        <v>6739</v>
      </c>
      <c r="B511" s="9" t="s">
        <v>6802</v>
      </c>
      <c r="C511" s="9" t="s">
        <v>6803</v>
      </c>
      <c r="D511" s="9" t="s">
        <v>6742</v>
      </c>
      <c r="E511" s="9" t="s">
        <v>3170</v>
      </c>
      <c r="F511" s="9" t="s">
        <v>3171</v>
      </c>
      <c r="G511" s="9" t="s">
        <v>12</v>
      </c>
      <c r="H511" s="9" t="s">
        <v>182</v>
      </c>
      <c r="I511" s="9"/>
      <c r="J511" s="9" t="s">
        <v>1513</v>
      </c>
      <c r="K511" s="9"/>
      <c r="L511" s="9"/>
      <c r="M511" s="9" t="s">
        <v>3172</v>
      </c>
      <c r="N511" s="9"/>
      <c r="O511" s="9" t="s">
        <v>3173</v>
      </c>
      <c r="P511" s="9" t="str">
        <f>HYPERLINK("https://ceds.ed.gov/cedselementdetails.aspx?termid=13796")</f>
        <v>https://ceds.ed.gov/cedselementdetails.aspx?termid=13796</v>
      </c>
      <c r="Q511" s="9" t="str">
        <f>HYPERLINK("https://ceds.ed.gov/elementComment.aspx?elementName=Hourly Wage &amp;elementID=13796", "Click here to submit comment")</f>
        <v>Click here to submit comment</v>
      </c>
    </row>
    <row r="512" spans="1:17" ht="135" x14ac:dyDescent="0.25">
      <c r="A512" s="9" t="s">
        <v>6739</v>
      </c>
      <c r="B512" s="9" t="s">
        <v>6802</v>
      </c>
      <c r="C512" s="9" t="s">
        <v>6803</v>
      </c>
      <c r="D512" s="9" t="s">
        <v>6742</v>
      </c>
      <c r="E512" s="9" t="s">
        <v>6040</v>
      </c>
      <c r="F512" s="9" t="s">
        <v>6041</v>
      </c>
      <c r="G512" s="10" t="s">
        <v>6734</v>
      </c>
      <c r="H512" s="9" t="s">
        <v>182</v>
      </c>
      <c r="I512" s="9"/>
      <c r="J512" s="9"/>
      <c r="K512" s="9"/>
      <c r="L512" s="9"/>
      <c r="M512" s="9" t="s">
        <v>6042</v>
      </c>
      <c r="N512" s="9"/>
      <c r="O512" s="9" t="s">
        <v>6043</v>
      </c>
      <c r="P512" s="9" t="str">
        <f>HYPERLINK("https://ceds.ed.gov/cedselementdetails.aspx?termid=13797")</f>
        <v>https://ceds.ed.gov/cedselementdetails.aspx?termid=13797</v>
      </c>
      <c r="Q512" s="9" t="str">
        <f>HYPERLINK("https://ceds.ed.gov/elementComment.aspx?elementName=Wage Collection Code &amp;elementID=13797", "Click here to submit comment")</f>
        <v>Click here to submit comment</v>
      </c>
    </row>
    <row r="513" spans="1:17" ht="60" x14ac:dyDescent="0.25">
      <c r="A513" s="9" t="s">
        <v>6739</v>
      </c>
      <c r="B513" s="9" t="s">
        <v>6802</v>
      </c>
      <c r="C513" s="9" t="s">
        <v>6803</v>
      </c>
      <c r="D513" s="9" t="s">
        <v>6742</v>
      </c>
      <c r="E513" s="9" t="s">
        <v>6044</v>
      </c>
      <c r="F513" s="9" t="s">
        <v>6045</v>
      </c>
      <c r="G513" s="10" t="s">
        <v>6735</v>
      </c>
      <c r="H513" s="9" t="s">
        <v>182</v>
      </c>
      <c r="I513" s="9"/>
      <c r="J513" s="9"/>
      <c r="K513" s="9"/>
      <c r="L513" s="9"/>
      <c r="M513" s="9" t="s">
        <v>6046</v>
      </c>
      <c r="N513" s="9"/>
      <c r="O513" s="9" t="s">
        <v>6047</v>
      </c>
      <c r="P513" s="9" t="str">
        <f>HYPERLINK("https://ceds.ed.gov/cedselementdetails.aspx?termid=13818")</f>
        <v>https://ceds.ed.gov/cedselementdetails.aspx?termid=13818</v>
      </c>
      <c r="Q513" s="9" t="str">
        <f>HYPERLINK("https://ceds.ed.gov/elementComment.aspx?elementName=Wage Verification Code &amp;elementID=13818", "Click here to submit comment")</f>
        <v>Click here to submit comment</v>
      </c>
    </row>
    <row r="514" spans="1:17" ht="225" x14ac:dyDescent="0.25">
      <c r="A514" s="9" t="s">
        <v>6739</v>
      </c>
      <c r="B514" s="9" t="s">
        <v>6802</v>
      </c>
      <c r="C514" s="9" t="s">
        <v>6803</v>
      </c>
      <c r="D514" s="9" t="s">
        <v>6742</v>
      </c>
      <c r="E514" s="9" t="s">
        <v>5564</v>
      </c>
      <c r="F514" s="9" t="s">
        <v>5565</v>
      </c>
      <c r="G514" s="9" t="s">
        <v>12</v>
      </c>
      <c r="H514" s="9" t="s">
        <v>1858</v>
      </c>
      <c r="I514" s="9"/>
      <c r="J514" s="9" t="s">
        <v>1513</v>
      </c>
      <c r="K514" s="9"/>
      <c r="L514" s="9" t="s">
        <v>12221</v>
      </c>
      <c r="M514" s="9" t="s">
        <v>5566</v>
      </c>
      <c r="N514" s="9"/>
      <c r="O514" s="9" t="s">
        <v>5567</v>
      </c>
      <c r="P514" s="9" t="str">
        <f>HYPERLINK("https://ceds.ed.gov/cedselementdetails.aspx?termid=13032")</f>
        <v>https://ceds.ed.gov/cedselementdetails.aspx?termid=13032</v>
      </c>
      <c r="Q514" s="9" t="str">
        <f>HYPERLINK("https://ceds.ed.gov/elementComment.aspx?elementName=Staff Compensation Base Salary &amp;elementID=13032", "Click here to submit comment")</f>
        <v>Click here to submit comment</v>
      </c>
    </row>
    <row r="515" spans="1:17" ht="60" x14ac:dyDescent="0.25">
      <c r="A515" s="9" t="s">
        <v>6739</v>
      </c>
      <c r="B515" s="9" t="s">
        <v>6802</v>
      </c>
      <c r="C515" s="9" t="s">
        <v>6803</v>
      </c>
      <c r="D515" s="9" t="s">
        <v>6742</v>
      </c>
      <c r="E515" s="9" t="s">
        <v>5584</v>
      </c>
      <c r="F515" s="9" t="s">
        <v>5585</v>
      </c>
      <c r="G515" s="9" t="s">
        <v>12</v>
      </c>
      <c r="H515" s="9" t="s">
        <v>1858</v>
      </c>
      <c r="I515" s="9"/>
      <c r="J515" s="9" t="s">
        <v>1513</v>
      </c>
      <c r="K515" s="9"/>
      <c r="L515" s="9"/>
      <c r="M515" s="9" t="s">
        <v>5586</v>
      </c>
      <c r="N515" s="9"/>
      <c r="O515" s="9" t="s">
        <v>5587</v>
      </c>
      <c r="P515" s="9" t="str">
        <f>HYPERLINK("https://ceds.ed.gov/cedselementdetails.aspx?termid=13295")</f>
        <v>https://ceds.ed.gov/cedselementdetails.aspx?termid=13295</v>
      </c>
      <c r="Q515" s="9" t="str">
        <f>HYPERLINK("https://ceds.ed.gov/elementComment.aspx?elementName=Staff Compensation Total Salary &amp;elementID=13295", "Click here to submit comment")</f>
        <v>Click here to submit comment</v>
      </c>
    </row>
    <row r="516" spans="1:17" ht="135" x14ac:dyDescent="0.25">
      <c r="A516" s="9" t="s">
        <v>6739</v>
      </c>
      <c r="B516" s="9" t="s">
        <v>6802</v>
      </c>
      <c r="C516" s="9" t="s">
        <v>6803</v>
      </c>
      <c r="D516" s="9" t="s">
        <v>6742</v>
      </c>
      <c r="E516" s="9" t="s">
        <v>5568</v>
      </c>
      <c r="F516" s="9" t="s">
        <v>5569</v>
      </c>
      <c r="G516" s="9" t="s">
        <v>12</v>
      </c>
      <c r="H516" s="9" t="s">
        <v>1858</v>
      </c>
      <c r="I516" s="9"/>
      <c r="J516" s="9" t="s">
        <v>1513</v>
      </c>
      <c r="K516" s="9"/>
      <c r="L516" s="9"/>
      <c r="M516" s="9" t="s">
        <v>5570</v>
      </c>
      <c r="N516" s="9"/>
      <c r="O516" s="9" t="s">
        <v>5571</v>
      </c>
      <c r="P516" s="9" t="str">
        <f>HYPERLINK("https://ceds.ed.gov/cedselementdetails.aspx?termid=13136")</f>
        <v>https://ceds.ed.gov/cedselementdetails.aspx?termid=13136</v>
      </c>
      <c r="Q516" s="9" t="str">
        <f>HYPERLINK("https://ceds.ed.gov/elementComment.aspx?elementName=Staff Compensation Health Benefits &amp;elementID=13136", "Click here to submit comment")</f>
        <v>Click here to submit comment</v>
      </c>
    </row>
    <row r="517" spans="1:17" ht="135" x14ac:dyDescent="0.25">
      <c r="A517" s="9" t="s">
        <v>6739</v>
      </c>
      <c r="B517" s="9" t="s">
        <v>6802</v>
      </c>
      <c r="C517" s="9" t="s">
        <v>6803</v>
      </c>
      <c r="D517" s="9" t="s">
        <v>6742</v>
      </c>
      <c r="E517" s="9" t="s">
        <v>5576</v>
      </c>
      <c r="F517" s="9" t="s">
        <v>5577</v>
      </c>
      <c r="G517" s="9" t="s">
        <v>12</v>
      </c>
      <c r="H517" s="9" t="s">
        <v>1858</v>
      </c>
      <c r="I517" s="9"/>
      <c r="J517" s="9" t="s">
        <v>1513</v>
      </c>
      <c r="K517" s="9"/>
      <c r="L517" s="9"/>
      <c r="M517" s="9" t="s">
        <v>5578</v>
      </c>
      <c r="N517" s="9"/>
      <c r="O517" s="9" t="s">
        <v>5579</v>
      </c>
      <c r="P517" s="9" t="str">
        <f>HYPERLINK("https://ceds.ed.gov/cedselementdetails.aspx?termid=13233")</f>
        <v>https://ceds.ed.gov/cedselementdetails.aspx?termid=13233</v>
      </c>
      <c r="Q517" s="9" t="str">
        <f>HYPERLINK("https://ceds.ed.gov/elementComment.aspx?elementName=Staff Compensation Retirement Benefits &amp;elementID=13233", "Click here to submit comment")</f>
        <v>Click here to submit comment</v>
      </c>
    </row>
    <row r="518" spans="1:17" ht="150" x14ac:dyDescent="0.25">
      <c r="A518" s="9" t="s">
        <v>6739</v>
      </c>
      <c r="B518" s="9" t="s">
        <v>6802</v>
      </c>
      <c r="C518" s="9" t="s">
        <v>6803</v>
      </c>
      <c r="D518" s="9" t="s">
        <v>6742</v>
      </c>
      <c r="E518" s="9" t="s">
        <v>5572</v>
      </c>
      <c r="F518" s="9" t="s">
        <v>5573</v>
      </c>
      <c r="G518" s="9" t="s">
        <v>12</v>
      </c>
      <c r="H518" s="9" t="s">
        <v>1858</v>
      </c>
      <c r="I518" s="9"/>
      <c r="J518" s="9" t="s">
        <v>1513</v>
      </c>
      <c r="K518" s="9"/>
      <c r="L518" s="9"/>
      <c r="M518" s="9" t="s">
        <v>5574</v>
      </c>
      <c r="N518" s="9"/>
      <c r="O518" s="9" t="s">
        <v>5575</v>
      </c>
      <c r="P518" s="9" t="str">
        <f>HYPERLINK("https://ceds.ed.gov/cedselementdetails.aspx?termid=13205")</f>
        <v>https://ceds.ed.gov/cedselementdetails.aspx?termid=13205</v>
      </c>
      <c r="Q518" s="9" t="str">
        <f>HYPERLINK("https://ceds.ed.gov/elementComment.aspx?elementName=Staff Compensation Other Benefits &amp;elementID=13205", "Click here to submit comment")</f>
        <v>Click here to submit comment</v>
      </c>
    </row>
    <row r="519" spans="1:17" ht="165" x14ac:dyDescent="0.25">
      <c r="A519" s="9" t="s">
        <v>6739</v>
      </c>
      <c r="B519" s="9" t="s">
        <v>6802</v>
      </c>
      <c r="C519" s="9" t="s">
        <v>6803</v>
      </c>
      <c r="D519" s="9" t="s">
        <v>6742</v>
      </c>
      <c r="E519" s="9" t="s">
        <v>5580</v>
      </c>
      <c r="F519" s="9" t="s">
        <v>5581</v>
      </c>
      <c r="G519" s="9" t="s">
        <v>12</v>
      </c>
      <c r="H519" s="9" t="s">
        <v>1858</v>
      </c>
      <c r="I519" s="9"/>
      <c r="J519" s="9" t="s">
        <v>1513</v>
      </c>
      <c r="K519" s="9"/>
      <c r="L519" s="9"/>
      <c r="M519" s="9" t="s">
        <v>5582</v>
      </c>
      <c r="N519" s="9"/>
      <c r="O519" s="9" t="s">
        <v>5583</v>
      </c>
      <c r="P519" s="9" t="str">
        <f>HYPERLINK("https://ceds.ed.gov/cedselementdetails.aspx?termid=13293")</f>
        <v>https://ceds.ed.gov/cedselementdetails.aspx?termid=13293</v>
      </c>
      <c r="Q519" s="9" t="str">
        <f>HYPERLINK("https://ceds.ed.gov/elementComment.aspx?elementName=Staff Compensation Total Benefits &amp;elementID=13293", "Click here to submit comment")</f>
        <v>Click here to submit comment</v>
      </c>
    </row>
    <row r="520" spans="1:17" ht="45" x14ac:dyDescent="0.25">
      <c r="A520" s="9" t="s">
        <v>6739</v>
      </c>
      <c r="B520" s="9" t="s">
        <v>6802</v>
      </c>
      <c r="C520" s="9" t="s">
        <v>6803</v>
      </c>
      <c r="D520" s="9" t="s">
        <v>6742</v>
      </c>
      <c r="E520" s="9" t="s">
        <v>4456</v>
      </c>
      <c r="F520" s="9" t="s">
        <v>4457</v>
      </c>
      <c r="G520" s="9" t="s">
        <v>12</v>
      </c>
      <c r="H520" s="9" t="s">
        <v>182</v>
      </c>
      <c r="I520" s="9"/>
      <c r="J520" s="9" t="s">
        <v>92</v>
      </c>
      <c r="K520" s="9"/>
      <c r="L520" s="9"/>
      <c r="M520" s="9" t="s">
        <v>4458</v>
      </c>
      <c r="N520" s="9"/>
      <c r="O520" s="9" t="s">
        <v>4459</v>
      </c>
      <c r="P520" s="9" t="str">
        <f>HYPERLINK("https://ceds.ed.gov/cedselementdetails.aspx?termid=13204")</f>
        <v>https://ceds.ed.gov/cedselementdetails.aspx?termid=13204</v>
      </c>
      <c r="Q520" s="9" t="str">
        <f>HYPERLINK("https://ceds.ed.gov/elementComment.aspx?elementName=Organization Name &amp;elementID=13204", "Click here to submit comment")</f>
        <v>Click here to submit comment</v>
      </c>
    </row>
    <row r="521" spans="1:17" ht="45" x14ac:dyDescent="0.25">
      <c r="A521" s="9" t="s">
        <v>6739</v>
      </c>
      <c r="B521" s="9" t="s">
        <v>6802</v>
      </c>
      <c r="C521" s="9" t="s">
        <v>6803</v>
      </c>
      <c r="D521" s="9" t="s">
        <v>6742</v>
      </c>
      <c r="E521" s="9" t="s">
        <v>6012</v>
      </c>
      <c r="F521" s="9" t="s">
        <v>6013</v>
      </c>
      <c r="G521" s="9" t="s">
        <v>6106</v>
      </c>
      <c r="H521" s="9" t="s">
        <v>182</v>
      </c>
      <c r="I521" s="9"/>
      <c r="J521" s="9"/>
      <c r="K521" s="9"/>
      <c r="L521" s="9"/>
      <c r="M521" s="9" t="s">
        <v>6014</v>
      </c>
      <c r="N521" s="9"/>
      <c r="O521" s="9" t="s">
        <v>6015</v>
      </c>
      <c r="P521" s="9" t="str">
        <f>HYPERLINK("https://ceds.ed.gov/cedselementdetails.aspx?termid=13798")</f>
        <v>https://ceds.ed.gov/cedselementdetails.aspx?termid=13798</v>
      </c>
      <c r="Q521" s="9" t="str">
        <f>HYPERLINK("https://ceds.ed.gov/elementComment.aspx?elementName=Union Membership Status &amp;elementID=13798", "Click here to submit comment")</f>
        <v>Click here to submit comment</v>
      </c>
    </row>
    <row r="522" spans="1:17" ht="45" x14ac:dyDescent="0.25">
      <c r="A522" s="9" t="s">
        <v>6739</v>
      </c>
      <c r="B522" s="9" t="s">
        <v>6802</v>
      </c>
      <c r="C522" s="9" t="s">
        <v>6803</v>
      </c>
      <c r="D522" s="9" t="s">
        <v>6742</v>
      </c>
      <c r="E522" s="9" t="s">
        <v>6008</v>
      </c>
      <c r="F522" s="9" t="s">
        <v>6009</v>
      </c>
      <c r="G522" s="9" t="s">
        <v>12</v>
      </c>
      <c r="H522" s="9"/>
      <c r="I522" s="9"/>
      <c r="J522" s="9" t="s">
        <v>303</v>
      </c>
      <c r="K522" s="9"/>
      <c r="L522" s="9"/>
      <c r="M522" s="9" t="s">
        <v>6010</v>
      </c>
      <c r="N522" s="9"/>
      <c r="O522" s="9" t="s">
        <v>6011</v>
      </c>
      <c r="P522" s="9" t="str">
        <f>HYPERLINK("https://ceds.ed.gov/cedselementdetails.aspx?termid=14469")</f>
        <v>https://ceds.ed.gov/cedselementdetails.aspx?termid=14469</v>
      </c>
      <c r="Q522" s="9" t="str">
        <f>HYPERLINK("https://ceds.ed.gov/elementComment.aspx?elementName=Union Membership Name &amp;elementID=14469", "Click here to submit comment")</f>
        <v>Click here to submit comment</v>
      </c>
    </row>
    <row r="523" spans="1:17" ht="409.5" x14ac:dyDescent="0.25">
      <c r="A523" s="9" t="s">
        <v>6739</v>
      </c>
      <c r="B523" s="9" t="s">
        <v>6802</v>
      </c>
      <c r="C523" s="9" t="s">
        <v>6803</v>
      </c>
      <c r="D523" s="9" t="s">
        <v>6742</v>
      </c>
      <c r="E523" s="9" t="s">
        <v>2434</v>
      </c>
      <c r="F523" s="9" t="s">
        <v>2435</v>
      </c>
      <c r="G523" s="10" t="s">
        <v>6466</v>
      </c>
      <c r="H523" s="9"/>
      <c r="I523" s="9"/>
      <c r="J523" s="9"/>
      <c r="K523" s="9"/>
      <c r="L523" s="9"/>
      <c r="M523" s="9" t="s">
        <v>2437</v>
      </c>
      <c r="N523" s="9"/>
      <c r="O523" s="9" t="s">
        <v>2438</v>
      </c>
      <c r="P523" s="9" t="str">
        <f>HYPERLINK("https://ceds.ed.gov/cedselementdetails.aspx?termid=14581")</f>
        <v>https://ceds.ed.gov/cedselementdetails.aspx?termid=14581</v>
      </c>
      <c r="Q523" s="9" t="str">
        <f>HYPERLINK("https://ceds.ed.gov/elementComment.aspx?elementName=Early Learning Education Staff Classification &amp;elementID=14581", "Click here to submit comment")</f>
        <v>Click here to submit comment</v>
      </c>
    </row>
    <row r="524" spans="1:17" ht="409.5" x14ac:dyDescent="0.25">
      <c r="A524" s="9" t="s">
        <v>6739</v>
      </c>
      <c r="B524" s="9" t="s">
        <v>6802</v>
      </c>
      <c r="C524" s="9" t="s">
        <v>6803</v>
      </c>
      <c r="D524" s="9" t="s">
        <v>6742</v>
      </c>
      <c r="E524" s="9" t="s">
        <v>2541</v>
      </c>
      <c r="F524" s="9" t="s">
        <v>2542</v>
      </c>
      <c r="G524" s="10" t="s">
        <v>6478</v>
      </c>
      <c r="H524" s="9"/>
      <c r="I524" s="9"/>
      <c r="J524" s="9"/>
      <c r="K524" s="9"/>
      <c r="L524" s="9"/>
      <c r="M524" s="9" t="s">
        <v>2543</v>
      </c>
      <c r="N524" s="9"/>
      <c r="O524" s="9" t="s">
        <v>2544</v>
      </c>
      <c r="P524" s="9" t="str">
        <f>HYPERLINK("https://ceds.ed.gov/cedselementdetails.aspx?termid=14617")</f>
        <v>https://ceds.ed.gov/cedselementdetails.aspx?termid=14617</v>
      </c>
      <c r="Q524" s="9" t="str">
        <f>HYPERLINK("https://ceds.ed.gov/elementComment.aspx?elementName=Early Learning Service Professional Staff Classification &amp;elementID=14617", "Click here to submit comment")</f>
        <v>Click here to submit comment</v>
      </c>
    </row>
    <row r="525" spans="1:17" ht="45" x14ac:dyDescent="0.25">
      <c r="A525" s="9" t="s">
        <v>6739</v>
      </c>
      <c r="B525" s="9" t="s">
        <v>6802</v>
      </c>
      <c r="C525" s="9" t="s">
        <v>6803</v>
      </c>
      <c r="D525" s="9" t="s">
        <v>6742</v>
      </c>
      <c r="E525" s="9" t="s">
        <v>3558</v>
      </c>
      <c r="F525" s="9" t="s">
        <v>3559</v>
      </c>
      <c r="G525" s="9" t="s">
        <v>6106</v>
      </c>
      <c r="H525" s="9"/>
      <c r="I525" s="9"/>
      <c r="J525" s="9"/>
      <c r="K525" s="9"/>
      <c r="L525" s="9"/>
      <c r="M525" s="9" t="s">
        <v>3560</v>
      </c>
      <c r="N525" s="9"/>
      <c r="O525" s="9" t="s">
        <v>3561</v>
      </c>
      <c r="P525" s="9" t="str">
        <f>HYPERLINK("https://ceds.ed.gov/cedselementdetails.aspx?termid=14353")</f>
        <v>https://ceds.ed.gov/cedselementdetails.aspx?termid=14353</v>
      </c>
      <c r="Q525" s="9" t="str">
        <f>HYPERLINK("https://ceds.ed.gov/elementComment.aspx?elementName=Itinerant Provider &amp;elementID=14353", "Click here to submit comment")</f>
        <v>Click here to submit comment</v>
      </c>
    </row>
    <row r="526" spans="1:17" ht="45" x14ac:dyDescent="0.25">
      <c r="A526" s="9" t="s">
        <v>6739</v>
      </c>
      <c r="B526" s="9" t="s">
        <v>6802</v>
      </c>
      <c r="C526" s="9" t="s">
        <v>6803</v>
      </c>
      <c r="D526" s="9" t="s">
        <v>6742</v>
      </c>
      <c r="E526" s="9" t="s">
        <v>5560</v>
      </c>
      <c r="F526" s="9" t="s">
        <v>5561</v>
      </c>
      <c r="G526" s="9" t="s">
        <v>6106</v>
      </c>
      <c r="H526" s="9"/>
      <c r="I526" s="9"/>
      <c r="J526" s="9"/>
      <c r="K526" s="9"/>
      <c r="L526" s="9"/>
      <c r="M526" s="9" t="s">
        <v>5562</v>
      </c>
      <c r="N526" s="9"/>
      <c r="O526" s="9" t="s">
        <v>5563</v>
      </c>
      <c r="P526" s="9" t="str">
        <f>HYPERLINK("https://ceds.ed.gov/cedselementdetails.aspx?termid=14560")</f>
        <v>https://ceds.ed.gov/cedselementdetails.aspx?termid=14560</v>
      </c>
      <c r="Q526" s="9" t="str">
        <f>HYPERLINK("https://ceds.ed.gov/elementComment.aspx?elementName=Staff Approval Indicator &amp;elementID=14560", "Click here to submit comment")</f>
        <v>Click here to submit comment</v>
      </c>
    </row>
    <row r="527" spans="1:17" ht="60" x14ac:dyDescent="0.25">
      <c r="A527" s="9" t="s">
        <v>6739</v>
      </c>
      <c r="B527" s="9" t="s">
        <v>6802</v>
      </c>
      <c r="C527" s="9" t="s">
        <v>6803</v>
      </c>
      <c r="D527" s="9" t="s">
        <v>6742</v>
      </c>
      <c r="E527" s="9" t="s">
        <v>5612</v>
      </c>
      <c r="F527" s="9" t="s">
        <v>5613</v>
      </c>
      <c r="G527" s="9" t="s">
        <v>12</v>
      </c>
      <c r="H527" s="9" t="s">
        <v>6282</v>
      </c>
      <c r="I527" s="9"/>
      <c r="J527" s="9" t="s">
        <v>11380</v>
      </c>
      <c r="K527" s="9"/>
      <c r="L527" s="9"/>
      <c r="M527" s="9" t="s">
        <v>5614</v>
      </c>
      <c r="N527" s="9" t="s">
        <v>5615</v>
      </c>
      <c r="O527" s="9" t="s">
        <v>5616</v>
      </c>
      <c r="P527" s="9" t="str">
        <f>HYPERLINK("https://ceds.ed.gov/cedselementdetails.aspx?termid=13118")</f>
        <v>https://ceds.ed.gov/cedselementdetails.aspx?termid=13118</v>
      </c>
      <c r="Q527" s="9" t="str">
        <f>HYPERLINK("https://ceds.ed.gov/elementComment.aspx?elementName=Staff Full Time Equivalency &amp;elementID=13118", "Click here to submit comment")</f>
        <v>Click here to submit comment</v>
      </c>
    </row>
    <row r="528" spans="1:17" ht="135" x14ac:dyDescent="0.25">
      <c r="A528" s="9" t="s">
        <v>6739</v>
      </c>
      <c r="B528" s="9" t="s">
        <v>6802</v>
      </c>
      <c r="C528" s="9" t="s">
        <v>6760</v>
      </c>
      <c r="D528" s="9" t="s">
        <v>6742</v>
      </c>
      <c r="E528" s="9" t="s">
        <v>3589</v>
      </c>
      <c r="F528" s="9" t="s">
        <v>3590</v>
      </c>
      <c r="G528" s="10" t="s">
        <v>6573</v>
      </c>
      <c r="H528" s="9" t="s">
        <v>6235</v>
      </c>
      <c r="I528" s="9"/>
      <c r="J528" s="9"/>
      <c r="K528" s="9"/>
      <c r="L528" s="9"/>
      <c r="M528" s="9" t="s">
        <v>3591</v>
      </c>
      <c r="N528" s="9"/>
      <c r="O528" s="9" t="s">
        <v>3592</v>
      </c>
      <c r="P528" s="9" t="str">
        <f>HYPERLINK("https://ceds.ed.gov/cedselementdetails.aspx?termid=13316")</f>
        <v>https://ceds.ed.gov/cedselementdetails.aspx?termid=13316</v>
      </c>
      <c r="Q528" s="9" t="str">
        <f>HYPERLINK("https://ceds.ed.gov/elementComment.aspx?elementName=Language Type &amp;elementID=13316", "Click here to submit comment")</f>
        <v>Click here to submit comment</v>
      </c>
    </row>
    <row r="529" spans="1:17" ht="90" x14ac:dyDescent="0.25">
      <c r="A529" s="9" t="s">
        <v>6739</v>
      </c>
      <c r="B529" s="9" t="s">
        <v>6802</v>
      </c>
      <c r="C529" s="9" t="s">
        <v>6760</v>
      </c>
      <c r="D529" s="9" t="s">
        <v>6742</v>
      </c>
      <c r="E529" s="9" t="s">
        <v>3545</v>
      </c>
      <c r="F529" s="9" t="s">
        <v>3546</v>
      </c>
      <c r="G529" s="11" t="s">
        <v>966</v>
      </c>
      <c r="H529" s="9" t="s">
        <v>6235</v>
      </c>
      <c r="I529" s="9"/>
      <c r="J529" s="9"/>
      <c r="K529" s="9"/>
      <c r="L529" s="11" t="s">
        <v>967</v>
      </c>
      <c r="M529" s="9" t="s">
        <v>3547</v>
      </c>
      <c r="N529" s="9"/>
      <c r="O529" s="9" t="s">
        <v>3548</v>
      </c>
      <c r="P529" s="9" t="str">
        <f>HYPERLINK("https://ceds.ed.gov/cedselementdetails.aspx?termid=13317")</f>
        <v>https://ceds.ed.gov/cedselementdetails.aspx?termid=13317</v>
      </c>
      <c r="Q529" s="9" t="str">
        <f>HYPERLINK("https://ceds.ed.gov/elementComment.aspx?elementName=ISO 639-2 Language Code &amp;elementID=13317", "Click here to submit comment")</f>
        <v>Click here to submit comment</v>
      </c>
    </row>
    <row r="530" spans="1:17" ht="105" x14ac:dyDescent="0.25">
      <c r="A530" s="9" t="s">
        <v>6739</v>
      </c>
      <c r="B530" s="9" t="s">
        <v>6802</v>
      </c>
      <c r="C530" s="9" t="s">
        <v>6760</v>
      </c>
      <c r="D530" s="9" t="s">
        <v>6742</v>
      </c>
      <c r="E530" s="9" t="s">
        <v>3549</v>
      </c>
      <c r="F530" s="9" t="s">
        <v>3546</v>
      </c>
      <c r="G530" s="11" t="s">
        <v>11618</v>
      </c>
      <c r="H530" s="9"/>
      <c r="I530" s="9"/>
      <c r="J530" s="9"/>
      <c r="K530" s="9"/>
      <c r="L530" s="11" t="s">
        <v>3550</v>
      </c>
      <c r="M530" s="9" t="s">
        <v>3551</v>
      </c>
      <c r="N530" s="9"/>
      <c r="O530" s="9" t="s">
        <v>3552</v>
      </c>
      <c r="P530" s="9" t="str">
        <f>HYPERLINK("https://ceds.ed.gov/cedselementdetails.aspx?termid=14618")</f>
        <v>https://ceds.ed.gov/cedselementdetails.aspx?termid=14618</v>
      </c>
      <c r="Q530" s="9" t="str">
        <f>HYPERLINK("https://ceds.ed.gov/elementComment.aspx?elementName=ISO 639-3 Language Code &amp;elementID=14618", "Click here to submit comment")</f>
        <v>Click here to submit comment</v>
      </c>
    </row>
    <row r="531" spans="1:17" ht="409.5" x14ac:dyDescent="0.25">
      <c r="A531" s="9" t="s">
        <v>6739</v>
      </c>
      <c r="B531" s="9" t="s">
        <v>6802</v>
      </c>
      <c r="C531" s="9" t="s">
        <v>6760</v>
      </c>
      <c r="D531" s="9" t="s">
        <v>6742</v>
      </c>
      <c r="E531" s="9" t="s">
        <v>3553</v>
      </c>
      <c r="F531" s="9" t="s">
        <v>3554</v>
      </c>
      <c r="G531" s="10" t="s">
        <v>6568</v>
      </c>
      <c r="H531" s="9"/>
      <c r="I531" s="9"/>
      <c r="J531" s="9"/>
      <c r="K531" s="9"/>
      <c r="L531" s="11" t="s">
        <v>3555</v>
      </c>
      <c r="M531" s="9" t="s">
        <v>3556</v>
      </c>
      <c r="N531" s="9"/>
      <c r="O531" s="9" t="s">
        <v>3557</v>
      </c>
      <c r="P531" s="9" t="str">
        <f>HYPERLINK("https://ceds.ed.gov/cedselementdetails.aspx?termid=14619")</f>
        <v>https://ceds.ed.gov/cedselementdetails.aspx?termid=14619</v>
      </c>
      <c r="Q531" s="9" t="str">
        <f>HYPERLINK("https://ceds.ed.gov/elementComment.aspx?elementName=ISO 639-5 Language Family &amp;elementID=14619", "Click here to submit comment")</f>
        <v>Click here to submit comment</v>
      </c>
    </row>
    <row r="532" spans="1:17" ht="180" x14ac:dyDescent="0.25">
      <c r="A532" s="9" t="s">
        <v>6739</v>
      </c>
      <c r="B532" s="9" t="s">
        <v>6802</v>
      </c>
      <c r="C532" s="9" t="s">
        <v>6804</v>
      </c>
      <c r="D532" s="9" t="s">
        <v>6742</v>
      </c>
      <c r="E532" s="9" t="s">
        <v>2379</v>
      </c>
      <c r="F532" s="9" t="s">
        <v>2380</v>
      </c>
      <c r="G532" s="10" t="s">
        <v>6460</v>
      </c>
      <c r="H532" s="9" t="s">
        <v>6183</v>
      </c>
      <c r="I532" s="9"/>
      <c r="J532" s="9"/>
      <c r="K532" s="9"/>
      <c r="L532" s="9"/>
      <c r="M532" s="9" t="s">
        <v>2381</v>
      </c>
      <c r="N532" s="9"/>
      <c r="O532" s="9" t="s">
        <v>2382</v>
      </c>
      <c r="P532" s="9" t="str">
        <f>HYPERLINK("https://ceds.ed.gov/cedselementdetails.aspx?termid=13344")</f>
        <v>https://ceds.ed.gov/cedselementdetails.aspx?termid=13344</v>
      </c>
      <c r="Q532" s="9" t="str">
        <f>HYPERLINK("https://ceds.ed.gov/elementComment.aspx?elementName=Early Childhood Credential &amp;elementID=13344", "Click here to submit comment")</f>
        <v>Click here to submit comment</v>
      </c>
    </row>
    <row r="533" spans="1:17" ht="45" x14ac:dyDescent="0.25">
      <c r="A533" s="9" t="s">
        <v>6739</v>
      </c>
      <c r="B533" s="9" t="s">
        <v>6802</v>
      </c>
      <c r="C533" s="9" t="s">
        <v>6804</v>
      </c>
      <c r="D533" s="9" t="s">
        <v>6742</v>
      </c>
      <c r="E533" s="9" t="s">
        <v>4721</v>
      </c>
      <c r="F533" s="9" t="s">
        <v>4722</v>
      </c>
      <c r="G533" s="9" t="s">
        <v>12</v>
      </c>
      <c r="H533" s="9"/>
      <c r="I533" s="9"/>
      <c r="J533" s="9" t="s">
        <v>87</v>
      </c>
      <c r="K533" s="9"/>
      <c r="L533" s="9"/>
      <c r="M533" s="9" t="s">
        <v>4723</v>
      </c>
      <c r="N533" s="9"/>
      <c r="O533" s="9" t="s">
        <v>4724</v>
      </c>
      <c r="P533" s="9" t="str">
        <f>HYPERLINK("https://ceds.ed.gov/cedselementdetails.aspx?termid=14398")</f>
        <v>https://ceds.ed.gov/cedselementdetails.aspx?termid=14398</v>
      </c>
      <c r="Q533" s="9" t="str">
        <f>HYPERLINK("https://ceds.ed.gov/elementComment.aspx?elementName=Professional Certificate or License Number &amp;elementID=14398", "Click here to submit comment")</f>
        <v>Click here to submit comment</v>
      </c>
    </row>
    <row r="534" spans="1:17" ht="45" x14ac:dyDescent="0.25">
      <c r="A534" s="9" t="s">
        <v>6739</v>
      </c>
      <c r="B534" s="9" t="s">
        <v>6802</v>
      </c>
      <c r="C534" s="9" t="s">
        <v>6804</v>
      </c>
      <c r="D534" s="9" t="s">
        <v>6742</v>
      </c>
      <c r="E534" s="9" t="s">
        <v>4300</v>
      </c>
      <c r="F534" s="9" t="s">
        <v>4301</v>
      </c>
      <c r="G534" s="9" t="s">
        <v>12</v>
      </c>
      <c r="H534" s="9" t="s">
        <v>182</v>
      </c>
      <c r="I534" s="9"/>
      <c r="J534" s="9" t="s">
        <v>92</v>
      </c>
      <c r="K534" s="9"/>
      <c r="L534" s="9"/>
      <c r="M534" s="9" t="s">
        <v>4302</v>
      </c>
      <c r="N534" s="9"/>
      <c r="O534" s="9" t="s">
        <v>4303</v>
      </c>
      <c r="P534" s="9" t="str">
        <f>HYPERLINK("https://ceds.ed.gov/cedselementdetails.aspx?termid=14064")</f>
        <v>https://ceds.ed.gov/cedselementdetails.aspx?termid=14064</v>
      </c>
      <c r="Q534" s="9" t="str">
        <f>HYPERLINK("https://ceds.ed.gov/elementComment.aspx?elementName=Name of Professional Credential or License &amp;elementID=14064", "Click here to submit comment")</f>
        <v>Click here to submit comment</v>
      </c>
    </row>
    <row r="535" spans="1:17" ht="409.5" x14ac:dyDescent="0.25">
      <c r="A535" s="9" t="s">
        <v>6739</v>
      </c>
      <c r="B535" s="9" t="s">
        <v>6802</v>
      </c>
      <c r="C535" s="9" t="s">
        <v>6804</v>
      </c>
      <c r="D535" s="9" t="s">
        <v>6742</v>
      </c>
      <c r="E535" s="9" t="s">
        <v>5679</v>
      </c>
      <c r="F535" s="9" t="s">
        <v>5680</v>
      </c>
      <c r="G535" s="10" t="s">
        <v>6672</v>
      </c>
      <c r="H535" s="9" t="s">
        <v>182</v>
      </c>
      <c r="I535" s="9"/>
      <c r="J535" s="9"/>
      <c r="K535" s="9"/>
      <c r="L535" s="9"/>
      <c r="M535" s="9" t="s">
        <v>5681</v>
      </c>
      <c r="N535" s="9"/>
      <c r="O535" s="9" t="s">
        <v>5682</v>
      </c>
      <c r="P535" s="9" t="str">
        <f>HYPERLINK("https://ceds.ed.gov/cedselementdetails.aspx?termid=13804")</f>
        <v>https://ceds.ed.gov/cedselementdetails.aspx?termid=13804</v>
      </c>
      <c r="Q535" s="9" t="str">
        <f>HYPERLINK("https://ceds.ed.gov/elementComment.aspx?elementName=State Issuing Professional Credential or License &amp;elementID=13804", "Click here to submit comment")</f>
        <v>Click here to submit comment</v>
      </c>
    </row>
    <row r="536" spans="1:17" ht="45" x14ac:dyDescent="0.25">
      <c r="A536" s="9" t="s">
        <v>6739</v>
      </c>
      <c r="B536" s="9" t="s">
        <v>6802</v>
      </c>
      <c r="C536" s="9" t="s">
        <v>6804</v>
      </c>
      <c r="D536" s="9" t="s">
        <v>6742</v>
      </c>
      <c r="E536" s="9" t="s">
        <v>2107</v>
      </c>
      <c r="F536" s="9" t="s">
        <v>2108</v>
      </c>
      <c r="G536" s="9" t="s">
        <v>12</v>
      </c>
      <c r="H536" s="9"/>
      <c r="I536" s="9"/>
      <c r="J536" s="9" t="s">
        <v>92</v>
      </c>
      <c r="K536" s="9"/>
      <c r="L536" s="9"/>
      <c r="M536" s="9" t="s">
        <v>2109</v>
      </c>
      <c r="N536" s="9"/>
      <c r="O536" s="9" t="s">
        <v>2110</v>
      </c>
      <c r="P536" s="9" t="str">
        <f>HYPERLINK("https://ceds.ed.gov/cedselementdetails.aspx?termid=14566")</f>
        <v>https://ceds.ed.gov/cedselementdetails.aspx?termid=14566</v>
      </c>
      <c r="Q536" s="9" t="str">
        <f>HYPERLINK("https://ceds.ed.gov/elementComment.aspx?elementName=Credential or License Award Entity &amp;elementID=14566", "Click here to submit comment")</f>
        <v>Click here to submit comment</v>
      </c>
    </row>
    <row r="537" spans="1:17" ht="90" x14ac:dyDescent="0.25">
      <c r="A537" s="9" t="s">
        <v>6739</v>
      </c>
      <c r="B537" s="9" t="s">
        <v>6802</v>
      </c>
      <c r="C537" s="9" t="s">
        <v>6804</v>
      </c>
      <c r="D537" s="9" t="s">
        <v>6742</v>
      </c>
      <c r="E537" s="9" t="s">
        <v>2111</v>
      </c>
      <c r="F537" s="9" t="s">
        <v>2112</v>
      </c>
      <c r="G537" s="10" t="s">
        <v>6436</v>
      </c>
      <c r="H537" s="9"/>
      <c r="I537" s="9"/>
      <c r="J537" s="9"/>
      <c r="K537" s="9"/>
      <c r="L537" s="9"/>
      <c r="M537" s="9" t="s">
        <v>2113</v>
      </c>
      <c r="N537" s="9"/>
      <c r="O537" s="9" t="s">
        <v>2114</v>
      </c>
      <c r="P537" s="9" t="str">
        <f>HYPERLINK("https://ceds.ed.gov/cedselementdetails.aspx?termid=13071")</f>
        <v>https://ceds.ed.gov/cedselementdetails.aspx?termid=13071</v>
      </c>
      <c r="Q537" s="9" t="str">
        <f>HYPERLINK("https://ceds.ed.gov/elementComment.aspx?elementName=Credential Type &amp;elementID=13071", "Click here to submit comment")</f>
        <v>Click here to submit comment</v>
      </c>
    </row>
    <row r="538" spans="1:17" ht="120" x14ac:dyDescent="0.25">
      <c r="A538" s="9" t="s">
        <v>6739</v>
      </c>
      <c r="B538" s="9" t="s">
        <v>6802</v>
      </c>
      <c r="C538" s="9" t="s">
        <v>6804</v>
      </c>
      <c r="D538" s="9" t="s">
        <v>6742</v>
      </c>
      <c r="E538" s="9" t="s">
        <v>1703</v>
      </c>
      <c r="F538" s="9" t="s">
        <v>1704</v>
      </c>
      <c r="G538" s="10" t="s">
        <v>6403</v>
      </c>
      <c r="H538" s="9" t="s">
        <v>182</v>
      </c>
      <c r="I538" s="9"/>
      <c r="J538" s="9"/>
      <c r="K538" s="9"/>
      <c r="L538" s="9"/>
      <c r="M538" s="9" t="s">
        <v>1706</v>
      </c>
      <c r="N538" s="9" t="s">
        <v>1707</v>
      </c>
      <c r="O538" s="9" t="s">
        <v>1708</v>
      </c>
      <c r="P538" s="9" t="str">
        <f>HYPERLINK("https://ceds.ed.gov/cedselementdetails.aspx?termid=13805")</f>
        <v>https://ceds.ed.gov/cedselementdetails.aspx?termid=13805</v>
      </c>
      <c r="Q538" s="9" t="str">
        <f>HYPERLINK("https://ceds.ed.gov/elementComment.aspx?elementName=Child Development Associate Type &amp;elementID=13805", "Click here to submit comment")</f>
        <v>Click here to submit comment</v>
      </c>
    </row>
    <row r="539" spans="1:17" ht="45" x14ac:dyDescent="0.25">
      <c r="A539" s="9" t="s">
        <v>6739</v>
      </c>
      <c r="B539" s="9" t="s">
        <v>6802</v>
      </c>
      <c r="C539" s="9" t="s">
        <v>6804</v>
      </c>
      <c r="D539" s="9" t="s">
        <v>6742</v>
      </c>
      <c r="E539" s="9" t="s">
        <v>2103</v>
      </c>
      <c r="F539" s="9" t="s">
        <v>2104</v>
      </c>
      <c r="G539" s="9" t="s">
        <v>12</v>
      </c>
      <c r="H539" s="9" t="s">
        <v>182</v>
      </c>
      <c r="I539" s="9"/>
      <c r="J539" s="9" t="s">
        <v>73</v>
      </c>
      <c r="K539" s="9"/>
      <c r="L539" s="9"/>
      <c r="M539" s="9" t="s">
        <v>2105</v>
      </c>
      <c r="N539" s="9"/>
      <c r="O539" s="9" t="s">
        <v>2106</v>
      </c>
      <c r="P539" s="9" t="str">
        <f>HYPERLINK("https://ceds.ed.gov/cedselementdetails.aspx?termid=13070")</f>
        <v>https://ceds.ed.gov/cedselementdetails.aspx?termid=13070</v>
      </c>
      <c r="Q539" s="9" t="str">
        <f>HYPERLINK("https://ceds.ed.gov/elementComment.aspx?elementName=Credential Issuance Date &amp;elementID=13070", "Click here to submit comment")</f>
        <v>Click here to submit comment</v>
      </c>
    </row>
    <row r="540" spans="1:17" ht="45" x14ac:dyDescent="0.25">
      <c r="A540" s="9" t="s">
        <v>6739</v>
      </c>
      <c r="B540" s="9" t="s">
        <v>6802</v>
      </c>
      <c r="C540" s="9" t="s">
        <v>6804</v>
      </c>
      <c r="D540" s="9" t="s">
        <v>6742</v>
      </c>
      <c r="E540" s="9" t="s">
        <v>2099</v>
      </c>
      <c r="F540" s="9" t="s">
        <v>2100</v>
      </c>
      <c r="G540" s="9" t="s">
        <v>12</v>
      </c>
      <c r="H540" s="9" t="s">
        <v>182</v>
      </c>
      <c r="I540" s="9"/>
      <c r="J540" s="9" t="s">
        <v>73</v>
      </c>
      <c r="K540" s="9"/>
      <c r="L540" s="9"/>
      <c r="M540" s="9" t="s">
        <v>2101</v>
      </c>
      <c r="N540" s="9"/>
      <c r="O540" s="9" t="s">
        <v>2102</v>
      </c>
      <c r="P540" s="9" t="str">
        <f>HYPERLINK("https://ceds.ed.gov/cedselementdetails.aspx?termid=13069")</f>
        <v>https://ceds.ed.gov/cedselementdetails.aspx?termid=13069</v>
      </c>
      <c r="Q540" s="9" t="str">
        <f>HYPERLINK("https://ceds.ed.gov/elementComment.aspx?elementName=Credential Expiration Date &amp;elementID=13069", "Click here to submit comment")</f>
        <v>Click here to submit comment</v>
      </c>
    </row>
    <row r="541" spans="1:17" ht="60" x14ac:dyDescent="0.25">
      <c r="A541" s="9" t="s">
        <v>6739</v>
      </c>
      <c r="B541" s="9" t="s">
        <v>6802</v>
      </c>
      <c r="C541" s="9" t="s">
        <v>6798</v>
      </c>
      <c r="D541" s="9" t="s">
        <v>6742</v>
      </c>
      <c r="E541" s="9" t="s">
        <v>5629</v>
      </c>
      <c r="F541" s="9" t="s">
        <v>5630</v>
      </c>
      <c r="G541" s="9" t="s">
        <v>12</v>
      </c>
      <c r="H541" s="9" t="s">
        <v>182</v>
      </c>
      <c r="I541" s="9"/>
      <c r="J541" s="9" t="s">
        <v>73</v>
      </c>
      <c r="K541" s="9"/>
      <c r="L541" s="9"/>
      <c r="M541" s="9" t="s">
        <v>5631</v>
      </c>
      <c r="N541" s="9"/>
      <c r="O541" s="9" t="s">
        <v>5632</v>
      </c>
      <c r="P541" s="9" t="str">
        <f>HYPERLINK("https://ceds.ed.gov/cedselementdetails.aspx?termid=14067")</f>
        <v>https://ceds.ed.gov/cedselementdetails.aspx?termid=14067</v>
      </c>
      <c r="Q541" s="9" t="str">
        <f>HYPERLINK("https://ceds.ed.gov/elementComment.aspx?elementName=Staff Professional Development Activity Start Date &amp;elementID=14067", "Click here to submit comment")</f>
        <v>Click here to submit comment</v>
      </c>
    </row>
    <row r="542" spans="1:17" ht="60" x14ac:dyDescent="0.25">
      <c r="A542" s="9" t="s">
        <v>6739</v>
      </c>
      <c r="B542" s="9" t="s">
        <v>6802</v>
      </c>
      <c r="C542" s="9" t="s">
        <v>6798</v>
      </c>
      <c r="D542" s="9" t="s">
        <v>6742</v>
      </c>
      <c r="E542" s="9" t="s">
        <v>5625</v>
      </c>
      <c r="F542" s="9" t="s">
        <v>5626</v>
      </c>
      <c r="G542" s="9" t="s">
        <v>12</v>
      </c>
      <c r="H542" s="9" t="s">
        <v>182</v>
      </c>
      <c r="I542" s="9"/>
      <c r="J542" s="9" t="s">
        <v>73</v>
      </c>
      <c r="K542" s="9"/>
      <c r="L542" s="9"/>
      <c r="M542" s="9" t="s">
        <v>5627</v>
      </c>
      <c r="N542" s="9"/>
      <c r="O542" s="9" t="s">
        <v>5628</v>
      </c>
      <c r="P542" s="9" t="str">
        <f>HYPERLINK("https://ceds.ed.gov/cedselementdetails.aspx?termid=14068")</f>
        <v>https://ceds.ed.gov/cedselementdetails.aspx?termid=14068</v>
      </c>
      <c r="Q542" s="9" t="str">
        <f>HYPERLINK("https://ceds.ed.gov/elementComment.aspx?elementName=Staff Professional Development Activity Completion Date &amp;elementID=14068", "Click here to submit comment")</f>
        <v>Click here to submit comment</v>
      </c>
    </row>
    <row r="543" spans="1:17" ht="45" x14ac:dyDescent="0.25">
      <c r="A543" s="9" t="s">
        <v>6739</v>
      </c>
      <c r="B543" s="9" t="s">
        <v>6802</v>
      </c>
      <c r="C543" s="9" t="s">
        <v>6798</v>
      </c>
      <c r="D543" s="9" t="s">
        <v>6742</v>
      </c>
      <c r="E543" s="9" t="s">
        <v>5150</v>
      </c>
      <c r="F543" s="9" t="s">
        <v>5151</v>
      </c>
      <c r="G543" s="9" t="s">
        <v>12</v>
      </c>
      <c r="H543" s="9" t="s">
        <v>182</v>
      </c>
      <c r="I543" s="9"/>
      <c r="J543" s="9" t="s">
        <v>1513</v>
      </c>
      <c r="K543" s="9"/>
      <c r="L543" s="9"/>
      <c r="M543" s="9" t="s">
        <v>5152</v>
      </c>
      <c r="N543" s="9"/>
      <c r="O543" s="9" t="s">
        <v>5153</v>
      </c>
      <c r="P543" s="9" t="str">
        <f>HYPERLINK("https://ceds.ed.gov/cedselementdetails.aspx?termid=13803")</f>
        <v>https://ceds.ed.gov/cedselementdetails.aspx?termid=13803</v>
      </c>
      <c r="Q543" s="9" t="str">
        <f>HYPERLINK("https://ceds.ed.gov/elementComment.aspx?elementName=Required Training Clock Hours &amp;elementID=13803", "Click here to submit comment")</f>
        <v>Click here to submit comment</v>
      </c>
    </row>
    <row r="544" spans="1:17" ht="120" x14ac:dyDescent="0.25">
      <c r="A544" s="9" t="s">
        <v>6739</v>
      </c>
      <c r="B544" s="9" t="s">
        <v>6802</v>
      </c>
      <c r="C544" s="9" t="s">
        <v>6798</v>
      </c>
      <c r="D544" s="9" t="s">
        <v>6742</v>
      </c>
      <c r="E544" s="9" t="s">
        <v>4365</v>
      </c>
      <c r="F544" s="9" t="s">
        <v>4366</v>
      </c>
      <c r="G544" s="9" t="s">
        <v>12</v>
      </c>
      <c r="H544" s="9" t="s">
        <v>6241</v>
      </c>
      <c r="I544" s="9"/>
      <c r="J544" s="9" t="s">
        <v>1513</v>
      </c>
      <c r="K544" s="9"/>
      <c r="L544" s="9"/>
      <c r="M544" s="9" t="s">
        <v>4367</v>
      </c>
      <c r="N544" s="9"/>
      <c r="O544" s="9" t="s">
        <v>4368</v>
      </c>
      <c r="P544" s="9" t="str">
        <f>HYPERLINK("https://ceds.ed.gov/cedselementdetails.aspx?termid=13200")</f>
        <v>https://ceds.ed.gov/cedselementdetails.aspx?termid=13200</v>
      </c>
      <c r="Q544" s="9" t="str">
        <f>HYPERLINK("https://ceds.ed.gov/elementComment.aspx?elementName=Number of Credits Earned &amp;elementID=13200", "Click here to submit comment")</f>
        <v>Click here to submit comment</v>
      </c>
    </row>
    <row r="545" spans="1:17" ht="165" x14ac:dyDescent="0.25">
      <c r="A545" s="9" t="s">
        <v>6739</v>
      </c>
      <c r="B545" s="9" t="s">
        <v>6802</v>
      </c>
      <c r="C545" s="9" t="s">
        <v>6798</v>
      </c>
      <c r="D545" s="9" t="s">
        <v>6742</v>
      </c>
      <c r="E545" s="9" t="s">
        <v>1945</v>
      </c>
      <c r="F545" s="9" t="s">
        <v>1946</v>
      </c>
      <c r="G545" s="10" t="s">
        <v>6424</v>
      </c>
      <c r="H545" s="9" t="s">
        <v>25</v>
      </c>
      <c r="I545" s="9"/>
      <c r="J545" s="9"/>
      <c r="K545" s="9"/>
      <c r="L545" s="9"/>
      <c r="M545" s="9" t="s">
        <v>1947</v>
      </c>
      <c r="N545" s="9"/>
      <c r="O545" s="9" t="s">
        <v>1948</v>
      </c>
      <c r="P545" s="9" t="str">
        <f>HYPERLINK("https://ceds.ed.gov/cedselementdetails.aspx?termid=13057")</f>
        <v>https://ceds.ed.gov/cedselementdetails.aspx?termid=13057</v>
      </c>
      <c r="Q545" s="9" t="str">
        <f>HYPERLINK("https://ceds.ed.gov/elementComment.aspx?elementName=Course Credit Units &amp;elementID=13057", "Click here to submit comment")</f>
        <v>Click here to submit comment</v>
      </c>
    </row>
    <row r="546" spans="1:17" ht="45" x14ac:dyDescent="0.25">
      <c r="A546" s="9" t="s">
        <v>6739</v>
      </c>
      <c r="B546" s="9" t="s">
        <v>6802</v>
      </c>
      <c r="C546" s="9" t="s">
        <v>6798</v>
      </c>
      <c r="D546" s="9" t="s">
        <v>6742</v>
      </c>
      <c r="E546" s="9" t="s">
        <v>12218</v>
      </c>
      <c r="F546" s="9" t="s">
        <v>4816</v>
      </c>
      <c r="G546" s="9" t="s">
        <v>6106</v>
      </c>
      <c r="H546" s="9"/>
      <c r="I546" s="9"/>
      <c r="J546" s="9"/>
      <c r="K546" s="9"/>
      <c r="L546" s="9"/>
      <c r="M546" s="9" t="s">
        <v>4817</v>
      </c>
      <c r="N546" s="9"/>
      <c r="O546" s="9" t="s">
        <v>4818</v>
      </c>
      <c r="P546" s="9" t="str">
        <f>HYPERLINK("https://ceds.ed.gov/cedselementdetails.aspx?termid=14599")</f>
        <v>https://ceds.ed.gov/cedselementdetails.aspx?termid=14599</v>
      </c>
      <c r="Q546" s="9" t="str">
        <f>HYPERLINK("https://ceds.ed.gov/elementComment.aspx?elementName=Professional Development Plan Approved by Supervisor &amp;elementID=14599", "Click here to submit comment")</f>
        <v>Click here to submit comment</v>
      </c>
    </row>
    <row r="547" spans="1:17" ht="45" x14ac:dyDescent="0.25">
      <c r="A547" s="9" t="s">
        <v>6739</v>
      </c>
      <c r="B547" s="9" t="s">
        <v>6802</v>
      </c>
      <c r="C547" s="9" t="s">
        <v>6798</v>
      </c>
      <c r="D547" s="9" t="s">
        <v>6742</v>
      </c>
      <c r="E547" s="9" t="s">
        <v>4819</v>
      </c>
      <c r="F547" s="9" t="s">
        <v>4820</v>
      </c>
      <c r="G547" s="9" t="s">
        <v>12</v>
      </c>
      <c r="H547" s="9"/>
      <c r="I547" s="9"/>
      <c r="J547" s="9" t="s">
        <v>73</v>
      </c>
      <c r="K547" s="9"/>
      <c r="L547" s="9"/>
      <c r="M547" s="9" t="s">
        <v>4821</v>
      </c>
      <c r="N547" s="9"/>
      <c r="O547" s="9" t="s">
        <v>4822</v>
      </c>
      <c r="P547" s="9" t="str">
        <f>HYPERLINK("https://ceds.ed.gov/cedselementdetails.aspx?termid=14600")</f>
        <v>https://ceds.ed.gov/cedselementdetails.aspx?termid=14600</v>
      </c>
      <c r="Q547" s="9" t="str">
        <f>HYPERLINK("https://ceds.ed.gov/elementComment.aspx?elementName=Professional Development Plan Completion &amp;elementID=14600", "Click here to submit comment")</f>
        <v>Click here to submit comment</v>
      </c>
    </row>
    <row r="548" spans="1:17" ht="45" x14ac:dyDescent="0.25">
      <c r="A548" s="9" t="s">
        <v>6739</v>
      </c>
      <c r="B548" s="9" t="s">
        <v>6802</v>
      </c>
      <c r="C548" s="9" t="s">
        <v>6798</v>
      </c>
      <c r="D548" s="9" t="s">
        <v>6742</v>
      </c>
      <c r="E548" s="9" t="s">
        <v>1632</v>
      </c>
      <c r="F548" s="9" t="s">
        <v>1633</v>
      </c>
      <c r="G548" s="9" t="s">
        <v>12</v>
      </c>
      <c r="H548" s="9"/>
      <c r="I548" s="9"/>
      <c r="J548" s="9" t="s">
        <v>73</v>
      </c>
      <c r="K548" s="9"/>
      <c r="L548" s="9"/>
      <c r="M548" s="9" t="s">
        <v>1634</v>
      </c>
      <c r="N548" s="9"/>
      <c r="O548" s="9" t="s">
        <v>1635</v>
      </c>
      <c r="P548" s="9" t="str">
        <f>HYPERLINK("https://ceds.ed.gov/cedselementdetails.aspx?termid=14255")</f>
        <v>https://ceds.ed.gov/cedselementdetails.aspx?termid=14255</v>
      </c>
      <c r="Q548" s="9" t="str">
        <f>HYPERLINK("https://ceds.ed.gov/elementComment.aspx?elementName=Career Education Plan Date &amp;elementID=14255", "Click here to submit comment")</f>
        <v>Click here to submit comment</v>
      </c>
    </row>
    <row r="549" spans="1:17" ht="75" x14ac:dyDescent="0.25">
      <c r="A549" s="9" t="s">
        <v>6739</v>
      </c>
      <c r="B549" s="9" t="s">
        <v>6802</v>
      </c>
      <c r="C549" s="9" t="s">
        <v>6798</v>
      </c>
      <c r="D549" s="9" t="s">
        <v>6742</v>
      </c>
      <c r="E549" s="9" t="s">
        <v>1636</v>
      </c>
      <c r="F549" s="9" t="s">
        <v>1637</v>
      </c>
      <c r="G549" s="10" t="s">
        <v>6397</v>
      </c>
      <c r="H549" s="9"/>
      <c r="I549" s="9"/>
      <c r="J549" s="9"/>
      <c r="K549" s="9"/>
      <c r="L549" s="9"/>
      <c r="M549" s="9" t="s">
        <v>1638</v>
      </c>
      <c r="N549" s="9"/>
      <c r="O549" s="9" t="s">
        <v>1639</v>
      </c>
      <c r="P549" s="9" t="str">
        <f>HYPERLINK("https://ceds.ed.gov/cedselementdetails.aspx?termid=14256")</f>
        <v>https://ceds.ed.gov/cedselementdetails.aspx?termid=14256</v>
      </c>
      <c r="Q549" s="9" t="str">
        <f>HYPERLINK("https://ceds.ed.gov/elementComment.aspx?elementName=Career Education Plan Type &amp;elementID=14256", "Click here to submit comment")</f>
        <v>Click here to submit comment</v>
      </c>
    </row>
    <row r="550" spans="1:17" ht="45" x14ac:dyDescent="0.25">
      <c r="A550" s="9" t="s">
        <v>6739</v>
      </c>
      <c r="B550" s="9" t="s">
        <v>6802</v>
      </c>
      <c r="C550" s="9" t="s">
        <v>6798</v>
      </c>
      <c r="D550" s="9" t="s">
        <v>6742</v>
      </c>
      <c r="E550" s="9" t="s">
        <v>4713</v>
      </c>
      <c r="F550" s="9" t="s">
        <v>4714</v>
      </c>
      <c r="G550" s="9" t="s">
        <v>6106</v>
      </c>
      <c r="H550" s="9" t="s">
        <v>182</v>
      </c>
      <c r="I550" s="9"/>
      <c r="J550" s="9"/>
      <c r="K550" s="9"/>
      <c r="L550" s="9"/>
      <c r="M550" s="9" t="s">
        <v>4715</v>
      </c>
      <c r="N550" s="9"/>
      <c r="O550" s="9" t="s">
        <v>4716</v>
      </c>
      <c r="P550" s="9" t="str">
        <f>HYPERLINK("https://ceds.ed.gov/cedselementdetails.aspx?termid=13806")</f>
        <v>https://ceds.ed.gov/cedselementdetails.aspx?termid=13806</v>
      </c>
      <c r="Q550" s="9" t="str">
        <f>HYPERLINK("https://ceds.ed.gov/elementComment.aspx?elementName=Professional Association Membership Status &amp;elementID=13806", "Click here to submit comment")</f>
        <v>Click here to submit comment</v>
      </c>
    </row>
    <row r="551" spans="1:17" ht="45" x14ac:dyDescent="0.25">
      <c r="A551" s="9" t="s">
        <v>6739</v>
      </c>
      <c r="B551" s="9" t="s">
        <v>6802</v>
      </c>
      <c r="C551" s="9" t="s">
        <v>6798</v>
      </c>
      <c r="D551" s="9" t="s">
        <v>6742</v>
      </c>
      <c r="E551" s="9" t="s">
        <v>4717</v>
      </c>
      <c r="F551" s="9" t="s">
        <v>4718</v>
      </c>
      <c r="G551" s="9" t="s">
        <v>12</v>
      </c>
      <c r="H551" s="9" t="s">
        <v>182</v>
      </c>
      <c r="I551" s="9"/>
      <c r="J551" s="9" t="s">
        <v>92</v>
      </c>
      <c r="K551" s="9"/>
      <c r="L551" s="9"/>
      <c r="M551" s="9" t="s">
        <v>4719</v>
      </c>
      <c r="N551" s="9"/>
      <c r="O551" s="9" t="s">
        <v>4720</v>
      </c>
      <c r="P551" s="9" t="str">
        <f>HYPERLINK("https://ceds.ed.gov/cedselementdetails.aspx?termid=13807")</f>
        <v>https://ceds.ed.gov/cedselementdetails.aspx?termid=13807</v>
      </c>
      <c r="Q551" s="9" t="str">
        <f>HYPERLINK("https://ceds.ed.gov/elementComment.aspx?elementName=Professional Association Name &amp;elementID=13807", "Click here to submit comment")</f>
        <v>Click here to submit comment</v>
      </c>
    </row>
    <row r="552" spans="1:17" ht="60" x14ac:dyDescent="0.25">
      <c r="A552" s="9" t="s">
        <v>6739</v>
      </c>
      <c r="B552" s="9" t="s">
        <v>6802</v>
      </c>
      <c r="C552" s="9" t="s">
        <v>6798</v>
      </c>
      <c r="D552" s="9" t="s">
        <v>6742</v>
      </c>
      <c r="E552" s="9" t="s">
        <v>4827</v>
      </c>
      <c r="F552" s="9" t="s">
        <v>4828</v>
      </c>
      <c r="G552" s="9" t="s">
        <v>6106</v>
      </c>
      <c r="H552" s="9" t="s">
        <v>182</v>
      </c>
      <c r="I552" s="9"/>
      <c r="J552" s="9"/>
      <c r="K552" s="9"/>
      <c r="L552" s="9"/>
      <c r="M552" s="9" t="s">
        <v>4829</v>
      </c>
      <c r="N552" s="9"/>
      <c r="O552" s="9" t="s">
        <v>4830</v>
      </c>
      <c r="P552" s="9" t="str">
        <f>HYPERLINK("https://ceds.ed.gov/cedselementdetails.aspx?termid=13810")</f>
        <v>https://ceds.ed.gov/cedselementdetails.aspx?termid=13810</v>
      </c>
      <c r="Q552" s="9" t="str">
        <f>HYPERLINK("https://ceds.ed.gov/elementComment.aspx?elementName=Professional Development Scholarship Status &amp;elementID=13810", "Click here to submit comment")</f>
        <v>Click here to submit comment</v>
      </c>
    </row>
    <row r="553" spans="1:17" ht="180" x14ac:dyDescent="0.25">
      <c r="A553" s="9" t="s">
        <v>6739</v>
      </c>
      <c r="B553" s="9" t="s">
        <v>6802</v>
      </c>
      <c r="C553" s="9" t="s">
        <v>6798</v>
      </c>
      <c r="D553" s="9" t="s">
        <v>6742</v>
      </c>
      <c r="E553" s="9" t="s">
        <v>4800</v>
      </c>
      <c r="F553" s="9" t="s">
        <v>4801</v>
      </c>
      <c r="G553" s="10" t="s">
        <v>6656</v>
      </c>
      <c r="H553" s="9" t="s">
        <v>182</v>
      </c>
      <c r="I553" s="9"/>
      <c r="J553" s="9"/>
      <c r="K553" s="9"/>
      <c r="L553" s="9"/>
      <c r="M553" s="9" t="s">
        <v>4802</v>
      </c>
      <c r="N553" s="9"/>
      <c r="O553" s="9" t="s">
        <v>4803</v>
      </c>
      <c r="P553" s="9" t="str">
        <f>HYPERLINK("https://ceds.ed.gov/cedselementdetails.aspx?termid=13811")</f>
        <v>https://ceds.ed.gov/cedselementdetails.aspx?termid=13811</v>
      </c>
      <c r="Q553" s="9" t="str">
        <f>HYPERLINK("https://ceds.ed.gov/elementComment.aspx?elementName=Professional Development Financial Support Type &amp;elementID=13811", "Click here to submit comment")</f>
        <v>Click here to submit comment</v>
      </c>
    </row>
    <row r="554" spans="1:17" ht="60" x14ac:dyDescent="0.25">
      <c r="A554" s="9" t="s">
        <v>6739</v>
      </c>
      <c r="B554" s="9" t="s">
        <v>6802</v>
      </c>
      <c r="C554" s="9" t="s">
        <v>6798</v>
      </c>
      <c r="D554" s="9" t="s">
        <v>6742</v>
      </c>
      <c r="E554" s="9" t="s">
        <v>5990</v>
      </c>
      <c r="F554" s="9" t="s">
        <v>5991</v>
      </c>
      <c r="G554" s="9" t="s">
        <v>6106</v>
      </c>
      <c r="H554" s="9"/>
      <c r="I554" s="9"/>
      <c r="J554" s="9"/>
      <c r="K554" s="9"/>
      <c r="L554" s="9" t="s">
        <v>5992</v>
      </c>
      <c r="M554" s="9" t="s">
        <v>5993</v>
      </c>
      <c r="N554" s="9"/>
      <c r="O554" s="9" t="s">
        <v>5994</v>
      </c>
      <c r="P554" s="9" t="str">
        <f>HYPERLINK("https://ceds.ed.gov/cedselementdetails.aspx?termid=14554")</f>
        <v>https://ceds.ed.gov/cedselementdetails.aspx?termid=14554</v>
      </c>
      <c r="Q554" s="9" t="str">
        <f>HYPERLINK("https://ceds.ed.gov/elementComment.aspx?elementName=Tuition Funded &amp;elementID=14554", "Click here to submit comment")</f>
        <v>Click here to submit comment</v>
      </c>
    </row>
    <row r="555" spans="1:17" ht="45" x14ac:dyDescent="0.25">
      <c r="A555" s="9" t="s">
        <v>6739</v>
      </c>
      <c r="B555" s="9" t="s">
        <v>6802</v>
      </c>
      <c r="C555" s="9" t="s">
        <v>6798</v>
      </c>
      <c r="D555" s="9" t="s">
        <v>6742</v>
      </c>
      <c r="E555" s="9" t="s">
        <v>1590</v>
      </c>
      <c r="F555" s="9" t="s">
        <v>1591</v>
      </c>
      <c r="G555" s="9" t="s">
        <v>12</v>
      </c>
      <c r="H555" s="9" t="s">
        <v>182</v>
      </c>
      <c r="I555" s="9"/>
      <c r="J555" s="9" t="s">
        <v>73</v>
      </c>
      <c r="K555" s="9"/>
      <c r="L555" s="9"/>
      <c r="M555" s="9" t="s">
        <v>1593</v>
      </c>
      <c r="N555" s="9" t="s">
        <v>1594</v>
      </c>
      <c r="O555" s="9" t="s">
        <v>1595</v>
      </c>
      <c r="P555" s="9" t="str">
        <f>HYPERLINK("https://ceds.ed.gov/cedselementdetails.aspx?termid=14065")</f>
        <v>https://ceds.ed.gov/cedselementdetails.aspx?termid=14065</v>
      </c>
      <c r="Q555" s="9" t="str">
        <f>HYPERLINK("https://ceds.ed.gov/elementComment.aspx?elementName=Cardiopulmonary Resuscitation Certification Expiration Date &amp;elementID=14065", "Click here to submit comment")</f>
        <v>Click here to submit comment</v>
      </c>
    </row>
    <row r="556" spans="1:17" ht="45" x14ac:dyDescent="0.25">
      <c r="A556" s="9" t="s">
        <v>6739</v>
      </c>
      <c r="B556" s="9" t="s">
        <v>6802</v>
      </c>
      <c r="C556" s="9" t="s">
        <v>6798</v>
      </c>
      <c r="D556" s="9" t="s">
        <v>6742</v>
      </c>
      <c r="E556" s="9" t="s">
        <v>2922</v>
      </c>
      <c r="F556" s="9" t="s">
        <v>2923</v>
      </c>
      <c r="G556" s="9" t="s">
        <v>12</v>
      </c>
      <c r="H556" s="9" t="s">
        <v>182</v>
      </c>
      <c r="I556" s="9"/>
      <c r="J556" s="9" t="s">
        <v>73</v>
      </c>
      <c r="K556" s="9"/>
      <c r="L556" s="9"/>
      <c r="M556" s="9" t="s">
        <v>2924</v>
      </c>
      <c r="N556" s="9"/>
      <c r="O556" s="9" t="s">
        <v>2925</v>
      </c>
      <c r="P556" s="9" t="str">
        <f>HYPERLINK("https://ceds.ed.gov/cedselementdetails.aspx?termid=14066")</f>
        <v>https://ceds.ed.gov/cedselementdetails.aspx?termid=14066</v>
      </c>
      <c r="Q556" s="9" t="str">
        <f>HYPERLINK("https://ceds.ed.gov/elementComment.aspx?elementName=First Aid Certification Expiration Date &amp;elementID=14066", "Click here to submit comment")</f>
        <v>Click here to submit comment</v>
      </c>
    </row>
    <row r="557" spans="1:17" ht="165" x14ac:dyDescent="0.25">
      <c r="A557" s="9" t="s">
        <v>6739</v>
      </c>
      <c r="B557" s="9" t="s">
        <v>6802</v>
      </c>
      <c r="C557" s="9" t="s">
        <v>6798</v>
      </c>
      <c r="D557" s="9" t="s">
        <v>6742</v>
      </c>
      <c r="E557" s="9" t="s">
        <v>2430</v>
      </c>
      <c r="F557" s="9" t="s">
        <v>2431</v>
      </c>
      <c r="G557" s="10" t="s">
        <v>6465</v>
      </c>
      <c r="H557" s="9" t="s">
        <v>182</v>
      </c>
      <c r="I557" s="9"/>
      <c r="J557" s="9"/>
      <c r="K557" s="9"/>
      <c r="L557" s="9"/>
      <c r="M557" s="9" t="s">
        <v>2432</v>
      </c>
      <c r="N557" s="9"/>
      <c r="O557" s="9" t="s">
        <v>2433</v>
      </c>
      <c r="P557" s="9" t="str">
        <f>HYPERLINK("https://ceds.ed.gov/cedselementdetails.aspx?termid=13812")</f>
        <v>https://ceds.ed.gov/cedselementdetails.aspx?termid=13812</v>
      </c>
      <c r="Q557" s="9" t="str">
        <f>HYPERLINK("https://ceds.ed.gov/elementComment.aspx?elementName=Early Learning Core Knowledge Area &amp;elementID=13812", "Click here to submit comment")</f>
        <v>Click here to submit comment</v>
      </c>
    </row>
    <row r="558" spans="1:17" ht="45" x14ac:dyDescent="0.25">
      <c r="A558" s="9" t="s">
        <v>6739</v>
      </c>
      <c r="B558" s="9" t="s">
        <v>6802</v>
      </c>
      <c r="C558" s="9" t="s">
        <v>6798</v>
      </c>
      <c r="D558" s="9" t="s">
        <v>6742</v>
      </c>
      <c r="E558" s="9" t="s">
        <v>5667</v>
      </c>
      <c r="F558" s="9" t="s">
        <v>5668</v>
      </c>
      <c r="G558" s="9" t="s">
        <v>6106</v>
      </c>
      <c r="H558" s="9" t="s">
        <v>182</v>
      </c>
      <c r="I558" s="9"/>
      <c r="J558" s="9"/>
      <c r="K558" s="9"/>
      <c r="L558" s="9"/>
      <c r="M558" s="9" t="s">
        <v>5669</v>
      </c>
      <c r="N558" s="9"/>
      <c r="O558" s="9" t="s">
        <v>5670</v>
      </c>
      <c r="P558" s="9" t="str">
        <f>HYPERLINK("https://ceds.ed.gov/cedselementdetails.aspx?termid=13813")</f>
        <v>https://ceds.ed.gov/cedselementdetails.aspx?termid=13813</v>
      </c>
      <c r="Q558" s="9" t="str">
        <f>HYPERLINK("https://ceds.ed.gov/elementComment.aspx?elementName=State Approved Trainer Status &amp;elementID=13813", "Click here to submit comment")</f>
        <v>Click here to submit comment</v>
      </c>
    </row>
    <row r="559" spans="1:17" ht="60" x14ac:dyDescent="0.25">
      <c r="A559" s="9" t="s">
        <v>6739</v>
      </c>
      <c r="B559" s="9" t="s">
        <v>6802</v>
      </c>
      <c r="C559" s="9" t="s">
        <v>6798</v>
      </c>
      <c r="D559" s="9" t="s">
        <v>6742</v>
      </c>
      <c r="E559" s="9" t="s">
        <v>5663</v>
      </c>
      <c r="F559" s="9" t="s">
        <v>5664</v>
      </c>
      <c r="G559" s="9" t="s">
        <v>6106</v>
      </c>
      <c r="H559" s="9" t="s">
        <v>182</v>
      </c>
      <c r="I559" s="9"/>
      <c r="J559" s="9"/>
      <c r="K559" s="9"/>
      <c r="L559" s="9"/>
      <c r="M559" s="9" t="s">
        <v>5665</v>
      </c>
      <c r="N559" s="9"/>
      <c r="O559" s="9" t="s">
        <v>5666</v>
      </c>
      <c r="P559" s="9" t="str">
        <f>HYPERLINK("https://ceds.ed.gov/cedselementdetails.aspx?termid=13814")</f>
        <v>https://ceds.ed.gov/cedselementdetails.aspx?termid=13814</v>
      </c>
      <c r="Q559" s="9" t="str">
        <f>HYPERLINK("https://ceds.ed.gov/elementComment.aspx?elementName=State Approved Technical Assistance Provider Status &amp;elementID=13814", "Click here to submit comment")</f>
        <v>Click here to submit comment</v>
      </c>
    </row>
    <row r="560" spans="1:17" ht="180" x14ac:dyDescent="0.25">
      <c r="A560" s="9" t="s">
        <v>6739</v>
      </c>
      <c r="B560" s="9" t="s">
        <v>6802</v>
      </c>
      <c r="C560" s="9" t="s">
        <v>6798</v>
      </c>
      <c r="D560" s="9" t="s">
        <v>6742</v>
      </c>
      <c r="E560" s="9" t="s">
        <v>2495</v>
      </c>
      <c r="F560" s="9" t="s">
        <v>2496</v>
      </c>
      <c r="G560" s="10" t="s">
        <v>6474</v>
      </c>
      <c r="H560" s="9"/>
      <c r="I560" s="9"/>
      <c r="J560" s="9"/>
      <c r="K560" s="9"/>
      <c r="L560" s="9"/>
      <c r="M560" s="9" t="s">
        <v>2497</v>
      </c>
      <c r="N560" s="9"/>
      <c r="O560" s="9" t="s">
        <v>2498</v>
      </c>
      <c r="P560" s="9" t="str">
        <f>HYPERLINK("https://ceds.ed.gov/cedselementdetails.aspx?termid=14304")</f>
        <v>https://ceds.ed.gov/cedselementdetails.aspx?termid=14304</v>
      </c>
      <c r="Q560" s="9" t="str">
        <f>HYPERLINK("https://ceds.ed.gov/elementComment.aspx?elementName=Early Learning Professional Development Topic Area &amp;elementID=14304", "Click here to submit comment")</f>
        <v>Click here to submit comment</v>
      </c>
    </row>
    <row r="561" spans="1:17" ht="45" x14ac:dyDescent="0.25">
      <c r="A561" s="9" t="s">
        <v>6739</v>
      </c>
      <c r="B561" s="9" t="s">
        <v>6802</v>
      </c>
      <c r="C561" s="9" t="s">
        <v>6798</v>
      </c>
      <c r="D561" s="9" t="s">
        <v>6742</v>
      </c>
      <c r="E561" s="9" t="s">
        <v>4792</v>
      </c>
      <c r="F561" s="9" t="s">
        <v>4793</v>
      </c>
      <c r="G561" s="10" t="s">
        <v>6612</v>
      </c>
      <c r="H561" s="9"/>
      <c r="I561" s="9"/>
      <c r="J561" s="9"/>
      <c r="K561" s="9"/>
      <c r="L561" s="9"/>
      <c r="M561" s="9" t="s">
        <v>4794</v>
      </c>
      <c r="N561" s="9"/>
      <c r="O561" s="9" t="s">
        <v>4795</v>
      </c>
      <c r="P561" s="9" t="str">
        <f>HYPERLINK("https://ceds.ed.gov/cedselementdetails.aspx?termid=14399")</f>
        <v>https://ceds.ed.gov/cedselementdetails.aspx?termid=14399</v>
      </c>
      <c r="Q561" s="9" t="str">
        <f>HYPERLINK("https://ceds.ed.gov/elementComment.aspx?elementName=Professional Development Audience Type &amp;elementID=14399", "Click here to submit comment")</f>
        <v>Click here to submit comment</v>
      </c>
    </row>
    <row r="562" spans="1:17" ht="45" x14ac:dyDescent="0.25">
      <c r="A562" s="9" t="s">
        <v>6739</v>
      </c>
      <c r="B562" s="9" t="s">
        <v>6802</v>
      </c>
      <c r="C562" s="9" t="s">
        <v>6798</v>
      </c>
      <c r="D562" s="9" t="s">
        <v>6742</v>
      </c>
      <c r="E562" s="9" t="s">
        <v>4823</v>
      </c>
      <c r="F562" s="9" t="s">
        <v>4824</v>
      </c>
      <c r="G562" s="9" t="s">
        <v>6106</v>
      </c>
      <c r="H562" s="9"/>
      <c r="I562" s="9"/>
      <c r="J562" s="9"/>
      <c r="K562" s="9"/>
      <c r="L562" s="9"/>
      <c r="M562" s="9" t="s">
        <v>4825</v>
      </c>
      <c r="N562" s="9"/>
      <c r="O562" s="9" t="s">
        <v>4826</v>
      </c>
      <c r="P562" s="9" t="str">
        <f>HYPERLINK("https://ceds.ed.gov/cedselementdetails.aspx?termid=14415")</f>
        <v>https://ceds.ed.gov/cedselementdetails.aspx?termid=14415</v>
      </c>
      <c r="Q562" s="9" t="str">
        <f>HYPERLINK("https://ceds.ed.gov/elementComment.aspx?elementName=Professional Development Publish Activity Indicator &amp;elementID=14415", "Click here to submit comment")</f>
        <v>Click here to submit comment</v>
      </c>
    </row>
    <row r="563" spans="1:17" ht="105" x14ac:dyDescent="0.25">
      <c r="A563" s="18" t="s">
        <v>6739</v>
      </c>
      <c r="B563" s="18" t="s">
        <v>6802</v>
      </c>
      <c r="C563" s="18" t="s">
        <v>6805</v>
      </c>
      <c r="D563" s="18" t="s">
        <v>6742</v>
      </c>
      <c r="E563" s="18" t="s">
        <v>5621</v>
      </c>
      <c r="F563" s="18" t="s">
        <v>5622</v>
      </c>
      <c r="G563" s="18" t="s">
        <v>12</v>
      </c>
      <c r="H563" s="18" t="s">
        <v>6284</v>
      </c>
      <c r="I563" s="18"/>
      <c r="J563" s="18" t="s">
        <v>119</v>
      </c>
      <c r="K563" s="18"/>
      <c r="L563" s="9" t="s">
        <v>120</v>
      </c>
      <c r="M563" s="18" t="s">
        <v>5623</v>
      </c>
      <c r="N563" s="18"/>
      <c r="O563" s="18" t="s">
        <v>5624</v>
      </c>
      <c r="P563" s="18" t="str">
        <f>HYPERLINK("https://ceds.ed.gov/cedselementdetails.aspx?termid=13156")</f>
        <v>https://ceds.ed.gov/cedselementdetails.aspx?termid=13156</v>
      </c>
      <c r="Q563" s="18" t="str">
        <f>HYPERLINK("https://ceds.ed.gov/elementComment.aspx?elementName=Staff Member Identifier &amp;elementID=13156", "Click here to submit comment")</f>
        <v>Click here to submit comment</v>
      </c>
    </row>
    <row r="564" spans="1:17" x14ac:dyDescent="0.25">
      <c r="A564" s="18"/>
      <c r="B564" s="18"/>
      <c r="C564" s="18"/>
      <c r="D564" s="18"/>
      <c r="E564" s="18"/>
      <c r="F564" s="18"/>
      <c r="G564" s="18"/>
      <c r="H564" s="18"/>
      <c r="I564" s="18"/>
      <c r="J564" s="18"/>
      <c r="K564" s="18"/>
      <c r="L564" s="9"/>
      <c r="M564" s="18"/>
      <c r="N564" s="18"/>
      <c r="O564" s="18"/>
      <c r="P564" s="18"/>
      <c r="Q564" s="18"/>
    </row>
    <row r="565" spans="1:17" ht="90" x14ac:dyDescent="0.25">
      <c r="A565" s="18"/>
      <c r="B565" s="18"/>
      <c r="C565" s="18"/>
      <c r="D565" s="18"/>
      <c r="E565" s="18"/>
      <c r="F565" s="18"/>
      <c r="G565" s="18"/>
      <c r="H565" s="18"/>
      <c r="I565" s="18"/>
      <c r="J565" s="18"/>
      <c r="K565" s="18"/>
      <c r="L565" s="9" t="s">
        <v>121</v>
      </c>
      <c r="M565" s="18"/>
      <c r="N565" s="18"/>
      <c r="O565" s="18"/>
      <c r="P565" s="18"/>
      <c r="Q565" s="18"/>
    </row>
    <row r="566" spans="1:17" ht="345" x14ac:dyDescent="0.25">
      <c r="A566" s="9" t="s">
        <v>6739</v>
      </c>
      <c r="B566" s="9" t="s">
        <v>6802</v>
      </c>
      <c r="C566" s="9" t="s">
        <v>6805</v>
      </c>
      <c r="D566" s="9" t="s">
        <v>6742</v>
      </c>
      <c r="E566" s="9" t="s">
        <v>5617</v>
      </c>
      <c r="F566" s="9" t="s">
        <v>5618</v>
      </c>
      <c r="G566" s="10" t="s">
        <v>6700</v>
      </c>
      <c r="H566" s="9" t="s">
        <v>6283</v>
      </c>
      <c r="I566" s="9"/>
      <c r="J566" s="9"/>
      <c r="K566" s="9"/>
      <c r="L566" s="9"/>
      <c r="M566" s="9" t="s">
        <v>5619</v>
      </c>
      <c r="N566" s="9"/>
      <c r="O566" s="9" t="s">
        <v>5620</v>
      </c>
      <c r="P566" s="9" t="str">
        <f>HYPERLINK("https://ceds.ed.gov/cedselementdetails.aspx?termid=13162")</f>
        <v>https://ceds.ed.gov/cedselementdetails.aspx?termid=13162</v>
      </c>
      <c r="Q566" s="9" t="str">
        <f>HYPERLINK("https://ceds.ed.gov/elementComment.aspx?elementName=Staff Member Identification System &amp;elementID=13162", "Click here to submit comment")</f>
        <v>Click here to submit comment</v>
      </c>
    </row>
    <row r="567" spans="1:17" ht="105" x14ac:dyDescent="0.25">
      <c r="A567" s="9" t="s">
        <v>6739</v>
      </c>
      <c r="B567" s="9" t="s">
        <v>6802</v>
      </c>
      <c r="C567" s="9" t="s">
        <v>6805</v>
      </c>
      <c r="D567" s="9" t="s">
        <v>6742</v>
      </c>
      <c r="E567" s="9" t="s">
        <v>4610</v>
      </c>
      <c r="F567" s="9" t="s">
        <v>4611</v>
      </c>
      <c r="G567" s="9" t="s">
        <v>12</v>
      </c>
      <c r="H567" s="9" t="s">
        <v>6255</v>
      </c>
      <c r="I567" s="9"/>
      <c r="J567" s="9" t="s">
        <v>87</v>
      </c>
      <c r="K567" s="9"/>
      <c r="L567" s="9"/>
      <c r="M567" s="9" t="s">
        <v>4612</v>
      </c>
      <c r="N567" s="9" t="s">
        <v>4613</v>
      </c>
      <c r="O567" s="9" t="s">
        <v>4614</v>
      </c>
      <c r="P567" s="9" t="str">
        <f>HYPERLINK("https://ceds.ed.gov/cedselementdetails.aspx?termid=13212")</f>
        <v>https://ceds.ed.gov/cedselementdetails.aspx?termid=13212</v>
      </c>
      <c r="Q567" s="9" t="str">
        <f>HYPERLINK("https://ceds.ed.gov/elementComment.aspx?elementName=Personal Title or Prefix &amp;elementID=13212", "Click here to submit comment")</f>
        <v>Click here to submit comment</v>
      </c>
    </row>
    <row r="568" spans="1:17" ht="195" x14ac:dyDescent="0.25">
      <c r="A568" s="9" t="s">
        <v>6739</v>
      </c>
      <c r="B568" s="9" t="s">
        <v>6802</v>
      </c>
      <c r="C568" s="9" t="s">
        <v>6805</v>
      </c>
      <c r="D568" s="9" t="s">
        <v>6742</v>
      </c>
      <c r="E568" s="9" t="s">
        <v>2935</v>
      </c>
      <c r="F568" s="9" t="s">
        <v>2936</v>
      </c>
      <c r="G568" s="9" t="s">
        <v>12</v>
      </c>
      <c r="H568" s="9" t="s">
        <v>6211</v>
      </c>
      <c r="I568" s="9"/>
      <c r="J568" s="9" t="s">
        <v>1310</v>
      </c>
      <c r="K568" s="9"/>
      <c r="L568" s="9" t="s">
        <v>2937</v>
      </c>
      <c r="M568" s="9" t="s">
        <v>2938</v>
      </c>
      <c r="N568" s="9"/>
      <c r="O568" s="9" t="s">
        <v>2939</v>
      </c>
      <c r="P568" s="9" t="str">
        <f>HYPERLINK("https://ceds.ed.gov/cedselementdetails.aspx?termid=13115")</f>
        <v>https://ceds.ed.gov/cedselementdetails.aspx?termid=13115</v>
      </c>
      <c r="Q568" s="9" t="str">
        <f>HYPERLINK("https://ceds.ed.gov/elementComment.aspx?elementName=First Name &amp;elementID=13115", "Click here to submit comment")</f>
        <v>Click here to submit comment</v>
      </c>
    </row>
    <row r="569" spans="1:17" ht="90" customHeight="1" x14ac:dyDescent="0.25">
      <c r="A569" s="18" t="s">
        <v>6739</v>
      </c>
      <c r="B569" s="18" t="s">
        <v>6802</v>
      </c>
      <c r="C569" s="18" t="s">
        <v>6805</v>
      </c>
      <c r="D569" s="18" t="s">
        <v>6742</v>
      </c>
      <c r="E569" s="18" t="s">
        <v>4183</v>
      </c>
      <c r="F569" s="18" t="s">
        <v>4184</v>
      </c>
      <c r="G569" s="18" t="s">
        <v>12</v>
      </c>
      <c r="H569" s="18" t="s">
        <v>6211</v>
      </c>
      <c r="I569" s="18"/>
      <c r="J569" s="18" t="s">
        <v>1310</v>
      </c>
      <c r="K569" s="18"/>
      <c r="L569" s="9" t="s">
        <v>2996</v>
      </c>
      <c r="M569" s="18" t="s">
        <v>4185</v>
      </c>
      <c r="N569" s="18"/>
      <c r="O569" s="18" t="s">
        <v>4186</v>
      </c>
      <c r="P569" s="18" t="str">
        <f>HYPERLINK("https://ceds.ed.gov/cedselementdetails.aspx?termid=13184")</f>
        <v>https://ceds.ed.gov/cedselementdetails.aspx?termid=13184</v>
      </c>
      <c r="Q569" s="18" t="str">
        <f>HYPERLINK("https://ceds.ed.gov/elementComment.aspx?elementName=Middle Name &amp;elementID=13184", "Click here to submit comment")</f>
        <v>Click here to submit comment</v>
      </c>
    </row>
    <row r="570" spans="1:17" ht="90" x14ac:dyDescent="0.25">
      <c r="A570" s="18"/>
      <c r="B570" s="18"/>
      <c r="C570" s="18"/>
      <c r="D570" s="18"/>
      <c r="E570" s="18"/>
      <c r="F570" s="18"/>
      <c r="G570" s="18"/>
      <c r="H570" s="18"/>
      <c r="I570" s="18"/>
      <c r="J570" s="18"/>
      <c r="K570" s="18"/>
      <c r="L570" s="9" t="s">
        <v>2997</v>
      </c>
      <c r="M570" s="18"/>
      <c r="N570" s="18"/>
      <c r="O570" s="18"/>
      <c r="P570" s="18"/>
      <c r="Q570" s="18"/>
    </row>
    <row r="571" spans="1:17" ht="90" customHeight="1" x14ac:dyDescent="0.25">
      <c r="A571" s="18" t="s">
        <v>6739</v>
      </c>
      <c r="B571" s="18" t="s">
        <v>6802</v>
      </c>
      <c r="C571" s="18" t="s">
        <v>6805</v>
      </c>
      <c r="D571" s="18" t="s">
        <v>6742</v>
      </c>
      <c r="E571" s="18" t="s">
        <v>3597</v>
      </c>
      <c r="F571" s="18" t="s">
        <v>3598</v>
      </c>
      <c r="G571" s="18" t="s">
        <v>12</v>
      </c>
      <c r="H571" s="18" t="s">
        <v>6211</v>
      </c>
      <c r="I571" s="18"/>
      <c r="J571" s="18" t="s">
        <v>1310</v>
      </c>
      <c r="K571" s="18"/>
      <c r="L571" s="9" t="s">
        <v>2996</v>
      </c>
      <c r="M571" s="18" t="s">
        <v>3599</v>
      </c>
      <c r="N571" s="18" t="s">
        <v>3600</v>
      </c>
      <c r="O571" s="18" t="s">
        <v>3601</v>
      </c>
      <c r="P571" s="18" t="str">
        <f>HYPERLINK("https://ceds.ed.gov/cedselementdetails.aspx?termid=13172")</f>
        <v>https://ceds.ed.gov/cedselementdetails.aspx?termid=13172</v>
      </c>
      <c r="Q571" s="18" t="str">
        <f>HYPERLINK("https://ceds.ed.gov/elementComment.aspx?elementName=Last or Surname &amp;elementID=13172", "Click here to submit comment")</f>
        <v>Click here to submit comment</v>
      </c>
    </row>
    <row r="572" spans="1:17" ht="90" x14ac:dyDescent="0.25">
      <c r="A572" s="18"/>
      <c r="B572" s="18"/>
      <c r="C572" s="18"/>
      <c r="D572" s="18"/>
      <c r="E572" s="18"/>
      <c r="F572" s="18"/>
      <c r="G572" s="18"/>
      <c r="H572" s="18"/>
      <c r="I572" s="18"/>
      <c r="J572" s="18"/>
      <c r="K572" s="18"/>
      <c r="L572" s="9" t="s">
        <v>2997</v>
      </c>
      <c r="M572" s="18"/>
      <c r="N572" s="18"/>
      <c r="O572" s="18"/>
      <c r="P572" s="18"/>
      <c r="Q572" s="18"/>
    </row>
    <row r="573" spans="1:17" ht="45" customHeight="1" x14ac:dyDescent="0.25">
      <c r="A573" s="18" t="s">
        <v>6739</v>
      </c>
      <c r="B573" s="18" t="s">
        <v>6802</v>
      </c>
      <c r="C573" s="18" t="s">
        <v>6805</v>
      </c>
      <c r="D573" s="18" t="s">
        <v>6742</v>
      </c>
      <c r="E573" s="18" t="s">
        <v>2994</v>
      </c>
      <c r="F573" s="18" t="s">
        <v>2995</v>
      </c>
      <c r="G573" s="18" t="s">
        <v>12</v>
      </c>
      <c r="H573" s="18" t="s">
        <v>6212</v>
      </c>
      <c r="I573" s="18"/>
      <c r="J573" s="18" t="s">
        <v>2088</v>
      </c>
      <c r="K573" s="18"/>
      <c r="L573" s="9" t="s">
        <v>2996</v>
      </c>
      <c r="M573" s="18" t="s">
        <v>2998</v>
      </c>
      <c r="N573" s="18"/>
      <c r="O573" s="18" t="s">
        <v>2999</v>
      </c>
      <c r="P573" s="18" t="str">
        <f>HYPERLINK("https://ceds.ed.gov/cedselementdetails.aspx?termid=13121")</f>
        <v>https://ceds.ed.gov/cedselementdetails.aspx?termid=13121</v>
      </c>
      <c r="Q573" s="18" t="str">
        <f>HYPERLINK("https://ceds.ed.gov/elementComment.aspx?elementName=Generation Code or Suffix &amp;elementID=13121", "Click here to submit comment")</f>
        <v>Click here to submit comment</v>
      </c>
    </row>
    <row r="574" spans="1:17" ht="90" x14ac:dyDescent="0.25">
      <c r="A574" s="18"/>
      <c r="B574" s="18"/>
      <c r="C574" s="18"/>
      <c r="D574" s="18"/>
      <c r="E574" s="18"/>
      <c r="F574" s="18"/>
      <c r="G574" s="18"/>
      <c r="H574" s="18"/>
      <c r="I574" s="18"/>
      <c r="J574" s="18"/>
      <c r="K574" s="18"/>
      <c r="L574" s="9" t="s">
        <v>2997</v>
      </c>
      <c r="M574" s="18"/>
      <c r="N574" s="18"/>
      <c r="O574" s="18"/>
      <c r="P574" s="18"/>
      <c r="Q574" s="18"/>
    </row>
    <row r="575" spans="1:17" ht="90" x14ac:dyDescent="0.25">
      <c r="A575" s="9" t="s">
        <v>6739</v>
      </c>
      <c r="B575" s="9" t="s">
        <v>6802</v>
      </c>
      <c r="C575" s="9" t="s">
        <v>6805</v>
      </c>
      <c r="D575" s="9" t="s">
        <v>6742</v>
      </c>
      <c r="E575" s="9" t="s">
        <v>4619</v>
      </c>
      <c r="F575" s="9" t="s">
        <v>4620</v>
      </c>
      <c r="G575" s="9" t="s">
        <v>12</v>
      </c>
      <c r="H575" s="9" t="s">
        <v>6109</v>
      </c>
      <c r="I575" s="9"/>
      <c r="J575" s="9" t="s">
        <v>1347</v>
      </c>
      <c r="K575" s="9"/>
      <c r="L575" s="9"/>
      <c r="M575" s="9" t="s">
        <v>4621</v>
      </c>
      <c r="N575" s="9"/>
      <c r="O575" s="9" t="s">
        <v>4622</v>
      </c>
      <c r="P575" s="9" t="str">
        <f>HYPERLINK("https://ceds.ed.gov/cedselementdetails.aspx?termid=13213")</f>
        <v>https://ceds.ed.gov/cedselementdetails.aspx?termid=13213</v>
      </c>
      <c r="Q575" s="9" t="str">
        <f>HYPERLINK("https://ceds.ed.gov/elementComment.aspx?elementName=Position Title &amp;elementID=13213", "Click here to submit comment")</f>
        <v>Click here to submit comment</v>
      </c>
    </row>
    <row r="576" spans="1:17" ht="180" x14ac:dyDescent="0.25">
      <c r="A576" s="9" t="s">
        <v>6739</v>
      </c>
      <c r="B576" s="9" t="s">
        <v>6802</v>
      </c>
      <c r="C576" s="9" t="s">
        <v>6805</v>
      </c>
      <c r="D576" s="9" t="s">
        <v>6742</v>
      </c>
      <c r="E576" s="9" t="s">
        <v>2557</v>
      </c>
      <c r="F576" s="9" t="s">
        <v>2558</v>
      </c>
      <c r="G576" s="10" t="s">
        <v>6481</v>
      </c>
      <c r="H576" s="9"/>
      <c r="I576" s="9"/>
      <c r="J576" s="9"/>
      <c r="K576" s="9"/>
      <c r="L576" s="9"/>
      <c r="M576" s="9" t="s">
        <v>2559</v>
      </c>
      <c r="N576" s="9"/>
      <c r="O576" s="9" t="s">
        <v>2560</v>
      </c>
      <c r="P576" s="9" t="str">
        <f>HYPERLINK("https://ceds.ed.gov/cedselementdetails.aspx?termid=14585")</f>
        <v>https://ceds.ed.gov/cedselementdetails.aspx?termid=14585</v>
      </c>
      <c r="Q576" s="9" t="str">
        <f>HYPERLINK("https://ceds.ed.gov/elementComment.aspx?elementName=Early Learning Trainer Core Knowledge Area &amp;elementID=14585", "Click here to submit comment")</f>
        <v>Click here to submit comment</v>
      </c>
    </row>
    <row r="577" spans="1:17" ht="60" x14ac:dyDescent="0.25">
      <c r="A577" s="9" t="s">
        <v>6739</v>
      </c>
      <c r="B577" s="9" t="s">
        <v>6802</v>
      </c>
      <c r="C577" s="9" t="s">
        <v>6805</v>
      </c>
      <c r="D577" s="9" t="s">
        <v>6742</v>
      </c>
      <c r="E577" s="9" t="s">
        <v>5952</v>
      </c>
      <c r="F577" s="9" t="s">
        <v>5953</v>
      </c>
      <c r="G577" s="9" t="s">
        <v>12</v>
      </c>
      <c r="H577" s="9"/>
      <c r="I577" s="9"/>
      <c r="J577" s="9" t="s">
        <v>762</v>
      </c>
      <c r="K577" s="9"/>
      <c r="L577" s="9"/>
      <c r="M577" s="9" t="s">
        <v>5954</v>
      </c>
      <c r="N577" s="9"/>
      <c r="O577" s="9" t="s">
        <v>5955</v>
      </c>
      <c r="P577" s="9" t="str">
        <f>HYPERLINK("https://ceds.ed.gov/cedselementdetails.aspx?termid=14609")</f>
        <v>https://ceds.ed.gov/cedselementdetails.aspx?termid=14609</v>
      </c>
      <c r="Q577" s="9" t="str">
        <f>HYPERLINK("https://ceds.ed.gov/elementComment.aspx?elementName=Training and Technical Assistance Level &amp;elementID=14609", "Click here to submit comment")</f>
        <v>Click here to submit comment</v>
      </c>
    </row>
    <row r="578" spans="1:17" ht="105" x14ac:dyDescent="0.25">
      <c r="A578" s="9" t="s">
        <v>6739</v>
      </c>
      <c r="B578" s="9" t="s">
        <v>6802</v>
      </c>
      <c r="C578" s="9" t="s">
        <v>6805</v>
      </c>
      <c r="D578" s="9" t="s">
        <v>6742</v>
      </c>
      <c r="E578" s="9" t="s">
        <v>178</v>
      </c>
      <c r="F578" s="9" t="s">
        <v>179</v>
      </c>
      <c r="G578" s="10" t="s">
        <v>6321</v>
      </c>
      <c r="H578" s="9" t="s">
        <v>182</v>
      </c>
      <c r="I578" s="9"/>
      <c r="J578" s="9" t="s">
        <v>87</v>
      </c>
      <c r="K578" s="9"/>
      <c r="L578" s="9"/>
      <c r="M578" s="9" t="s">
        <v>180</v>
      </c>
      <c r="N578" s="9"/>
      <c r="O578" s="9" t="s">
        <v>181</v>
      </c>
      <c r="P578" s="9" t="str">
        <f>HYPERLINK("https://ceds.ed.gov/cedselementdetails.aspx?termid=13698")</f>
        <v>https://ceds.ed.gov/cedselementdetails.aspx?termid=13698</v>
      </c>
      <c r="Q578" s="9" t="str">
        <f>HYPERLINK("https://ceds.ed.gov/elementComment.aspx?elementName=Address Type for Staff &amp;elementID=13698", "Click here to submit comment")</f>
        <v>Click here to submit comment</v>
      </c>
    </row>
    <row r="579" spans="1:17" ht="225" x14ac:dyDescent="0.25">
      <c r="A579" s="9" t="s">
        <v>6739</v>
      </c>
      <c r="B579" s="9" t="s">
        <v>6802</v>
      </c>
      <c r="C579" s="9" t="s">
        <v>6805</v>
      </c>
      <c r="D579" s="9" t="s">
        <v>6742</v>
      </c>
      <c r="E579" s="9" t="s">
        <v>166</v>
      </c>
      <c r="F579" s="9" t="s">
        <v>167</v>
      </c>
      <c r="G579" s="9" t="s">
        <v>12</v>
      </c>
      <c r="H579" s="9" t="s">
        <v>6113</v>
      </c>
      <c r="I579" s="9"/>
      <c r="J579" s="9" t="s">
        <v>119</v>
      </c>
      <c r="K579" s="9"/>
      <c r="L579" s="9"/>
      <c r="M579" s="9" t="s">
        <v>168</v>
      </c>
      <c r="N579" s="9"/>
      <c r="O579" s="9" t="s">
        <v>169</v>
      </c>
      <c r="P579" s="9" t="str">
        <f>HYPERLINK("https://ceds.ed.gov/cedselementdetails.aspx?termid=13269")</f>
        <v>https://ceds.ed.gov/cedselementdetails.aspx?termid=13269</v>
      </c>
      <c r="Q579" s="9" t="str">
        <f>HYPERLINK("https://ceds.ed.gov/elementComment.aspx?elementName=Address Street Number and Name &amp;elementID=13269", "Click here to submit comment")</f>
        <v>Click here to submit comment</v>
      </c>
    </row>
    <row r="580" spans="1:17" ht="225" x14ac:dyDescent="0.25">
      <c r="A580" s="9" t="s">
        <v>6739</v>
      </c>
      <c r="B580" s="9" t="s">
        <v>6802</v>
      </c>
      <c r="C580" s="9" t="s">
        <v>6805</v>
      </c>
      <c r="D580" s="9" t="s">
        <v>6742</v>
      </c>
      <c r="E580" s="9" t="s">
        <v>149</v>
      </c>
      <c r="F580" s="9" t="s">
        <v>150</v>
      </c>
      <c r="G580" s="9" t="s">
        <v>12</v>
      </c>
      <c r="H580" s="9" t="s">
        <v>6113</v>
      </c>
      <c r="I580" s="9"/>
      <c r="J580" s="9" t="s">
        <v>87</v>
      </c>
      <c r="K580" s="9"/>
      <c r="L580" s="9"/>
      <c r="M580" s="9" t="s">
        <v>151</v>
      </c>
      <c r="N580" s="9"/>
      <c r="O580" s="9" t="s">
        <v>152</v>
      </c>
      <c r="P580" s="9" t="str">
        <f>HYPERLINK("https://ceds.ed.gov/cedselementdetails.aspx?termid=13019")</f>
        <v>https://ceds.ed.gov/cedselementdetails.aspx?termid=13019</v>
      </c>
      <c r="Q580" s="9" t="str">
        <f>HYPERLINK("https://ceds.ed.gov/elementComment.aspx?elementName=Address Apartment Room or Suite Number &amp;elementID=13019", "Click here to submit comment")</f>
        <v>Click here to submit comment</v>
      </c>
    </row>
    <row r="581" spans="1:17" ht="225" x14ac:dyDescent="0.25">
      <c r="A581" s="9" t="s">
        <v>6739</v>
      </c>
      <c r="B581" s="9" t="s">
        <v>6802</v>
      </c>
      <c r="C581" s="9" t="s">
        <v>6805</v>
      </c>
      <c r="D581" s="9" t="s">
        <v>6742</v>
      </c>
      <c r="E581" s="9" t="s">
        <v>153</v>
      </c>
      <c r="F581" s="9" t="s">
        <v>154</v>
      </c>
      <c r="G581" s="9" t="s">
        <v>12</v>
      </c>
      <c r="H581" s="9" t="s">
        <v>6113</v>
      </c>
      <c r="I581" s="9"/>
      <c r="J581" s="9" t="s">
        <v>87</v>
      </c>
      <c r="K581" s="9"/>
      <c r="L581" s="9"/>
      <c r="M581" s="9" t="s">
        <v>155</v>
      </c>
      <c r="N581" s="9"/>
      <c r="O581" s="9" t="s">
        <v>156</v>
      </c>
      <c r="P581" s="9" t="str">
        <f>HYPERLINK("https://ceds.ed.gov/cedselementdetails.aspx?termid=13040")</f>
        <v>https://ceds.ed.gov/cedselementdetails.aspx?termid=13040</v>
      </c>
      <c r="Q581" s="9" t="str">
        <f>HYPERLINK("https://ceds.ed.gov/elementComment.aspx?elementName=Address City &amp;elementID=13040", "Click here to submit comment")</f>
        <v>Click here to submit comment</v>
      </c>
    </row>
    <row r="582" spans="1:17" ht="409.5" x14ac:dyDescent="0.25">
      <c r="A582" s="9" t="s">
        <v>6739</v>
      </c>
      <c r="B582" s="9" t="s">
        <v>6802</v>
      </c>
      <c r="C582" s="9" t="s">
        <v>6805</v>
      </c>
      <c r="D582" s="9" t="s">
        <v>6742</v>
      </c>
      <c r="E582" s="9" t="s">
        <v>5647</v>
      </c>
      <c r="F582" s="9" t="s">
        <v>5648</v>
      </c>
      <c r="G582" s="10" t="s">
        <v>6702</v>
      </c>
      <c r="H582" s="9" t="s">
        <v>6285</v>
      </c>
      <c r="I582" s="9"/>
      <c r="J582" s="9"/>
      <c r="K582" s="9"/>
      <c r="L582" s="9"/>
      <c r="M582" s="9" t="s">
        <v>5649</v>
      </c>
      <c r="N582" s="9"/>
      <c r="O582" s="9" t="s">
        <v>5650</v>
      </c>
      <c r="P582" s="9" t="str">
        <f>HYPERLINK("https://ceds.ed.gov/cedselementdetails.aspx?termid=13267")</f>
        <v>https://ceds.ed.gov/cedselementdetails.aspx?termid=13267</v>
      </c>
      <c r="Q582" s="9" t="str">
        <f>HYPERLINK("https://ceds.ed.gov/elementComment.aspx?elementName=State Abbreviation &amp;elementID=13267", "Click here to submit comment")</f>
        <v>Click here to submit comment</v>
      </c>
    </row>
    <row r="583" spans="1:17" ht="225" x14ac:dyDescent="0.25">
      <c r="A583" s="9" t="s">
        <v>6739</v>
      </c>
      <c r="B583" s="9" t="s">
        <v>6802</v>
      </c>
      <c r="C583" s="9" t="s">
        <v>6805</v>
      </c>
      <c r="D583" s="9" t="s">
        <v>6742</v>
      </c>
      <c r="E583" s="9" t="s">
        <v>161</v>
      </c>
      <c r="F583" s="9" t="s">
        <v>162</v>
      </c>
      <c r="G583" s="9" t="s">
        <v>12</v>
      </c>
      <c r="H583" s="9" t="s">
        <v>6113</v>
      </c>
      <c r="I583" s="9"/>
      <c r="J583" s="9" t="s">
        <v>163</v>
      </c>
      <c r="K583" s="9"/>
      <c r="L583" s="9"/>
      <c r="M583" s="9" t="s">
        <v>164</v>
      </c>
      <c r="N583" s="9"/>
      <c r="O583" s="9" t="s">
        <v>165</v>
      </c>
      <c r="P583" s="9" t="str">
        <f>HYPERLINK("https://ceds.ed.gov/cedselementdetails.aspx?termid=13214")</f>
        <v>https://ceds.ed.gov/cedselementdetails.aspx?termid=13214</v>
      </c>
      <c r="Q583" s="9" t="str">
        <f>HYPERLINK("https://ceds.ed.gov/elementComment.aspx?elementName=Address Postal Code &amp;elementID=13214", "Click here to submit comment")</f>
        <v>Click here to submit comment</v>
      </c>
    </row>
    <row r="584" spans="1:17" ht="90" x14ac:dyDescent="0.25">
      <c r="A584" s="9" t="s">
        <v>6739</v>
      </c>
      <c r="B584" s="9" t="s">
        <v>6802</v>
      </c>
      <c r="C584" s="9" t="s">
        <v>6805</v>
      </c>
      <c r="D584" s="9" t="s">
        <v>6742</v>
      </c>
      <c r="E584" s="9" t="s">
        <v>4709</v>
      </c>
      <c r="F584" s="9" t="s">
        <v>4710</v>
      </c>
      <c r="G584" s="9" t="s">
        <v>6106</v>
      </c>
      <c r="H584" s="9" t="s">
        <v>6109</v>
      </c>
      <c r="I584" s="9"/>
      <c r="J584" s="9"/>
      <c r="K584" s="9"/>
      <c r="L584" s="9"/>
      <c r="M584" s="9" t="s">
        <v>4711</v>
      </c>
      <c r="N584" s="9"/>
      <c r="O584" s="9" t="s">
        <v>4712</v>
      </c>
      <c r="P584" s="9" t="str">
        <f>HYPERLINK("https://ceds.ed.gov/cedselementdetails.aspx?termid=13219")</f>
        <v>https://ceds.ed.gov/cedselementdetails.aspx?termid=13219</v>
      </c>
      <c r="Q584" s="9" t="str">
        <f>HYPERLINK("https://ceds.ed.gov/elementComment.aspx?elementName=Primary Telephone Number Indicator &amp;elementID=13219", "Click here to submit comment")</f>
        <v>Click here to submit comment</v>
      </c>
    </row>
    <row r="585" spans="1:17" ht="90" x14ac:dyDescent="0.25">
      <c r="A585" s="9" t="s">
        <v>6739</v>
      </c>
      <c r="B585" s="9" t="s">
        <v>6802</v>
      </c>
      <c r="C585" s="9" t="s">
        <v>6805</v>
      </c>
      <c r="D585" s="9" t="s">
        <v>6742</v>
      </c>
      <c r="E585" s="9" t="s">
        <v>5854</v>
      </c>
      <c r="F585" s="9" t="s">
        <v>5855</v>
      </c>
      <c r="G585" s="10" t="s">
        <v>6717</v>
      </c>
      <c r="H585" s="9" t="s">
        <v>6109</v>
      </c>
      <c r="I585" s="9"/>
      <c r="J585" s="9" t="s">
        <v>1900</v>
      </c>
      <c r="K585" s="9"/>
      <c r="L585" s="9"/>
      <c r="M585" s="9" t="s">
        <v>5856</v>
      </c>
      <c r="N585" s="9"/>
      <c r="O585" s="9" t="s">
        <v>5857</v>
      </c>
      <c r="P585" s="9" t="str">
        <f>HYPERLINK("https://ceds.ed.gov/cedselementdetails.aspx?termid=13280")</f>
        <v>https://ceds.ed.gov/cedselementdetails.aspx?termid=13280</v>
      </c>
      <c r="Q585" s="9" t="str">
        <f>HYPERLINK("https://ceds.ed.gov/elementComment.aspx?elementName=Telephone Number Type &amp;elementID=13280", "Click here to submit comment")</f>
        <v>Click here to submit comment</v>
      </c>
    </row>
    <row r="586" spans="1:17" ht="90" x14ac:dyDescent="0.25">
      <c r="A586" s="9" t="s">
        <v>6739</v>
      </c>
      <c r="B586" s="9" t="s">
        <v>6802</v>
      </c>
      <c r="C586" s="9" t="s">
        <v>6805</v>
      </c>
      <c r="D586" s="9" t="s">
        <v>6742</v>
      </c>
      <c r="E586" s="9" t="s">
        <v>5849</v>
      </c>
      <c r="F586" s="9" t="s">
        <v>5850</v>
      </c>
      <c r="G586" s="9" t="s">
        <v>12</v>
      </c>
      <c r="H586" s="9" t="s">
        <v>6109</v>
      </c>
      <c r="I586" s="9"/>
      <c r="J586" s="9" t="s">
        <v>5851</v>
      </c>
      <c r="K586" s="9"/>
      <c r="L586" s="9"/>
      <c r="M586" s="9" t="s">
        <v>5852</v>
      </c>
      <c r="N586" s="9"/>
      <c r="O586" s="9" t="s">
        <v>5853</v>
      </c>
      <c r="P586" s="9" t="str">
        <f>HYPERLINK("https://ceds.ed.gov/cedselementdetails.aspx?termid=13279")</f>
        <v>https://ceds.ed.gov/cedselementdetails.aspx?termid=13279</v>
      </c>
      <c r="Q586" s="9" t="str">
        <f>HYPERLINK("https://ceds.ed.gov/elementComment.aspx?elementName=Telephone Number &amp;elementID=13279", "Click here to submit comment")</f>
        <v>Click here to submit comment</v>
      </c>
    </row>
    <row r="587" spans="1:17" ht="105" x14ac:dyDescent="0.25">
      <c r="A587" s="9" t="s">
        <v>6739</v>
      </c>
      <c r="B587" s="9" t="s">
        <v>6802</v>
      </c>
      <c r="C587" s="9" t="s">
        <v>6806</v>
      </c>
      <c r="D587" s="9" t="s">
        <v>6742</v>
      </c>
      <c r="E587" s="9" t="s">
        <v>4762</v>
      </c>
      <c r="F587" s="9" t="s">
        <v>4763</v>
      </c>
      <c r="G587" s="9" t="s">
        <v>12</v>
      </c>
      <c r="H587" s="9" t="s">
        <v>182</v>
      </c>
      <c r="I587" s="9"/>
      <c r="J587" s="9" t="s">
        <v>119</v>
      </c>
      <c r="K587" s="9"/>
      <c r="L587" s="9" t="s">
        <v>120</v>
      </c>
      <c r="M587" s="9" t="s">
        <v>4764</v>
      </c>
      <c r="N587" s="9"/>
      <c r="O587" s="9" t="s">
        <v>4765</v>
      </c>
      <c r="P587" s="9" t="str">
        <f>HYPERLINK("https://ceds.ed.gov/cedselementdetails.aspx?termid=13808")</f>
        <v>https://ceds.ed.gov/cedselementdetails.aspx?termid=13808</v>
      </c>
      <c r="Q587" s="9" t="str">
        <f>HYPERLINK("https://ceds.ed.gov/elementComment.aspx?elementName=Professional Development Activity Identifier &amp;elementID=13808", "Click here to submit comment")</f>
        <v>Click here to submit comment</v>
      </c>
    </row>
    <row r="588" spans="1:17" ht="45" x14ac:dyDescent="0.25">
      <c r="A588" s="9" t="s">
        <v>6739</v>
      </c>
      <c r="B588" s="9" t="s">
        <v>6802</v>
      </c>
      <c r="C588" s="9" t="s">
        <v>6806</v>
      </c>
      <c r="D588" s="9" t="s">
        <v>6742</v>
      </c>
      <c r="E588" s="9" t="s">
        <v>4783</v>
      </c>
      <c r="F588" s="9" t="s">
        <v>4784</v>
      </c>
      <c r="G588" s="9" t="s">
        <v>12</v>
      </c>
      <c r="H588" s="9" t="s">
        <v>182</v>
      </c>
      <c r="I588" s="9"/>
      <c r="J588" s="9" t="s">
        <v>92</v>
      </c>
      <c r="K588" s="9"/>
      <c r="L588" s="9"/>
      <c r="M588" s="9" t="s">
        <v>4785</v>
      </c>
      <c r="N588" s="9"/>
      <c r="O588" s="9" t="s">
        <v>4786</v>
      </c>
      <c r="P588" s="9" t="str">
        <f>HYPERLINK("https://ceds.ed.gov/cedselementdetails.aspx?termid=13809")</f>
        <v>https://ceds.ed.gov/cedselementdetails.aspx?termid=13809</v>
      </c>
      <c r="Q588" s="9" t="str">
        <f>HYPERLINK("https://ceds.ed.gov/elementComment.aspx?elementName=Professional Development Activity Title &amp;elementID=13809", "Click here to submit comment")</f>
        <v>Click here to submit comment</v>
      </c>
    </row>
    <row r="589" spans="1:17" ht="210" x14ac:dyDescent="0.25">
      <c r="A589" s="9" t="s">
        <v>6739</v>
      </c>
      <c r="B589" s="9" t="s">
        <v>6802</v>
      </c>
      <c r="C589" s="9" t="s">
        <v>6806</v>
      </c>
      <c r="D589" s="9" t="s">
        <v>6742</v>
      </c>
      <c r="E589" s="9" t="s">
        <v>4787</v>
      </c>
      <c r="F589" s="9" t="s">
        <v>4788</v>
      </c>
      <c r="G589" s="10" t="s">
        <v>6654</v>
      </c>
      <c r="H589" s="9"/>
      <c r="I589" s="9"/>
      <c r="J589" s="9"/>
      <c r="K589" s="9"/>
      <c r="L589" s="9" t="s">
        <v>4789</v>
      </c>
      <c r="M589" s="9" t="s">
        <v>4790</v>
      </c>
      <c r="N589" s="9"/>
      <c r="O589" s="9" t="s">
        <v>4791</v>
      </c>
      <c r="P589" s="9" t="str">
        <f>HYPERLINK("https://ceds.ed.gov/cedselementdetails.aspx?termid=14412")</f>
        <v>https://ceds.ed.gov/cedselementdetails.aspx?termid=14412</v>
      </c>
      <c r="Q589" s="9" t="str">
        <f>HYPERLINK("https://ceds.ed.gov/elementComment.aspx?elementName=Professional Development Activity Type &amp;elementID=14412", "Click here to submit comment")</f>
        <v>Click here to submit comment</v>
      </c>
    </row>
    <row r="590" spans="1:17" ht="45" x14ac:dyDescent="0.25">
      <c r="A590" s="9" t="s">
        <v>6739</v>
      </c>
      <c r="B590" s="9" t="s">
        <v>6802</v>
      </c>
      <c r="C590" s="9" t="s">
        <v>6806</v>
      </c>
      <c r="D590" s="9" t="s">
        <v>6742</v>
      </c>
      <c r="E590" s="9" t="s">
        <v>4749</v>
      </c>
      <c r="F590" s="9" t="s">
        <v>4750</v>
      </c>
      <c r="G590" s="9" t="s">
        <v>12</v>
      </c>
      <c r="H590" s="9"/>
      <c r="I590" s="9"/>
      <c r="J590" s="9" t="s">
        <v>303</v>
      </c>
      <c r="K590" s="9"/>
      <c r="L590" s="9"/>
      <c r="M590" s="9" t="s">
        <v>4751</v>
      </c>
      <c r="N590" s="9"/>
      <c r="O590" s="9" t="s">
        <v>4752</v>
      </c>
      <c r="P590" s="9" t="str">
        <f>HYPERLINK("https://ceds.ed.gov/cedselementdetails.aspx?termid=14408")</f>
        <v>https://ceds.ed.gov/cedselementdetails.aspx?termid=14408</v>
      </c>
      <c r="Q590" s="9" t="str">
        <f>HYPERLINK("https://ceds.ed.gov/elementComment.aspx?elementName=Professional Development Activity Description &amp;elementID=14408", "Click here to submit comment")</f>
        <v>Click here to submit comment</v>
      </c>
    </row>
    <row r="591" spans="1:17" ht="409.5" x14ac:dyDescent="0.25">
      <c r="A591" s="9" t="s">
        <v>6739</v>
      </c>
      <c r="B591" s="9" t="s">
        <v>6802</v>
      </c>
      <c r="C591" s="9" t="s">
        <v>6806</v>
      </c>
      <c r="D591" s="9" t="s">
        <v>6742</v>
      </c>
      <c r="E591" s="9" t="s">
        <v>4753</v>
      </c>
      <c r="F591" s="9" t="s">
        <v>4754</v>
      </c>
      <c r="G591" s="10" t="s">
        <v>6651</v>
      </c>
      <c r="H591" s="9"/>
      <c r="I591" s="9"/>
      <c r="J591" s="9"/>
      <c r="K591" s="9"/>
      <c r="L591" s="9" t="s">
        <v>4755</v>
      </c>
      <c r="M591" s="9" t="s">
        <v>4756</v>
      </c>
      <c r="N591" s="9"/>
      <c r="O591" s="9" t="s">
        <v>4757</v>
      </c>
      <c r="P591" s="9" t="str">
        <f>HYPERLINK("https://ceds.ed.gov/cedselementdetails.aspx?termid=14245")</f>
        <v>https://ceds.ed.gov/cedselementdetails.aspx?termid=14245</v>
      </c>
      <c r="Q591" s="9" t="str">
        <f>HYPERLINK("https://ceds.ed.gov/elementComment.aspx?elementName=Professional Development Activity Education Levels Addressed &amp;elementID=14245", "Click here to submit comment")</f>
        <v>Click here to submit comment</v>
      </c>
    </row>
    <row r="592" spans="1:17" ht="45" x14ac:dyDescent="0.25">
      <c r="A592" s="9" t="s">
        <v>6739</v>
      </c>
      <c r="B592" s="9" t="s">
        <v>6802</v>
      </c>
      <c r="C592" s="9" t="s">
        <v>6806</v>
      </c>
      <c r="D592" s="9" t="s">
        <v>6742</v>
      </c>
      <c r="E592" s="9" t="s">
        <v>4770</v>
      </c>
      <c r="F592" s="9" t="s">
        <v>4771</v>
      </c>
      <c r="G592" s="9" t="s">
        <v>12</v>
      </c>
      <c r="H592" s="9"/>
      <c r="I592" s="9"/>
      <c r="J592" s="9" t="s">
        <v>303</v>
      </c>
      <c r="K592" s="9"/>
      <c r="L592" s="9"/>
      <c r="M592" s="9" t="s">
        <v>4772</v>
      </c>
      <c r="N592" s="9"/>
      <c r="O592" s="9" t="s">
        <v>4773</v>
      </c>
      <c r="P592" s="9" t="str">
        <f>HYPERLINK("https://ceds.ed.gov/cedselementdetails.aspx?termid=14410")</f>
        <v>https://ceds.ed.gov/cedselementdetails.aspx?termid=14410</v>
      </c>
      <c r="Q592" s="9" t="str">
        <f>HYPERLINK("https://ceds.ed.gov/elementComment.aspx?elementName=Professional Development Activity Objective &amp;elementID=14410", "Click here to submit comment")</f>
        <v>Click here to submit comment</v>
      </c>
    </row>
    <row r="593" spans="1:17" ht="60" x14ac:dyDescent="0.25">
      <c r="A593" s="9" t="s">
        <v>6739</v>
      </c>
      <c r="B593" s="9" t="s">
        <v>6802</v>
      </c>
      <c r="C593" s="9" t="s">
        <v>6806</v>
      </c>
      <c r="D593" s="9" t="s">
        <v>6742</v>
      </c>
      <c r="E593" s="9" t="s">
        <v>4766</v>
      </c>
      <c r="F593" s="9" t="s">
        <v>4767</v>
      </c>
      <c r="G593" s="10" t="s">
        <v>6652</v>
      </c>
      <c r="H593" s="9"/>
      <c r="I593" s="9"/>
      <c r="J593" s="9"/>
      <c r="K593" s="9"/>
      <c r="L593" s="9"/>
      <c r="M593" s="9" t="s">
        <v>4768</v>
      </c>
      <c r="N593" s="9"/>
      <c r="O593" s="9" t="s">
        <v>4769</v>
      </c>
      <c r="P593" s="9" t="str">
        <f>HYPERLINK("https://ceds.ed.gov/cedselementdetails.aspx?termid=14409")</f>
        <v>https://ceds.ed.gov/cedselementdetails.aspx?termid=14409</v>
      </c>
      <c r="Q593" s="9" t="str">
        <f>HYPERLINK("https://ceds.ed.gov/elementComment.aspx?elementName=Professional Development Activity Level &amp;elementID=14409", "Click here to submit comment")</f>
        <v>Click here to submit comment</v>
      </c>
    </row>
    <row r="594" spans="1:17" ht="75" x14ac:dyDescent="0.25">
      <c r="A594" s="9" t="s">
        <v>6739</v>
      </c>
      <c r="B594" s="9" t="s">
        <v>6802</v>
      </c>
      <c r="C594" s="9" t="s">
        <v>6806</v>
      </c>
      <c r="D594" s="9" t="s">
        <v>6742</v>
      </c>
      <c r="E594" s="9" t="s">
        <v>4741</v>
      </c>
      <c r="F594" s="9" t="s">
        <v>4742</v>
      </c>
      <c r="G594" s="10" t="s">
        <v>6650</v>
      </c>
      <c r="H594" s="9"/>
      <c r="I594" s="9"/>
      <c r="J594" s="9"/>
      <c r="K594" s="9"/>
      <c r="L594" s="9"/>
      <c r="M594" s="9" t="s">
        <v>4743</v>
      </c>
      <c r="N594" s="9"/>
      <c r="O594" s="9" t="s">
        <v>4744</v>
      </c>
      <c r="P594" s="9" t="str">
        <f>HYPERLINK("https://ceds.ed.gov/cedselementdetails.aspx?termid=14406")</f>
        <v>https://ceds.ed.gov/cedselementdetails.aspx?termid=14406</v>
      </c>
      <c r="Q594" s="9" t="str">
        <f>HYPERLINK("https://ceds.ed.gov/elementComment.aspx?elementName=Professional Development Activity Credit Type &amp;elementID=14406", "Click here to submit comment")</f>
        <v>Click here to submit comment</v>
      </c>
    </row>
    <row r="595" spans="1:17" ht="45" x14ac:dyDescent="0.25">
      <c r="A595" s="9" t="s">
        <v>6739</v>
      </c>
      <c r="B595" s="9" t="s">
        <v>6802</v>
      </c>
      <c r="C595" s="9" t="s">
        <v>6806</v>
      </c>
      <c r="D595" s="9" t="s">
        <v>6742</v>
      </c>
      <c r="E595" s="9" t="s">
        <v>4745</v>
      </c>
      <c r="F595" s="9" t="s">
        <v>4746</v>
      </c>
      <c r="G595" s="9" t="s">
        <v>12</v>
      </c>
      <c r="H595" s="9"/>
      <c r="I595" s="9"/>
      <c r="J595" s="9" t="s">
        <v>1513</v>
      </c>
      <c r="K595" s="9"/>
      <c r="L595" s="9"/>
      <c r="M595" s="9" t="s">
        <v>4747</v>
      </c>
      <c r="N595" s="9"/>
      <c r="O595" s="9" t="s">
        <v>4748</v>
      </c>
      <c r="P595" s="9" t="str">
        <f>HYPERLINK("https://ceds.ed.gov/cedselementdetails.aspx?termid=14407")</f>
        <v>https://ceds.ed.gov/cedselementdetails.aspx?termid=14407</v>
      </c>
      <c r="Q595" s="9" t="str">
        <f>HYPERLINK("https://ceds.ed.gov/elementComment.aspx?elementName=Professional Development Activity Credits &amp;elementID=14407", "Click here to submit comment")</f>
        <v>Click here to submit comment</v>
      </c>
    </row>
    <row r="596" spans="1:17" ht="409.5" x14ac:dyDescent="0.25">
      <c r="A596" s="9" t="s">
        <v>6739</v>
      </c>
      <c r="B596" s="9" t="s">
        <v>6802</v>
      </c>
      <c r="C596" s="9" t="s">
        <v>6806</v>
      </c>
      <c r="D596" s="9" t="s">
        <v>6742</v>
      </c>
      <c r="E596" s="9" t="s">
        <v>4779</v>
      </c>
      <c r="F596" s="9" t="s">
        <v>4780</v>
      </c>
      <c r="G596" s="10" t="s">
        <v>6653</v>
      </c>
      <c r="H596" s="9"/>
      <c r="I596" s="9"/>
      <c r="J596" s="9"/>
      <c r="K596" s="9"/>
      <c r="L596" s="9"/>
      <c r="M596" s="9" t="s">
        <v>4781</v>
      </c>
      <c r="N596" s="9"/>
      <c r="O596" s="9" t="s">
        <v>4782</v>
      </c>
      <c r="P596" s="9" t="str">
        <f>HYPERLINK("https://ceds.ed.gov/cedselementdetails.aspx?termid=14464")</f>
        <v>https://ceds.ed.gov/cedselementdetails.aspx?termid=14464</v>
      </c>
      <c r="Q596" s="9" t="str">
        <f>HYPERLINK("https://ceds.ed.gov/elementComment.aspx?elementName=Professional Development Activity Target Audience &amp;elementID=14464", "Click here to submit comment")</f>
        <v>Click here to submit comment</v>
      </c>
    </row>
    <row r="597" spans="1:17" ht="90" x14ac:dyDescent="0.25">
      <c r="A597" s="9" t="s">
        <v>6739</v>
      </c>
      <c r="B597" s="9" t="s">
        <v>6802</v>
      </c>
      <c r="C597" s="9" t="s">
        <v>6806</v>
      </c>
      <c r="D597" s="9" t="s">
        <v>6742</v>
      </c>
      <c r="E597" s="9" t="s">
        <v>4856</v>
      </c>
      <c r="F597" s="9" t="s">
        <v>4857</v>
      </c>
      <c r="G597" s="11" t="s">
        <v>966</v>
      </c>
      <c r="H597" s="9"/>
      <c r="I597" s="9"/>
      <c r="J597" s="9"/>
      <c r="K597" s="9"/>
      <c r="L597" s="11" t="s">
        <v>967</v>
      </c>
      <c r="M597" s="9" t="s">
        <v>4858</v>
      </c>
      <c r="N597" s="9"/>
      <c r="O597" s="9" t="s">
        <v>4859</v>
      </c>
      <c r="P597" s="9" t="str">
        <f>HYPERLINK("https://ceds.ed.gov/cedselementdetails.aspx?termid=14357")</f>
        <v>https://ceds.ed.gov/cedselementdetails.aspx?termid=14357</v>
      </c>
      <c r="Q597" s="9" t="str">
        <f>HYPERLINK("https://ceds.ed.gov/elementComment.aspx?elementName=Professional Development Session Language &amp;elementID=14357", "Click here to submit comment")</f>
        <v>Click here to submit comment</v>
      </c>
    </row>
    <row r="598" spans="1:17" ht="45" x14ac:dyDescent="0.25">
      <c r="A598" s="9" t="s">
        <v>6739</v>
      </c>
      <c r="B598" s="9" t="s">
        <v>6802</v>
      </c>
      <c r="C598" s="9" t="s">
        <v>6806</v>
      </c>
      <c r="D598" s="9" t="s">
        <v>6742</v>
      </c>
      <c r="E598" s="9" t="s">
        <v>4774</v>
      </c>
      <c r="F598" s="9" t="s">
        <v>4775</v>
      </c>
      <c r="G598" s="9" t="s">
        <v>6106</v>
      </c>
      <c r="H598" s="9"/>
      <c r="I598" s="9"/>
      <c r="J598" s="9"/>
      <c r="K598" s="9"/>
      <c r="L598" s="9"/>
      <c r="M598" s="9" t="s">
        <v>4777</v>
      </c>
      <c r="N598" s="9"/>
      <c r="O598" s="9" t="s">
        <v>4778</v>
      </c>
      <c r="P598" s="9" t="str">
        <f>HYPERLINK("https://ceds.ed.gov/cedselementdetails.aspx?termid=14598")</f>
        <v>https://ceds.ed.gov/cedselementdetails.aspx?termid=14598</v>
      </c>
      <c r="Q598" s="9" t="str">
        <f>HYPERLINK("https://ceds.ed.gov/elementComment.aspx?elementName=Professional Development Activity State Approved Status &amp;elementID=14598", "Click here to submit comment")</f>
        <v>Click here to submit comment</v>
      </c>
    </row>
    <row r="599" spans="1:17" ht="60" x14ac:dyDescent="0.25">
      <c r="A599" s="9" t="s">
        <v>6739</v>
      </c>
      <c r="B599" s="9" t="s">
        <v>6802</v>
      </c>
      <c r="C599" s="9" t="s">
        <v>6806</v>
      </c>
      <c r="D599" s="9" t="s">
        <v>6742</v>
      </c>
      <c r="E599" s="9" t="s">
        <v>4758</v>
      </c>
      <c r="F599" s="9" t="s">
        <v>4759</v>
      </c>
      <c r="G599" s="9" t="s">
        <v>12</v>
      </c>
      <c r="H599" s="9"/>
      <c r="I599" s="9"/>
      <c r="J599" s="9" t="s">
        <v>73</v>
      </c>
      <c r="K599" s="9"/>
      <c r="L599" s="9"/>
      <c r="M599" s="9" t="s">
        <v>4760</v>
      </c>
      <c r="N599" s="9"/>
      <c r="O599" s="9" t="s">
        <v>4761</v>
      </c>
      <c r="P599" s="9" t="str">
        <f>HYPERLINK("https://ceds.ed.gov/cedselementdetails.aspx?termid=14421")</f>
        <v>https://ceds.ed.gov/cedselementdetails.aspx?termid=14421</v>
      </c>
      <c r="Q599" s="9" t="str">
        <f>HYPERLINK("https://ceds.ed.gov/elementComment.aspx?elementName=Professional Development Activity Expiration Date &amp;elementID=14421", "Click here to submit comment")</f>
        <v>Click here to submit comment</v>
      </c>
    </row>
    <row r="600" spans="1:17" ht="90" x14ac:dyDescent="0.25">
      <c r="A600" s="9" t="s">
        <v>6739</v>
      </c>
      <c r="B600" s="9" t="s">
        <v>6802</v>
      </c>
      <c r="C600" s="9" t="s">
        <v>6806</v>
      </c>
      <c r="D600" s="9" t="s">
        <v>6742</v>
      </c>
      <c r="E600" s="9" t="s">
        <v>4729</v>
      </c>
      <c r="F600" s="9" t="s">
        <v>4730</v>
      </c>
      <c r="G600" s="10" t="s">
        <v>6649</v>
      </c>
      <c r="H600" s="9"/>
      <c r="I600" s="9"/>
      <c r="J600" s="9"/>
      <c r="K600" s="9"/>
      <c r="L600" s="9"/>
      <c r="M600" s="9" t="s">
        <v>4731</v>
      </c>
      <c r="N600" s="9"/>
      <c r="O600" s="9" t="s">
        <v>4732</v>
      </c>
      <c r="P600" s="9" t="str">
        <f>HYPERLINK("https://ceds.ed.gov/cedselementdetails.aspx?termid=14403")</f>
        <v>https://ceds.ed.gov/cedselementdetails.aspx?termid=14403</v>
      </c>
      <c r="Q600" s="9" t="str">
        <f>HYPERLINK("https://ceds.ed.gov/elementComment.aspx?elementName=Professional Development Activity Approved Purpose &amp;elementID=14403", "Click here to submit comment")</f>
        <v>Click here to submit comment</v>
      </c>
    </row>
    <row r="601" spans="1:17" ht="45" x14ac:dyDescent="0.25">
      <c r="A601" s="9" t="s">
        <v>6739</v>
      </c>
      <c r="B601" s="9" t="s">
        <v>6802</v>
      </c>
      <c r="C601" s="9" t="s">
        <v>6806</v>
      </c>
      <c r="D601" s="9" t="s">
        <v>6742</v>
      </c>
      <c r="E601" s="9" t="s">
        <v>4725</v>
      </c>
      <c r="F601" s="9" t="s">
        <v>4726</v>
      </c>
      <c r="G601" s="9" t="s">
        <v>12</v>
      </c>
      <c r="H601" s="9"/>
      <c r="I601" s="9"/>
      <c r="J601" s="9" t="s">
        <v>87</v>
      </c>
      <c r="K601" s="9"/>
      <c r="L601" s="9"/>
      <c r="M601" s="9" t="s">
        <v>4727</v>
      </c>
      <c r="N601" s="9"/>
      <c r="O601" s="9" t="s">
        <v>4728</v>
      </c>
      <c r="P601" s="9" t="str">
        <f>HYPERLINK("https://ceds.ed.gov/cedselementdetails.aspx?termid=14402")</f>
        <v>https://ceds.ed.gov/cedselementdetails.aspx?termid=14402</v>
      </c>
      <c r="Q601" s="9" t="str">
        <f>HYPERLINK("https://ceds.ed.gov/elementComment.aspx?elementName=Professional Development Activity Approval Code &amp;elementID=14402", "Click here to submit comment")</f>
        <v>Click here to submit comment</v>
      </c>
    </row>
    <row r="602" spans="1:17" ht="75" x14ac:dyDescent="0.25">
      <c r="A602" s="9" t="s">
        <v>6739</v>
      </c>
      <c r="B602" s="9" t="s">
        <v>6802</v>
      </c>
      <c r="C602" s="9" t="s">
        <v>6806</v>
      </c>
      <c r="D602" s="9" t="s">
        <v>6742</v>
      </c>
      <c r="E602" s="9" t="s">
        <v>4733</v>
      </c>
      <c r="F602" s="9" t="s">
        <v>4734</v>
      </c>
      <c r="G602" s="9" t="s">
        <v>12</v>
      </c>
      <c r="H602" s="9"/>
      <c r="I602" s="9"/>
      <c r="J602" s="9" t="s">
        <v>87</v>
      </c>
      <c r="K602" s="9"/>
      <c r="L602" s="9"/>
      <c r="M602" s="9" t="s">
        <v>4735</v>
      </c>
      <c r="N602" s="9"/>
      <c r="O602" s="9" t="s">
        <v>4736</v>
      </c>
      <c r="P602" s="9" t="str">
        <f>HYPERLINK("https://ceds.ed.gov/cedselementdetails.aspx?termid=14404")</f>
        <v>https://ceds.ed.gov/cedselementdetails.aspx?termid=14404</v>
      </c>
      <c r="Q602" s="9" t="str">
        <f>HYPERLINK("https://ceds.ed.gov/elementComment.aspx?elementName=Professional Development Activity Code &amp;elementID=14404", "Click here to submit comment")</f>
        <v>Click here to submit comment</v>
      </c>
    </row>
    <row r="603" spans="1:17" ht="45" x14ac:dyDescent="0.25">
      <c r="A603" s="9" t="s">
        <v>6739</v>
      </c>
      <c r="B603" s="9" t="s">
        <v>6802</v>
      </c>
      <c r="C603" s="9" t="s">
        <v>6806</v>
      </c>
      <c r="D603" s="9" t="s">
        <v>6742</v>
      </c>
      <c r="E603" s="9" t="s">
        <v>4737</v>
      </c>
      <c r="F603" s="9" t="s">
        <v>4738</v>
      </c>
      <c r="G603" s="9" t="s">
        <v>12</v>
      </c>
      <c r="H603" s="9"/>
      <c r="I603" s="9"/>
      <c r="J603" s="9" t="s">
        <v>1513</v>
      </c>
      <c r="K603" s="9"/>
      <c r="L603" s="9"/>
      <c r="M603" s="9" t="s">
        <v>4739</v>
      </c>
      <c r="N603" s="9"/>
      <c r="O603" s="9" t="s">
        <v>4740</v>
      </c>
      <c r="P603" s="9" t="str">
        <f>HYPERLINK("https://ceds.ed.gov/cedselementdetails.aspx?termid=14405")</f>
        <v>https://ceds.ed.gov/cedselementdetails.aspx?termid=14405</v>
      </c>
      <c r="Q603" s="9" t="str">
        <f>HYPERLINK("https://ceds.ed.gov/elementComment.aspx?elementName=Professional Development Activity Cost &amp;elementID=14405", "Click here to submit comment")</f>
        <v>Click here to submit comment</v>
      </c>
    </row>
    <row r="604" spans="1:17" ht="105" x14ac:dyDescent="0.25">
      <c r="A604" s="18" t="s">
        <v>6739</v>
      </c>
      <c r="B604" s="18" t="s">
        <v>6802</v>
      </c>
      <c r="C604" s="18" t="s">
        <v>6807</v>
      </c>
      <c r="D604" s="18" t="s">
        <v>6742</v>
      </c>
      <c r="E604" s="18" t="s">
        <v>4852</v>
      </c>
      <c r="F604" s="18" t="s">
        <v>4853</v>
      </c>
      <c r="G604" s="18" t="s">
        <v>12</v>
      </c>
      <c r="H604" s="18"/>
      <c r="I604" s="18"/>
      <c r="J604" s="18" t="s">
        <v>119</v>
      </c>
      <c r="K604" s="18"/>
      <c r="L604" s="9" t="s">
        <v>120</v>
      </c>
      <c r="M604" s="18" t="s">
        <v>4854</v>
      </c>
      <c r="N604" s="18"/>
      <c r="O604" s="18" t="s">
        <v>4855</v>
      </c>
      <c r="P604" s="18" t="str">
        <f>HYPERLINK("https://ceds.ed.gov/cedselementdetails.aspx?termid=14422")</f>
        <v>https://ceds.ed.gov/cedselementdetails.aspx?termid=14422</v>
      </c>
      <c r="Q604" s="18" t="str">
        <f>HYPERLINK("https://ceds.ed.gov/elementComment.aspx?elementName=Professional Development Session Identifier &amp;elementID=14422", "Click here to submit comment")</f>
        <v>Click here to submit comment</v>
      </c>
    </row>
    <row r="605" spans="1:17" x14ac:dyDescent="0.25">
      <c r="A605" s="18"/>
      <c r="B605" s="18"/>
      <c r="C605" s="18"/>
      <c r="D605" s="18"/>
      <c r="E605" s="18"/>
      <c r="F605" s="18"/>
      <c r="G605" s="18"/>
      <c r="H605" s="18"/>
      <c r="I605" s="18"/>
      <c r="J605" s="18"/>
      <c r="K605" s="18"/>
      <c r="L605" s="9"/>
      <c r="M605" s="18"/>
      <c r="N605" s="18"/>
      <c r="O605" s="18"/>
      <c r="P605" s="18"/>
      <c r="Q605" s="18"/>
    </row>
    <row r="606" spans="1:17" ht="90" x14ac:dyDescent="0.25">
      <c r="A606" s="18"/>
      <c r="B606" s="18"/>
      <c r="C606" s="18"/>
      <c r="D606" s="18"/>
      <c r="E606" s="18"/>
      <c r="F606" s="18"/>
      <c r="G606" s="18"/>
      <c r="H606" s="18"/>
      <c r="I606" s="18"/>
      <c r="J606" s="18"/>
      <c r="K606" s="18"/>
      <c r="L606" s="9" t="s">
        <v>121</v>
      </c>
      <c r="M606" s="18"/>
      <c r="N606" s="18"/>
      <c r="O606" s="18"/>
      <c r="P606" s="18"/>
      <c r="Q606" s="18"/>
    </row>
    <row r="607" spans="1:17" ht="45" x14ac:dyDescent="0.25">
      <c r="A607" s="9" t="s">
        <v>6739</v>
      </c>
      <c r="B607" s="9" t="s">
        <v>6802</v>
      </c>
      <c r="C607" s="9" t="s">
        <v>6807</v>
      </c>
      <c r="D607" s="9" t="s">
        <v>6742</v>
      </c>
      <c r="E607" s="9" t="s">
        <v>4864</v>
      </c>
      <c r="F607" s="9" t="s">
        <v>4865</v>
      </c>
      <c r="G607" s="9" t="s">
        <v>12</v>
      </c>
      <c r="H607" s="9"/>
      <c r="I607" s="9"/>
      <c r="J607" s="9" t="s">
        <v>73</v>
      </c>
      <c r="K607" s="9"/>
      <c r="L607" s="9"/>
      <c r="M607" s="9" t="s">
        <v>4866</v>
      </c>
      <c r="N607" s="9"/>
      <c r="O607" s="9" t="s">
        <v>4867</v>
      </c>
      <c r="P607" s="9" t="str">
        <f>HYPERLINK("https://ceds.ed.gov/cedselementdetails.aspx?termid=14426")</f>
        <v>https://ceds.ed.gov/cedselementdetails.aspx?termid=14426</v>
      </c>
      <c r="Q607" s="9" t="str">
        <f>HYPERLINK("https://ceds.ed.gov/elementComment.aspx?elementName=Professional Development Session Start Date &amp;elementID=14426", "Click here to submit comment")</f>
        <v>Click here to submit comment</v>
      </c>
    </row>
    <row r="608" spans="1:17" ht="45" x14ac:dyDescent="0.25">
      <c r="A608" s="9" t="s">
        <v>6739</v>
      </c>
      <c r="B608" s="9" t="s">
        <v>6802</v>
      </c>
      <c r="C608" s="9" t="s">
        <v>6807</v>
      </c>
      <c r="D608" s="9" t="s">
        <v>6742</v>
      </c>
      <c r="E608" s="9" t="s">
        <v>4835</v>
      </c>
      <c r="F608" s="9" t="s">
        <v>4836</v>
      </c>
      <c r="G608" s="9" t="s">
        <v>12</v>
      </c>
      <c r="H608" s="9"/>
      <c r="I608" s="9"/>
      <c r="J608" s="9" t="s">
        <v>73</v>
      </c>
      <c r="K608" s="9"/>
      <c r="L608" s="9"/>
      <c r="M608" s="9" t="s">
        <v>4837</v>
      </c>
      <c r="N608" s="9"/>
      <c r="O608" s="9" t="s">
        <v>4838</v>
      </c>
      <c r="P608" s="9" t="str">
        <f>HYPERLINK("https://ceds.ed.gov/cedselementdetails.aspx?termid=14417")</f>
        <v>https://ceds.ed.gov/cedselementdetails.aspx?termid=14417</v>
      </c>
      <c r="Q608" s="9" t="str">
        <f>HYPERLINK("https://ceds.ed.gov/elementComment.aspx?elementName=Professional Development Session End Date &amp;elementID=14417", "Click here to submit comment")</f>
        <v>Click here to submit comment</v>
      </c>
    </row>
    <row r="609" spans="1:17" ht="45" x14ac:dyDescent="0.25">
      <c r="A609" s="9" t="s">
        <v>6739</v>
      </c>
      <c r="B609" s="9" t="s">
        <v>6802</v>
      </c>
      <c r="C609" s="9" t="s">
        <v>6807</v>
      </c>
      <c r="D609" s="9" t="s">
        <v>6742</v>
      </c>
      <c r="E609" s="9" t="s">
        <v>4868</v>
      </c>
      <c r="F609" s="9" t="s">
        <v>4869</v>
      </c>
      <c r="G609" s="9" t="s">
        <v>12</v>
      </c>
      <c r="H609" s="9"/>
      <c r="I609" s="9"/>
      <c r="J609" s="9" t="s">
        <v>4841</v>
      </c>
      <c r="K609" s="9"/>
      <c r="L609" s="9"/>
      <c r="M609" s="9" t="s">
        <v>4870</v>
      </c>
      <c r="N609" s="9"/>
      <c r="O609" s="9" t="s">
        <v>4871</v>
      </c>
      <c r="P609" s="9" t="str">
        <f>HYPERLINK("https://ceds.ed.gov/cedselementdetails.aspx?termid=14427")</f>
        <v>https://ceds.ed.gov/cedselementdetails.aspx?termid=14427</v>
      </c>
      <c r="Q609" s="9" t="str">
        <f>HYPERLINK("https://ceds.ed.gov/elementComment.aspx?elementName=Professional Development Session Start Time &amp;elementID=14427", "Click here to submit comment")</f>
        <v>Click here to submit comment</v>
      </c>
    </row>
    <row r="610" spans="1:17" ht="45" x14ac:dyDescent="0.25">
      <c r="A610" s="9" t="s">
        <v>6739</v>
      </c>
      <c r="B610" s="9" t="s">
        <v>6802</v>
      </c>
      <c r="C610" s="9" t="s">
        <v>6807</v>
      </c>
      <c r="D610" s="9" t="s">
        <v>6742</v>
      </c>
      <c r="E610" s="9" t="s">
        <v>4839</v>
      </c>
      <c r="F610" s="9" t="s">
        <v>4840</v>
      </c>
      <c r="G610" s="9" t="s">
        <v>12</v>
      </c>
      <c r="H610" s="9"/>
      <c r="I610" s="9"/>
      <c r="J610" s="9" t="s">
        <v>4841</v>
      </c>
      <c r="K610" s="9"/>
      <c r="L610" s="9"/>
      <c r="M610" s="9" t="s">
        <v>4842</v>
      </c>
      <c r="N610" s="9"/>
      <c r="O610" s="9" t="s">
        <v>4843</v>
      </c>
      <c r="P610" s="9" t="str">
        <f>HYPERLINK("https://ceds.ed.gov/cedselementdetails.aspx?termid=14418")</f>
        <v>https://ceds.ed.gov/cedselementdetails.aspx?termid=14418</v>
      </c>
      <c r="Q610" s="9" t="str">
        <f>HYPERLINK("https://ceds.ed.gov/elementComment.aspx?elementName=Professional Development Session End Time &amp;elementID=14418", "Click here to submit comment")</f>
        <v>Click here to submit comment</v>
      </c>
    </row>
    <row r="611" spans="1:17" ht="45" x14ac:dyDescent="0.25">
      <c r="A611" s="9" t="s">
        <v>6739</v>
      </c>
      <c r="B611" s="9" t="s">
        <v>6802</v>
      </c>
      <c r="C611" s="9" t="s">
        <v>6807</v>
      </c>
      <c r="D611" s="9" t="s">
        <v>6742</v>
      </c>
      <c r="E611" s="9" t="s">
        <v>4831</v>
      </c>
      <c r="F611" s="9" t="s">
        <v>4832</v>
      </c>
      <c r="G611" s="9" t="s">
        <v>12</v>
      </c>
      <c r="H611" s="9"/>
      <c r="I611" s="9"/>
      <c r="J611" s="9" t="s">
        <v>10489</v>
      </c>
      <c r="K611" s="9"/>
      <c r="L611" s="9"/>
      <c r="M611" s="9" t="s">
        <v>4833</v>
      </c>
      <c r="N611" s="9"/>
      <c r="O611" s="9" t="s">
        <v>4834</v>
      </c>
      <c r="P611" s="9" t="str">
        <f>HYPERLINK("https://ceds.ed.gov/cedselementdetails.aspx?termid=14416")</f>
        <v>https://ceds.ed.gov/cedselementdetails.aspx?termid=14416</v>
      </c>
      <c r="Q611" s="9" t="str">
        <f>HYPERLINK("https://ceds.ed.gov/elementComment.aspx?elementName=Professional Development Session Capacity &amp;elementID=14416", "Click here to submit comment")</f>
        <v>Click here to submit comment</v>
      </c>
    </row>
    <row r="612" spans="1:17" ht="180" x14ac:dyDescent="0.25">
      <c r="A612" s="9" t="s">
        <v>6739</v>
      </c>
      <c r="B612" s="9" t="s">
        <v>6802</v>
      </c>
      <c r="C612" s="9" t="s">
        <v>6807</v>
      </c>
      <c r="D612" s="9" t="s">
        <v>6742</v>
      </c>
      <c r="E612" s="9" t="s">
        <v>2557</v>
      </c>
      <c r="F612" s="9" t="s">
        <v>2558</v>
      </c>
      <c r="G612" s="10" t="s">
        <v>6481</v>
      </c>
      <c r="H612" s="9"/>
      <c r="I612" s="9"/>
      <c r="J612" s="9"/>
      <c r="K612" s="9"/>
      <c r="L612" s="9"/>
      <c r="M612" s="9" t="s">
        <v>2559</v>
      </c>
      <c r="N612" s="9"/>
      <c r="O612" s="9" t="s">
        <v>2560</v>
      </c>
      <c r="P612" s="9" t="str">
        <f>HYPERLINK("https://ceds.ed.gov/cedselementdetails.aspx?termid=14585")</f>
        <v>https://ceds.ed.gov/cedselementdetails.aspx?termid=14585</v>
      </c>
      <c r="Q612" s="9" t="str">
        <f>HYPERLINK("https://ceds.ed.gov/elementComment.aspx?elementName=Early Learning Trainer Core Knowledge Area &amp;elementID=14585", "Click here to submit comment")</f>
        <v>Click here to submit comment</v>
      </c>
    </row>
    <row r="613" spans="1:17" ht="60" x14ac:dyDescent="0.25">
      <c r="A613" s="9" t="s">
        <v>6739</v>
      </c>
      <c r="B613" s="9" t="s">
        <v>6802</v>
      </c>
      <c r="C613" s="9" t="s">
        <v>6807</v>
      </c>
      <c r="D613" s="9" t="s">
        <v>6742</v>
      </c>
      <c r="E613" s="9" t="s">
        <v>5952</v>
      </c>
      <c r="F613" s="9" t="s">
        <v>5953</v>
      </c>
      <c r="G613" s="9" t="s">
        <v>12</v>
      </c>
      <c r="H613" s="9"/>
      <c r="I613" s="9"/>
      <c r="J613" s="9" t="s">
        <v>762</v>
      </c>
      <c r="K613" s="9"/>
      <c r="L613" s="9"/>
      <c r="M613" s="9" t="s">
        <v>5954</v>
      </c>
      <c r="N613" s="9"/>
      <c r="O613" s="9" t="s">
        <v>5955</v>
      </c>
      <c r="P613" s="9" t="str">
        <f>HYPERLINK("https://ceds.ed.gov/cedselementdetails.aspx?termid=14609")</f>
        <v>https://ceds.ed.gov/cedselementdetails.aspx?termid=14609</v>
      </c>
      <c r="Q613" s="9" t="str">
        <f>HYPERLINK("https://ceds.ed.gov/elementComment.aspx?elementName=Training and Technical Assistance Level &amp;elementID=14609", "Click here to submit comment")</f>
        <v>Click here to submit comment</v>
      </c>
    </row>
    <row r="614" spans="1:17" ht="75" x14ac:dyDescent="0.25">
      <c r="A614" s="9" t="s">
        <v>6739</v>
      </c>
      <c r="B614" s="9" t="s">
        <v>6802</v>
      </c>
      <c r="C614" s="9" t="s">
        <v>6807</v>
      </c>
      <c r="D614" s="9" t="s">
        <v>6742</v>
      </c>
      <c r="E614" s="9" t="s">
        <v>4796</v>
      </c>
      <c r="F614" s="9" t="s">
        <v>4797</v>
      </c>
      <c r="G614" s="10" t="s">
        <v>6655</v>
      </c>
      <c r="H614" s="9"/>
      <c r="I614" s="9"/>
      <c r="J614" s="9"/>
      <c r="K614" s="9"/>
      <c r="L614" s="9"/>
      <c r="M614" s="9" t="s">
        <v>4798</v>
      </c>
      <c r="N614" s="9"/>
      <c r="O614" s="9" t="s">
        <v>4799</v>
      </c>
      <c r="P614" s="9" t="str">
        <f>HYPERLINK("https://ceds.ed.gov/cedselementdetails.aspx?termid=14401")</f>
        <v>https://ceds.ed.gov/cedselementdetails.aspx?termid=14401</v>
      </c>
      <c r="Q614" s="9" t="str">
        <f>HYPERLINK("https://ceds.ed.gov/elementComment.aspx?elementName=Professional Development Delivery Method &amp;elementID=14401", "Click here to submit comment")</f>
        <v>Click here to submit comment</v>
      </c>
    </row>
    <row r="615" spans="1:17" ht="180" x14ac:dyDescent="0.25">
      <c r="A615" s="9" t="s">
        <v>6739</v>
      </c>
      <c r="B615" s="9" t="s">
        <v>6802</v>
      </c>
      <c r="C615" s="9" t="s">
        <v>6807</v>
      </c>
      <c r="D615" s="9" t="s">
        <v>6742</v>
      </c>
      <c r="E615" s="9" t="s">
        <v>4808</v>
      </c>
      <c r="F615" s="9" t="s">
        <v>4809</v>
      </c>
      <c r="G615" s="10" t="s">
        <v>6657</v>
      </c>
      <c r="H615" s="9"/>
      <c r="I615" s="9"/>
      <c r="J615" s="9"/>
      <c r="K615" s="9"/>
      <c r="L615" s="9"/>
      <c r="M615" s="9" t="s">
        <v>4810</v>
      </c>
      <c r="N615" s="9"/>
      <c r="O615" s="9" t="s">
        <v>4811</v>
      </c>
      <c r="P615" s="9" t="str">
        <f>HYPERLINK("https://ceds.ed.gov/cedselementdetails.aspx?termid=14429")</f>
        <v>https://ceds.ed.gov/cedselementdetails.aspx?termid=14429</v>
      </c>
      <c r="Q615" s="9" t="str">
        <f>HYPERLINK("https://ceds.ed.gov/elementComment.aspx?elementName=Professional Development Instructional Delivery Mode &amp;elementID=14429", "Click here to submit comment")</f>
        <v>Click here to submit comment</v>
      </c>
    </row>
    <row r="616" spans="1:17" ht="45" x14ac:dyDescent="0.25">
      <c r="A616" s="9" t="s">
        <v>6739</v>
      </c>
      <c r="B616" s="9" t="s">
        <v>6802</v>
      </c>
      <c r="C616" s="9" t="s">
        <v>6807</v>
      </c>
      <c r="D616" s="9" t="s">
        <v>6742</v>
      </c>
      <c r="E616" s="9" t="s">
        <v>5556</v>
      </c>
      <c r="F616" s="9" t="s">
        <v>5557</v>
      </c>
      <c r="G616" s="9" t="s">
        <v>12</v>
      </c>
      <c r="H616" s="9"/>
      <c r="I616" s="9"/>
      <c r="J616" s="9" t="s">
        <v>92</v>
      </c>
      <c r="K616" s="9"/>
      <c r="L616" s="9"/>
      <c r="M616" s="9" t="s">
        <v>5558</v>
      </c>
      <c r="N616" s="9"/>
      <c r="O616" s="9" t="s">
        <v>5559</v>
      </c>
      <c r="P616" s="9" t="str">
        <f>HYPERLINK("https://ceds.ed.gov/cedselementdetails.aspx?termid=14461")</f>
        <v>https://ceds.ed.gov/cedselementdetails.aspx?termid=14461</v>
      </c>
      <c r="Q616" s="9" t="str">
        <f>HYPERLINK("https://ceds.ed.gov/elementComment.aspx?elementName=Sponsoring Agency Name &amp;elementID=14461", "Click here to submit comment")</f>
        <v>Click here to submit comment</v>
      </c>
    </row>
    <row r="617" spans="1:17" ht="105" x14ac:dyDescent="0.25">
      <c r="A617" s="18" t="s">
        <v>6739</v>
      </c>
      <c r="B617" s="18" t="s">
        <v>6802</v>
      </c>
      <c r="C617" s="18" t="s">
        <v>6807</v>
      </c>
      <c r="D617" s="18" t="s">
        <v>6742</v>
      </c>
      <c r="E617" s="18" t="s">
        <v>4812</v>
      </c>
      <c r="F617" s="18" t="s">
        <v>4813</v>
      </c>
      <c r="G617" s="18" t="s">
        <v>12</v>
      </c>
      <c r="H617" s="18"/>
      <c r="I617" s="18"/>
      <c r="J617" s="18" t="s">
        <v>119</v>
      </c>
      <c r="K617" s="18"/>
      <c r="L617" s="9" t="s">
        <v>120</v>
      </c>
      <c r="M617" s="18" t="s">
        <v>4814</v>
      </c>
      <c r="N617" s="18"/>
      <c r="O617" s="18" t="s">
        <v>4815</v>
      </c>
      <c r="P617" s="18" t="str">
        <f>HYPERLINK("https://ceds.ed.gov/cedselementdetails.aspx?termid=14414")</f>
        <v>https://ceds.ed.gov/cedselementdetails.aspx?termid=14414</v>
      </c>
      <c r="Q617" s="18" t="str">
        <f>HYPERLINK("https://ceds.ed.gov/elementComment.aspx?elementName=Professional Development Instructor Identifier &amp;elementID=14414", "Click here to submit comment")</f>
        <v>Click here to submit comment</v>
      </c>
    </row>
    <row r="618" spans="1:17" x14ac:dyDescent="0.25">
      <c r="A618" s="18"/>
      <c r="B618" s="18"/>
      <c r="C618" s="18"/>
      <c r="D618" s="18"/>
      <c r="E618" s="18"/>
      <c r="F618" s="18"/>
      <c r="G618" s="18"/>
      <c r="H618" s="18"/>
      <c r="I618" s="18"/>
      <c r="J618" s="18"/>
      <c r="K618" s="18"/>
      <c r="L618" s="9"/>
      <c r="M618" s="18"/>
      <c r="N618" s="18"/>
      <c r="O618" s="18"/>
      <c r="P618" s="18"/>
      <c r="Q618" s="18"/>
    </row>
    <row r="619" spans="1:17" ht="90" x14ac:dyDescent="0.25">
      <c r="A619" s="18"/>
      <c r="B619" s="18"/>
      <c r="C619" s="18"/>
      <c r="D619" s="18"/>
      <c r="E619" s="18"/>
      <c r="F619" s="18"/>
      <c r="G619" s="18"/>
      <c r="H619" s="18"/>
      <c r="I619" s="18"/>
      <c r="J619" s="18"/>
      <c r="K619" s="18"/>
      <c r="L619" s="9" t="s">
        <v>121</v>
      </c>
      <c r="M619" s="18"/>
      <c r="N619" s="18"/>
      <c r="O619" s="18"/>
      <c r="P619" s="18"/>
      <c r="Q619" s="18"/>
    </row>
    <row r="620" spans="1:17" ht="45" x14ac:dyDescent="0.25">
      <c r="A620" s="9" t="s">
        <v>6739</v>
      </c>
      <c r="B620" s="9" t="s">
        <v>6802</v>
      </c>
      <c r="C620" s="9" t="s">
        <v>6807</v>
      </c>
      <c r="D620" s="9" t="s">
        <v>6742</v>
      </c>
      <c r="E620" s="9" t="s">
        <v>4804</v>
      </c>
      <c r="F620" s="9" t="s">
        <v>4805</v>
      </c>
      <c r="G620" s="9" t="s">
        <v>12</v>
      </c>
      <c r="H620" s="9"/>
      <c r="I620" s="9"/>
      <c r="J620" s="9" t="s">
        <v>87</v>
      </c>
      <c r="K620" s="9"/>
      <c r="L620" s="9"/>
      <c r="M620" s="9" t="s">
        <v>4806</v>
      </c>
      <c r="N620" s="9"/>
      <c r="O620" s="9" t="s">
        <v>4807</v>
      </c>
      <c r="P620" s="9" t="str">
        <f>HYPERLINK("https://ceds.ed.gov/cedselementdetails.aspx?termid=14413")</f>
        <v>https://ceds.ed.gov/cedselementdetails.aspx?termid=14413</v>
      </c>
      <c r="Q620" s="9" t="str">
        <f>HYPERLINK("https://ceds.ed.gov/elementComment.aspx?elementName=Professional Development Funding Source &amp;elementID=14413", "Click here to submit comment")</f>
        <v>Click here to submit comment</v>
      </c>
    </row>
    <row r="621" spans="1:17" ht="45" x14ac:dyDescent="0.25">
      <c r="A621" s="9" t="s">
        <v>6739</v>
      </c>
      <c r="B621" s="9" t="s">
        <v>6802</v>
      </c>
      <c r="C621" s="9" t="s">
        <v>6807</v>
      </c>
      <c r="D621" s="9" t="s">
        <v>6742</v>
      </c>
      <c r="E621" s="9" t="s">
        <v>4844</v>
      </c>
      <c r="F621" s="9" t="s">
        <v>4845</v>
      </c>
      <c r="G621" s="9" t="s">
        <v>12</v>
      </c>
      <c r="H621" s="9"/>
      <c r="I621" s="9"/>
      <c r="J621" s="9" t="s">
        <v>87</v>
      </c>
      <c r="K621" s="9"/>
      <c r="L621" s="9"/>
      <c r="M621" s="9" t="s">
        <v>4846</v>
      </c>
      <c r="N621" s="9"/>
      <c r="O621" s="9" t="s">
        <v>4847</v>
      </c>
      <c r="P621" s="9" t="str">
        <f>HYPERLINK("https://ceds.ed.gov/cedselementdetails.aspx?termid=14419")</f>
        <v>https://ceds.ed.gov/cedselementdetails.aspx?termid=14419</v>
      </c>
      <c r="Q621" s="9" t="str">
        <f>HYPERLINK("https://ceds.ed.gov/elementComment.aspx?elementName=Professional Development Session Evaluation Method &amp;elementID=14419", "Click here to submit comment")</f>
        <v>Click here to submit comment</v>
      </c>
    </row>
    <row r="622" spans="1:17" ht="45" x14ac:dyDescent="0.25">
      <c r="A622" s="9" t="s">
        <v>6739</v>
      </c>
      <c r="B622" s="9" t="s">
        <v>6802</v>
      </c>
      <c r="C622" s="9" t="s">
        <v>6807</v>
      </c>
      <c r="D622" s="9" t="s">
        <v>6742</v>
      </c>
      <c r="E622" s="9" t="s">
        <v>4848</v>
      </c>
      <c r="F622" s="9" t="s">
        <v>4849</v>
      </c>
      <c r="G622" s="9" t="s">
        <v>12</v>
      </c>
      <c r="H622" s="9"/>
      <c r="I622" s="9"/>
      <c r="J622" s="9" t="s">
        <v>87</v>
      </c>
      <c r="K622" s="9"/>
      <c r="L622" s="9"/>
      <c r="M622" s="9" t="s">
        <v>4850</v>
      </c>
      <c r="N622" s="9"/>
      <c r="O622" s="9" t="s">
        <v>4851</v>
      </c>
      <c r="P622" s="9" t="str">
        <f>HYPERLINK("https://ceds.ed.gov/cedselementdetails.aspx?termid=14420")</f>
        <v>https://ceds.ed.gov/cedselementdetails.aspx?termid=14420</v>
      </c>
      <c r="Q622" s="9" t="str">
        <f>HYPERLINK("https://ceds.ed.gov/elementComment.aspx?elementName=Professional Development Session Evaluation Score &amp;elementID=14420", "Click here to submit comment")</f>
        <v>Click here to submit comment</v>
      </c>
    </row>
    <row r="623" spans="1:17" ht="60" x14ac:dyDescent="0.25">
      <c r="A623" s="9" t="s">
        <v>6739</v>
      </c>
      <c r="B623" s="9" t="s">
        <v>6802</v>
      </c>
      <c r="C623" s="9" t="s">
        <v>6807</v>
      </c>
      <c r="D623" s="9" t="s">
        <v>6742</v>
      </c>
      <c r="E623" s="9" t="s">
        <v>4872</v>
      </c>
      <c r="F623" s="9" t="s">
        <v>4873</v>
      </c>
      <c r="G623" s="10" t="s">
        <v>6658</v>
      </c>
      <c r="H623" s="9"/>
      <c r="I623" s="9"/>
      <c r="J623" s="9"/>
      <c r="K623" s="9"/>
      <c r="L623" s="9"/>
      <c r="M623" s="9" t="s">
        <v>4874</v>
      </c>
      <c r="N623" s="9"/>
      <c r="O623" s="9" t="s">
        <v>4875</v>
      </c>
      <c r="P623" s="9" t="str">
        <f>HYPERLINK("https://ceds.ed.gov/cedselementdetails.aspx?termid=14428")</f>
        <v>https://ceds.ed.gov/cedselementdetails.aspx?termid=14428</v>
      </c>
      <c r="Q623" s="9" t="str">
        <f>HYPERLINK("https://ceds.ed.gov/elementComment.aspx?elementName=Professional Development Session Status &amp;elementID=14428", "Click here to submit comment")</f>
        <v>Click here to submit comment</v>
      </c>
    </row>
    <row r="624" spans="1:17" ht="45" x14ac:dyDescent="0.25">
      <c r="A624" s="9" t="s">
        <v>6739</v>
      </c>
      <c r="B624" s="9" t="s">
        <v>6802</v>
      </c>
      <c r="C624" s="9" t="s">
        <v>6808</v>
      </c>
      <c r="D624" s="9" t="s">
        <v>6742</v>
      </c>
      <c r="E624" s="9" t="s">
        <v>4860</v>
      </c>
      <c r="F624" s="9" t="s">
        <v>4861</v>
      </c>
      <c r="G624" s="9" t="s">
        <v>12</v>
      </c>
      <c r="H624" s="9"/>
      <c r="I624" s="9"/>
      <c r="J624" s="9" t="s">
        <v>92</v>
      </c>
      <c r="K624" s="9"/>
      <c r="L624" s="9"/>
      <c r="M624" s="9" t="s">
        <v>4862</v>
      </c>
      <c r="N624" s="9"/>
      <c r="O624" s="9" t="s">
        <v>4863</v>
      </c>
      <c r="P624" s="9" t="str">
        <f>HYPERLINK("https://ceds.ed.gov/cedselementdetails.aspx?termid=14424")</f>
        <v>https://ceds.ed.gov/cedselementdetails.aspx?termid=14424</v>
      </c>
      <c r="Q624" s="9" t="str">
        <f>HYPERLINK("https://ceds.ed.gov/elementComment.aspx?elementName=Professional Development Session Location Name &amp;elementID=14424", "Click here to submit comment")</f>
        <v>Click here to submit comment</v>
      </c>
    </row>
    <row r="625" spans="1:17" ht="225" x14ac:dyDescent="0.25">
      <c r="A625" s="9" t="s">
        <v>6739</v>
      </c>
      <c r="B625" s="9" t="s">
        <v>6802</v>
      </c>
      <c r="C625" s="9" t="s">
        <v>6808</v>
      </c>
      <c r="D625" s="9" t="s">
        <v>6742</v>
      </c>
      <c r="E625" s="9" t="s">
        <v>166</v>
      </c>
      <c r="F625" s="9" t="s">
        <v>167</v>
      </c>
      <c r="G625" s="9" t="s">
        <v>12</v>
      </c>
      <c r="H625" s="9" t="s">
        <v>6113</v>
      </c>
      <c r="I625" s="9"/>
      <c r="J625" s="9" t="s">
        <v>119</v>
      </c>
      <c r="K625" s="9"/>
      <c r="L625" s="9"/>
      <c r="M625" s="9" t="s">
        <v>168</v>
      </c>
      <c r="N625" s="9"/>
      <c r="O625" s="9" t="s">
        <v>169</v>
      </c>
      <c r="P625" s="9" t="str">
        <f>HYPERLINK("https://ceds.ed.gov/cedselementdetails.aspx?termid=13269")</f>
        <v>https://ceds.ed.gov/cedselementdetails.aspx?termid=13269</v>
      </c>
      <c r="Q625" s="9" t="str">
        <f>HYPERLINK("https://ceds.ed.gov/elementComment.aspx?elementName=Address Street Number and Name &amp;elementID=13269", "Click here to submit comment")</f>
        <v>Click here to submit comment</v>
      </c>
    </row>
    <row r="626" spans="1:17" ht="225" x14ac:dyDescent="0.25">
      <c r="A626" s="9" t="s">
        <v>6739</v>
      </c>
      <c r="B626" s="9" t="s">
        <v>6802</v>
      </c>
      <c r="C626" s="9" t="s">
        <v>6808</v>
      </c>
      <c r="D626" s="9" t="s">
        <v>6742</v>
      </c>
      <c r="E626" s="9" t="s">
        <v>149</v>
      </c>
      <c r="F626" s="9" t="s">
        <v>150</v>
      </c>
      <c r="G626" s="9" t="s">
        <v>12</v>
      </c>
      <c r="H626" s="9" t="s">
        <v>6113</v>
      </c>
      <c r="I626" s="9"/>
      <c r="J626" s="9" t="s">
        <v>87</v>
      </c>
      <c r="K626" s="9"/>
      <c r="L626" s="9"/>
      <c r="M626" s="9" t="s">
        <v>151</v>
      </c>
      <c r="N626" s="9"/>
      <c r="O626" s="9" t="s">
        <v>152</v>
      </c>
      <c r="P626" s="9" t="str">
        <f>HYPERLINK("https://ceds.ed.gov/cedselementdetails.aspx?termid=13019")</f>
        <v>https://ceds.ed.gov/cedselementdetails.aspx?termid=13019</v>
      </c>
      <c r="Q626" s="9" t="str">
        <f>HYPERLINK("https://ceds.ed.gov/elementComment.aspx?elementName=Address Apartment Room or Suite Number &amp;elementID=13019", "Click here to submit comment")</f>
        <v>Click here to submit comment</v>
      </c>
    </row>
    <row r="627" spans="1:17" ht="225" x14ac:dyDescent="0.25">
      <c r="A627" s="9" t="s">
        <v>6739</v>
      </c>
      <c r="B627" s="9" t="s">
        <v>6802</v>
      </c>
      <c r="C627" s="9" t="s">
        <v>6808</v>
      </c>
      <c r="D627" s="9" t="s">
        <v>6742</v>
      </c>
      <c r="E627" s="9" t="s">
        <v>153</v>
      </c>
      <c r="F627" s="9" t="s">
        <v>154</v>
      </c>
      <c r="G627" s="9" t="s">
        <v>12</v>
      </c>
      <c r="H627" s="9" t="s">
        <v>6113</v>
      </c>
      <c r="I627" s="9"/>
      <c r="J627" s="9" t="s">
        <v>87</v>
      </c>
      <c r="K627" s="9"/>
      <c r="L627" s="9"/>
      <c r="M627" s="9" t="s">
        <v>155</v>
      </c>
      <c r="N627" s="9"/>
      <c r="O627" s="9" t="s">
        <v>156</v>
      </c>
      <c r="P627" s="9" t="str">
        <f>HYPERLINK("https://ceds.ed.gov/cedselementdetails.aspx?termid=13040")</f>
        <v>https://ceds.ed.gov/cedselementdetails.aspx?termid=13040</v>
      </c>
      <c r="Q627" s="9" t="str">
        <f>HYPERLINK("https://ceds.ed.gov/elementComment.aspx?elementName=Address City &amp;elementID=13040", "Click here to submit comment")</f>
        <v>Click here to submit comment</v>
      </c>
    </row>
    <row r="628" spans="1:17" ht="409.5" x14ac:dyDescent="0.25">
      <c r="A628" s="9" t="s">
        <v>6739</v>
      </c>
      <c r="B628" s="9" t="s">
        <v>6802</v>
      </c>
      <c r="C628" s="9" t="s">
        <v>6808</v>
      </c>
      <c r="D628" s="9" t="s">
        <v>6742</v>
      </c>
      <c r="E628" s="9" t="s">
        <v>5647</v>
      </c>
      <c r="F628" s="9" t="s">
        <v>5648</v>
      </c>
      <c r="G628" s="10" t="s">
        <v>6702</v>
      </c>
      <c r="H628" s="9" t="s">
        <v>6285</v>
      </c>
      <c r="I628" s="9"/>
      <c r="J628" s="9"/>
      <c r="K628" s="9"/>
      <c r="L628" s="9"/>
      <c r="M628" s="9" t="s">
        <v>5649</v>
      </c>
      <c r="N628" s="9"/>
      <c r="O628" s="9" t="s">
        <v>5650</v>
      </c>
      <c r="P628" s="9" t="str">
        <f>HYPERLINK("https://ceds.ed.gov/cedselementdetails.aspx?termid=13267")</f>
        <v>https://ceds.ed.gov/cedselementdetails.aspx?termid=13267</v>
      </c>
      <c r="Q628" s="9" t="str">
        <f>HYPERLINK("https://ceds.ed.gov/elementComment.aspx?elementName=State Abbreviation &amp;elementID=13267", "Click here to submit comment")</f>
        <v>Click here to submit comment</v>
      </c>
    </row>
    <row r="629" spans="1:17" ht="225" x14ac:dyDescent="0.25">
      <c r="A629" s="9" t="s">
        <v>6739</v>
      </c>
      <c r="B629" s="9" t="s">
        <v>6802</v>
      </c>
      <c r="C629" s="9" t="s">
        <v>6808</v>
      </c>
      <c r="D629" s="9" t="s">
        <v>6742</v>
      </c>
      <c r="E629" s="9" t="s">
        <v>161</v>
      </c>
      <c r="F629" s="9" t="s">
        <v>162</v>
      </c>
      <c r="G629" s="9" t="s">
        <v>12</v>
      </c>
      <c r="H629" s="9" t="s">
        <v>6113</v>
      </c>
      <c r="I629" s="9"/>
      <c r="J629" s="9" t="s">
        <v>163</v>
      </c>
      <c r="K629" s="9"/>
      <c r="L629" s="9"/>
      <c r="M629" s="9" t="s">
        <v>164</v>
      </c>
      <c r="N629" s="9"/>
      <c r="O629" s="9" t="s">
        <v>165</v>
      </c>
      <c r="P629" s="9" t="str">
        <f>HYPERLINK("https://ceds.ed.gov/cedselementdetails.aspx?termid=13214")</f>
        <v>https://ceds.ed.gov/cedselementdetails.aspx?termid=13214</v>
      </c>
      <c r="Q629" s="9" t="str">
        <f>HYPERLINK("https://ceds.ed.gov/elementComment.aspx?elementName=Address Postal Code &amp;elementID=13214", "Click here to submit comment")</f>
        <v>Click here to submit comment</v>
      </c>
    </row>
    <row r="630" spans="1:17" ht="90" x14ac:dyDescent="0.25">
      <c r="A630" s="9" t="s">
        <v>6739</v>
      </c>
      <c r="B630" s="9" t="s">
        <v>6802</v>
      </c>
      <c r="C630" s="9" t="s">
        <v>6808</v>
      </c>
      <c r="D630" s="9" t="s">
        <v>6742</v>
      </c>
      <c r="E630" s="9" t="s">
        <v>5849</v>
      </c>
      <c r="F630" s="9" t="s">
        <v>5850</v>
      </c>
      <c r="G630" s="9" t="s">
        <v>12</v>
      </c>
      <c r="H630" s="9" t="s">
        <v>6109</v>
      </c>
      <c r="I630" s="9"/>
      <c r="J630" s="9" t="s">
        <v>5851</v>
      </c>
      <c r="K630" s="9"/>
      <c r="L630" s="9"/>
      <c r="M630" s="9" t="s">
        <v>5852</v>
      </c>
      <c r="N630" s="9"/>
      <c r="O630" s="9" t="s">
        <v>5853</v>
      </c>
      <c r="P630" s="9" t="str">
        <f>HYPERLINK("https://ceds.ed.gov/cedselementdetails.aspx?termid=13279")</f>
        <v>https://ceds.ed.gov/cedselementdetails.aspx?termid=13279</v>
      </c>
      <c r="Q630" s="9" t="str">
        <f>HYPERLINK("https://ceds.ed.gov/elementComment.aspx?elementName=Telephone Number &amp;elementID=13279", "Click here to submit comment")</f>
        <v>Click here to submit comment</v>
      </c>
    </row>
    <row r="631" spans="1:17" ht="60" x14ac:dyDescent="0.25">
      <c r="A631" s="9" t="s">
        <v>6739</v>
      </c>
      <c r="B631" s="9" t="s">
        <v>6809</v>
      </c>
      <c r="C631" s="9"/>
      <c r="D631" s="9" t="s">
        <v>6742</v>
      </c>
      <c r="E631" s="9" t="s">
        <v>2426</v>
      </c>
      <c r="F631" s="9" t="s">
        <v>2427</v>
      </c>
      <c r="G631" s="9" t="s">
        <v>12</v>
      </c>
      <c r="H631" s="9" t="s">
        <v>6165</v>
      </c>
      <c r="I631" s="9"/>
      <c r="J631" s="9" t="s">
        <v>92</v>
      </c>
      <c r="K631" s="9"/>
      <c r="L631" s="9"/>
      <c r="M631" s="9" t="s">
        <v>2428</v>
      </c>
      <c r="N631" s="9"/>
      <c r="O631" s="9" t="s">
        <v>2429</v>
      </c>
      <c r="P631" s="9" t="str">
        <f>HYPERLINK("https://ceds.ed.gov/cedselementdetails.aspx?termid=13820")</f>
        <v>https://ceds.ed.gov/cedselementdetails.aspx?termid=13820</v>
      </c>
      <c r="Q631" s="9" t="str">
        <f>HYPERLINK("https://ceds.ed.gov/elementComment.aspx?elementName=Early Learning Class Group Name &amp;elementID=13820", "Click here to submit comment")</f>
        <v>Click here to submit comment</v>
      </c>
    </row>
    <row r="632" spans="1:17" ht="105" x14ac:dyDescent="0.25">
      <c r="A632" s="18" t="s">
        <v>6739</v>
      </c>
      <c r="B632" s="18" t="s">
        <v>6809</v>
      </c>
      <c r="C632" s="18"/>
      <c r="D632" s="18" t="s">
        <v>6742</v>
      </c>
      <c r="E632" s="18" t="s">
        <v>2422</v>
      </c>
      <c r="F632" s="18" t="s">
        <v>2423</v>
      </c>
      <c r="G632" s="18" t="s">
        <v>12</v>
      </c>
      <c r="H632" s="18" t="s">
        <v>6165</v>
      </c>
      <c r="I632" s="18"/>
      <c r="J632" s="18" t="s">
        <v>119</v>
      </c>
      <c r="K632" s="18"/>
      <c r="L632" s="9" t="s">
        <v>120</v>
      </c>
      <c r="M632" s="18" t="s">
        <v>2424</v>
      </c>
      <c r="N632" s="18"/>
      <c r="O632" s="18" t="s">
        <v>2425</v>
      </c>
      <c r="P632" s="18" t="str">
        <f>HYPERLINK("https://ceds.ed.gov/cedselementdetails.aspx?termid=13819")</f>
        <v>https://ceds.ed.gov/cedselementdetails.aspx?termid=13819</v>
      </c>
      <c r="Q632" s="18" t="str">
        <f>HYPERLINK("https://ceds.ed.gov/elementComment.aspx?elementName=Early Learning Class Group Identifier &amp;elementID=13819", "Click here to submit comment")</f>
        <v>Click here to submit comment</v>
      </c>
    </row>
    <row r="633" spans="1:17" x14ac:dyDescent="0.25">
      <c r="A633" s="18"/>
      <c r="B633" s="18"/>
      <c r="C633" s="18"/>
      <c r="D633" s="18"/>
      <c r="E633" s="18"/>
      <c r="F633" s="18"/>
      <c r="G633" s="18"/>
      <c r="H633" s="18"/>
      <c r="I633" s="18"/>
      <c r="J633" s="18"/>
      <c r="K633" s="18"/>
      <c r="L633" s="9"/>
      <c r="M633" s="18"/>
      <c r="N633" s="18"/>
      <c r="O633" s="18"/>
      <c r="P633" s="18"/>
      <c r="Q633" s="18"/>
    </row>
    <row r="634" spans="1:17" ht="90" x14ac:dyDescent="0.25">
      <c r="A634" s="18"/>
      <c r="B634" s="18"/>
      <c r="C634" s="18"/>
      <c r="D634" s="18"/>
      <c r="E634" s="18"/>
      <c r="F634" s="18"/>
      <c r="G634" s="18"/>
      <c r="H634" s="18"/>
      <c r="I634" s="18"/>
      <c r="J634" s="18"/>
      <c r="K634" s="18"/>
      <c r="L634" s="9" t="s">
        <v>121</v>
      </c>
      <c r="M634" s="18"/>
      <c r="N634" s="18"/>
      <c r="O634" s="18"/>
      <c r="P634" s="18"/>
      <c r="Q634" s="18"/>
    </row>
    <row r="635" spans="1:17" ht="45" x14ac:dyDescent="0.25">
      <c r="A635" s="9" t="s">
        <v>6739</v>
      </c>
      <c r="B635" s="9" t="s">
        <v>6809</v>
      </c>
      <c r="C635" s="9"/>
      <c r="D635" s="9" t="s">
        <v>6742</v>
      </c>
      <c r="E635" s="9" t="s">
        <v>1757</v>
      </c>
      <c r="F635" s="9" t="s">
        <v>1758</v>
      </c>
      <c r="G635" s="9" t="s">
        <v>12</v>
      </c>
      <c r="H635" s="9" t="s">
        <v>6167</v>
      </c>
      <c r="I635" s="9"/>
      <c r="J635" s="9" t="s">
        <v>406</v>
      </c>
      <c r="K635" s="9"/>
      <c r="L635" s="9"/>
      <c r="M635" s="9" t="s">
        <v>1759</v>
      </c>
      <c r="N635" s="9"/>
      <c r="O635" s="9" t="s">
        <v>1760</v>
      </c>
      <c r="P635" s="9" t="str">
        <f>HYPERLINK("https://ceds.ed.gov/cedselementdetails.aspx?termid=13510")</f>
        <v>https://ceds.ed.gov/cedselementdetails.aspx?termid=13510</v>
      </c>
      <c r="Q635" s="9" t="str">
        <f>HYPERLINK("https://ceds.ed.gov/elementComment.aspx?elementName=Class Beginning Time &amp;elementID=13510", "Click here to submit comment")</f>
        <v>Click here to submit comment</v>
      </c>
    </row>
    <row r="636" spans="1:17" ht="45" x14ac:dyDescent="0.25">
      <c r="A636" s="9" t="s">
        <v>6739</v>
      </c>
      <c r="B636" s="9" t="s">
        <v>6809</v>
      </c>
      <c r="C636" s="9"/>
      <c r="D636" s="9" t="s">
        <v>6742</v>
      </c>
      <c r="E636" s="9" t="s">
        <v>1761</v>
      </c>
      <c r="F636" s="9" t="s">
        <v>1762</v>
      </c>
      <c r="G636" s="9" t="s">
        <v>12</v>
      </c>
      <c r="H636" s="9" t="s">
        <v>6167</v>
      </c>
      <c r="I636" s="9"/>
      <c r="J636" s="9" t="s">
        <v>406</v>
      </c>
      <c r="K636" s="9"/>
      <c r="L636" s="9"/>
      <c r="M636" s="9" t="s">
        <v>1763</v>
      </c>
      <c r="N636" s="9"/>
      <c r="O636" s="9" t="s">
        <v>1764</v>
      </c>
      <c r="P636" s="9" t="str">
        <f>HYPERLINK("https://ceds.ed.gov/cedselementdetails.aspx?termid=13511")</f>
        <v>https://ceds.ed.gov/cedselementdetails.aspx?termid=13511</v>
      </c>
      <c r="Q636" s="9" t="str">
        <f>HYPERLINK("https://ceds.ed.gov/elementComment.aspx?elementName=Class Ending Time &amp;elementID=13511", "Click here to submit comment")</f>
        <v>Click here to submit comment</v>
      </c>
    </row>
    <row r="637" spans="1:17" ht="105" x14ac:dyDescent="0.25">
      <c r="A637" s="9" t="s">
        <v>6739</v>
      </c>
      <c r="B637" s="9" t="s">
        <v>6809</v>
      </c>
      <c r="C637" s="9"/>
      <c r="D637" s="9" t="s">
        <v>6742</v>
      </c>
      <c r="E637" s="9" t="s">
        <v>5412</v>
      </c>
      <c r="F637" s="9" t="s">
        <v>5413</v>
      </c>
      <c r="G637" s="10" t="s">
        <v>6692</v>
      </c>
      <c r="H637" s="9" t="s">
        <v>6182</v>
      </c>
      <c r="I637" s="9"/>
      <c r="J637" s="9"/>
      <c r="K637" s="9"/>
      <c r="L637" s="9"/>
      <c r="M637" s="9" t="s">
        <v>5414</v>
      </c>
      <c r="N637" s="9"/>
      <c r="O637" s="9" t="s">
        <v>5415</v>
      </c>
      <c r="P637" s="9" t="str">
        <f>HYPERLINK("https://ceds.ed.gov/cedselementdetails.aspx?termid=13352")</f>
        <v>https://ceds.ed.gov/cedselementdetails.aspx?termid=13352</v>
      </c>
      <c r="Q637" s="9" t="str">
        <f>HYPERLINK("https://ceds.ed.gov/elementComment.aspx?elementName=Service Option Variation &amp;elementID=13352", "Click here to submit comment")</f>
        <v>Click here to submit comment</v>
      </c>
    </row>
    <row r="638" spans="1:17" ht="60" x14ac:dyDescent="0.25">
      <c r="A638" s="9" t="s">
        <v>6739</v>
      </c>
      <c r="B638" s="9" t="s">
        <v>6809</v>
      </c>
      <c r="C638" s="9"/>
      <c r="D638" s="9" t="s">
        <v>6742</v>
      </c>
      <c r="E638" s="9" t="s">
        <v>3174</v>
      </c>
      <c r="F638" s="9" t="s">
        <v>3175</v>
      </c>
      <c r="G638" s="9" t="s">
        <v>12</v>
      </c>
      <c r="H638" s="9" t="s">
        <v>6182</v>
      </c>
      <c r="I638" s="9"/>
      <c r="J638" s="9" t="s">
        <v>1513</v>
      </c>
      <c r="K638" s="9"/>
      <c r="L638" s="9"/>
      <c r="M638" s="9" t="s">
        <v>3176</v>
      </c>
      <c r="N638" s="9"/>
      <c r="O638" s="9" t="s">
        <v>3177</v>
      </c>
      <c r="P638" s="9" t="str">
        <f>HYPERLINK("https://ceds.ed.gov/cedselementdetails.aspx?termid=13353")</f>
        <v>https://ceds.ed.gov/cedselementdetails.aspx?termid=13353</v>
      </c>
      <c r="Q638" s="9" t="str">
        <f>HYPERLINK("https://ceds.ed.gov/elementComment.aspx?elementName=Hours Available Per Day &amp;elementID=13353", "Click here to submit comment")</f>
        <v>Click here to submit comment</v>
      </c>
    </row>
    <row r="639" spans="1:17" ht="60" x14ac:dyDescent="0.25">
      <c r="A639" s="9" t="s">
        <v>6739</v>
      </c>
      <c r="B639" s="9" t="s">
        <v>6809</v>
      </c>
      <c r="C639" s="9"/>
      <c r="D639" s="9" t="s">
        <v>6742</v>
      </c>
      <c r="E639" s="9" t="s">
        <v>2187</v>
      </c>
      <c r="F639" s="9" t="s">
        <v>2188</v>
      </c>
      <c r="G639" s="9" t="s">
        <v>12</v>
      </c>
      <c r="H639" s="9" t="s">
        <v>6182</v>
      </c>
      <c r="I639" s="9"/>
      <c r="J639" s="9" t="s">
        <v>10489</v>
      </c>
      <c r="K639" s="9"/>
      <c r="L639" s="9"/>
      <c r="M639" s="9" t="s">
        <v>2189</v>
      </c>
      <c r="N639" s="9"/>
      <c r="O639" s="9" t="s">
        <v>2190</v>
      </c>
      <c r="P639" s="9" t="str">
        <f>HYPERLINK("https://ceds.ed.gov/cedselementdetails.aspx?termid=13354")</f>
        <v>https://ceds.ed.gov/cedselementdetails.aspx?termid=13354</v>
      </c>
      <c r="Q639" s="9" t="str">
        <f>HYPERLINK("https://ceds.ed.gov/elementComment.aspx?elementName=Days Available Per Week &amp;elementID=13354", "Click here to submit comment")</f>
        <v>Click here to submit comment</v>
      </c>
    </row>
    <row r="640" spans="1:17" ht="195" x14ac:dyDescent="0.25">
      <c r="A640" s="9" t="s">
        <v>6739</v>
      </c>
      <c r="B640" s="9" t="s">
        <v>6809</v>
      </c>
      <c r="C640" s="9"/>
      <c r="D640" s="9" t="s">
        <v>6742</v>
      </c>
      <c r="E640" s="9" t="s">
        <v>2405</v>
      </c>
      <c r="F640" s="9" t="s">
        <v>2406</v>
      </c>
      <c r="G640" s="10" t="s">
        <v>6463</v>
      </c>
      <c r="H640" s="9" t="s">
        <v>6182</v>
      </c>
      <c r="I640" s="9"/>
      <c r="J640" s="9"/>
      <c r="K640" s="9"/>
      <c r="L640" s="9"/>
      <c r="M640" s="9" t="s">
        <v>2407</v>
      </c>
      <c r="N640" s="9"/>
      <c r="O640" s="9" t="s">
        <v>2408</v>
      </c>
      <c r="P640" s="9" t="str">
        <f>HYPERLINK("https://ceds.ed.gov/cedselementdetails.aspx?termid=13355")</f>
        <v>https://ceds.ed.gov/cedselementdetails.aspx?termid=13355</v>
      </c>
      <c r="Q640" s="9" t="str">
        <f>HYPERLINK("https://ceds.ed.gov/elementComment.aspx?elementName=Early Childhood Setting &amp;elementID=13355", "Click here to submit comment")</f>
        <v>Click here to submit comment</v>
      </c>
    </row>
    <row r="641" spans="1:17" ht="45" x14ac:dyDescent="0.25">
      <c r="A641" s="9" t="s">
        <v>6739</v>
      </c>
      <c r="B641" s="9" t="s">
        <v>6809</v>
      </c>
      <c r="C641" s="9"/>
      <c r="D641" s="9" t="s">
        <v>6742</v>
      </c>
      <c r="E641" s="9" t="s">
        <v>2499</v>
      </c>
      <c r="F641" s="9" t="s">
        <v>2500</v>
      </c>
      <c r="G641" s="9" t="s">
        <v>12</v>
      </c>
      <c r="H641" s="9" t="s">
        <v>6167</v>
      </c>
      <c r="I641" s="9"/>
      <c r="J641" s="9" t="s">
        <v>11123</v>
      </c>
      <c r="K641" s="9"/>
      <c r="L641" s="9"/>
      <c r="M641" s="9" t="s">
        <v>2501</v>
      </c>
      <c r="N641" s="9"/>
      <c r="O641" s="9" t="s">
        <v>2502</v>
      </c>
      <c r="P641" s="9" t="str">
        <f>HYPERLINK("https://ceds.ed.gov/cedselementdetails.aspx?termid=13824")</f>
        <v>https://ceds.ed.gov/cedselementdetails.aspx?termid=13824</v>
      </c>
      <c r="Q641" s="9" t="str">
        <f>HYPERLINK("https://ceds.ed.gov/elementComment.aspx?elementName=Early Learning Program Annual Operating Weeks &amp;elementID=13824", "Click here to submit comment")</f>
        <v>Click here to submit comment</v>
      </c>
    </row>
    <row r="642" spans="1:17" ht="60" x14ac:dyDescent="0.25">
      <c r="A642" s="9" t="s">
        <v>6739</v>
      </c>
      <c r="B642" s="9" t="s">
        <v>6809</v>
      </c>
      <c r="C642" s="9"/>
      <c r="D642" s="9" t="s">
        <v>6742</v>
      </c>
      <c r="E642" s="9" t="s">
        <v>2561</v>
      </c>
      <c r="F642" s="9" t="s">
        <v>2562</v>
      </c>
      <c r="G642" s="9" t="s">
        <v>12</v>
      </c>
      <c r="H642" s="9" t="s">
        <v>6192</v>
      </c>
      <c r="I642" s="9"/>
      <c r="J642" s="9" t="s">
        <v>10489</v>
      </c>
      <c r="K642" s="9"/>
      <c r="L642" s="9"/>
      <c r="M642" s="9" t="s">
        <v>2563</v>
      </c>
      <c r="N642" s="9"/>
      <c r="O642" s="9" t="s">
        <v>2564</v>
      </c>
      <c r="P642" s="9" t="str">
        <f>HYPERLINK("https://ceds.ed.gov/cedselementdetails.aspx?termid=13626")</f>
        <v>https://ceds.ed.gov/cedselementdetails.aspx?termid=13626</v>
      </c>
      <c r="Q642" s="9" t="str">
        <f>HYPERLINK("https://ceds.ed.gov/elementComment.aspx?elementName=Early Learning Youngest Age Authorized to Serve &amp;elementID=13626", "Click here to submit comment")</f>
        <v>Click here to submit comment</v>
      </c>
    </row>
    <row r="643" spans="1:17" ht="60" x14ac:dyDescent="0.25">
      <c r="A643" s="9" t="s">
        <v>6739</v>
      </c>
      <c r="B643" s="9" t="s">
        <v>6809</v>
      </c>
      <c r="C643" s="9"/>
      <c r="D643" s="9" t="s">
        <v>6742</v>
      </c>
      <c r="E643" s="9" t="s">
        <v>2479</v>
      </c>
      <c r="F643" s="9" t="s">
        <v>2480</v>
      </c>
      <c r="G643" s="9" t="s">
        <v>12</v>
      </c>
      <c r="H643" s="9" t="s">
        <v>6192</v>
      </c>
      <c r="I643" s="9"/>
      <c r="J643" s="9" t="s">
        <v>10489</v>
      </c>
      <c r="K643" s="9"/>
      <c r="L643" s="9"/>
      <c r="M643" s="9" t="s">
        <v>2481</v>
      </c>
      <c r="N643" s="9"/>
      <c r="O643" s="9" t="s">
        <v>2482</v>
      </c>
      <c r="P643" s="9" t="str">
        <f>HYPERLINK("https://ceds.ed.gov/cedselementdetails.aspx?termid=14189")</f>
        <v>https://ceds.ed.gov/cedselementdetails.aspx?termid=14189</v>
      </c>
      <c r="Q643" s="9" t="str">
        <f>HYPERLINK("https://ceds.ed.gov/elementComment.aspx?elementName=Early Learning Oldest Age Authorized to Serve &amp;elementID=14189", "Click here to submit comment")</f>
        <v>Click here to submit comment</v>
      </c>
    </row>
    <row r="644" spans="1:17" ht="45" x14ac:dyDescent="0.25">
      <c r="A644" s="9" t="s">
        <v>6739</v>
      </c>
      <c r="B644" s="9" t="s">
        <v>6809</v>
      </c>
      <c r="C644" s="9"/>
      <c r="D644" s="9" t="s">
        <v>6742</v>
      </c>
      <c r="E644" s="9" t="s">
        <v>2467</v>
      </c>
      <c r="F644" s="9" t="s">
        <v>2468</v>
      </c>
      <c r="G644" s="9" t="s">
        <v>12</v>
      </c>
      <c r="H644" s="9"/>
      <c r="I644" s="9"/>
      <c r="J644" s="9" t="s">
        <v>10489</v>
      </c>
      <c r="K644" s="9"/>
      <c r="L644" s="9"/>
      <c r="M644" s="9" t="s">
        <v>2469</v>
      </c>
      <c r="N644" s="9"/>
      <c r="O644" s="9" t="s">
        <v>2470</v>
      </c>
      <c r="P644" s="9" t="str">
        <f>HYPERLINK("https://ceds.ed.gov/cedselementdetails.aspx?termid=14295")</f>
        <v>https://ceds.ed.gov/cedselementdetails.aspx?termid=14295</v>
      </c>
      <c r="Q644" s="9" t="str">
        <f>HYPERLINK("https://ceds.ed.gov/elementComment.aspx?elementName=Early Learning Group Size &amp;elementID=14295", "Click here to submit comment")</f>
        <v>Click here to submit comment</v>
      </c>
    </row>
    <row r="645" spans="1:17" ht="135" x14ac:dyDescent="0.25">
      <c r="A645" s="9" t="s">
        <v>6739</v>
      </c>
      <c r="B645" s="9" t="s">
        <v>6809</v>
      </c>
      <c r="C645" s="9"/>
      <c r="D645" s="9" t="s">
        <v>6742</v>
      </c>
      <c r="E645" s="9" t="s">
        <v>2471</v>
      </c>
      <c r="F645" s="9" t="s">
        <v>2472</v>
      </c>
      <c r="G645" s="10" t="s">
        <v>6469</v>
      </c>
      <c r="H645" s="9" t="s">
        <v>64</v>
      </c>
      <c r="I645" s="9"/>
      <c r="J645" s="9"/>
      <c r="K645" s="9"/>
      <c r="L645" s="9"/>
      <c r="M645" s="9" t="s">
        <v>2473</v>
      </c>
      <c r="N645" s="9"/>
      <c r="O645" s="9" t="s">
        <v>2474</v>
      </c>
      <c r="P645" s="9" t="str">
        <f>HYPERLINK("https://ceds.ed.gov/cedselementdetails.aspx?termid=13823")</f>
        <v>https://ceds.ed.gov/cedselementdetails.aspx?termid=13823</v>
      </c>
      <c r="Q645" s="9" t="str">
        <f>HYPERLINK("https://ceds.ed.gov/elementComment.aspx?elementName=Early Learning Group Size Standards Met &amp;elementID=13823", "Click here to submit comment")</f>
        <v>Click here to submit comment</v>
      </c>
    </row>
    <row r="646" spans="1:17" ht="45" x14ac:dyDescent="0.25">
      <c r="A646" s="9" t="s">
        <v>6739</v>
      </c>
      <c r="B646" s="9" t="s">
        <v>6809</v>
      </c>
      <c r="C646" s="9"/>
      <c r="D646" s="9" t="s">
        <v>6742</v>
      </c>
      <c r="E646" s="9" t="s">
        <v>5396</v>
      </c>
      <c r="F646" s="9" t="s">
        <v>5397</v>
      </c>
      <c r="G646" s="9" t="s">
        <v>6106</v>
      </c>
      <c r="H646" s="9" t="s">
        <v>6167</v>
      </c>
      <c r="I646" s="9"/>
      <c r="J646" s="9"/>
      <c r="K646" s="9"/>
      <c r="L646" s="9"/>
      <c r="M646" s="9" t="s">
        <v>5398</v>
      </c>
      <c r="N646" s="9"/>
      <c r="O646" s="9" t="s">
        <v>5399</v>
      </c>
      <c r="P646" s="9" t="str">
        <f>HYPERLINK("https://ceds.ed.gov/cedselementdetails.aspx?termid=13821")</f>
        <v>https://ceds.ed.gov/cedselementdetails.aspx?termid=13821</v>
      </c>
      <c r="Q646" s="9" t="str">
        <f>HYPERLINK("https://ceds.ed.gov/elementComment.aspx?elementName=Serves Children with Special Needs &amp;elementID=13821", "Click here to submit comment")</f>
        <v>Click here to submit comment</v>
      </c>
    </row>
    <row r="647" spans="1:17" ht="180" x14ac:dyDescent="0.25">
      <c r="A647" s="9" t="s">
        <v>6739</v>
      </c>
      <c r="B647" s="9" t="s">
        <v>6809</v>
      </c>
      <c r="C647" s="9"/>
      <c r="D647" s="9" t="s">
        <v>6742</v>
      </c>
      <c r="E647" s="9" t="s">
        <v>2418</v>
      </c>
      <c r="F647" s="9" t="s">
        <v>2419</v>
      </c>
      <c r="G647" s="10" t="s">
        <v>6464</v>
      </c>
      <c r="H647" s="9" t="s">
        <v>64</v>
      </c>
      <c r="I647" s="9"/>
      <c r="J647" s="9" t="s">
        <v>92</v>
      </c>
      <c r="K647" s="9"/>
      <c r="L647" s="9"/>
      <c r="M647" s="9" t="s">
        <v>2420</v>
      </c>
      <c r="N647" s="9"/>
      <c r="O647" s="9" t="s">
        <v>2421</v>
      </c>
      <c r="P647" s="9" t="str">
        <f>HYPERLINK("https://ceds.ed.gov/cedselementdetails.aspx?termid=13822")</f>
        <v>https://ceds.ed.gov/cedselementdetails.aspx?termid=13822</v>
      </c>
      <c r="Q647" s="9" t="str">
        <f>HYPERLINK("https://ceds.ed.gov/elementComment.aspx?elementName=Early Learning Class Group Curriculum Type &amp;elementID=13822", "Click here to submit comment")</f>
        <v>Click here to submit comment</v>
      </c>
    </row>
    <row r="648" spans="1:17" ht="45" x14ac:dyDescent="0.25">
      <c r="A648" s="9" t="s">
        <v>6739</v>
      </c>
      <c r="B648" s="9" t="s">
        <v>6809</v>
      </c>
      <c r="C648" s="9"/>
      <c r="D648" s="9" t="s">
        <v>6742</v>
      </c>
      <c r="E648" s="9" t="s">
        <v>3585</v>
      </c>
      <c r="F648" s="9" t="s">
        <v>3586</v>
      </c>
      <c r="G648" s="9" t="s">
        <v>6106</v>
      </c>
      <c r="H648" s="9"/>
      <c r="I648" s="9"/>
      <c r="J648" s="9"/>
      <c r="K648" s="9"/>
      <c r="L648" s="9"/>
      <c r="M648" s="9" t="s">
        <v>3587</v>
      </c>
      <c r="N648" s="9"/>
      <c r="O648" s="9" t="s">
        <v>3588</v>
      </c>
      <c r="P648" s="9" t="str">
        <f>HYPERLINK("https://ceds.ed.gov/cedselementdetails.aspx?termid=14190")</f>
        <v>https://ceds.ed.gov/cedselementdetails.aspx?termid=14190</v>
      </c>
      <c r="Q648" s="9" t="str">
        <f>HYPERLINK("https://ceds.ed.gov/elementComment.aspx?elementName=Language Translation Policy &amp;elementID=14190", "Click here to submit comment")</f>
        <v>Click here to submit comment</v>
      </c>
    </row>
    <row r="649" spans="1:17" ht="75" x14ac:dyDescent="0.25">
      <c r="A649" s="9" t="s">
        <v>6739</v>
      </c>
      <c r="B649" s="9" t="s">
        <v>6810</v>
      </c>
      <c r="C649" s="9"/>
      <c r="D649" s="9" t="s">
        <v>6742</v>
      </c>
      <c r="E649" s="9" t="s">
        <v>1525</v>
      </c>
      <c r="F649" s="9" t="s">
        <v>1526</v>
      </c>
      <c r="G649" s="10" t="s">
        <v>6392</v>
      </c>
      <c r="H649" s="9"/>
      <c r="I649" s="9"/>
      <c r="J649" s="9"/>
      <c r="K649" s="9"/>
      <c r="L649" s="9"/>
      <c r="M649" s="9" t="s">
        <v>1528</v>
      </c>
      <c r="N649" s="9"/>
      <c r="O649" s="9" t="s">
        <v>1529</v>
      </c>
      <c r="P649" s="9" t="str">
        <f>HYPERLINK("https://ceds.ed.gov/cedselementdetails.aspx?termid=14561")</f>
        <v>https://ceds.ed.gov/cedselementdetails.aspx?termid=14561</v>
      </c>
      <c r="Q649" s="9" t="str">
        <f>HYPERLINK("https://ceds.ed.gov/elementComment.aspx?elementName=Billable Basis Type &amp;elementID=14561", "Click here to submit comment")</f>
        <v>Click here to submit comment</v>
      </c>
    </row>
    <row r="650" spans="1:17" ht="180" x14ac:dyDescent="0.25">
      <c r="A650" s="9" t="s">
        <v>6739</v>
      </c>
      <c r="B650" s="9" t="s">
        <v>6810</v>
      </c>
      <c r="C650" s="9"/>
      <c r="D650" s="9" t="s">
        <v>6742</v>
      </c>
      <c r="E650" s="9" t="s">
        <v>2475</v>
      </c>
      <c r="F650" s="9" t="s">
        <v>2476</v>
      </c>
      <c r="G650" s="10" t="s">
        <v>6470</v>
      </c>
      <c r="H650" s="9"/>
      <c r="I650" s="9"/>
      <c r="J650" s="9"/>
      <c r="K650" s="9"/>
      <c r="L650" s="9"/>
      <c r="M650" s="9" t="s">
        <v>2477</v>
      </c>
      <c r="N650" s="9"/>
      <c r="O650" s="9" t="s">
        <v>2478</v>
      </c>
      <c r="P650" s="9" t="str">
        <f>HYPERLINK("https://ceds.ed.gov/cedselementdetails.aspx?termid=14582")</f>
        <v>https://ceds.ed.gov/cedselementdetails.aspx?termid=14582</v>
      </c>
      <c r="Q650" s="9" t="str">
        <f>HYPERLINK("https://ceds.ed.gov/elementComment.aspx?elementName=Early Learning Local Revenue Source &amp;elementID=14582", "Click here to submit comment")</f>
        <v>Click here to submit comment</v>
      </c>
    </row>
    <row r="651" spans="1:17" ht="409.5" x14ac:dyDescent="0.25">
      <c r="A651" s="9" t="s">
        <v>6739</v>
      </c>
      <c r="B651" s="9" t="s">
        <v>6810</v>
      </c>
      <c r="C651" s="9"/>
      <c r="D651" s="9" t="s">
        <v>6742</v>
      </c>
      <c r="E651" s="9" t="s">
        <v>2553</v>
      </c>
      <c r="F651" s="9" t="s">
        <v>2554</v>
      </c>
      <c r="G651" s="10" t="s">
        <v>6480</v>
      </c>
      <c r="H651" s="9"/>
      <c r="I651" s="9"/>
      <c r="J651" s="9"/>
      <c r="K651" s="9"/>
      <c r="L651" s="9"/>
      <c r="M651" s="9" t="s">
        <v>2555</v>
      </c>
      <c r="N651" s="9"/>
      <c r="O651" s="9" t="s">
        <v>2556</v>
      </c>
      <c r="P651" s="9" t="str">
        <f>HYPERLINK("https://ceds.ed.gov/cedselementdetails.aspx?termid=14584")</f>
        <v>https://ceds.ed.gov/cedselementdetails.aspx?termid=14584</v>
      </c>
      <c r="Q651" s="9" t="str">
        <f>HYPERLINK("https://ceds.ed.gov/elementComment.aspx?elementName=Early Learning State Revenue Source &amp;elementID=14584", "Click here to submit comment")</f>
        <v>Click here to submit comment</v>
      </c>
    </row>
    <row r="652" spans="1:17" ht="135" x14ac:dyDescent="0.25">
      <c r="A652" s="9" t="s">
        <v>6739</v>
      </c>
      <c r="B652" s="9" t="s">
        <v>6810</v>
      </c>
      <c r="C652" s="9"/>
      <c r="D652" s="9" t="s">
        <v>6742</v>
      </c>
      <c r="E652" s="9" t="s">
        <v>2780</v>
      </c>
      <c r="F652" s="9" t="s">
        <v>2781</v>
      </c>
      <c r="G652" s="9" t="s">
        <v>12</v>
      </c>
      <c r="H652" s="9" t="s">
        <v>199</v>
      </c>
      <c r="I652" s="9"/>
      <c r="J652" s="9" t="s">
        <v>1513</v>
      </c>
      <c r="K652" s="9"/>
      <c r="L652" s="9"/>
      <c r="M652" s="9" t="s">
        <v>2782</v>
      </c>
      <c r="N652" s="9"/>
      <c r="O652" s="9" t="s">
        <v>2783</v>
      </c>
      <c r="P652" s="9" t="str">
        <f>HYPERLINK("https://ceds.ed.gov/cedselementdetails.aspx?termid=13540")</f>
        <v>https://ceds.ed.gov/cedselementdetails.aspx?termid=13540</v>
      </c>
      <c r="Q652" s="9" t="str">
        <f>HYPERLINK("https://ceds.ed.gov/elementComment.aspx?elementName=Federal Programs Funding Allocation &amp;elementID=13540", "Click here to submit comment")</f>
        <v>Click here to submit comment</v>
      </c>
    </row>
    <row r="653" spans="1:17" ht="15" customHeight="1" x14ac:dyDescent="0.25">
      <c r="A653" s="18" t="s">
        <v>6739</v>
      </c>
      <c r="B653" s="18" t="s">
        <v>6810</v>
      </c>
      <c r="C653" s="18"/>
      <c r="D653" s="18" t="s">
        <v>6742</v>
      </c>
      <c r="E653" s="18" t="s">
        <v>11338</v>
      </c>
      <c r="F653" s="18" t="s">
        <v>2824</v>
      </c>
      <c r="G653" s="19" t="s">
        <v>6508</v>
      </c>
      <c r="H653" s="18"/>
      <c r="I653" s="18"/>
      <c r="J653" s="18"/>
      <c r="K653" s="18"/>
      <c r="L653" s="11" t="s">
        <v>2794</v>
      </c>
      <c r="M653" s="18" t="s">
        <v>2826</v>
      </c>
      <c r="N653" s="18"/>
      <c r="O653" s="18" t="s">
        <v>11339</v>
      </c>
      <c r="P653" s="18" t="str">
        <f>HYPERLINK("https://ceds.ed.gov/cedselementdetails.aspx?termid=14440")</f>
        <v>https://ceds.ed.gov/cedselementdetails.aspx?termid=14440</v>
      </c>
      <c r="Q653" s="18" t="str">
        <f>HYPERLINK("https://ceds.ed.gov/elementComment.aspx?elementName=Financial Account K12 Revenue Code &amp;elementID=14440", "Click here to submit comment")</f>
        <v>Click here to submit comment</v>
      </c>
    </row>
    <row r="654" spans="1:17" x14ac:dyDescent="0.25">
      <c r="A654" s="18"/>
      <c r="B654" s="18"/>
      <c r="C654" s="18"/>
      <c r="D654" s="18"/>
      <c r="E654" s="18"/>
      <c r="F654" s="18"/>
      <c r="G654" s="18"/>
      <c r="H654" s="18"/>
      <c r="I654" s="18"/>
      <c r="J654" s="18"/>
      <c r="K654" s="18"/>
      <c r="L654" s="9"/>
      <c r="M654" s="18"/>
      <c r="N654" s="18"/>
      <c r="O654" s="18"/>
      <c r="P654" s="18"/>
      <c r="Q654" s="18"/>
    </row>
    <row r="655" spans="1:17" ht="30" x14ac:dyDescent="0.25">
      <c r="A655" s="18"/>
      <c r="B655" s="18"/>
      <c r="C655" s="18"/>
      <c r="D655" s="18"/>
      <c r="E655" s="18"/>
      <c r="F655" s="18"/>
      <c r="G655" s="18"/>
      <c r="H655" s="18"/>
      <c r="I655" s="18"/>
      <c r="J655" s="18"/>
      <c r="K655" s="18"/>
      <c r="L655" s="9" t="s">
        <v>2825</v>
      </c>
      <c r="M655" s="18"/>
      <c r="N655" s="18"/>
      <c r="O655" s="18"/>
      <c r="P655" s="18"/>
      <c r="Q655" s="18"/>
    </row>
    <row r="656" spans="1:17" ht="90" x14ac:dyDescent="0.25">
      <c r="A656" s="9" t="s">
        <v>6739</v>
      </c>
      <c r="B656" s="9" t="s">
        <v>6810</v>
      </c>
      <c r="C656" s="9"/>
      <c r="D656" s="9" t="s">
        <v>6742</v>
      </c>
      <c r="E656" s="9" t="s">
        <v>5129</v>
      </c>
      <c r="F656" s="9" t="s">
        <v>5130</v>
      </c>
      <c r="G656" s="10" t="s">
        <v>6680</v>
      </c>
      <c r="H656" s="9"/>
      <c r="I656" s="9"/>
      <c r="J656" s="9"/>
      <c r="K656" s="9"/>
      <c r="L656" s="9"/>
      <c r="M656" s="9" t="s">
        <v>5131</v>
      </c>
      <c r="N656" s="9"/>
      <c r="O656" s="9" t="s">
        <v>5132</v>
      </c>
      <c r="P656" s="9" t="str">
        <f>HYPERLINK("https://ceds.ed.gov/cedselementdetails.aspx?termid=14601")</f>
        <v>https://ceds.ed.gov/cedselementdetails.aspx?termid=14601</v>
      </c>
      <c r="Q656" s="9" t="str">
        <f>HYPERLINK("https://ceds.ed.gov/elementComment.aspx?elementName=Reimbursement Type &amp;elementID=14601", "Click here to submit comment")</f>
        <v>Click here to submit comment</v>
      </c>
    </row>
    <row r="657" spans="1:17" ht="45" x14ac:dyDescent="0.25">
      <c r="A657" s="9" t="s">
        <v>6811</v>
      </c>
      <c r="B657" s="9" t="s">
        <v>6852</v>
      </c>
      <c r="C657" s="9"/>
      <c r="D657" s="9" t="s">
        <v>6742</v>
      </c>
      <c r="E657" s="9" t="s">
        <v>11653</v>
      </c>
      <c r="F657" s="9" t="s">
        <v>11654</v>
      </c>
      <c r="G657" s="9" t="s">
        <v>12</v>
      </c>
      <c r="H657" s="9"/>
      <c r="I657" s="9"/>
      <c r="J657" s="9" t="s">
        <v>1143</v>
      </c>
      <c r="K657" s="9"/>
      <c r="L657" s="9"/>
      <c r="M657" s="9" t="s">
        <v>11656</v>
      </c>
      <c r="N657" s="9"/>
      <c r="O657" s="9" t="s">
        <v>11657</v>
      </c>
      <c r="P657" s="9" t="str">
        <f>HYPERLINK("https://ceds.ed.gov/cedselementdetails.aspx?termid=14644")</f>
        <v>https://ceds.ed.gov/cedselementdetails.aspx?termid=14644</v>
      </c>
      <c r="Q657" s="9" t="str">
        <f>HYPERLINK("https://ceds.ed.gov/elementComment.aspx?elementName=Organization Image URL &amp;elementID=14644", "Click here to submit comment")</f>
        <v>Click here to submit comment</v>
      </c>
    </row>
    <row r="658" spans="1:17" ht="45" x14ac:dyDescent="0.25">
      <c r="A658" s="9" t="s">
        <v>6811</v>
      </c>
      <c r="B658" s="9" t="s">
        <v>6852</v>
      </c>
      <c r="C658" s="9"/>
      <c r="D658" s="9" t="s">
        <v>6742</v>
      </c>
      <c r="E658" s="9" t="s">
        <v>11660</v>
      </c>
      <c r="F658" s="9" t="s">
        <v>11661</v>
      </c>
      <c r="G658" s="9" t="s">
        <v>12</v>
      </c>
      <c r="H658" s="9"/>
      <c r="I658" s="9" t="s">
        <v>91</v>
      </c>
      <c r="J658" s="9" t="s">
        <v>11025</v>
      </c>
      <c r="K658" s="9" t="s">
        <v>11663</v>
      </c>
      <c r="L658" s="9"/>
      <c r="M658" s="9" t="s">
        <v>11664</v>
      </c>
      <c r="N658" s="9"/>
      <c r="O658" s="9" t="s">
        <v>11665</v>
      </c>
      <c r="P658" s="9" t="str">
        <f>HYPERLINK("https://ceds.ed.gov/cedselementdetails.aspx?termid=14731")</f>
        <v>https://ceds.ed.gov/cedselementdetails.aspx?termid=14731</v>
      </c>
      <c r="Q658" s="9" t="str">
        <f>HYPERLINK("https://ceds.ed.gov/elementComment.aspx?elementName=Organization Region GeoJSON &amp;elementID=14731", "Click here to submit comment")</f>
        <v>Click here to submit comment</v>
      </c>
    </row>
    <row r="659" spans="1:17" ht="60" x14ac:dyDescent="0.25">
      <c r="A659" s="9" t="s">
        <v>6811</v>
      </c>
      <c r="B659" s="9" t="s">
        <v>6852</v>
      </c>
      <c r="C659" s="9"/>
      <c r="D659" s="9" t="s">
        <v>6742</v>
      </c>
      <c r="E659" s="9" t="s">
        <v>4460</v>
      </c>
      <c r="F659" s="9" t="s">
        <v>4461</v>
      </c>
      <c r="G659" s="10" t="s">
        <v>6629</v>
      </c>
      <c r="H659" s="9"/>
      <c r="I659" s="9"/>
      <c r="J659" s="9"/>
      <c r="K659" s="9"/>
      <c r="L659" s="9"/>
      <c r="M659" s="9" t="s">
        <v>4462</v>
      </c>
      <c r="N659" s="9"/>
      <c r="O659" s="9" t="s">
        <v>4463</v>
      </c>
      <c r="P659" s="9" t="str">
        <f>HYPERLINK("https://ceds.ed.gov/cedselementdetails.aspx?termid=14387")</f>
        <v>https://ceds.ed.gov/cedselementdetails.aspx?termid=14387</v>
      </c>
      <c r="Q659" s="9" t="str">
        <f>HYPERLINK("https://ceds.ed.gov/elementComment.aspx?elementName=Organization Operational Status &amp;elementID=14387", "Click here to submit comment")</f>
        <v>Click here to submit comment</v>
      </c>
    </row>
    <row r="660" spans="1:17" ht="105" x14ac:dyDescent="0.25">
      <c r="A660" s="18" t="s">
        <v>6811</v>
      </c>
      <c r="B660" s="18" t="s">
        <v>6852</v>
      </c>
      <c r="C660" s="18" t="s">
        <v>6777</v>
      </c>
      <c r="D660" s="18" t="s">
        <v>6742</v>
      </c>
      <c r="E660" s="18" t="s">
        <v>4448</v>
      </c>
      <c r="F660" s="18" t="s">
        <v>4449</v>
      </c>
      <c r="G660" s="18" t="s">
        <v>12</v>
      </c>
      <c r="H660" s="18" t="s">
        <v>64</v>
      </c>
      <c r="I660" s="18"/>
      <c r="J660" s="18" t="s">
        <v>119</v>
      </c>
      <c r="K660" s="18"/>
      <c r="L660" s="9" t="s">
        <v>120</v>
      </c>
      <c r="M660" s="18" t="s">
        <v>4450</v>
      </c>
      <c r="N660" s="18"/>
      <c r="O660" s="18" t="s">
        <v>4451</v>
      </c>
      <c r="P660" s="18" t="str">
        <f>HYPERLINK("https://ceds.ed.gov/cedselementdetails.aspx?termid=13825")</f>
        <v>https://ceds.ed.gov/cedselementdetails.aspx?termid=13825</v>
      </c>
      <c r="Q660" s="18" t="str">
        <f>HYPERLINK("https://ceds.ed.gov/elementComment.aspx?elementName=Organization Identifier &amp;elementID=13825", "Click here to submit comment")</f>
        <v>Click here to submit comment</v>
      </c>
    </row>
    <row r="661" spans="1:17" x14ac:dyDescent="0.25">
      <c r="A661" s="18"/>
      <c r="B661" s="18"/>
      <c r="C661" s="18"/>
      <c r="D661" s="18"/>
      <c r="E661" s="18"/>
      <c r="F661" s="18"/>
      <c r="G661" s="18"/>
      <c r="H661" s="18"/>
      <c r="I661" s="18"/>
      <c r="J661" s="18"/>
      <c r="K661" s="18"/>
      <c r="L661" s="9"/>
      <c r="M661" s="18"/>
      <c r="N661" s="18"/>
      <c r="O661" s="18"/>
      <c r="P661" s="18"/>
      <c r="Q661" s="18"/>
    </row>
    <row r="662" spans="1:17" ht="90" x14ac:dyDescent="0.25">
      <c r="A662" s="18"/>
      <c r="B662" s="18"/>
      <c r="C662" s="18"/>
      <c r="D662" s="18"/>
      <c r="E662" s="18"/>
      <c r="F662" s="18"/>
      <c r="G662" s="18"/>
      <c r="H662" s="18"/>
      <c r="I662" s="18"/>
      <c r="J662" s="18"/>
      <c r="K662" s="18"/>
      <c r="L662" s="9" t="s">
        <v>121</v>
      </c>
      <c r="M662" s="18"/>
      <c r="N662" s="18"/>
      <c r="O662" s="18"/>
      <c r="P662" s="18"/>
      <c r="Q662" s="18"/>
    </row>
    <row r="663" spans="1:17" ht="240" x14ac:dyDescent="0.25">
      <c r="A663" s="9" t="s">
        <v>6811</v>
      </c>
      <c r="B663" s="9" t="s">
        <v>6852</v>
      </c>
      <c r="C663" s="9" t="s">
        <v>6777</v>
      </c>
      <c r="D663" s="9" t="s">
        <v>6742</v>
      </c>
      <c r="E663" s="9" t="s">
        <v>4444</v>
      </c>
      <c r="F663" s="9" t="s">
        <v>4445</v>
      </c>
      <c r="G663" s="10" t="s">
        <v>11903</v>
      </c>
      <c r="H663" s="9" t="s">
        <v>64</v>
      </c>
      <c r="I663" s="9"/>
      <c r="J663" s="9"/>
      <c r="K663" s="9"/>
      <c r="L663" s="9"/>
      <c r="M663" s="9" t="s">
        <v>4446</v>
      </c>
      <c r="N663" s="9"/>
      <c r="O663" s="9" t="s">
        <v>4447</v>
      </c>
      <c r="P663" s="9" t="str">
        <f>HYPERLINK("https://ceds.ed.gov/cedselementdetails.aspx?termid=13827")</f>
        <v>https://ceds.ed.gov/cedselementdetails.aspx?termid=13827</v>
      </c>
      <c r="Q663" s="9" t="str">
        <f>HYPERLINK("https://ceds.ed.gov/elementComment.aspx?elementName=Organization Identification System &amp;elementID=13827", "Click here to submit comment")</f>
        <v>Click here to submit comment</v>
      </c>
    </row>
    <row r="664" spans="1:17" ht="45" x14ac:dyDescent="0.25">
      <c r="A664" s="9" t="s">
        <v>6811</v>
      </c>
      <c r="B664" s="9" t="s">
        <v>6852</v>
      </c>
      <c r="C664" s="9" t="s">
        <v>6777</v>
      </c>
      <c r="D664" s="9" t="s">
        <v>6742</v>
      </c>
      <c r="E664" s="9" t="s">
        <v>4456</v>
      </c>
      <c r="F664" s="9" t="s">
        <v>4457</v>
      </c>
      <c r="G664" s="9" t="s">
        <v>12</v>
      </c>
      <c r="H664" s="9" t="s">
        <v>182</v>
      </c>
      <c r="I664" s="9"/>
      <c r="J664" s="9" t="s">
        <v>92</v>
      </c>
      <c r="K664" s="9"/>
      <c r="L664" s="9"/>
      <c r="M664" s="9" t="s">
        <v>4458</v>
      </c>
      <c r="N664" s="9"/>
      <c r="O664" s="9" t="s">
        <v>4459</v>
      </c>
      <c r="P664" s="9" t="str">
        <f>HYPERLINK("https://ceds.ed.gov/cedselementdetails.aspx?termid=13204")</f>
        <v>https://ceds.ed.gov/cedselementdetails.aspx?termid=13204</v>
      </c>
      <c r="Q664" s="9" t="str">
        <f>HYPERLINK("https://ceds.ed.gov/elementComment.aspx?elementName=Organization Name &amp;elementID=13204", "Click here to submit comment")</f>
        <v>Click here to submit comment</v>
      </c>
    </row>
    <row r="665" spans="1:17" ht="409.5" x14ac:dyDescent="0.25">
      <c r="A665" s="9" t="s">
        <v>6811</v>
      </c>
      <c r="B665" s="9" t="s">
        <v>6852</v>
      </c>
      <c r="C665" s="9" t="s">
        <v>6777</v>
      </c>
      <c r="D665" s="9" t="s">
        <v>6742</v>
      </c>
      <c r="E665" s="9" t="s">
        <v>4468</v>
      </c>
      <c r="F665" s="9" t="s">
        <v>4469</v>
      </c>
      <c r="G665" s="10" t="s">
        <v>11905</v>
      </c>
      <c r="H665" s="9"/>
      <c r="I665" s="9" t="s">
        <v>91</v>
      </c>
      <c r="J665" s="9"/>
      <c r="K665" s="9"/>
      <c r="L665" s="9" t="s">
        <v>4470</v>
      </c>
      <c r="M665" s="9" t="s">
        <v>4471</v>
      </c>
      <c r="N665" s="9"/>
      <c r="O665" s="9" t="s">
        <v>4472</v>
      </c>
      <c r="P665" s="9" t="str">
        <f>HYPERLINK("https://ceds.ed.gov/cedselementdetails.aspx?termid=14165")</f>
        <v>https://ceds.ed.gov/cedselementdetails.aspx?termid=14165</v>
      </c>
      <c r="Q665" s="9" t="str">
        <f>HYPERLINK("https://ceds.ed.gov/elementComment.aspx?elementName=Organization Type &amp;elementID=14165", "Click here to submit comment")</f>
        <v>Click here to submit comment</v>
      </c>
    </row>
    <row r="666" spans="1:17" ht="105" x14ac:dyDescent="0.25">
      <c r="A666" s="9" t="s">
        <v>6811</v>
      </c>
      <c r="B666" s="9" t="s">
        <v>6852</v>
      </c>
      <c r="C666" s="9" t="s">
        <v>6777</v>
      </c>
      <c r="D666" s="9" t="s">
        <v>6742</v>
      </c>
      <c r="E666" s="9" t="s">
        <v>1691</v>
      </c>
      <c r="F666" s="9" t="s">
        <v>1692</v>
      </c>
      <c r="G666" s="10" t="s">
        <v>6401</v>
      </c>
      <c r="H666" s="9" t="s">
        <v>199</v>
      </c>
      <c r="I666" s="9"/>
      <c r="J666" s="9"/>
      <c r="K666" s="9"/>
      <c r="L666" s="9"/>
      <c r="M666" s="9" t="s">
        <v>1693</v>
      </c>
      <c r="N666" s="9"/>
      <c r="O666" s="9" t="s">
        <v>1694</v>
      </c>
      <c r="P666" s="9" t="str">
        <f>HYPERLINK("https://ceds.ed.gov/cedselementdetails.aspx?termid=14631")</f>
        <v>https://ceds.ed.gov/cedselementdetails.aspx?termid=14631</v>
      </c>
      <c r="Q666" s="9" t="str">
        <f>HYPERLINK("https://ceds.ed.gov/elementComment.aspx?elementName=Charter School Management Organization Type &amp;elementID=14631", "Click here to submit comment")</f>
        <v>Click here to submit comment</v>
      </c>
    </row>
    <row r="667" spans="1:17" ht="45" x14ac:dyDescent="0.25">
      <c r="A667" s="9" t="s">
        <v>6811</v>
      </c>
      <c r="B667" s="9" t="s">
        <v>6852</v>
      </c>
      <c r="C667" s="9" t="s">
        <v>6777</v>
      </c>
      <c r="D667" s="9" t="s">
        <v>6746</v>
      </c>
      <c r="E667" s="9" t="s">
        <v>11666</v>
      </c>
      <c r="F667" s="9" t="s">
        <v>11667</v>
      </c>
      <c r="G667" s="10" t="s">
        <v>11904</v>
      </c>
      <c r="H667" s="9"/>
      <c r="I667" s="9" t="s">
        <v>1457</v>
      </c>
      <c r="J667" s="9"/>
      <c r="K667" s="9"/>
      <c r="L667" s="9"/>
      <c r="M667" s="9" t="s">
        <v>11669</v>
      </c>
      <c r="N667" s="9"/>
      <c r="O667" s="9" t="s">
        <v>11670</v>
      </c>
      <c r="P667" s="9" t="str">
        <f>HYPERLINK("https://ceds.ed.gov/cedselementdetails.aspx?termid=14886")</f>
        <v>https://ceds.ed.gov/cedselementdetails.aspx?termid=14886</v>
      </c>
      <c r="Q667" s="9" t="str">
        <f>HYPERLINK("https://ceds.ed.gov/elementComment.aspx?elementName=Organization Relationship Type &amp;elementID=14886", "Click here to submit comment")</f>
        <v>Click here to submit comment</v>
      </c>
    </row>
    <row r="668" spans="1:17" ht="90" x14ac:dyDescent="0.25">
      <c r="A668" s="9" t="s">
        <v>6811</v>
      </c>
      <c r="B668" s="9" t="s">
        <v>6852</v>
      </c>
      <c r="C668" s="9" t="s">
        <v>6783</v>
      </c>
      <c r="D668" s="9" t="s">
        <v>6742</v>
      </c>
      <c r="E668" s="9" t="s">
        <v>174</v>
      </c>
      <c r="F668" s="9" t="s">
        <v>175</v>
      </c>
      <c r="G668" s="10" t="s">
        <v>6320</v>
      </c>
      <c r="H668" s="9" t="s">
        <v>6109</v>
      </c>
      <c r="I668" s="9"/>
      <c r="J668" s="9" t="s">
        <v>87</v>
      </c>
      <c r="K668" s="9"/>
      <c r="L668" s="9"/>
      <c r="M668" s="9" t="s">
        <v>176</v>
      </c>
      <c r="N668" s="9"/>
      <c r="O668" s="9" t="s">
        <v>177</v>
      </c>
      <c r="P668" s="9" t="str">
        <f>HYPERLINK("https://ceds.ed.gov/cedselementdetails.aspx?termid=13644")</f>
        <v>https://ceds.ed.gov/cedselementdetails.aspx?termid=13644</v>
      </c>
      <c r="Q668" s="9" t="str">
        <f>HYPERLINK("https://ceds.ed.gov/elementComment.aspx?elementName=Address Type for Organization &amp;elementID=13644", "Click here to submit comment")</f>
        <v>Click here to submit comment</v>
      </c>
    </row>
    <row r="669" spans="1:17" ht="225" x14ac:dyDescent="0.25">
      <c r="A669" s="9" t="s">
        <v>6811</v>
      </c>
      <c r="B669" s="9" t="s">
        <v>6852</v>
      </c>
      <c r="C669" s="9" t="s">
        <v>6783</v>
      </c>
      <c r="D669" s="9" t="s">
        <v>6742</v>
      </c>
      <c r="E669" s="9" t="s">
        <v>166</v>
      </c>
      <c r="F669" s="9" t="s">
        <v>167</v>
      </c>
      <c r="G669" s="9" t="s">
        <v>12</v>
      </c>
      <c r="H669" s="9" t="s">
        <v>6113</v>
      </c>
      <c r="I669" s="9"/>
      <c r="J669" s="9" t="s">
        <v>119</v>
      </c>
      <c r="K669" s="9"/>
      <c r="L669" s="9"/>
      <c r="M669" s="9" t="s">
        <v>168</v>
      </c>
      <c r="N669" s="9"/>
      <c r="O669" s="9" t="s">
        <v>169</v>
      </c>
      <c r="P669" s="9" t="str">
        <f>HYPERLINK("https://ceds.ed.gov/cedselementdetails.aspx?termid=13269")</f>
        <v>https://ceds.ed.gov/cedselementdetails.aspx?termid=13269</v>
      </c>
      <c r="Q669" s="9" t="str">
        <f>HYPERLINK("https://ceds.ed.gov/elementComment.aspx?elementName=Address Street Number and Name &amp;elementID=13269", "Click here to submit comment")</f>
        <v>Click here to submit comment</v>
      </c>
    </row>
    <row r="670" spans="1:17" ht="225" x14ac:dyDescent="0.25">
      <c r="A670" s="9" t="s">
        <v>6811</v>
      </c>
      <c r="B670" s="9" t="s">
        <v>6852</v>
      </c>
      <c r="C670" s="9" t="s">
        <v>6783</v>
      </c>
      <c r="D670" s="9" t="s">
        <v>6742</v>
      </c>
      <c r="E670" s="9" t="s">
        <v>149</v>
      </c>
      <c r="F670" s="9" t="s">
        <v>150</v>
      </c>
      <c r="G670" s="9" t="s">
        <v>12</v>
      </c>
      <c r="H670" s="9" t="s">
        <v>6113</v>
      </c>
      <c r="I670" s="9"/>
      <c r="J670" s="9" t="s">
        <v>87</v>
      </c>
      <c r="K670" s="9"/>
      <c r="L670" s="9"/>
      <c r="M670" s="9" t="s">
        <v>151</v>
      </c>
      <c r="N670" s="9"/>
      <c r="O670" s="9" t="s">
        <v>152</v>
      </c>
      <c r="P670" s="9" t="str">
        <f>HYPERLINK("https://ceds.ed.gov/cedselementdetails.aspx?termid=13019")</f>
        <v>https://ceds.ed.gov/cedselementdetails.aspx?termid=13019</v>
      </c>
      <c r="Q670" s="9" t="str">
        <f>HYPERLINK("https://ceds.ed.gov/elementComment.aspx?elementName=Address Apartment Room or Suite Number &amp;elementID=13019", "Click here to submit comment")</f>
        <v>Click here to submit comment</v>
      </c>
    </row>
    <row r="671" spans="1:17" ht="225" x14ac:dyDescent="0.25">
      <c r="A671" s="9" t="s">
        <v>6811</v>
      </c>
      <c r="B671" s="9" t="s">
        <v>6852</v>
      </c>
      <c r="C671" s="9" t="s">
        <v>6783</v>
      </c>
      <c r="D671" s="9" t="s">
        <v>6742</v>
      </c>
      <c r="E671" s="9" t="s">
        <v>153</v>
      </c>
      <c r="F671" s="9" t="s">
        <v>154</v>
      </c>
      <c r="G671" s="9" t="s">
        <v>12</v>
      </c>
      <c r="H671" s="9" t="s">
        <v>6113</v>
      </c>
      <c r="I671" s="9"/>
      <c r="J671" s="9" t="s">
        <v>87</v>
      </c>
      <c r="K671" s="9"/>
      <c r="L671" s="9"/>
      <c r="M671" s="9" t="s">
        <v>155</v>
      </c>
      <c r="N671" s="9"/>
      <c r="O671" s="9" t="s">
        <v>156</v>
      </c>
      <c r="P671" s="9" t="str">
        <f>HYPERLINK("https://ceds.ed.gov/cedselementdetails.aspx?termid=13040")</f>
        <v>https://ceds.ed.gov/cedselementdetails.aspx?termid=13040</v>
      </c>
      <c r="Q671" s="9" t="str">
        <f>HYPERLINK("https://ceds.ed.gov/elementComment.aspx?elementName=Address City &amp;elementID=13040", "Click here to submit comment")</f>
        <v>Click here to submit comment</v>
      </c>
    </row>
    <row r="672" spans="1:17" ht="409.5" x14ac:dyDescent="0.25">
      <c r="A672" s="9" t="s">
        <v>6811</v>
      </c>
      <c r="B672" s="9" t="s">
        <v>6852</v>
      </c>
      <c r="C672" s="9" t="s">
        <v>6783</v>
      </c>
      <c r="D672" s="9" t="s">
        <v>6742</v>
      </c>
      <c r="E672" s="9" t="s">
        <v>5647</v>
      </c>
      <c r="F672" s="9" t="s">
        <v>5648</v>
      </c>
      <c r="G672" s="10" t="s">
        <v>6702</v>
      </c>
      <c r="H672" s="9" t="s">
        <v>6285</v>
      </c>
      <c r="I672" s="9"/>
      <c r="J672" s="9"/>
      <c r="K672" s="9"/>
      <c r="L672" s="9"/>
      <c r="M672" s="9" t="s">
        <v>5649</v>
      </c>
      <c r="N672" s="9"/>
      <c r="O672" s="9" t="s">
        <v>5650</v>
      </c>
      <c r="P672" s="9" t="str">
        <f>HYPERLINK("https://ceds.ed.gov/cedselementdetails.aspx?termid=13267")</f>
        <v>https://ceds.ed.gov/cedselementdetails.aspx?termid=13267</v>
      </c>
      <c r="Q672" s="9" t="str">
        <f>HYPERLINK("https://ceds.ed.gov/elementComment.aspx?elementName=State Abbreviation &amp;elementID=13267", "Click here to submit comment")</f>
        <v>Click here to submit comment</v>
      </c>
    </row>
    <row r="673" spans="1:17" ht="225" x14ac:dyDescent="0.25">
      <c r="A673" s="9" t="s">
        <v>6811</v>
      </c>
      <c r="B673" s="9" t="s">
        <v>6852</v>
      </c>
      <c r="C673" s="9" t="s">
        <v>6783</v>
      </c>
      <c r="D673" s="9" t="s">
        <v>6742</v>
      </c>
      <c r="E673" s="9" t="s">
        <v>161</v>
      </c>
      <c r="F673" s="9" t="s">
        <v>162</v>
      </c>
      <c r="G673" s="9" t="s">
        <v>12</v>
      </c>
      <c r="H673" s="9" t="s">
        <v>6113</v>
      </c>
      <c r="I673" s="9"/>
      <c r="J673" s="9" t="s">
        <v>163</v>
      </c>
      <c r="K673" s="9"/>
      <c r="L673" s="9"/>
      <c r="M673" s="9" t="s">
        <v>164</v>
      </c>
      <c r="N673" s="9"/>
      <c r="O673" s="9" t="s">
        <v>165</v>
      </c>
      <c r="P673" s="9" t="str">
        <f>HYPERLINK("https://ceds.ed.gov/cedselementdetails.aspx?termid=13214")</f>
        <v>https://ceds.ed.gov/cedselementdetails.aspx?termid=13214</v>
      </c>
      <c r="Q673" s="9" t="str">
        <f>HYPERLINK("https://ceds.ed.gov/elementComment.aspx?elementName=Address Postal Code &amp;elementID=13214", "Click here to submit comment")</f>
        <v>Click here to submit comment</v>
      </c>
    </row>
    <row r="674" spans="1:17" ht="225" x14ac:dyDescent="0.25">
      <c r="A674" s="9" t="s">
        <v>6811</v>
      </c>
      <c r="B674" s="9" t="s">
        <v>6852</v>
      </c>
      <c r="C674" s="9" t="s">
        <v>6783</v>
      </c>
      <c r="D674" s="9" t="s">
        <v>6742</v>
      </c>
      <c r="E674" s="9" t="s">
        <v>157</v>
      </c>
      <c r="F674" s="9" t="s">
        <v>158</v>
      </c>
      <c r="G674" s="9" t="s">
        <v>12</v>
      </c>
      <c r="H674" s="9" t="s">
        <v>6113</v>
      </c>
      <c r="I674" s="9"/>
      <c r="J674" s="9" t="s">
        <v>87</v>
      </c>
      <c r="K674" s="9"/>
      <c r="L674" s="9"/>
      <c r="M674" s="9" t="s">
        <v>159</v>
      </c>
      <c r="N674" s="9"/>
      <c r="O674" s="9" t="s">
        <v>160</v>
      </c>
      <c r="P674" s="9" t="str">
        <f>HYPERLINK("https://ceds.ed.gov/cedselementdetails.aspx?termid=13190")</f>
        <v>https://ceds.ed.gov/cedselementdetails.aspx?termid=13190</v>
      </c>
      <c r="Q674" s="9" t="str">
        <f>HYPERLINK("https://ceds.ed.gov/elementComment.aspx?elementName=Address County Name &amp;elementID=13190", "Click here to submit comment")</f>
        <v>Click here to submit comment</v>
      </c>
    </row>
    <row r="675" spans="1:17" ht="180" x14ac:dyDescent="0.25">
      <c r="A675" s="9" t="s">
        <v>6811</v>
      </c>
      <c r="B675" s="9" t="s">
        <v>6852</v>
      </c>
      <c r="C675" s="9" t="s">
        <v>6783</v>
      </c>
      <c r="D675" s="9" t="s">
        <v>6742</v>
      </c>
      <c r="E675" s="9" t="s">
        <v>1894</v>
      </c>
      <c r="F675" s="9" t="s">
        <v>1895</v>
      </c>
      <c r="G675" s="9" t="s">
        <v>12</v>
      </c>
      <c r="H675" s="9"/>
      <c r="I675" s="9"/>
      <c r="J675" s="9" t="s">
        <v>10933</v>
      </c>
      <c r="K675" s="9"/>
      <c r="L675" s="9"/>
      <c r="M675" s="9" t="s">
        <v>1896</v>
      </c>
      <c r="N675" s="9"/>
      <c r="O675" s="9" t="s">
        <v>1897</v>
      </c>
      <c r="P675" s="9" t="str">
        <f>HYPERLINK("https://ceds.ed.gov/cedselementdetails.aspx?termid=14176")</f>
        <v>https://ceds.ed.gov/cedselementdetails.aspx?termid=14176</v>
      </c>
      <c r="Q675" s="9" t="str">
        <f>HYPERLINK("https://ceds.ed.gov/elementComment.aspx?elementName=County ANSI Code &amp;elementID=14176", "Click here to submit comment")</f>
        <v>Click here to submit comment</v>
      </c>
    </row>
    <row r="676" spans="1:17" ht="45" x14ac:dyDescent="0.25">
      <c r="A676" s="9" t="s">
        <v>6811</v>
      </c>
      <c r="B676" s="9" t="s">
        <v>6852</v>
      </c>
      <c r="C676" s="9" t="s">
        <v>6783</v>
      </c>
      <c r="D676" s="9" t="s">
        <v>6742</v>
      </c>
      <c r="E676" s="9" t="s">
        <v>1557</v>
      </c>
      <c r="F676" s="9" t="s">
        <v>1558</v>
      </c>
      <c r="G676" s="9" t="s">
        <v>12</v>
      </c>
      <c r="H676" s="9"/>
      <c r="I676" s="9"/>
      <c r="J676" s="9" t="s">
        <v>87</v>
      </c>
      <c r="K676" s="9"/>
      <c r="L676" s="9"/>
      <c r="M676" s="9" t="s">
        <v>1559</v>
      </c>
      <c r="N676" s="9"/>
      <c r="O676" s="9" t="s">
        <v>1560</v>
      </c>
      <c r="P676" s="9" t="str">
        <f>HYPERLINK("https://ceds.ed.gov/cedselementdetails.aspx?termid=13595")</f>
        <v>https://ceds.ed.gov/cedselementdetails.aspx?termid=13595</v>
      </c>
      <c r="Q676" s="9" t="str">
        <f>HYPERLINK("https://ceds.ed.gov/elementComment.aspx?elementName=Building Site Number &amp;elementID=13595", "Click here to submit comment")</f>
        <v>Click here to submit comment</v>
      </c>
    </row>
    <row r="677" spans="1:17" ht="75" x14ac:dyDescent="0.25">
      <c r="A677" s="9" t="s">
        <v>6811</v>
      </c>
      <c r="B677" s="9" t="s">
        <v>6852</v>
      </c>
      <c r="C677" s="9" t="s">
        <v>6783</v>
      </c>
      <c r="D677" s="9" t="s">
        <v>6742</v>
      </c>
      <c r="E677" s="9" t="s">
        <v>3606</v>
      </c>
      <c r="F677" s="9" t="s">
        <v>3607</v>
      </c>
      <c r="G677" s="9" t="s">
        <v>12</v>
      </c>
      <c r="H677" s="9"/>
      <c r="I677" s="9"/>
      <c r="J677" s="9" t="s">
        <v>1165</v>
      </c>
      <c r="K677" s="9"/>
      <c r="L677" s="9"/>
      <c r="M677" s="9" t="s">
        <v>3608</v>
      </c>
      <c r="N677" s="9"/>
      <c r="O677" s="9" t="s">
        <v>3606</v>
      </c>
      <c r="P677" s="9" t="str">
        <f>HYPERLINK("https://ceds.ed.gov/cedselementdetails.aspx?termid=13599")</f>
        <v>https://ceds.ed.gov/cedselementdetails.aspx?termid=13599</v>
      </c>
      <c r="Q677" s="9" t="str">
        <f>HYPERLINK("https://ceds.ed.gov/elementComment.aspx?elementName=Latitude &amp;elementID=13599", "Click here to submit comment")</f>
        <v>Click here to submit comment</v>
      </c>
    </row>
    <row r="678" spans="1:17" ht="75" x14ac:dyDescent="0.25">
      <c r="A678" s="9" t="s">
        <v>6811</v>
      </c>
      <c r="B678" s="9" t="s">
        <v>6852</v>
      </c>
      <c r="C678" s="9" t="s">
        <v>6783</v>
      </c>
      <c r="D678" s="9" t="s">
        <v>6742</v>
      </c>
      <c r="E678" s="9" t="s">
        <v>4139</v>
      </c>
      <c r="F678" s="9" t="s">
        <v>4140</v>
      </c>
      <c r="G678" s="9" t="s">
        <v>12</v>
      </c>
      <c r="H678" s="9"/>
      <c r="I678" s="9"/>
      <c r="J678" s="9" t="s">
        <v>1165</v>
      </c>
      <c r="K678" s="9"/>
      <c r="L678" s="9"/>
      <c r="M678" s="9" t="s">
        <v>4141</v>
      </c>
      <c r="N678" s="9"/>
      <c r="O678" s="9" t="s">
        <v>4139</v>
      </c>
      <c r="P678" s="9" t="str">
        <f>HYPERLINK("https://ceds.ed.gov/cedselementdetails.aspx?termid=13600")</f>
        <v>https://ceds.ed.gov/cedselementdetails.aspx?termid=13600</v>
      </c>
      <c r="Q678" s="9" t="str">
        <f>HYPERLINK("https://ceds.ed.gov/elementComment.aspx?elementName=Longitude &amp;elementID=13600", "Click here to submit comment")</f>
        <v>Click here to submit comment</v>
      </c>
    </row>
    <row r="679" spans="1:17" ht="90" x14ac:dyDescent="0.25">
      <c r="A679" s="9" t="s">
        <v>6811</v>
      </c>
      <c r="B679" s="9" t="s">
        <v>6852</v>
      </c>
      <c r="C679" s="9" t="s">
        <v>6784</v>
      </c>
      <c r="D679" s="9" t="s">
        <v>6742</v>
      </c>
      <c r="E679" s="9" t="s">
        <v>5849</v>
      </c>
      <c r="F679" s="9" t="s">
        <v>5850</v>
      </c>
      <c r="G679" s="9" t="s">
        <v>12</v>
      </c>
      <c r="H679" s="9" t="s">
        <v>6109</v>
      </c>
      <c r="I679" s="9"/>
      <c r="J679" s="9" t="s">
        <v>5851</v>
      </c>
      <c r="K679" s="9"/>
      <c r="L679" s="9"/>
      <c r="M679" s="9" t="s">
        <v>5852</v>
      </c>
      <c r="N679" s="9"/>
      <c r="O679" s="9" t="s">
        <v>5853</v>
      </c>
      <c r="P679" s="9" t="str">
        <f>HYPERLINK("https://ceds.ed.gov/cedselementdetails.aspx?termid=13279")</f>
        <v>https://ceds.ed.gov/cedselementdetails.aspx?termid=13279</v>
      </c>
      <c r="Q679" s="9" t="str">
        <f>HYPERLINK("https://ceds.ed.gov/elementComment.aspx?elementName=Telephone Number &amp;elementID=13279", "Click here to submit comment")</f>
        <v>Click here to submit comment</v>
      </c>
    </row>
    <row r="680" spans="1:17" ht="165" x14ac:dyDescent="0.25">
      <c r="A680" s="9" t="s">
        <v>6811</v>
      </c>
      <c r="B680" s="9" t="s">
        <v>6852</v>
      </c>
      <c r="C680" s="9" t="s">
        <v>6784</v>
      </c>
      <c r="D680" s="9" t="s">
        <v>6742</v>
      </c>
      <c r="E680" s="9" t="s">
        <v>3445</v>
      </c>
      <c r="F680" s="9" t="s">
        <v>3446</v>
      </c>
      <c r="G680" s="10" t="s">
        <v>6560</v>
      </c>
      <c r="H680" s="9"/>
      <c r="I680" s="9"/>
      <c r="J680" s="9"/>
      <c r="K680" s="9"/>
      <c r="L680" s="9"/>
      <c r="M680" s="9" t="s">
        <v>3447</v>
      </c>
      <c r="N680" s="9"/>
      <c r="O680" s="9" t="s">
        <v>3448</v>
      </c>
      <c r="P680" s="9" t="str">
        <f>HYPERLINK("https://ceds.ed.gov/cedselementdetails.aspx?termid=13167")</f>
        <v>https://ceds.ed.gov/cedselementdetails.aspx?termid=13167</v>
      </c>
      <c r="Q680" s="9" t="str">
        <f>HYPERLINK("https://ceds.ed.gov/elementComment.aspx?elementName=Institution Telephone Number Type &amp;elementID=13167", "Click here to submit comment")</f>
        <v>Click here to submit comment</v>
      </c>
    </row>
    <row r="681" spans="1:17" ht="90" x14ac:dyDescent="0.25">
      <c r="A681" s="9" t="s">
        <v>6811</v>
      </c>
      <c r="B681" s="9" t="s">
        <v>6852</v>
      </c>
      <c r="C681" s="9" t="s">
        <v>6784</v>
      </c>
      <c r="D681" s="9" t="s">
        <v>6742</v>
      </c>
      <c r="E681" s="9" t="s">
        <v>4709</v>
      </c>
      <c r="F681" s="9" t="s">
        <v>4710</v>
      </c>
      <c r="G681" s="9" t="s">
        <v>6106</v>
      </c>
      <c r="H681" s="9" t="s">
        <v>6109</v>
      </c>
      <c r="I681" s="9"/>
      <c r="J681" s="9"/>
      <c r="K681" s="9"/>
      <c r="L681" s="9"/>
      <c r="M681" s="9" t="s">
        <v>4711</v>
      </c>
      <c r="N681" s="9"/>
      <c r="O681" s="9" t="s">
        <v>4712</v>
      </c>
      <c r="P681" s="9" t="str">
        <f>HYPERLINK("https://ceds.ed.gov/cedselementdetails.aspx?termid=13219")</f>
        <v>https://ceds.ed.gov/cedselementdetails.aspx?termid=13219</v>
      </c>
      <c r="Q681" s="9" t="str">
        <f>HYPERLINK("https://ceds.ed.gov/elementComment.aspx?elementName=Primary Telephone Number Indicator &amp;elementID=13219", "Click here to submit comment")</f>
        <v>Click here to submit comment</v>
      </c>
    </row>
    <row r="682" spans="1:17" ht="90" x14ac:dyDescent="0.25">
      <c r="A682" s="9" t="s">
        <v>6811</v>
      </c>
      <c r="B682" s="9" t="s">
        <v>6852</v>
      </c>
      <c r="C682" s="9" t="s">
        <v>6780</v>
      </c>
      <c r="D682" s="9" t="s">
        <v>6742</v>
      </c>
      <c r="E682" s="9" t="s">
        <v>4619</v>
      </c>
      <c r="F682" s="9" t="s">
        <v>4620</v>
      </c>
      <c r="G682" s="9" t="s">
        <v>12</v>
      </c>
      <c r="H682" s="9" t="s">
        <v>6109</v>
      </c>
      <c r="I682" s="9"/>
      <c r="J682" s="9" t="s">
        <v>1347</v>
      </c>
      <c r="K682" s="9"/>
      <c r="L682" s="9"/>
      <c r="M682" s="9" t="s">
        <v>4621</v>
      </c>
      <c r="N682" s="9"/>
      <c r="O682" s="9" t="s">
        <v>4622</v>
      </c>
      <c r="P682" s="9" t="str">
        <f>HYPERLINK("https://ceds.ed.gov/cedselementdetails.aspx?termid=13213")</f>
        <v>https://ceds.ed.gov/cedselementdetails.aspx?termid=13213</v>
      </c>
      <c r="Q682" s="9" t="str">
        <f>HYPERLINK("https://ceds.ed.gov/elementComment.aspx?elementName=Position Title &amp;elementID=13213", "Click here to submit comment")</f>
        <v>Click here to submit comment</v>
      </c>
    </row>
    <row r="683" spans="1:17" ht="90" x14ac:dyDescent="0.25">
      <c r="A683" s="9" t="s">
        <v>6811</v>
      </c>
      <c r="B683" s="9" t="s">
        <v>6852</v>
      </c>
      <c r="C683" s="9" t="s">
        <v>6780</v>
      </c>
      <c r="D683" s="9" t="s">
        <v>6742</v>
      </c>
      <c r="E683" s="9" t="s">
        <v>4701</v>
      </c>
      <c r="F683" s="9" t="s">
        <v>4702</v>
      </c>
      <c r="G683" s="9" t="s">
        <v>6106</v>
      </c>
      <c r="H683" s="9"/>
      <c r="I683" s="9"/>
      <c r="J683" s="9"/>
      <c r="K683" s="9"/>
      <c r="L683" s="9"/>
      <c r="M683" s="9" t="s">
        <v>4703</v>
      </c>
      <c r="N683" s="9"/>
      <c r="O683" s="9" t="s">
        <v>4704</v>
      </c>
      <c r="P683" s="9" t="str">
        <f>HYPERLINK("https://ceds.ed.gov/cedselementdetails.aspx?termid=14397")</f>
        <v>https://ceds.ed.gov/cedselementdetails.aspx?termid=14397</v>
      </c>
      <c r="Q683" s="9" t="str">
        <f>HYPERLINK("https://ceds.ed.gov/elementComment.aspx?elementName=Primary Contact Indicator &amp;elementID=14397", "Click here to submit comment")</f>
        <v>Click here to submit comment</v>
      </c>
    </row>
    <row r="684" spans="1:17" ht="45" x14ac:dyDescent="0.25">
      <c r="A684" s="9" t="s">
        <v>6811</v>
      </c>
      <c r="B684" s="9" t="s">
        <v>6852</v>
      </c>
      <c r="C684" s="9" t="s">
        <v>6780</v>
      </c>
      <c r="D684" s="9" t="s">
        <v>6742</v>
      </c>
      <c r="E684" s="9" t="s">
        <v>6057</v>
      </c>
      <c r="F684" s="9" t="s">
        <v>6058</v>
      </c>
      <c r="G684" s="9" t="s">
        <v>12</v>
      </c>
      <c r="H684" s="9" t="s">
        <v>199</v>
      </c>
      <c r="I684" s="9"/>
      <c r="J684" s="9" t="s">
        <v>68</v>
      </c>
      <c r="K684" s="9"/>
      <c r="L684" s="9"/>
      <c r="M684" s="9" t="s">
        <v>6059</v>
      </c>
      <c r="N684" s="9"/>
      <c r="O684" s="9" t="s">
        <v>6060</v>
      </c>
      <c r="P684" s="9" t="str">
        <f>HYPERLINK("https://ceds.ed.gov/cedselementdetails.aspx?termid=13300")</f>
        <v>https://ceds.ed.gov/cedselementdetails.aspx?termid=13300</v>
      </c>
      <c r="Q684" s="9" t="str">
        <f>HYPERLINK("https://ceds.ed.gov/elementComment.aspx?elementName=Web Site Address &amp;elementID=13300", "Click here to submit comment")</f>
        <v>Click here to submit comment</v>
      </c>
    </row>
    <row r="685" spans="1:17" ht="195" x14ac:dyDescent="0.25">
      <c r="A685" s="9" t="s">
        <v>6811</v>
      </c>
      <c r="B685" s="9" t="s">
        <v>6852</v>
      </c>
      <c r="C685" s="9" t="s">
        <v>6781</v>
      </c>
      <c r="D685" s="9" t="s">
        <v>6742</v>
      </c>
      <c r="E685" s="9" t="s">
        <v>2935</v>
      </c>
      <c r="F685" s="9" t="s">
        <v>2936</v>
      </c>
      <c r="G685" s="9" t="s">
        <v>12</v>
      </c>
      <c r="H685" s="9" t="s">
        <v>6211</v>
      </c>
      <c r="I685" s="9"/>
      <c r="J685" s="9" t="s">
        <v>1310</v>
      </c>
      <c r="K685" s="9"/>
      <c r="L685" s="9" t="s">
        <v>2937</v>
      </c>
      <c r="M685" s="9" t="s">
        <v>2938</v>
      </c>
      <c r="N685" s="9"/>
      <c r="O685" s="9" t="s">
        <v>2939</v>
      </c>
      <c r="P685" s="9" t="str">
        <f>HYPERLINK("https://ceds.ed.gov/cedselementdetails.aspx?termid=13115")</f>
        <v>https://ceds.ed.gov/cedselementdetails.aspx?termid=13115</v>
      </c>
      <c r="Q685" s="9" t="str">
        <f>HYPERLINK("https://ceds.ed.gov/elementComment.aspx?elementName=First Name &amp;elementID=13115", "Click here to submit comment")</f>
        <v>Click here to submit comment</v>
      </c>
    </row>
    <row r="686" spans="1:17" ht="90" customHeight="1" x14ac:dyDescent="0.25">
      <c r="A686" s="18" t="s">
        <v>6811</v>
      </c>
      <c r="B686" s="18" t="s">
        <v>6852</v>
      </c>
      <c r="C686" s="18" t="s">
        <v>6781</v>
      </c>
      <c r="D686" s="18" t="s">
        <v>6742</v>
      </c>
      <c r="E686" s="18" t="s">
        <v>4183</v>
      </c>
      <c r="F686" s="18" t="s">
        <v>4184</v>
      </c>
      <c r="G686" s="18" t="s">
        <v>12</v>
      </c>
      <c r="H686" s="18" t="s">
        <v>6211</v>
      </c>
      <c r="I686" s="18"/>
      <c r="J686" s="18" t="s">
        <v>1310</v>
      </c>
      <c r="K686" s="18"/>
      <c r="L686" s="9" t="s">
        <v>2996</v>
      </c>
      <c r="M686" s="18" t="s">
        <v>4185</v>
      </c>
      <c r="N686" s="18"/>
      <c r="O686" s="18" t="s">
        <v>4186</v>
      </c>
      <c r="P686" s="18" t="str">
        <f>HYPERLINK("https://ceds.ed.gov/cedselementdetails.aspx?termid=13184")</f>
        <v>https://ceds.ed.gov/cedselementdetails.aspx?termid=13184</v>
      </c>
      <c r="Q686" s="18" t="str">
        <f>HYPERLINK("https://ceds.ed.gov/elementComment.aspx?elementName=Middle Name &amp;elementID=13184", "Click here to submit comment")</f>
        <v>Click here to submit comment</v>
      </c>
    </row>
    <row r="687" spans="1:17" ht="90" x14ac:dyDescent="0.25">
      <c r="A687" s="18"/>
      <c r="B687" s="18"/>
      <c r="C687" s="18"/>
      <c r="D687" s="18"/>
      <c r="E687" s="18"/>
      <c r="F687" s="18"/>
      <c r="G687" s="18"/>
      <c r="H687" s="18"/>
      <c r="I687" s="18"/>
      <c r="J687" s="18"/>
      <c r="K687" s="18"/>
      <c r="L687" s="9" t="s">
        <v>2997</v>
      </c>
      <c r="M687" s="18"/>
      <c r="N687" s="18"/>
      <c r="O687" s="18"/>
      <c r="P687" s="18"/>
      <c r="Q687" s="18"/>
    </row>
    <row r="688" spans="1:17" ht="90" customHeight="1" x14ac:dyDescent="0.25">
      <c r="A688" s="18" t="s">
        <v>6811</v>
      </c>
      <c r="B688" s="18" t="s">
        <v>6852</v>
      </c>
      <c r="C688" s="18" t="s">
        <v>6781</v>
      </c>
      <c r="D688" s="18" t="s">
        <v>6742</v>
      </c>
      <c r="E688" s="18" t="s">
        <v>3597</v>
      </c>
      <c r="F688" s="18" t="s">
        <v>3598</v>
      </c>
      <c r="G688" s="18" t="s">
        <v>12</v>
      </c>
      <c r="H688" s="18" t="s">
        <v>6211</v>
      </c>
      <c r="I688" s="18"/>
      <c r="J688" s="18" t="s">
        <v>1310</v>
      </c>
      <c r="K688" s="18"/>
      <c r="L688" s="9" t="s">
        <v>2996</v>
      </c>
      <c r="M688" s="18" t="s">
        <v>3599</v>
      </c>
      <c r="N688" s="18" t="s">
        <v>3600</v>
      </c>
      <c r="O688" s="18" t="s">
        <v>3601</v>
      </c>
      <c r="P688" s="18" t="str">
        <f>HYPERLINK("https://ceds.ed.gov/cedselementdetails.aspx?termid=13172")</f>
        <v>https://ceds.ed.gov/cedselementdetails.aspx?termid=13172</v>
      </c>
      <c r="Q688" s="18" t="str">
        <f>HYPERLINK("https://ceds.ed.gov/elementComment.aspx?elementName=Last or Surname &amp;elementID=13172", "Click here to submit comment")</f>
        <v>Click here to submit comment</v>
      </c>
    </row>
    <row r="689" spans="1:17" ht="90" x14ac:dyDescent="0.25">
      <c r="A689" s="18"/>
      <c r="B689" s="18"/>
      <c r="C689" s="18"/>
      <c r="D689" s="18"/>
      <c r="E689" s="18"/>
      <c r="F689" s="18"/>
      <c r="G689" s="18"/>
      <c r="H689" s="18"/>
      <c r="I689" s="18"/>
      <c r="J689" s="18"/>
      <c r="K689" s="18"/>
      <c r="L689" s="9" t="s">
        <v>2997</v>
      </c>
      <c r="M689" s="18"/>
      <c r="N689" s="18"/>
      <c r="O689" s="18"/>
      <c r="P689" s="18"/>
      <c r="Q689" s="18"/>
    </row>
    <row r="690" spans="1:17" ht="45" customHeight="1" x14ac:dyDescent="0.25">
      <c r="A690" s="18" t="s">
        <v>6811</v>
      </c>
      <c r="B690" s="18" t="s">
        <v>6852</v>
      </c>
      <c r="C690" s="18" t="s">
        <v>6781</v>
      </c>
      <c r="D690" s="18" t="s">
        <v>6742</v>
      </c>
      <c r="E690" s="18" t="s">
        <v>2994</v>
      </c>
      <c r="F690" s="18" t="s">
        <v>2995</v>
      </c>
      <c r="G690" s="18" t="s">
        <v>12</v>
      </c>
      <c r="H690" s="18" t="s">
        <v>6212</v>
      </c>
      <c r="I690" s="18"/>
      <c r="J690" s="18" t="s">
        <v>2088</v>
      </c>
      <c r="K690" s="18"/>
      <c r="L690" s="9" t="s">
        <v>2996</v>
      </c>
      <c r="M690" s="18" t="s">
        <v>2998</v>
      </c>
      <c r="N690" s="18"/>
      <c r="O690" s="18" t="s">
        <v>2999</v>
      </c>
      <c r="P690" s="18" t="str">
        <f>HYPERLINK("https://ceds.ed.gov/cedselementdetails.aspx?termid=13121")</f>
        <v>https://ceds.ed.gov/cedselementdetails.aspx?termid=13121</v>
      </c>
      <c r="Q690" s="18" t="str">
        <f>HYPERLINK("https://ceds.ed.gov/elementComment.aspx?elementName=Generation Code or Suffix &amp;elementID=13121", "Click here to submit comment")</f>
        <v>Click here to submit comment</v>
      </c>
    </row>
    <row r="691" spans="1:17" ht="90" x14ac:dyDescent="0.25">
      <c r="A691" s="18"/>
      <c r="B691" s="18"/>
      <c r="C691" s="18"/>
      <c r="D691" s="18"/>
      <c r="E691" s="18"/>
      <c r="F691" s="18"/>
      <c r="G691" s="18"/>
      <c r="H691" s="18"/>
      <c r="I691" s="18"/>
      <c r="J691" s="18"/>
      <c r="K691" s="18"/>
      <c r="L691" s="9" t="s">
        <v>2997</v>
      </c>
      <c r="M691" s="18"/>
      <c r="N691" s="18"/>
      <c r="O691" s="18"/>
      <c r="P691" s="18"/>
      <c r="Q691" s="18"/>
    </row>
    <row r="692" spans="1:17" ht="105" x14ac:dyDescent="0.25">
      <c r="A692" s="9" t="s">
        <v>6811</v>
      </c>
      <c r="B692" s="9" t="s">
        <v>6852</v>
      </c>
      <c r="C692" s="9" t="s">
        <v>6781</v>
      </c>
      <c r="D692" s="9" t="s">
        <v>6742</v>
      </c>
      <c r="E692" s="9" t="s">
        <v>4610</v>
      </c>
      <c r="F692" s="9" t="s">
        <v>4611</v>
      </c>
      <c r="G692" s="9" t="s">
        <v>12</v>
      </c>
      <c r="H692" s="9" t="s">
        <v>6255</v>
      </c>
      <c r="I692" s="9"/>
      <c r="J692" s="9" t="s">
        <v>87</v>
      </c>
      <c r="K692" s="9"/>
      <c r="L692" s="9"/>
      <c r="M692" s="9" t="s">
        <v>4612</v>
      </c>
      <c r="N692" s="9" t="s">
        <v>4613</v>
      </c>
      <c r="O692" s="9" t="s">
        <v>4614</v>
      </c>
      <c r="P692" s="9" t="str">
        <f>HYPERLINK("https://ceds.ed.gov/cedselementdetails.aspx?termid=13212")</f>
        <v>https://ceds.ed.gov/cedselementdetails.aspx?termid=13212</v>
      </c>
      <c r="Q692" s="9" t="str">
        <f>HYPERLINK("https://ceds.ed.gov/elementComment.aspx?elementName=Personal Title or Prefix &amp;elementID=13212", "Click here to submit comment")</f>
        <v>Click here to submit comment</v>
      </c>
    </row>
    <row r="693" spans="1:17" ht="90" x14ac:dyDescent="0.25">
      <c r="A693" s="9" t="s">
        <v>6811</v>
      </c>
      <c r="B693" s="9" t="s">
        <v>6852</v>
      </c>
      <c r="C693" s="9" t="s">
        <v>6745</v>
      </c>
      <c r="D693" s="9" t="s">
        <v>6742</v>
      </c>
      <c r="E693" s="9" t="s">
        <v>174</v>
      </c>
      <c r="F693" s="9" t="s">
        <v>175</v>
      </c>
      <c r="G693" s="10" t="s">
        <v>6320</v>
      </c>
      <c r="H693" s="9" t="s">
        <v>6109</v>
      </c>
      <c r="I693" s="9"/>
      <c r="J693" s="9" t="s">
        <v>87</v>
      </c>
      <c r="K693" s="9"/>
      <c r="L693" s="9"/>
      <c r="M693" s="9" t="s">
        <v>176</v>
      </c>
      <c r="N693" s="9"/>
      <c r="O693" s="9" t="s">
        <v>177</v>
      </c>
      <c r="P693" s="9" t="str">
        <f>HYPERLINK("https://ceds.ed.gov/cedselementdetails.aspx?termid=13644")</f>
        <v>https://ceds.ed.gov/cedselementdetails.aspx?termid=13644</v>
      </c>
      <c r="Q693" s="9" t="str">
        <f>HYPERLINK("https://ceds.ed.gov/elementComment.aspx?elementName=Address Type for Organization &amp;elementID=13644", "Click here to submit comment")</f>
        <v>Click here to submit comment</v>
      </c>
    </row>
    <row r="694" spans="1:17" ht="225" x14ac:dyDescent="0.25">
      <c r="A694" s="9" t="s">
        <v>6811</v>
      </c>
      <c r="B694" s="9" t="s">
        <v>6852</v>
      </c>
      <c r="C694" s="9" t="s">
        <v>6745</v>
      </c>
      <c r="D694" s="9" t="s">
        <v>6742</v>
      </c>
      <c r="E694" s="9" t="s">
        <v>166</v>
      </c>
      <c r="F694" s="9" t="s">
        <v>167</v>
      </c>
      <c r="G694" s="9" t="s">
        <v>12</v>
      </c>
      <c r="H694" s="9" t="s">
        <v>6113</v>
      </c>
      <c r="I694" s="9"/>
      <c r="J694" s="9" t="s">
        <v>119</v>
      </c>
      <c r="K694" s="9"/>
      <c r="L694" s="9"/>
      <c r="M694" s="9" t="s">
        <v>168</v>
      </c>
      <c r="N694" s="9"/>
      <c r="O694" s="9" t="s">
        <v>169</v>
      </c>
      <c r="P694" s="9" t="str">
        <f>HYPERLINK("https://ceds.ed.gov/cedselementdetails.aspx?termid=13269")</f>
        <v>https://ceds.ed.gov/cedselementdetails.aspx?termid=13269</v>
      </c>
      <c r="Q694" s="9" t="str">
        <f>HYPERLINK("https://ceds.ed.gov/elementComment.aspx?elementName=Address Street Number and Name &amp;elementID=13269", "Click here to submit comment")</f>
        <v>Click here to submit comment</v>
      </c>
    </row>
    <row r="695" spans="1:17" ht="225" x14ac:dyDescent="0.25">
      <c r="A695" s="9" t="s">
        <v>6811</v>
      </c>
      <c r="B695" s="9" t="s">
        <v>6852</v>
      </c>
      <c r="C695" s="9" t="s">
        <v>6745</v>
      </c>
      <c r="D695" s="9" t="s">
        <v>6742</v>
      </c>
      <c r="E695" s="9" t="s">
        <v>149</v>
      </c>
      <c r="F695" s="9" t="s">
        <v>150</v>
      </c>
      <c r="G695" s="9" t="s">
        <v>12</v>
      </c>
      <c r="H695" s="9" t="s">
        <v>6113</v>
      </c>
      <c r="I695" s="9"/>
      <c r="J695" s="9" t="s">
        <v>87</v>
      </c>
      <c r="K695" s="9"/>
      <c r="L695" s="9"/>
      <c r="M695" s="9" t="s">
        <v>151</v>
      </c>
      <c r="N695" s="9"/>
      <c r="O695" s="9" t="s">
        <v>152</v>
      </c>
      <c r="P695" s="9" t="str">
        <f>HYPERLINK("https://ceds.ed.gov/cedselementdetails.aspx?termid=13019")</f>
        <v>https://ceds.ed.gov/cedselementdetails.aspx?termid=13019</v>
      </c>
      <c r="Q695" s="9" t="str">
        <f>HYPERLINK("https://ceds.ed.gov/elementComment.aspx?elementName=Address Apartment Room or Suite Number &amp;elementID=13019", "Click here to submit comment")</f>
        <v>Click here to submit comment</v>
      </c>
    </row>
    <row r="696" spans="1:17" ht="225" x14ac:dyDescent="0.25">
      <c r="A696" s="9" t="s">
        <v>6811</v>
      </c>
      <c r="B696" s="9" t="s">
        <v>6852</v>
      </c>
      <c r="C696" s="9" t="s">
        <v>6745</v>
      </c>
      <c r="D696" s="9" t="s">
        <v>6742</v>
      </c>
      <c r="E696" s="9" t="s">
        <v>153</v>
      </c>
      <c r="F696" s="9" t="s">
        <v>154</v>
      </c>
      <c r="G696" s="9" t="s">
        <v>12</v>
      </c>
      <c r="H696" s="9" t="s">
        <v>6113</v>
      </c>
      <c r="I696" s="9"/>
      <c r="J696" s="9" t="s">
        <v>87</v>
      </c>
      <c r="K696" s="9"/>
      <c r="L696" s="9"/>
      <c r="M696" s="9" t="s">
        <v>155</v>
      </c>
      <c r="N696" s="9"/>
      <c r="O696" s="9" t="s">
        <v>156</v>
      </c>
      <c r="P696" s="9" t="str">
        <f>HYPERLINK("https://ceds.ed.gov/cedselementdetails.aspx?termid=13040")</f>
        <v>https://ceds.ed.gov/cedselementdetails.aspx?termid=13040</v>
      </c>
      <c r="Q696" s="9" t="str">
        <f>HYPERLINK("https://ceds.ed.gov/elementComment.aspx?elementName=Address City &amp;elementID=13040", "Click here to submit comment")</f>
        <v>Click here to submit comment</v>
      </c>
    </row>
    <row r="697" spans="1:17" ht="409.5" x14ac:dyDescent="0.25">
      <c r="A697" s="9" t="s">
        <v>6811</v>
      </c>
      <c r="B697" s="9" t="s">
        <v>6852</v>
      </c>
      <c r="C697" s="9" t="s">
        <v>6745</v>
      </c>
      <c r="D697" s="9" t="s">
        <v>6742</v>
      </c>
      <c r="E697" s="9" t="s">
        <v>5647</v>
      </c>
      <c r="F697" s="9" t="s">
        <v>5648</v>
      </c>
      <c r="G697" s="10" t="s">
        <v>6702</v>
      </c>
      <c r="H697" s="9" t="s">
        <v>6285</v>
      </c>
      <c r="I697" s="9"/>
      <c r="J697" s="9"/>
      <c r="K697" s="9"/>
      <c r="L697" s="9"/>
      <c r="M697" s="9" t="s">
        <v>5649</v>
      </c>
      <c r="N697" s="9"/>
      <c r="O697" s="9" t="s">
        <v>5650</v>
      </c>
      <c r="P697" s="9" t="str">
        <f>HYPERLINK("https://ceds.ed.gov/cedselementdetails.aspx?termid=13267")</f>
        <v>https://ceds.ed.gov/cedselementdetails.aspx?termid=13267</v>
      </c>
      <c r="Q697" s="9" t="str">
        <f>HYPERLINK("https://ceds.ed.gov/elementComment.aspx?elementName=State Abbreviation &amp;elementID=13267", "Click here to submit comment")</f>
        <v>Click here to submit comment</v>
      </c>
    </row>
    <row r="698" spans="1:17" ht="225" x14ac:dyDescent="0.25">
      <c r="A698" s="9" t="s">
        <v>6811</v>
      </c>
      <c r="B698" s="9" t="s">
        <v>6852</v>
      </c>
      <c r="C698" s="9" t="s">
        <v>6745</v>
      </c>
      <c r="D698" s="9" t="s">
        <v>6742</v>
      </c>
      <c r="E698" s="9" t="s">
        <v>161</v>
      </c>
      <c r="F698" s="9" t="s">
        <v>162</v>
      </c>
      <c r="G698" s="9" t="s">
        <v>12</v>
      </c>
      <c r="H698" s="9" t="s">
        <v>6113</v>
      </c>
      <c r="I698" s="9"/>
      <c r="J698" s="9" t="s">
        <v>163</v>
      </c>
      <c r="K698" s="9"/>
      <c r="L698" s="9"/>
      <c r="M698" s="9" t="s">
        <v>164</v>
      </c>
      <c r="N698" s="9"/>
      <c r="O698" s="9" t="s">
        <v>165</v>
      </c>
      <c r="P698" s="9" t="str">
        <f>HYPERLINK("https://ceds.ed.gov/cedselementdetails.aspx?termid=13214")</f>
        <v>https://ceds.ed.gov/cedselementdetails.aspx?termid=13214</v>
      </c>
      <c r="Q698" s="9" t="str">
        <f>HYPERLINK("https://ceds.ed.gov/elementComment.aspx?elementName=Address Postal Code &amp;elementID=13214", "Click here to submit comment")</f>
        <v>Click here to submit comment</v>
      </c>
    </row>
    <row r="699" spans="1:17" ht="225" x14ac:dyDescent="0.25">
      <c r="A699" s="9" t="s">
        <v>6811</v>
      </c>
      <c r="B699" s="9" t="s">
        <v>6852</v>
      </c>
      <c r="C699" s="9" t="s">
        <v>6745</v>
      </c>
      <c r="D699" s="9" t="s">
        <v>6742</v>
      </c>
      <c r="E699" s="9" t="s">
        <v>157</v>
      </c>
      <c r="F699" s="9" t="s">
        <v>158</v>
      </c>
      <c r="G699" s="9" t="s">
        <v>12</v>
      </c>
      <c r="H699" s="9" t="s">
        <v>6113</v>
      </c>
      <c r="I699" s="9"/>
      <c r="J699" s="9" t="s">
        <v>87</v>
      </c>
      <c r="K699" s="9"/>
      <c r="L699" s="9"/>
      <c r="M699" s="9" t="s">
        <v>159</v>
      </c>
      <c r="N699" s="9"/>
      <c r="O699" s="9" t="s">
        <v>160</v>
      </c>
      <c r="P699" s="9" t="str">
        <f>HYPERLINK("https://ceds.ed.gov/cedselementdetails.aspx?termid=13190")</f>
        <v>https://ceds.ed.gov/cedselementdetails.aspx?termid=13190</v>
      </c>
      <c r="Q699" s="9" t="str">
        <f>HYPERLINK("https://ceds.ed.gov/elementComment.aspx?elementName=Address County Name &amp;elementID=13190", "Click here to submit comment")</f>
        <v>Click here to submit comment</v>
      </c>
    </row>
    <row r="700" spans="1:17" ht="409.5" x14ac:dyDescent="0.25">
      <c r="A700" s="9" t="s">
        <v>6811</v>
      </c>
      <c r="B700" s="9" t="s">
        <v>6852</v>
      </c>
      <c r="C700" s="9" t="s">
        <v>6745</v>
      </c>
      <c r="D700" s="9" t="s">
        <v>6742</v>
      </c>
      <c r="E700" s="9" t="s">
        <v>1885</v>
      </c>
      <c r="F700" s="9" t="s">
        <v>1886</v>
      </c>
      <c r="G700" s="10" t="s">
        <v>11839</v>
      </c>
      <c r="H700" s="9" t="s">
        <v>6174</v>
      </c>
      <c r="I700" s="9"/>
      <c r="J700" s="9"/>
      <c r="K700" s="9"/>
      <c r="L700" s="11" t="s">
        <v>1887</v>
      </c>
      <c r="M700" s="9" t="s">
        <v>1888</v>
      </c>
      <c r="N700" s="9"/>
      <c r="O700" s="9" t="s">
        <v>1889</v>
      </c>
      <c r="P700" s="9" t="str">
        <f>HYPERLINK("https://ceds.ed.gov/cedselementdetails.aspx?termid=13050")</f>
        <v>https://ceds.ed.gov/cedselementdetails.aspx?termid=13050</v>
      </c>
      <c r="Q700" s="9" t="str">
        <f>HYPERLINK("https://ceds.ed.gov/elementComment.aspx?elementName=Country Code &amp;elementID=13050", "Click here to submit comment")</f>
        <v>Click here to submit comment</v>
      </c>
    </row>
    <row r="701" spans="1:17" ht="180" x14ac:dyDescent="0.25">
      <c r="A701" s="9" t="s">
        <v>6811</v>
      </c>
      <c r="B701" s="9" t="s">
        <v>6852</v>
      </c>
      <c r="C701" s="9" t="s">
        <v>6745</v>
      </c>
      <c r="D701" s="9" t="s">
        <v>6742</v>
      </c>
      <c r="E701" s="9" t="s">
        <v>1894</v>
      </c>
      <c r="F701" s="9" t="s">
        <v>1895</v>
      </c>
      <c r="G701" s="9" t="s">
        <v>12</v>
      </c>
      <c r="H701" s="9"/>
      <c r="I701" s="9"/>
      <c r="J701" s="9" t="s">
        <v>10933</v>
      </c>
      <c r="K701" s="9"/>
      <c r="L701" s="9"/>
      <c r="M701" s="9" t="s">
        <v>1896</v>
      </c>
      <c r="N701" s="9"/>
      <c r="O701" s="9" t="s">
        <v>1897</v>
      </c>
      <c r="P701" s="9" t="str">
        <f>HYPERLINK("https://ceds.ed.gov/cedselementdetails.aspx?termid=14176")</f>
        <v>https://ceds.ed.gov/cedselementdetails.aspx?termid=14176</v>
      </c>
      <c r="Q701" s="9" t="str">
        <f>HYPERLINK("https://ceds.ed.gov/elementComment.aspx?elementName=County ANSI Code &amp;elementID=14176", "Click here to submit comment")</f>
        <v>Click here to submit comment</v>
      </c>
    </row>
    <row r="702" spans="1:17" ht="75" x14ac:dyDescent="0.25">
      <c r="A702" s="9" t="s">
        <v>6811</v>
      </c>
      <c r="B702" s="9" t="s">
        <v>6852</v>
      </c>
      <c r="C702" s="9" t="s">
        <v>6745</v>
      </c>
      <c r="D702" s="9" t="s">
        <v>6742</v>
      </c>
      <c r="E702" s="9" t="s">
        <v>3606</v>
      </c>
      <c r="F702" s="9" t="s">
        <v>3607</v>
      </c>
      <c r="G702" s="9" t="s">
        <v>12</v>
      </c>
      <c r="H702" s="9"/>
      <c r="I702" s="9"/>
      <c r="J702" s="9" t="s">
        <v>1165</v>
      </c>
      <c r="K702" s="9"/>
      <c r="L702" s="9"/>
      <c r="M702" s="9" t="s">
        <v>3608</v>
      </c>
      <c r="N702" s="9"/>
      <c r="O702" s="9" t="s">
        <v>3606</v>
      </c>
      <c r="P702" s="9" t="str">
        <f>HYPERLINK("https://ceds.ed.gov/cedselementdetails.aspx?termid=13599")</f>
        <v>https://ceds.ed.gov/cedselementdetails.aspx?termid=13599</v>
      </c>
      <c r="Q702" s="9" t="str">
        <f>HYPERLINK("https://ceds.ed.gov/elementComment.aspx?elementName=Latitude &amp;elementID=13599", "Click here to submit comment")</f>
        <v>Click here to submit comment</v>
      </c>
    </row>
    <row r="703" spans="1:17" ht="75" x14ac:dyDescent="0.25">
      <c r="A703" s="9" t="s">
        <v>6811</v>
      </c>
      <c r="B703" s="9" t="s">
        <v>6852</v>
      </c>
      <c r="C703" s="9" t="s">
        <v>6745</v>
      </c>
      <c r="D703" s="9" t="s">
        <v>6742</v>
      </c>
      <c r="E703" s="9" t="s">
        <v>4139</v>
      </c>
      <c r="F703" s="9" t="s">
        <v>4140</v>
      </c>
      <c r="G703" s="9" t="s">
        <v>12</v>
      </c>
      <c r="H703" s="9"/>
      <c r="I703" s="9"/>
      <c r="J703" s="9" t="s">
        <v>1165</v>
      </c>
      <c r="K703" s="9"/>
      <c r="L703" s="9"/>
      <c r="M703" s="9" t="s">
        <v>4141</v>
      </c>
      <c r="N703" s="9"/>
      <c r="O703" s="9" t="s">
        <v>4139</v>
      </c>
      <c r="P703" s="9" t="str">
        <f>HYPERLINK("https://ceds.ed.gov/cedselementdetails.aspx?termid=13600")</f>
        <v>https://ceds.ed.gov/cedselementdetails.aspx?termid=13600</v>
      </c>
      <c r="Q703" s="9" t="str">
        <f>HYPERLINK("https://ceds.ed.gov/elementComment.aspx?elementName=Longitude &amp;elementID=13600", "Click here to submit comment")</f>
        <v>Click here to submit comment</v>
      </c>
    </row>
    <row r="704" spans="1:17" ht="90" x14ac:dyDescent="0.25">
      <c r="A704" s="9" t="s">
        <v>6811</v>
      </c>
      <c r="B704" s="9" t="s">
        <v>6852</v>
      </c>
      <c r="C704" s="9" t="s">
        <v>6773</v>
      </c>
      <c r="D704" s="9" t="s">
        <v>6742</v>
      </c>
      <c r="E704" s="9" t="s">
        <v>2584</v>
      </c>
      <c r="F704" s="9" t="s">
        <v>2585</v>
      </c>
      <c r="G704" s="9" t="s">
        <v>12</v>
      </c>
      <c r="H704" s="9" t="s">
        <v>6109</v>
      </c>
      <c r="I704" s="9"/>
      <c r="J704" s="9" t="s">
        <v>11127</v>
      </c>
      <c r="K704" s="9"/>
      <c r="L704" s="9"/>
      <c r="M704" s="9" t="s">
        <v>2586</v>
      </c>
      <c r="N704" s="9" t="s">
        <v>2587</v>
      </c>
      <c r="O704" s="9" t="s">
        <v>2588</v>
      </c>
      <c r="P704" s="9" t="str">
        <f>HYPERLINK("https://ceds.ed.gov/cedselementdetails.aspx?termid=13088")</f>
        <v>https://ceds.ed.gov/cedselementdetails.aspx?termid=13088</v>
      </c>
      <c r="Q704" s="9" t="str">
        <f>HYPERLINK("https://ceds.ed.gov/elementComment.aspx?elementName=Electronic Mail Address &amp;elementID=13088", "Click here to submit comment")</f>
        <v>Click here to submit comment</v>
      </c>
    </row>
    <row r="705" spans="1:17" ht="90" x14ac:dyDescent="0.25">
      <c r="A705" s="9" t="s">
        <v>6811</v>
      </c>
      <c r="B705" s="9" t="s">
        <v>6852</v>
      </c>
      <c r="C705" s="9" t="s">
        <v>6773</v>
      </c>
      <c r="D705" s="9" t="s">
        <v>6742</v>
      </c>
      <c r="E705" s="9" t="s">
        <v>2589</v>
      </c>
      <c r="F705" s="9" t="s">
        <v>2590</v>
      </c>
      <c r="G705" s="10" t="s">
        <v>6484</v>
      </c>
      <c r="H705" s="9" t="s">
        <v>6109</v>
      </c>
      <c r="I705" s="9"/>
      <c r="J705" s="9"/>
      <c r="K705" s="9"/>
      <c r="L705" s="9"/>
      <c r="M705" s="9" t="s">
        <v>2591</v>
      </c>
      <c r="N705" s="9" t="s">
        <v>2592</v>
      </c>
      <c r="O705" s="9" t="s">
        <v>2593</v>
      </c>
      <c r="P705" s="9" t="str">
        <f>HYPERLINK("https://ceds.ed.gov/cedselementdetails.aspx?termid=13089")</f>
        <v>https://ceds.ed.gov/cedselementdetails.aspx?termid=13089</v>
      </c>
      <c r="Q705" s="9" t="str">
        <f>HYPERLINK("https://ceds.ed.gov/elementComment.aspx?elementName=Electronic Mail Address Type &amp;elementID=13089", "Click here to submit comment")</f>
        <v>Click here to submit comment</v>
      </c>
    </row>
    <row r="706" spans="1:17" ht="90" x14ac:dyDescent="0.25">
      <c r="A706" s="9" t="s">
        <v>6811</v>
      </c>
      <c r="B706" s="9" t="s">
        <v>6852</v>
      </c>
      <c r="C706" s="9" t="s">
        <v>6747</v>
      </c>
      <c r="D706" s="9" t="s">
        <v>6742</v>
      </c>
      <c r="E706" s="9" t="s">
        <v>5849</v>
      </c>
      <c r="F706" s="9" t="s">
        <v>5850</v>
      </c>
      <c r="G706" s="9" t="s">
        <v>12</v>
      </c>
      <c r="H706" s="9" t="s">
        <v>6109</v>
      </c>
      <c r="I706" s="9"/>
      <c r="J706" s="9" t="s">
        <v>5851</v>
      </c>
      <c r="K706" s="9"/>
      <c r="L706" s="9"/>
      <c r="M706" s="9" t="s">
        <v>5852</v>
      </c>
      <c r="N706" s="9"/>
      <c r="O706" s="9" t="s">
        <v>5853</v>
      </c>
      <c r="P706" s="9" t="str">
        <f>HYPERLINK("https://ceds.ed.gov/cedselementdetails.aspx?termid=13279")</f>
        <v>https://ceds.ed.gov/cedselementdetails.aspx?termid=13279</v>
      </c>
      <c r="Q706" s="9" t="str">
        <f>HYPERLINK("https://ceds.ed.gov/elementComment.aspx?elementName=Telephone Number &amp;elementID=13279", "Click here to submit comment")</f>
        <v>Click here to submit comment</v>
      </c>
    </row>
    <row r="707" spans="1:17" ht="90" x14ac:dyDescent="0.25">
      <c r="A707" s="9" t="s">
        <v>6811</v>
      </c>
      <c r="B707" s="9" t="s">
        <v>6852</v>
      </c>
      <c r="C707" s="9" t="s">
        <v>6747</v>
      </c>
      <c r="D707" s="9" t="s">
        <v>6742</v>
      </c>
      <c r="E707" s="9" t="s">
        <v>5854</v>
      </c>
      <c r="F707" s="9" t="s">
        <v>5855</v>
      </c>
      <c r="G707" s="10" t="s">
        <v>6717</v>
      </c>
      <c r="H707" s="9" t="s">
        <v>6109</v>
      </c>
      <c r="I707" s="9"/>
      <c r="J707" s="9" t="s">
        <v>1900</v>
      </c>
      <c r="K707" s="9"/>
      <c r="L707" s="9"/>
      <c r="M707" s="9" t="s">
        <v>5856</v>
      </c>
      <c r="N707" s="9"/>
      <c r="O707" s="9" t="s">
        <v>5857</v>
      </c>
      <c r="P707" s="9" t="str">
        <f>HYPERLINK("https://ceds.ed.gov/cedselementdetails.aspx?termid=13280")</f>
        <v>https://ceds.ed.gov/cedselementdetails.aspx?termid=13280</v>
      </c>
      <c r="Q707" s="9" t="str">
        <f>HYPERLINK("https://ceds.ed.gov/elementComment.aspx?elementName=Telephone Number Type &amp;elementID=13280", "Click here to submit comment")</f>
        <v>Click here to submit comment</v>
      </c>
    </row>
    <row r="708" spans="1:17" ht="90" x14ac:dyDescent="0.25">
      <c r="A708" s="9" t="s">
        <v>6811</v>
      </c>
      <c r="B708" s="9" t="s">
        <v>6852</v>
      </c>
      <c r="C708" s="9" t="s">
        <v>6747</v>
      </c>
      <c r="D708" s="9" t="s">
        <v>6742</v>
      </c>
      <c r="E708" s="9" t="s">
        <v>4709</v>
      </c>
      <c r="F708" s="9" t="s">
        <v>4710</v>
      </c>
      <c r="G708" s="9" t="s">
        <v>6106</v>
      </c>
      <c r="H708" s="9" t="s">
        <v>6109</v>
      </c>
      <c r="I708" s="9"/>
      <c r="J708" s="9"/>
      <c r="K708" s="9"/>
      <c r="L708" s="9"/>
      <c r="M708" s="9" t="s">
        <v>4711</v>
      </c>
      <c r="N708" s="9"/>
      <c r="O708" s="9" t="s">
        <v>4712</v>
      </c>
      <c r="P708" s="9" t="str">
        <f>HYPERLINK("https://ceds.ed.gov/cedselementdetails.aspx?termid=13219")</f>
        <v>https://ceds.ed.gov/cedselementdetails.aspx?termid=13219</v>
      </c>
      <c r="Q708" s="9" t="str">
        <f>HYPERLINK("https://ceds.ed.gov/elementComment.aspx?elementName=Primary Telephone Number Indicator &amp;elementID=13219", "Click here to submit comment")</f>
        <v>Click here to submit comment</v>
      </c>
    </row>
    <row r="709" spans="1:17" ht="45" x14ac:dyDescent="0.25">
      <c r="A709" s="9" t="s">
        <v>6811</v>
      </c>
      <c r="B709" s="9" t="s">
        <v>6852</v>
      </c>
      <c r="C709" s="9" t="s">
        <v>6782</v>
      </c>
      <c r="D709" s="9" t="s">
        <v>6742</v>
      </c>
      <c r="E709" s="9" t="s">
        <v>4481</v>
      </c>
      <c r="F709" s="9" t="s">
        <v>4482</v>
      </c>
      <c r="G709" s="9" t="s">
        <v>12</v>
      </c>
      <c r="H709" s="9"/>
      <c r="I709" s="9"/>
      <c r="J709" s="9" t="s">
        <v>1310</v>
      </c>
      <c r="K709" s="9"/>
      <c r="L709" s="9" t="s">
        <v>4483</v>
      </c>
      <c r="M709" s="9" t="s">
        <v>4484</v>
      </c>
      <c r="N709" s="9"/>
      <c r="O709" s="9" t="s">
        <v>4485</v>
      </c>
      <c r="P709" s="9" t="str">
        <f>HYPERLINK("https://ceds.ed.gov/cedselementdetails.aspx?termid=14486")</f>
        <v>https://ceds.ed.gov/cedselementdetails.aspx?termid=14486</v>
      </c>
      <c r="Q709" s="9" t="str">
        <f>HYPERLINK("https://ceds.ed.gov/elementComment.aspx?elementName=Other First Name &amp;elementID=14486", "Click here to submit comment")</f>
        <v>Click here to submit comment</v>
      </c>
    </row>
    <row r="710" spans="1:17" ht="45" x14ac:dyDescent="0.25">
      <c r="A710" s="9" t="s">
        <v>6811</v>
      </c>
      <c r="B710" s="9" t="s">
        <v>6852</v>
      </c>
      <c r="C710" s="9" t="s">
        <v>6782</v>
      </c>
      <c r="D710" s="9" t="s">
        <v>6742</v>
      </c>
      <c r="E710" s="9" t="s">
        <v>4491</v>
      </c>
      <c r="F710" s="9" t="s">
        <v>4492</v>
      </c>
      <c r="G710" s="9" t="s">
        <v>12</v>
      </c>
      <c r="H710" s="9"/>
      <c r="I710" s="9"/>
      <c r="J710" s="9" t="s">
        <v>1310</v>
      </c>
      <c r="K710" s="9"/>
      <c r="L710" s="9" t="s">
        <v>4493</v>
      </c>
      <c r="M710" s="9" t="s">
        <v>4494</v>
      </c>
      <c r="N710" s="9"/>
      <c r="O710" s="9" t="s">
        <v>4495</v>
      </c>
      <c r="P710" s="9" t="str">
        <f>HYPERLINK("https://ceds.ed.gov/cedselementdetails.aspx?termid=14487")</f>
        <v>https://ceds.ed.gov/cedselementdetails.aspx?termid=14487</v>
      </c>
      <c r="Q710" s="9" t="str">
        <f>HYPERLINK("https://ceds.ed.gov/elementComment.aspx?elementName=Other Middle Name &amp;elementID=14487", "Click here to submit comment")</f>
        <v>Click here to submit comment</v>
      </c>
    </row>
    <row r="711" spans="1:17" ht="45" x14ac:dyDescent="0.25">
      <c r="A711" s="9" t="s">
        <v>6811</v>
      </c>
      <c r="B711" s="9" t="s">
        <v>6852</v>
      </c>
      <c r="C711" s="9" t="s">
        <v>6782</v>
      </c>
      <c r="D711" s="9" t="s">
        <v>6742</v>
      </c>
      <c r="E711" s="9" t="s">
        <v>4486</v>
      </c>
      <c r="F711" s="9" t="s">
        <v>4487</v>
      </c>
      <c r="G711" s="9" t="s">
        <v>12</v>
      </c>
      <c r="H711" s="9"/>
      <c r="I711" s="9"/>
      <c r="J711" s="9" t="s">
        <v>1310</v>
      </c>
      <c r="K711" s="9"/>
      <c r="L711" s="9" t="s">
        <v>4488</v>
      </c>
      <c r="M711" s="9" t="s">
        <v>4489</v>
      </c>
      <c r="N711" s="9"/>
      <c r="O711" s="9" t="s">
        <v>4490</v>
      </c>
      <c r="P711" s="9" t="str">
        <f>HYPERLINK("https://ceds.ed.gov/cedselementdetails.aspx?termid=14485")</f>
        <v>https://ceds.ed.gov/cedselementdetails.aspx?termid=14485</v>
      </c>
      <c r="Q711" s="9" t="str">
        <f>HYPERLINK("https://ceds.ed.gov/elementComment.aspx?elementName=Other Last Name &amp;elementID=14485", "Click here to submit comment")</f>
        <v>Click here to submit comment</v>
      </c>
    </row>
    <row r="712" spans="1:17" ht="150" x14ac:dyDescent="0.25">
      <c r="A712" s="9" t="s">
        <v>6811</v>
      </c>
      <c r="B712" s="9" t="s">
        <v>6852</v>
      </c>
      <c r="C712" s="9" t="s">
        <v>6782</v>
      </c>
      <c r="D712" s="9" t="s">
        <v>6742</v>
      </c>
      <c r="E712" s="9" t="s">
        <v>4496</v>
      </c>
      <c r="F712" s="9" t="s">
        <v>4497</v>
      </c>
      <c r="G712" s="9" t="s">
        <v>12</v>
      </c>
      <c r="H712" s="9" t="s">
        <v>6212</v>
      </c>
      <c r="I712" s="9"/>
      <c r="J712" s="9" t="s">
        <v>119</v>
      </c>
      <c r="K712" s="9"/>
      <c r="L712" s="9"/>
      <c r="M712" s="9" t="s">
        <v>4498</v>
      </c>
      <c r="N712" s="9"/>
      <c r="O712" s="9" t="s">
        <v>4499</v>
      </c>
      <c r="P712" s="9" t="str">
        <f>HYPERLINK("https://ceds.ed.gov/cedselementdetails.aspx?termid=13206")</f>
        <v>https://ceds.ed.gov/cedselementdetails.aspx?termid=13206</v>
      </c>
      <c r="Q712" s="9" t="str">
        <f>HYPERLINK("https://ceds.ed.gov/elementComment.aspx?elementName=Other Name &amp;elementID=13206", "Click here to submit comment")</f>
        <v>Click here to submit comment</v>
      </c>
    </row>
    <row r="713" spans="1:17" ht="165" x14ac:dyDescent="0.25">
      <c r="A713" s="9" t="s">
        <v>6811</v>
      </c>
      <c r="B713" s="9" t="s">
        <v>6852</v>
      </c>
      <c r="C713" s="9" t="s">
        <v>6782</v>
      </c>
      <c r="D713" s="9" t="s">
        <v>6742</v>
      </c>
      <c r="E713" s="9" t="s">
        <v>4500</v>
      </c>
      <c r="F713" s="9" t="s">
        <v>4501</v>
      </c>
      <c r="G713" s="10" t="s">
        <v>6630</v>
      </c>
      <c r="H713" s="9" t="s">
        <v>6251</v>
      </c>
      <c r="I713" s="9"/>
      <c r="J713" s="9" t="s">
        <v>87</v>
      </c>
      <c r="K713" s="9"/>
      <c r="L713" s="9"/>
      <c r="M713" s="9" t="s">
        <v>4502</v>
      </c>
      <c r="N713" s="9"/>
      <c r="O713" s="9" t="s">
        <v>4503</v>
      </c>
      <c r="P713" s="9" t="str">
        <f>HYPERLINK("https://ceds.ed.gov/cedselementdetails.aspx?termid=13627")</f>
        <v>https://ceds.ed.gov/cedselementdetails.aspx?termid=13627</v>
      </c>
      <c r="Q713" s="9" t="str">
        <f>HYPERLINK("https://ceds.ed.gov/elementComment.aspx?elementName=Other Name Type &amp;elementID=13627", "Click here to submit comment")</f>
        <v>Click here to submit comment</v>
      </c>
    </row>
    <row r="714" spans="1:17" ht="45" x14ac:dyDescent="0.25">
      <c r="A714" s="9" t="s">
        <v>6811</v>
      </c>
      <c r="B714" s="9" t="s">
        <v>6812</v>
      </c>
      <c r="C714" s="9"/>
      <c r="D714" s="9" t="s">
        <v>6742</v>
      </c>
      <c r="E714" s="9" t="s">
        <v>11653</v>
      </c>
      <c r="F714" s="9" t="s">
        <v>11654</v>
      </c>
      <c r="G714" s="9" t="s">
        <v>12</v>
      </c>
      <c r="H714" s="9"/>
      <c r="I714" s="9"/>
      <c r="J714" s="9" t="s">
        <v>1143</v>
      </c>
      <c r="K714" s="9"/>
      <c r="L714" s="9"/>
      <c r="M714" s="9" t="s">
        <v>11656</v>
      </c>
      <c r="N714" s="9"/>
      <c r="O714" s="9" t="s">
        <v>11657</v>
      </c>
      <c r="P714" s="9" t="str">
        <f>HYPERLINK("https://ceds.ed.gov/cedselementdetails.aspx?termid=14644")</f>
        <v>https://ceds.ed.gov/cedselementdetails.aspx?termid=14644</v>
      </c>
      <c r="Q714" s="9" t="str">
        <f>HYPERLINK("https://ceds.ed.gov/elementComment.aspx?elementName=Organization Image URL &amp;elementID=14644", "Click here to submit comment")</f>
        <v>Click here to submit comment</v>
      </c>
    </row>
    <row r="715" spans="1:17" ht="45" x14ac:dyDescent="0.25">
      <c r="A715" s="9" t="s">
        <v>6811</v>
      </c>
      <c r="B715" s="9" t="s">
        <v>6812</v>
      </c>
      <c r="C715" s="9"/>
      <c r="D715" s="9" t="s">
        <v>6742</v>
      </c>
      <c r="E715" s="9" t="s">
        <v>11660</v>
      </c>
      <c r="F715" s="9" t="s">
        <v>11661</v>
      </c>
      <c r="G715" s="9" t="s">
        <v>12</v>
      </c>
      <c r="H715" s="9"/>
      <c r="I715" s="9" t="s">
        <v>91</v>
      </c>
      <c r="J715" s="9" t="s">
        <v>11025</v>
      </c>
      <c r="K715" s="9" t="s">
        <v>11663</v>
      </c>
      <c r="L715" s="9"/>
      <c r="M715" s="9" t="s">
        <v>11664</v>
      </c>
      <c r="N715" s="9"/>
      <c r="O715" s="9" t="s">
        <v>11665</v>
      </c>
      <c r="P715" s="9" t="str">
        <f>HYPERLINK("https://ceds.ed.gov/cedselementdetails.aspx?termid=14731")</f>
        <v>https://ceds.ed.gov/cedselementdetails.aspx?termid=14731</v>
      </c>
      <c r="Q715" s="9" t="str">
        <f>HYPERLINK("https://ceds.ed.gov/elementComment.aspx?elementName=Organization Region GeoJSON &amp;elementID=14731", "Click here to submit comment")</f>
        <v>Click here to submit comment</v>
      </c>
    </row>
    <row r="716" spans="1:17" ht="105" x14ac:dyDescent="0.25">
      <c r="A716" s="18" t="s">
        <v>6811</v>
      </c>
      <c r="B716" s="18" t="s">
        <v>6812</v>
      </c>
      <c r="C716" s="18" t="s">
        <v>6777</v>
      </c>
      <c r="D716" s="18" t="s">
        <v>6742</v>
      </c>
      <c r="E716" s="18" t="s">
        <v>5340</v>
      </c>
      <c r="F716" s="18" t="s">
        <v>256</v>
      </c>
      <c r="G716" s="18" t="s">
        <v>12</v>
      </c>
      <c r="H716" s="18" t="s">
        <v>6273</v>
      </c>
      <c r="I716" s="18"/>
      <c r="J716" s="18" t="s">
        <v>119</v>
      </c>
      <c r="K716" s="18"/>
      <c r="L716" s="9" t="s">
        <v>120</v>
      </c>
      <c r="M716" s="18" t="s">
        <v>5341</v>
      </c>
      <c r="N716" s="18"/>
      <c r="O716" s="18" t="s">
        <v>5342</v>
      </c>
      <c r="P716" s="18" t="str">
        <f>HYPERLINK("https://ceds.ed.gov/cedselementdetails.aspx?termid=13155")</f>
        <v>https://ceds.ed.gov/cedselementdetails.aspx?termid=13155</v>
      </c>
      <c r="Q716" s="18" t="str">
        <f>HYPERLINK("https://ceds.ed.gov/elementComment.aspx?elementName=School Identifier &amp;elementID=13155", "Click here to submit comment")</f>
        <v>Click here to submit comment</v>
      </c>
    </row>
    <row r="717" spans="1:17" x14ac:dyDescent="0.25">
      <c r="A717" s="18"/>
      <c r="B717" s="18"/>
      <c r="C717" s="18"/>
      <c r="D717" s="18"/>
      <c r="E717" s="18"/>
      <c r="F717" s="18"/>
      <c r="G717" s="18"/>
      <c r="H717" s="18"/>
      <c r="I717" s="18"/>
      <c r="J717" s="18"/>
      <c r="K717" s="18"/>
      <c r="L717" s="9"/>
      <c r="M717" s="18"/>
      <c r="N717" s="18"/>
      <c r="O717" s="18"/>
      <c r="P717" s="18"/>
      <c r="Q717" s="18"/>
    </row>
    <row r="718" spans="1:17" ht="90" x14ac:dyDescent="0.25">
      <c r="A718" s="18"/>
      <c r="B718" s="18"/>
      <c r="C718" s="18"/>
      <c r="D718" s="18"/>
      <c r="E718" s="18"/>
      <c r="F718" s="18"/>
      <c r="G718" s="18"/>
      <c r="H718" s="18"/>
      <c r="I718" s="18"/>
      <c r="J718" s="18"/>
      <c r="K718" s="18"/>
      <c r="L718" s="9" t="s">
        <v>121</v>
      </c>
      <c r="M718" s="18"/>
      <c r="N718" s="18"/>
      <c r="O718" s="18"/>
      <c r="P718" s="18"/>
      <c r="Q718" s="18"/>
    </row>
    <row r="719" spans="1:17" ht="270" x14ac:dyDescent="0.25">
      <c r="A719" s="9" t="s">
        <v>6811</v>
      </c>
      <c r="B719" s="9" t="s">
        <v>6812</v>
      </c>
      <c r="C719" s="9" t="s">
        <v>6777</v>
      </c>
      <c r="D719" s="9" t="s">
        <v>6742</v>
      </c>
      <c r="E719" s="9" t="s">
        <v>5337</v>
      </c>
      <c r="F719" s="9" t="s">
        <v>252</v>
      </c>
      <c r="G719" s="10" t="s">
        <v>6685</v>
      </c>
      <c r="H719" s="9" t="s">
        <v>6273</v>
      </c>
      <c r="I719" s="9"/>
      <c r="J719" s="9"/>
      <c r="K719" s="9"/>
      <c r="L719" s="9"/>
      <c r="M719" s="9" t="s">
        <v>5338</v>
      </c>
      <c r="N719" s="9"/>
      <c r="O719" s="9" t="s">
        <v>5339</v>
      </c>
      <c r="P719" s="9" t="str">
        <f>HYPERLINK("https://ceds.ed.gov/cedselementdetails.aspx?termid=13161")</f>
        <v>https://ceds.ed.gov/cedselementdetails.aspx?termid=13161</v>
      </c>
      <c r="Q719" s="9" t="str">
        <f>HYPERLINK("https://ceds.ed.gov/elementComment.aspx?elementName=School Identification System &amp;elementID=13161", "Click here to submit comment")</f>
        <v>Click here to submit comment</v>
      </c>
    </row>
    <row r="720" spans="1:17" ht="225" x14ac:dyDescent="0.25">
      <c r="A720" s="9" t="s">
        <v>6811</v>
      </c>
      <c r="B720" s="9" t="s">
        <v>6812</v>
      </c>
      <c r="C720" s="9" t="s">
        <v>6777</v>
      </c>
      <c r="D720" s="9" t="s">
        <v>6742</v>
      </c>
      <c r="E720" s="9" t="s">
        <v>4296</v>
      </c>
      <c r="F720" s="9" t="s">
        <v>4297</v>
      </c>
      <c r="G720" s="9" t="s">
        <v>12</v>
      </c>
      <c r="H720" s="9" t="s">
        <v>6245</v>
      </c>
      <c r="I720" s="9"/>
      <c r="J720" s="9" t="s">
        <v>92</v>
      </c>
      <c r="K720" s="9"/>
      <c r="L720" s="9"/>
      <c r="M720" s="9" t="s">
        <v>4298</v>
      </c>
      <c r="N720" s="9"/>
      <c r="O720" s="9" t="s">
        <v>4299</v>
      </c>
      <c r="P720" s="9" t="str">
        <f>HYPERLINK("https://ceds.ed.gov/cedselementdetails.aspx?termid=13191")</f>
        <v>https://ceds.ed.gov/cedselementdetails.aspx?termid=13191</v>
      </c>
      <c r="Q720" s="9" t="str">
        <f>HYPERLINK("https://ceds.ed.gov/elementComment.aspx?elementName=Name of Institution &amp;elementID=13191", "Click here to submit comment")</f>
        <v>Click here to submit comment</v>
      </c>
    </row>
    <row r="721" spans="1:17" ht="90" x14ac:dyDescent="0.25">
      <c r="A721" s="9" t="s">
        <v>6811</v>
      </c>
      <c r="B721" s="9" t="s">
        <v>6812</v>
      </c>
      <c r="C721" s="9" t="s">
        <v>6777</v>
      </c>
      <c r="D721" s="9" t="s">
        <v>6742</v>
      </c>
      <c r="E721" s="9" t="s">
        <v>5476</v>
      </c>
      <c r="F721" s="9" t="s">
        <v>5477</v>
      </c>
      <c r="G721" s="9" t="s">
        <v>12</v>
      </c>
      <c r="H721" s="9"/>
      <c r="I721" s="9"/>
      <c r="J721" s="9" t="s">
        <v>87</v>
      </c>
      <c r="K721" s="9"/>
      <c r="L721" s="9" t="s">
        <v>5478</v>
      </c>
      <c r="M721" s="9" t="s">
        <v>5479</v>
      </c>
      <c r="N721" s="9"/>
      <c r="O721" s="9" t="s">
        <v>5480</v>
      </c>
      <c r="P721" s="9" t="str">
        <f>HYPERLINK("https://ceds.ed.gov/cedselementdetails.aspx?termid=14459")</f>
        <v>https://ceds.ed.gov/cedselementdetails.aspx?termid=14459</v>
      </c>
      <c r="Q721" s="9" t="str">
        <f>HYPERLINK("https://ceds.ed.gov/elementComment.aspx?elementName=Short Name of Institution &amp;elementID=14459", "Click here to submit comment")</f>
        <v>Click here to submit comment</v>
      </c>
    </row>
    <row r="722" spans="1:17" ht="409.5" x14ac:dyDescent="0.25">
      <c r="A722" s="9" t="s">
        <v>6811</v>
      </c>
      <c r="B722" s="9" t="s">
        <v>6812</v>
      </c>
      <c r="C722" s="9" t="s">
        <v>6777</v>
      </c>
      <c r="D722" s="9" t="s">
        <v>6742</v>
      </c>
      <c r="E722" s="9" t="s">
        <v>4468</v>
      </c>
      <c r="F722" s="9" t="s">
        <v>4469</v>
      </c>
      <c r="G722" s="10" t="s">
        <v>11905</v>
      </c>
      <c r="H722" s="9"/>
      <c r="I722" s="9" t="s">
        <v>91</v>
      </c>
      <c r="J722" s="9"/>
      <c r="K722" s="9"/>
      <c r="L722" s="9" t="s">
        <v>4470</v>
      </c>
      <c r="M722" s="9" t="s">
        <v>4471</v>
      </c>
      <c r="N722" s="9"/>
      <c r="O722" s="9" t="s">
        <v>4472</v>
      </c>
      <c r="P722" s="9" t="str">
        <f>HYPERLINK("https://ceds.ed.gov/cedselementdetails.aspx?termid=14165")</f>
        <v>https://ceds.ed.gov/cedselementdetails.aspx?termid=14165</v>
      </c>
      <c r="Q722" s="9" t="str">
        <f>HYPERLINK("https://ceds.ed.gov/elementComment.aspx?elementName=Organization Type &amp;elementID=14165", "Click here to submit comment")</f>
        <v>Click here to submit comment</v>
      </c>
    </row>
    <row r="723" spans="1:17" ht="45" x14ac:dyDescent="0.25">
      <c r="A723" s="9" t="s">
        <v>6811</v>
      </c>
      <c r="B723" s="9" t="s">
        <v>6812</v>
      </c>
      <c r="C723" s="9" t="s">
        <v>6777</v>
      </c>
      <c r="D723" s="9" t="s">
        <v>6746</v>
      </c>
      <c r="E723" s="9" t="s">
        <v>11666</v>
      </c>
      <c r="F723" s="9" t="s">
        <v>11667</v>
      </c>
      <c r="G723" s="10" t="s">
        <v>11904</v>
      </c>
      <c r="H723" s="9"/>
      <c r="I723" s="9" t="s">
        <v>1457</v>
      </c>
      <c r="J723" s="9"/>
      <c r="K723" s="9"/>
      <c r="L723" s="9"/>
      <c r="M723" s="9" t="s">
        <v>11669</v>
      </c>
      <c r="N723" s="9"/>
      <c r="O723" s="9" t="s">
        <v>11670</v>
      </c>
      <c r="P723" s="9" t="str">
        <f>HYPERLINK("https://ceds.ed.gov/cedselementdetails.aspx?termid=14886")</f>
        <v>https://ceds.ed.gov/cedselementdetails.aspx?termid=14886</v>
      </c>
      <c r="Q723" s="9" t="str">
        <f>HYPERLINK("https://ceds.ed.gov/elementComment.aspx?elementName=Organization Relationship Type &amp;elementID=14886", "Click here to submit comment")</f>
        <v>Click here to submit comment</v>
      </c>
    </row>
    <row r="724" spans="1:17" ht="90" x14ac:dyDescent="0.25">
      <c r="A724" s="9" t="s">
        <v>6811</v>
      </c>
      <c r="B724" s="9" t="s">
        <v>6812</v>
      </c>
      <c r="C724" s="9" t="s">
        <v>6783</v>
      </c>
      <c r="D724" s="9" t="s">
        <v>6742</v>
      </c>
      <c r="E724" s="9" t="s">
        <v>174</v>
      </c>
      <c r="F724" s="9" t="s">
        <v>175</v>
      </c>
      <c r="G724" s="10" t="s">
        <v>6320</v>
      </c>
      <c r="H724" s="9" t="s">
        <v>6109</v>
      </c>
      <c r="I724" s="9"/>
      <c r="J724" s="9" t="s">
        <v>87</v>
      </c>
      <c r="K724" s="9"/>
      <c r="L724" s="9"/>
      <c r="M724" s="9" t="s">
        <v>176</v>
      </c>
      <c r="N724" s="9"/>
      <c r="O724" s="9" t="s">
        <v>177</v>
      </c>
      <c r="P724" s="9" t="str">
        <f>HYPERLINK("https://ceds.ed.gov/cedselementdetails.aspx?termid=13644")</f>
        <v>https://ceds.ed.gov/cedselementdetails.aspx?termid=13644</v>
      </c>
      <c r="Q724" s="9" t="str">
        <f>HYPERLINK("https://ceds.ed.gov/elementComment.aspx?elementName=Address Type for Organization &amp;elementID=13644", "Click here to submit comment")</f>
        <v>Click here to submit comment</v>
      </c>
    </row>
    <row r="725" spans="1:17" ht="225" x14ac:dyDescent="0.25">
      <c r="A725" s="9" t="s">
        <v>6811</v>
      </c>
      <c r="B725" s="9" t="s">
        <v>6812</v>
      </c>
      <c r="C725" s="9" t="s">
        <v>6783</v>
      </c>
      <c r="D725" s="9" t="s">
        <v>6742</v>
      </c>
      <c r="E725" s="9" t="s">
        <v>166</v>
      </c>
      <c r="F725" s="9" t="s">
        <v>167</v>
      </c>
      <c r="G725" s="9" t="s">
        <v>12</v>
      </c>
      <c r="H725" s="9" t="s">
        <v>6113</v>
      </c>
      <c r="I725" s="9"/>
      <c r="J725" s="9" t="s">
        <v>119</v>
      </c>
      <c r="K725" s="9"/>
      <c r="L725" s="9"/>
      <c r="M725" s="9" t="s">
        <v>168</v>
      </c>
      <c r="N725" s="9"/>
      <c r="O725" s="9" t="s">
        <v>169</v>
      </c>
      <c r="P725" s="9" t="str">
        <f>HYPERLINK("https://ceds.ed.gov/cedselementdetails.aspx?termid=13269")</f>
        <v>https://ceds.ed.gov/cedselementdetails.aspx?termid=13269</v>
      </c>
      <c r="Q725" s="9" t="str">
        <f>HYPERLINK("https://ceds.ed.gov/elementComment.aspx?elementName=Address Street Number and Name &amp;elementID=13269", "Click here to submit comment")</f>
        <v>Click here to submit comment</v>
      </c>
    </row>
    <row r="726" spans="1:17" ht="225" x14ac:dyDescent="0.25">
      <c r="A726" s="9" t="s">
        <v>6811</v>
      </c>
      <c r="B726" s="9" t="s">
        <v>6812</v>
      </c>
      <c r="C726" s="9" t="s">
        <v>6783</v>
      </c>
      <c r="D726" s="9" t="s">
        <v>6742</v>
      </c>
      <c r="E726" s="9" t="s">
        <v>149</v>
      </c>
      <c r="F726" s="9" t="s">
        <v>150</v>
      </c>
      <c r="G726" s="9" t="s">
        <v>12</v>
      </c>
      <c r="H726" s="9" t="s">
        <v>6113</v>
      </c>
      <c r="I726" s="9"/>
      <c r="J726" s="9" t="s">
        <v>87</v>
      </c>
      <c r="K726" s="9"/>
      <c r="L726" s="9"/>
      <c r="M726" s="9" t="s">
        <v>151</v>
      </c>
      <c r="N726" s="9"/>
      <c r="O726" s="9" t="s">
        <v>152</v>
      </c>
      <c r="P726" s="9" t="str">
        <f>HYPERLINK("https://ceds.ed.gov/cedselementdetails.aspx?termid=13019")</f>
        <v>https://ceds.ed.gov/cedselementdetails.aspx?termid=13019</v>
      </c>
      <c r="Q726" s="9" t="str">
        <f>HYPERLINK("https://ceds.ed.gov/elementComment.aspx?elementName=Address Apartment Room or Suite Number &amp;elementID=13019", "Click here to submit comment")</f>
        <v>Click here to submit comment</v>
      </c>
    </row>
    <row r="727" spans="1:17" ht="225" x14ac:dyDescent="0.25">
      <c r="A727" s="9" t="s">
        <v>6811</v>
      </c>
      <c r="B727" s="9" t="s">
        <v>6812</v>
      </c>
      <c r="C727" s="9" t="s">
        <v>6783</v>
      </c>
      <c r="D727" s="9" t="s">
        <v>6742</v>
      </c>
      <c r="E727" s="9" t="s">
        <v>153</v>
      </c>
      <c r="F727" s="9" t="s">
        <v>154</v>
      </c>
      <c r="G727" s="9" t="s">
        <v>12</v>
      </c>
      <c r="H727" s="9" t="s">
        <v>6113</v>
      </c>
      <c r="I727" s="9"/>
      <c r="J727" s="9" t="s">
        <v>87</v>
      </c>
      <c r="K727" s="9"/>
      <c r="L727" s="9"/>
      <c r="M727" s="9" t="s">
        <v>155</v>
      </c>
      <c r="N727" s="9"/>
      <c r="O727" s="9" t="s">
        <v>156</v>
      </c>
      <c r="P727" s="9" t="str">
        <f>HYPERLINK("https://ceds.ed.gov/cedselementdetails.aspx?termid=13040")</f>
        <v>https://ceds.ed.gov/cedselementdetails.aspx?termid=13040</v>
      </c>
      <c r="Q727" s="9" t="str">
        <f>HYPERLINK("https://ceds.ed.gov/elementComment.aspx?elementName=Address City &amp;elementID=13040", "Click here to submit comment")</f>
        <v>Click here to submit comment</v>
      </c>
    </row>
    <row r="728" spans="1:17" ht="409.5" x14ac:dyDescent="0.25">
      <c r="A728" s="9" t="s">
        <v>6811</v>
      </c>
      <c r="B728" s="9" t="s">
        <v>6812</v>
      </c>
      <c r="C728" s="9" t="s">
        <v>6783</v>
      </c>
      <c r="D728" s="9" t="s">
        <v>6742</v>
      </c>
      <c r="E728" s="9" t="s">
        <v>5647</v>
      </c>
      <c r="F728" s="9" t="s">
        <v>5648</v>
      </c>
      <c r="G728" s="10" t="s">
        <v>6702</v>
      </c>
      <c r="H728" s="9" t="s">
        <v>6285</v>
      </c>
      <c r="I728" s="9"/>
      <c r="J728" s="9"/>
      <c r="K728" s="9"/>
      <c r="L728" s="9"/>
      <c r="M728" s="9" t="s">
        <v>5649</v>
      </c>
      <c r="N728" s="9"/>
      <c r="O728" s="9" t="s">
        <v>5650</v>
      </c>
      <c r="P728" s="9" t="str">
        <f>HYPERLINK("https://ceds.ed.gov/cedselementdetails.aspx?termid=13267")</f>
        <v>https://ceds.ed.gov/cedselementdetails.aspx?termid=13267</v>
      </c>
      <c r="Q728" s="9" t="str">
        <f>HYPERLINK("https://ceds.ed.gov/elementComment.aspx?elementName=State Abbreviation &amp;elementID=13267", "Click here to submit comment")</f>
        <v>Click here to submit comment</v>
      </c>
    </row>
    <row r="729" spans="1:17" ht="225" x14ac:dyDescent="0.25">
      <c r="A729" s="9" t="s">
        <v>6811</v>
      </c>
      <c r="B729" s="9" t="s">
        <v>6812</v>
      </c>
      <c r="C729" s="9" t="s">
        <v>6783</v>
      </c>
      <c r="D729" s="9" t="s">
        <v>6742</v>
      </c>
      <c r="E729" s="9" t="s">
        <v>161</v>
      </c>
      <c r="F729" s="9" t="s">
        <v>162</v>
      </c>
      <c r="G729" s="9" t="s">
        <v>12</v>
      </c>
      <c r="H729" s="9" t="s">
        <v>6113</v>
      </c>
      <c r="I729" s="9"/>
      <c r="J729" s="9" t="s">
        <v>163</v>
      </c>
      <c r="K729" s="9"/>
      <c r="L729" s="9"/>
      <c r="M729" s="9" t="s">
        <v>164</v>
      </c>
      <c r="N729" s="9"/>
      <c r="O729" s="9" t="s">
        <v>165</v>
      </c>
      <c r="P729" s="9" t="str">
        <f>HYPERLINK("https://ceds.ed.gov/cedselementdetails.aspx?termid=13214")</f>
        <v>https://ceds.ed.gov/cedselementdetails.aspx?termid=13214</v>
      </c>
      <c r="Q729" s="9" t="str">
        <f>HYPERLINK("https://ceds.ed.gov/elementComment.aspx?elementName=Address Postal Code &amp;elementID=13214", "Click here to submit comment")</f>
        <v>Click here to submit comment</v>
      </c>
    </row>
    <row r="730" spans="1:17" ht="225" x14ac:dyDescent="0.25">
      <c r="A730" s="9" t="s">
        <v>6811</v>
      </c>
      <c r="B730" s="9" t="s">
        <v>6812</v>
      </c>
      <c r="C730" s="9" t="s">
        <v>6783</v>
      </c>
      <c r="D730" s="9" t="s">
        <v>6742</v>
      </c>
      <c r="E730" s="9" t="s">
        <v>157</v>
      </c>
      <c r="F730" s="9" t="s">
        <v>158</v>
      </c>
      <c r="G730" s="9" t="s">
        <v>12</v>
      </c>
      <c r="H730" s="9" t="s">
        <v>6113</v>
      </c>
      <c r="I730" s="9"/>
      <c r="J730" s="9" t="s">
        <v>87</v>
      </c>
      <c r="K730" s="9"/>
      <c r="L730" s="9"/>
      <c r="M730" s="9" t="s">
        <v>159</v>
      </c>
      <c r="N730" s="9"/>
      <c r="O730" s="9" t="s">
        <v>160</v>
      </c>
      <c r="P730" s="9" t="str">
        <f>HYPERLINK("https://ceds.ed.gov/cedselementdetails.aspx?termid=13190")</f>
        <v>https://ceds.ed.gov/cedselementdetails.aspx?termid=13190</v>
      </c>
      <c r="Q730" s="9" t="str">
        <f>HYPERLINK("https://ceds.ed.gov/elementComment.aspx?elementName=Address County Name &amp;elementID=13190", "Click here to submit comment")</f>
        <v>Click here to submit comment</v>
      </c>
    </row>
    <row r="731" spans="1:17" ht="180" x14ac:dyDescent="0.25">
      <c r="A731" s="9" t="s">
        <v>6811</v>
      </c>
      <c r="B731" s="9" t="s">
        <v>6812</v>
      </c>
      <c r="C731" s="9" t="s">
        <v>6783</v>
      </c>
      <c r="D731" s="9" t="s">
        <v>6742</v>
      </c>
      <c r="E731" s="9" t="s">
        <v>1894</v>
      </c>
      <c r="F731" s="9" t="s">
        <v>1895</v>
      </c>
      <c r="G731" s="9" t="s">
        <v>12</v>
      </c>
      <c r="H731" s="9"/>
      <c r="I731" s="9"/>
      <c r="J731" s="9" t="s">
        <v>10933</v>
      </c>
      <c r="K731" s="9"/>
      <c r="L731" s="9"/>
      <c r="M731" s="9" t="s">
        <v>1896</v>
      </c>
      <c r="N731" s="9"/>
      <c r="O731" s="9" t="s">
        <v>1897</v>
      </c>
      <c r="P731" s="9" t="str">
        <f>HYPERLINK("https://ceds.ed.gov/cedselementdetails.aspx?termid=14176")</f>
        <v>https://ceds.ed.gov/cedselementdetails.aspx?termid=14176</v>
      </c>
      <c r="Q731" s="9" t="str">
        <f>HYPERLINK("https://ceds.ed.gov/elementComment.aspx?elementName=County ANSI Code &amp;elementID=14176", "Click here to submit comment")</f>
        <v>Click here to submit comment</v>
      </c>
    </row>
    <row r="732" spans="1:17" ht="45" x14ac:dyDescent="0.25">
      <c r="A732" s="9" t="s">
        <v>6811</v>
      </c>
      <c r="B732" s="9" t="s">
        <v>6812</v>
      </c>
      <c r="C732" s="9" t="s">
        <v>6783</v>
      </c>
      <c r="D732" s="9" t="s">
        <v>6742</v>
      </c>
      <c r="E732" s="9" t="s">
        <v>1557</v>
      </c>
      <c r="F732" s="9" t="s">
        <v>1558</v>
      </c>
      <c r="G732" s="9" t="s">
        <v>12</v>
      </c>
      <c r="H732" s="9"/>
      <c r="I732" s="9"/>
      <c r="J732" s="9" t="s">
        <v>87</v>
      </c>
      <c r="K732" s="9"/>
      <c r="L732" s="9"/>
      <c r="M732" s="9" t="s">
        <v>1559</v>
      </c>
      <c r="N732" s="9"/>
      <c r="O732" s="9" t="s">
        <v>1560</v>
      </c>
      <c r="P732" s="9" t="str">
        <f>HYPERLINK("https://ceds.ed.gov/cedselementdetails.aspx?termid=13595")</f>
        <v>https://ceds.ed.gov/cedselementdetails.aspx?termid=13595</v>
      </c>
      <c r="Q732" s="9" t="str">
        <f>HYPERLINK("https://ceds.ed.gov/elementComment.aspx?elementName=Building Site Number &amp;elementID=13595", "Click here to submit comment")</f>
        <v>Click here to submit comment</v>
      </c>
    </row>
    <row r="733" spans="1:17" ht="75" x14ac:dyDescent="0.25">
      <c r="A733" s="9" t="s">
        <v>6811</v>
      </c>
      <c r="B733" s="9" t="s">
        <v>6812</v>
      </c>
      <c r="C733" s="9" t="s">
        <v>6783</v>
      </c>
      <c r="D733" s="9" t="s">
        <v>6742</v>
      </c>
      <c r="E733" s="9" t="s">
        <v>3606</v>
      </c>
      <c r="F733" s="9" t="s">
        <v>3607</v>
      </c>
      <c r="G733" s="9" t="s">
        <v>12</v>
      </c>
      <c r="H733" s="9"/>
      <c r="I733" s="9"/>
      <c r="J733" s="9" t="s">
        <v>1165</v>
      </c>
      <c r="K733" s="9"/>
      <c r="L733" s="9"/>
      <c r="M733" s="9" t="s">
        <v>3608</v>
      </c>
      <c r="N733" s="9"/>
      <c r="O733" s="9" t="s">
        <v>3606</v>
      </c>
      <c r="P733" s="9" t="str">
        <f>HYPERLINK("https://ceds.ed.gov/cedselementdetails.aspx?termid=13599")</f>
        <v>https://ceds.ed.gov/cedselementdetails.aspx?termid=13599</v>
      </c>
      <c r="Q733" s="9" t="str">
        <f>HYPERLINK("https://ceds.ed.gov/elementComment.aspx?elementName=Latitude &amp;elementID=13599", "Click here to submit comment")</f>
        <v>Click here to submit comment</v>
      </c>
    </row>
    <row r="734" spans="1:17" ht="75" x14ac:dyDescent="0.25">
      <c r="A734" s="9" t="s">
        <v>6811</v>
      </c>
      <c r="B734" s="9" t="s">
        <v>6812</v>
      </c>
      <c r="C734" s="9" t="s">
        <v>6783</v>
      </c>
      <c r="D734" s="9" t="s">
        <v>6742</v>
      </c>
      <c r="E734" s="9" t="s">
        <v>4139</v>
      </c>
      <c r="F734" s="9" t="s">
        <v>4140</v>
      </c>
      <c r="G734" s="9" t="s">
        <v>12</v>
      </c>
      <c r="H734" s="9"/>
      <c r="I734" s="9"/>
      <c r="J734" s="9" t="s">
        <v>1165</v>
      </c>
      <c r="K734" s="9"/>
      <c r="L734" s="9"/>
      <c r="M734" s="9" t="s">
        <v>4141</v>
      </c>
      <c r="N734" s="9"/>
      <c r="O734" s="9" t="s">
        <v>4139</v>
      </c>
      <c r="P734" s="9" t="str">
        <f>HYPERLINK("https://ceds.ed.gov/cedselementdetails.aspx?termid=13600")</f>
        <v>https://ceds.ed.gov/cedselementdetails.aspx?termid=13600</v>
      </c>
      <c r="Q734" s="9" t="str">
        <f>HYPERLINK("https://ceds.ed.gov/elementComment.aspx?elementName=Longitude &amp;elementID=13600", "Click here to submit comment")</f>
        <v>Click here to submit comment</v>
      </c>
    </row>
    <row r="735" spans="1:17" ht="90" x14ac:dyDescent="0.25">
      <c r="A735" s="9" t="s">
        <v>6811</v>
      </c>
      <c r="B735" s="9" t="s">
        <v>6812</v>
      </c>
      <c r="C735" s="9" t="s">
        <v>6784</v>
      </c>
      <c r="D735" s="9" t="s">
        <v>6742</v>
      </c>
      <c r="E735" s="9" t="s">
        <v>5849</v>
      </c>
      <c r="F735" s="9" t="s">
        <v>5850</v>
      </c>
      <c r="G735" s="9" t="s">
        <v>12</v>
      </c>
      <c r="H735" s="9" t="s">
        <v>6109</v>
      </c>
      <c r="I735" s="9"/>
      <c r="J735" s="9" t="s">
        <v>5851</v>
      </c>
      <c r="K735" s="9"/>
      <c r="L735" s="9"/>
      <c r="M735" s="9" t="s">
        <v>5852</v>
      </c>
      <c r="N735" s="9"/>
      <c r="O735" s="9" t="s">
        <v>5853</v>
      </c>
      <c r="P735" s="9" t="str">
        <f>HYPERLINK("https://ceds.ed.gov/cedselementdetails.aspx?termid=13279")</f>
        <v>https://ceds.ed.gov/cedselementdetails.aspx?termid=13279</v>
      </c>
      <c r="Q735" s="9" t="str">
        <f>HYPERLINK("https://ceds.ed.gov/elementComment.aspx?elementName=Telephone Number &amp;elementID=13279", "Click here to submit comment")</f>
        <v>Click here to submit comment</v>
      </c>
    </row>
    <row r="736" spans="1:17" ht="165" x14ac:dyDescent="0.25">
      <c r="A736" s="9" t="s">
        <v>6811</v>
      </c>
      <c r="B736" s="9" t="s">
        <v>6812</v>
      </c>
      <c r="C736" s="9" t="s">
        <v>6784</v>
      </c>
      <c r="D736" s="9" t="s">
        <v>6742</v>
      </c>
      <c r="E736" s="9" t="s">
        <v>3445</v>
      </c>
      <c r="F736" s="9" t="s">
        <v>3446</v>
      </c>
      <c r="G736" s="10" t="s">
        <v>6560</v>
      </c>
      <c r="H736" s="9"/>
      <c r="I736" s="9"/>
      <c r="J736" s="9"/>
      <c r="K736" s="9"/>
      <c r="L736" s="9"/>
      <c r="M736" s="9" t="s">
        <v>3447</v>
      </c>
      <c r="N736" s="9"/>
      <c r="O736" s="9" t="s">
        <v>3448</v>
      </c>
      <c r="P736" s="9" t="str">
        <f>HYPERLINK("https://ceds.ed.gov/cedselementdetails.aspx?termid=13167")</f>
        <v>https://ceds.ed.gov/cedselementdetails.aspx?termid=13167</v>
      </c>
      <c r="Q736" s="9" t="str">
        <f>HYPERLINK("https://ceds.ed.gov/elementComment.aspx?elementName=Institution Telephone Number Type &amp;elementID=13167", "Click here to submit comment")</f>
        <v>Click here to submit comment</v>
      </c>
    </row>
    <row r="737" spans="1:17" ht="90" x14ac:dyDescent="0.25">
      <c r="A737" s="9" t="s">
        <v>6811</v>
      </c>
      <c r="B737" s="9" t="s">
        <v>6812</v>
      </c>
      <c r="C737" s="9" t="s">
        <v>6784</v>
      </c>
      <c r="D737" s="9" t="s">
        <v>6742</v>
      </c>
      <c r="E737" s="9" t="s">
        <v>4709</v>
      </c>
      <c r="F737" s="9" t="s">
        <v>4710</v>
      </c>
      <c r="G737" s="9" t="s">
        <v>6106</v>
      </c>
      <c r="H737" s="9" t="s">
        <v>6109</v>
      </c>
      <c r="I737" s="9"/>
      <c r="J737" s="9"/>
      <c r="K737" s="9"/>
      <c r="L737" s="9"/>
      <c r="M737" s="9" t="s">
        <v>4711</v>
      </c>
      <c r="N737" s="9"/>
      <c r="O737" s="9" t="s">
        <v>4712</v>
      </c>
      <c r="P737" s="9" t="str">
        <f>HYPERLINK("https://ceds.ed.gov/cedselementdetails.aspx?termid=13219")</f>
        <v>https://ceds.ed.gov/cedselementdetails.aspx?termid=13219</v>
      </c>
      <c r="Q737" s="9" t="str">
        <f>HYPERLINK("https://ceds.ed.gov/elementComment.aspx?elementName=Primary Telephone Number Indicator &amp;elementID=13219", "Click here to submit comment")</f>
        <v>Click here to submit comment</v>
      </c>
    </row>
    <row r="738" spans="1:17" ht="105" x14ac:dyDescent="0.25">
      <c r="A738" s="9" t="s">
        <v>6811</v>
      </c>
      <c r="B738" s="9" t="s">
        <v>6812</v>
      </c>
      <c r="C738" s="9" t="s">
        <v>6786</v>
      </c>
      <c r="D738" s="9" t="s">
        <v>6742</v>
      </c>
      <c r="E738" s="9" t="s">
        <v>5375</v>
      </c>
      <c r="F738" s="9" t="s">
        <v>5376</v>
      </c>
      <c r="G738" s="10" t="s">
        <v>6690</v>
      </c>
      <c r="H738" s="9" t="s">
        <v>6109</v>
      </c>
      <c r="I738" s="9"/>
      <c r="J738" s="9"/>
      <c r="K738" s="9"/>
      <c r="L738" s="9"/>
      <c r="M738" s="9" t="s">
        <v>5377</v>
      </c>
      <c r="N738" s="9"/>
      <c r="O738" s="9" t="s">
        <v>5378</v>
      </c>
      <c r="P738" s="9" t="str">
        <f>HYPERLINK("https://ceds.ed.gov/cedselementdetails.aspx?termid=13242")</f>
        <v>https://ceds.ed.gov/cedselementdetails.aspx?termid=13242</v>
      </c>
      <c r="Q738" s="9" t="str">
        <f>HYPERLINK("https://ceds.ed.gov/elementComment.aspx?elementName=School Type &amp;elementID=13242", "Click here to submit comment")</f>
        <v>Click here to submit comment</v>
      </c>
    </row>
    <row r="739" spans="1:17" ht="225" x14ac:dyDescent="0.25">
      <c r="A739" s="9" t="s">
        <v>6811</v>
      </c>
      <c r="B739" s="9" t="s">
        <v>6812</v>
      </c>
      <c r="C739" s="9" t="s">
        <v>6786</v>
      </c>
      <c r="D739" s="9" t="s">
        <v>6742</v>
      </c>
      <c r="E739" s="9" t="s">
        <v>5367</v>
      </c>
      <c r="F739" s="9" t="s">
        <v>5368</v>
      </c>
      <c r="G739" s="10" t="s">
        <v>6688</v>
      </c>
      <c r="H739" s="9"/>
      <c r="I739" s="9"/>
      <c r="J739" s="9"/>
      <c r="K739" s="9"/>
      <c r="L739" s="9"/>
      <c r="M739" s="9" t="s">
        <v>5369</v>
      </c>
      <c r="N739" s="9"/>
      <c r="O739" s="9" t="s">
        <v>5370</v>
      </c>
      <c r="P739" s="9" t="str">
        <f>HYPERLINK("https://ceds.ed.gov/cedselementdetails.aspx?termid=13241")</f>
        <v>https://ceds.ed.gov/cedselementdetails.aspx?termid=13241</v>
      </c>
      <c r="Q739" s="9" t="str">
        <f>HYPERLINK("https://ceds.ed.gov/elementComment.aspx?elementName=School Level &amp;elementID=13241", "Click here to submit comment")</f>
        <v>Click here to submit comment</v>
      </c>
    </row>
    <row r="740" spans="1:17" ht="135" x14ac:dyDescent="0.25">
      <c r="A740" s="9" t="s">
        <v>6811</v>
      </c>
      <c r="B740" s="9" t="s">
        <v>6812</v>
      </c>
      <c r="C740" s="9" t="s">
        <v>6786</v>
      </c>
      <c r="D740" s="9" t="s">
        <v>6742</v>
      </c>
      <c r="E740" s="9" t="s">
        <v>4146</v>
      </c>
      <c r="F740" s="9" t="s">
        <v>4147</v>
      </c>
      <c r="G740" s="10" t="s">
        <v>6609</v>
      </c>
      <c r="H740" s="9" t="s">
        <v>6109</v>
      </c>
      <c r="I740" s="9"/>
      <c r="J740" s="9"/>
      <c r="K740" s="9"/>
      <c r="L740" s="9"/>
      <c r="M740" s="9" t="s">
        <v>4148</v>
      </c>
      <c r="N740" s="9"/>
      <c r="O740" s="9" t="s">
        <v>4149</v>
      </c>
      <c r="P740" s="9" t="str">
        <f>HYPERLINK("https://ceds.ed.gov/cedselementdetails.aspx?termid=13181")</f>
        <v>https://ceds.ed.gov/cedselementdetails.aspx?termid=13181</v>
      </c>
      <c r="Q740" s="9" t="str">
        <f>HYPERLINK("https://ceds.ed.gov/elementComment.aspx?elementName=Magnet or Special Program Emphasis School &amp;elementID=13181", "Click here to submit comment")</f>
        <v>Click here to submit comment</v>
      </c>
    </row>
    <row r="741" spans="1:17" ht="390" x14ac:dyDescent="0.25">
      <c r="A741" s="9" t="s">
        <v>6811</v>
      </c>
      <c r="B741" s="9" t="s">
        <v>6812</v>
      </c>
      <c r="C741" s="9" t="s">
        <v>6786</v>
      </c>
      <c r="D741" s="9" t="s">
        <v>6742</v>
      </c>
      <c r="E741" s="9" t="s">
        <v>3052</v>
      </c>
      <c r="F741" s="9" t="s">
        <v>3053</v>
      </c>
      <c r="G741" s="10" t="s">
        <v>6526</v>
      </c>
      <c r="H741" s="9" t="s">
        <v>6109</v>
      </c>
      <c r="I741" s="9"/>
      <c r="J741" s="9"/>
      <c r="K741" s="9"/>
      <c r="L741" s="9"/>
      <c r="M741" s="9" t="s">
        <v>3054</v>
      </c>
      <c r="N741" s="9"/>
      <c r="O741" s="9" t="s">
        <v>3055</v>
      </c>
      <c r="P741" s="9" t="str">
        <f>HYPERLINK("https://ceds.ed.gov/cedselementdetails.aspx?termid=13131")</f>
        <v>https://ceds.ed.gov/cedselementdetails.aspx?termid=13131</v>
      </c>
      <c r="Q741" s="9" t="str">
        <f>HYPERLINK("https://ceds.ed.gov/elementComment.aspx?elementName=Grades Offered &amp;elementID=13131", "Click here to submit comment")</f>
        <v>Click here to submit comment</v>
      </c>
    </row>
    <row r="742" spans="1:17" ht="60" x14ac:dyDescent="0.25">
      <c r="A742" s="9" t="s">
        <v>6811</v>
      </c>
      <c r="B742" s="9" t="s">
        <v>6812</v>
      </c>
      <c r="C742" s="9" t="s">
        <v>6786</v>
      </c>
      <c r="D742" s="9" t="s">
        <v>6742</v>
      </c>
      <c r="E742" s="9" t="s">
        <v>200</v>
      </c>
      <c r="F742" s="9" t="s">
        <v>201</v>
      </c>
      <c r="G742" s="10" t="s">
        <v>6323</v>
      </c>
      <c r="H742" s="9"/>
      <c r="I742" s="9"/>
      <c r="J742" s="9"/>
      <c r="K742" s="9"/>
      <c r="L742" s="9"/>
      <c r="M742" s="9" t="s">
        <v>203</v>
      </c>
      <c r="N742" s="9"/>
      <c r="O742" s="9" t="s">
        <v>204</v>
      </c>
      <c r="P742" s="9" t="str">
        <f>HYPERLINK("https://ceds.ed.gov/cedselementdetails.aspx?termid=13012")</f>
        <v>https://ceds.ed.gov/cedselementdetails.aspx?termid=13012</v>
      </c>
      <c r="Q742" s="9" t="str">
        <f>HYPERLINK("https://ceds.ed.gov/elementComment.aspx?elementName=Administrative Funding Control &amp;elementID=13012", "Click here to submit comment")</f>
        <v>Click here to submit comment</v>
      </c>
    </row>
    <row r="743" spans="1:17" ht="135" x14ac:dyDescent="0.25">
      <c r="A743" s="9" t="s">
        <v>6811</v>
      </c>
      <c r="B743" s="9" t="s">
        <v>6812</v>
      </c>
      <c r="C743" s="9" t="s">
        <v>6786</v>
      </c>
      <c r="D743" s="9" t="s">
        <v>6742</v>
      </c>
      <c r="E743" s="9" t="s">
        <v>5371</v>
      </c>
      <c r="F743" s="9" t="s">
        <v>5372</v>
      </c>
      <c r="G743" s="10" t="s">
        <v>6689</v>
      </c>
      <c r="H743" s="9" t="s">
        <v>199</v>
      </c>
      <c r="I743" s="9"/>
      <c r="J743" s="9"/>
      <c r="K743" s="9"/>
      <c r="L743" s="9"/>
      <c r="M743" s="9" t="s">
        <v>5373</v>
      </c>
      <c r="N743" s="9"/>
      <c r="O743" s="9" t="s">
        <v>5374</v>
      </c>
      <c r="P743" s="9" t="str">
        <f>HYPERLINK("https://ceds.ed.gov/cedselementdetails.aspx?termid=13524")</f>
        <v>https://ceds.ed.gov/cedselementdetails.aspx?termid=13524</v>
      </c>
      <c r="Q743" s="9" t="str">
        <f>HYPERLINK("https://ceds.ed.gov/elementComment.aspx?elementName=School Operational Status &amp;elementID=13524", "Click here to submit comment")</f>
        <v>Click here to submit comment</v>
      </c>
    </row>
    <row r="744" spans="1:17" ht="45" x14ac:dyDescent="0.25">
      <c r="A744" s="9" t="s">
        <v>6811</v>
      </c>
      <c r="B744" s="9" t="s">
        <v>6812</v>
      </c>
      <c r="C744" s="9" t="s">
        <v>6786</v>
      </c>
      <c r="D744" s="9" t="s">
        <v>6742</v>
      </c>
      <c r="E744" s="9" t="s">
        <v>4432</v>
      </c>
      <c r="F744" s="9" t="s">
        <v>4433</v>
      </c>
      <c r="G744" s="9" t="s">
        <v>12</v>
      </c>
      <c r="H744" s="9" t="s">
        <v>199</v>
      </c>
      <c r="I744" s="9"/>
      <c r="J744" s="9" t="s">
        <v>73</v>
      </c>
      <c r="K744" s="9"/>
      <c r="L744" s="9"/>
      <c r="M744" s="9" t="s">
        <v>4434</v>
      </c>
      <c r="N744" s="9"/>
      <c r="O744" s="9" t="s">
        <v>4435</v>
      </c>
      <c r="P744" s="9" t="str">
        <f>HYPERLINK("https://ceds.ed.gov/cedselementdetails.aspx?termid=13525")</f>
        <v>https://ceds.ed.gov/cedselementdetails.aspx?termid=13525</v>
      </c>
      <c r="Q744" s="9" t="str">
        <f>HYPERLINK("https://ceds.ed.gov/elementComment.aspx?elementName=Operational Status Effective Date &amp;elementID=13525", "Click here to submit comment")</f>
        <v>Click here to submit comment</v>
      </c>
    </row>
    <row r="745" spans="1:17" ht="105" x14ac:dyDescent="0.25">
      <c r="A745" s="9" t="s">
        <v>6811</v>
      </c>
      <c r="B745" s="9" t="s">
        <v>6812</v>
      </c>
      <c r="C745" s="9" t="s">
        <v>6786</v>
      </c>
      <c r="D745" s="9" t="s">
        <v>6742</v>
      </c>
      <c r="E745" s="9" t="s">
        <v>5363</v>
      </c>
      <c r="F745" s="9" t="s">
        <v>5364</v>
      </c>
      <c r="G745" s="10" t="s">
        <v>6687</v>
      </c>
      <c r="H745" s="9" t="s">
        <v>199</v>
      </c>
      <c r="I745" s="9"/>
      <c r="J745" s="9"/>
      <c r="K745" s="9"/>
      <c r="L745" s="9"/>
      <c r="M745" s="9" t="s">
        <v>5365</v>
      </c>
      <c r="N745" s="9"/>
      <c r="O745" s="9" t="s">
        <v>5366</v>
      </c>
      <c r="P745" s="9" t="str">
        <f>HYPERLINK("https://ceds.ed.gov/cedselementdetails.aspx?termid=13240")</f>
        <v>https://ceds.ed.gov/cedselementdetails.aspx?termid=13240</v>
      </c>
      <c r="Q745" s="9" t="str">
        <f>HYPERLINK("https://ceds.ed.gov/elementComment.aspx?elementName=School Improvement Status &amp;elementID=13240", "Click here to submit comment")</f>
        <v>Click here to submit comment</v>
      </c>
    </row>
    <row r="746" spans="1:17" ht="409.5" x14ac:dyDescent="0.25">
      <c r="A746" s="9" t="s">
        <v>6811</v>
      </c>
      <c r="B746" s="9" t="s">
        <v>6812</v>
      </c>
      <c r="C746" s="9" t="s">
        <v>6786</v>
      </c>
      <c r="D746" s="9" t="s">
        <v>6742</v>
      </c>
      <c r="E746" s="9" t="s">
        <v>4969</v>
      </c>
      <c r="F746" s="9" t="s">
        <v>4970</v>
      </c>
      <c r="G746" s="10" t="s">
        <v>11907</v>
      </c>
      <c r="H746" s="9" t="s">
        <v>6109</v>
      </c>
      <c r="I746" s="9"/>
      <c r="J746" s="9"/>
      <c r="K746" s="9"/>
      <c r="L746" s="9"/>
      <c r="M746" s="9" t="s">
        <v>4971</v>
      </c>
      <c r="N746" s="9"/>
      <c r="O746" s="9" t="s">
        <v>4972</v>
      </c>
      <c r="P746" s="9" t="str">
        <f>HYPERLINK("https://ceds.ed.gov/cedselementdetails.aspx?termid=13225")</f>
        <v>https://ceds.ed.gov/cedselementdetails.aspx?termid=13225</v>
      </c>
      <c r="Q746" s="9" t="str">
        <f>HYPERLINK("https://ceds.ed.gov/elementComment.aspx?elementName=Program Type &amp;elementID=13225", "Click here to submit comment")</f>
        <v>Click here to submit comment</v>
      </c>
    </row>
    <row r="747" spans="1:17" ht="120" x14ac:dyDescent="0.25">
      <c r="A747" s="9" t="s">
        <v>6811</v>
      </c>
      <c r="B747" s="9" t="s">
        <v>6812</v>
      </c>
      <c r="C747" s="9" t="s">
        <v>6786</v>
      </c>
      <c r="D747" s="9" t="s">
        <v>6742</v>
      </c>
      <c r="E747" s="9" t="s">
        <v>330</v>
      </c>
      <c r="F747" s="9" t="s">
        <v>331</v>
      </c>
      <c r="G747" s="10" t="s">
        <v>6341</v>
      </c>
      <c r="H747" s="9" t="s">
        <v>4</v>
      </c>
      <c r="I747" s="9"/>
      <c r="J747" s="9"/>
      <c r="K747" s="9"/>
      <c r="L747" s="9"/>
      <c r="M747" s="9" t="s">
        <v>332</v>
      </c>
      <c r="N747" s="9"/>
      <c r="O747" s="9" t="s">
        <v>333</v>
      </c>
      <c r="P747" s="9" t="str">
        <f>HYPERLINK("https://ceds.ed.gov/cedselementdetails.aspx?termid=13015")</f>
        <v>https://ceds.ed.gov/cedselementdetails.aspx?termid=13015</v>
      </c>
      <c r="Q747" s="9" t="str">
        <f>HYPERLINK("https://ceds.ed.gov/elementComment.aspx?elementName=Alternative School Focus Type &amp;elementID=13015", "Click here to submit comment")</f>
        <v>Click here to submit comment</v>
      </c>
    </row>
    <row r="748" spans="1:17" ht="60" x14ac:dyDescent="0.25">
      <c r="A748" s="9" t="s">
        <v>6811</v>
      </c>
      <c r="B748" s="9" t="s">
        <v>6812</v>
      </c>
      <c r="C748" s="9" t="s">
        <v>6786</v>
      </c>
      <c r="D748" s="9" t="s">
        <v>6742</v>
      </c>
      <c r="E748" s="9" t="s">
        <v>286</v>
      </c>
      <c r="F748" s="9" t="s">
        <v>287</v>
      </c>
      <c r="G748" s="9" t="s">
        <v>6106</v>
      </c>
      <c r="H748" s="9" t="s">
        <v>4</v>
      </c>
      <c r="I748" s="9"/>
      <c r="J748" s="9"/>
      <c r="K748" s="9"/>
      <c r="L748" s="9"/>
      <c r="M748" s="9" t="s">
        <v>288</v>
      </c>
      <c r="N748" s="9" t="s">
        <v>289</v>
      </c>
      <c r="O748" s="9" t="s">
        <v>290</v>
      </c>
      <c r="P748" s="9" t="str">
        <f>HYPERLINK("https://ceds.ed.gov/cedselementdetails.aspx?termid=13017")</f>
        <v>https://ceds.ed.gov/cedselementdetails.aspx?termid=13017</v>
      </c>
      <c r="Q748" s="9" t="str">
        <f>HYPERLINK("https://ceds.ed.gov/elementComment.aspx?elementName=Advanced Placement Course Self Selection &amp;elementID=13017", "Click here to submit comment")</f>
        <v>Click here to submit comment</v>
      </c>
    </row>
    <row r="749" spans="1:17" ht="135" x14ac:dyDescent="0.25">
      <c r="A749" s="9" t="s">
        <v>6811</v>
      </c>
      <c r="B749" s="9" t="s">
        <v>6812</v>
      </c>
      <c r="C749" s="9" t="s">
        <v>6786</v>
      </c>
      <c r="D749" s="9" t="s">
        <v>6742</v>
      </c>
      <c r="E749" s="9" t="s">
        <v>1687</v>
      </c>
      <c r="F749" s="9" t="s">
        <v>1688</v>
      </c>
      <c r="G749" s="9" t="s">
        <v>6106</v>
      </c>
      <c r="H749" s="9" t="s">
        <v>6109</v>
      </c>
      <c r="I749" s="9"/>
      <c r="J749" s="9"/>
      <c r="K749" s="9" t="s">
        <v>10726</v>
      </c>
      <c r="L749" s="9" t="s">
        <v>10727</v>
      </c>
      <c r="M749" s="9" t="s">
        <v>1689</v>
      </c>
      <c r="N749" s="9"/>
      <c r="O749" s="9" t="s">
        <v>1690</v>
      </c>
      <c r="P749" s="9" t="str">
        <f>HYPERLINK("https://ceds.ed.gov/cedselementdetails.aspx?termid=13039")</f>
        <v>https://ceds.ed.gov/cedselementdetails.aspx?termid=13039</v>
      </c>
      <c r="Q749" s="9" t="str">
        <f>HYPERLINK("https://ceds.ed.gov/elementComment.aspx?elementName=Charter School Indicator &amp;elementID=13039", "Click here to submit comment")</f>
        <v>Click here to submit comment</v>
      </c>
    </row>
    <row r="750" spans="1:17" ht="75" x14ac:dyDescent="0.25">
      <c r="A750" s="9" t="s">
        <v>6811</v>
      </c>
      <c r="B750" s="9" t="s">
        <v>6812</v>
      </c>
      <c r="C750" s="9" t="s">
        <v>6786</v>
      </c>
      <c r="D750" s="9" t="s">
        <v>6742</v>
      </c>
      <c r="E750" s="9" t="s">
        <v>1699</v>
      </c>
      <c r="F750" s="9" t="s">
        <v>1700</v>
      </c>
      <c r="G750" s="10" t="s">
        <v>6402</v>
      </c>
      <c r="H750" s="9"/>
      <c r="I750" s="9"/>
      <c r="J750" s="9"/>
      <c r="K750" s="9"/>
      <c r="L750" s="9"/>
      <c r="M750" s="9" t="s">
        <v>1701</v>
      </c>
      <c r="N750" s="9"/>
      <c r="O750" s="9" t="s">
        <v>1702</v>
      </c>
      <c r="P750" s="9" t="str">
        <f>HYPERLINK("https://ceds.ed.gov/cedselementdetails.aspx?termid=13686")</f>
        <v>https://ceds.ed.gov/cedselementdetails.aspx?termid=13686</v>
      </c>
      <c r="Q750" s="9" t="str">
        <f>HYPERLINK("https://ceds.ed.gov/elementComment.aspx?elementName=Charter School Type &amp;elementID=13686", "Click here to submit comment")</f>
        <v>Click here to submit comment</v>
      </c>
    </row>
    <row r="751" spans="1:17" ht="75" x14ac:dyDescent="0.25">
      <c r="A751" s="9" t="s">
        <v>6811</v>
      </c>
      <c r="B751" s="9" t="s">
        <v>6812</v>
      </c>
      <c r="C751" s="9" t="s">
        <v>6786</v>
      </c>
      <c r="D751" s="9" t="s">
        <v>6742</v>
      </c>
      <c r="E751" s="9" t="s">
        <v>1679</v>
      </c>
      <c r="F751" s="9" t="s">
        <v>1680</v>
      </c>
      <c r="G751" s="9" t="s">
        <v>12</v>
      </c>
      <c r="H751" s="9" t="s">
        <v>199</v>
      </c>
      <c r="I751" s="9"/>
      <c r="J751" s="9" t="s">
        <v>87</v>
      </c>
      <c r="K751" s="9"/>
      <c r="L751" s="9"/>
      <c r="M751" s="9" t="s">
        <v>1681</v>
      </c>
      <c r="N751" s="9"/>
      <c r="O751" s="9" t="s">
        <v>1682</v>
      </c>
      <c r="P751" s="9" t="str">
        <f>HYPERLINK("https://ceds.ed.gov/cedselementdetails.aspx?termid=14632")</f>
        <v>https://ceds.ed.gov/cedselementdetails.aspx?termid=14632</v>
      </c>
      <c r="Q751" s="9" t="str">
        <f>HYPERLINK("https://ceds.ed.gov/elementComment.aspx?elementName=Charter School Contract Id Number &amp;elementID=14632", "Click here to submit comment")</f>
        <v>Click here to submit comment</v>
      </c>
    </row>
    <row r="752" spans="1:17" ht="90" x14ac:dyDescent="0.25">
      <c r="A752" s="9" t="s">
        <v>6811</v>
      </c>
      <c r="B752" s="9" t="s">
        <v>6812</v>
      </c>
      <c r="C752" s="9" t="s">
        <v>6786</v>
      </c>
      <c r="D752" s="9" t="s">
        <v>6742</v>
      </c>
      <c r="E752" s="9" t="s">
        <v>1675</v>
      </c>
      <c r="F752" s="9" t="s">
        <v>1676</v>
      </c>
      <c r="G752" s="9" t="s">
        <v>12</v>
      </c>
      <c r="H752" s="9" t="s">
        <v>199</v>
      </c>
      <c r="I752" s="9"/>
      <c r="J752" s="9" t="s">
        <v>73</v>
      </c>
      <c r="K752" s="9"/>
      <c r="L752" s="9"/>
      <c r="M752" s="9" t="s">
        <v>1677</v>
      </c>
      <c r="N752" s="9"/>
      <c r="O752" s="9" t="s">
        <v>1678</v>
      </c>
      <c r="P752" s="9" t="str">
        <f>HYPERLINK("https://ceds.ed.gov/cedselementdetails.aspx?termid=14633")</f>
        <v>https://ceds.ed.gov/cedselementdetails.aspx?termid=14633</v>
      </c>
      <c r="Q752" s="9" t="str">
        <f>HYPERLINK("https://ceds.ed.gov/elementComment.aspx?elementName=Charter School Contract Approval Date &amp;elementID=14633", "Click here to submit comment")</f>
        <v>Click here to submit comment</v>
      </c>
    </row>
    <row r="753" spans="1:17" ht="45" x14ac:dyDescent="0.25">
      <c r="A753" s="9" t="s">
        <v>6811</v>
      </c>
      <c r="B753" s="9" t="s">
        <v>6812</v>
      </c>
      <c r="C753" s="9" t="s">
        <v>6786</v>
      </c>
      <c r="D753" s="9" t="s">
        <v>6742</v>
      </c>
      <c r="E753" s="9" t="s">
        <v>1671</v>
      </c>
      <c r="F753" s="9" t="s">
        <v>1672</v>
      </c>
      <c r="G753" s="9" t="s">
        <v>12</v>
      </c>
      <c r="H753" s="9"/>
      <c r="I753" s="9"/>
      <c r="J753" s="9" t="s">
        <v>45</v>
      </c>
      <c r="K753" s="9"/>
      <c r="L753" s="9"/>
      <c r="M753" s="9" t="s">
        <v>1673</v>
      </c>
      <c r="N753" s="9"/>
      <c r="O753" s="9" t="s">
        <v>1674</v>
      </c>
      <c r="P753" s="9" t="str">
        <f>HYPERLINK("https://ceds.ed.gov/cedselementdetails.aspx?termid=14259")</f>
        <v>https://ceds.ed.gov/cedselementdetails.aspx?termid=14259</v>
      </c>
      <c r="Q753" s="9" t="str">
        <f>HYPERLINK("https://ceds.ed.gov/elementComment.aspx?elementName=Charter School Approval Year &amp;elementID=14259", "Click here to submit comment")</f>
        <v>Click here to submit comment</v>
      </c>
    </row>
    <row r="754" spans="1:17" ht="90" x14ac:dyDescent="0.25">
      <c r="A754" s="9" t="s">
        <v>6811</v>
      </c>
      <c r="B754" s="9" t="s">
        <v>6812</v>
      </c>
      <c r="C754" s="9" t="s">
        <v>6786</v>
      </c>
      <c r="D754" s="9" t="s">
        <v>6742</v>
      </c>
      <c r="E754" s="9" t="s">
        <v>1683</v>
      </c>
      <c r="F754" s="9" t="s">
        <v>1684</v>
      </c>
      <c r="G754" s="9" t="s">
        <v>12</v>
      </c>
      <c r="H754" s="9" t="s">
        <v>199</v>
      </c>
      <c r="I754" s="9"/>
      <c r="J754" s="9" t="s">
        <v>73</v>
      </c>
      <c r="K754" s="9"/>
      <c r="L754" s="9"/>
      <c r="M754" s="9" t="s">
        <v>1685</v>
      </c>
      <c r="N754" s="9"/>
      <c r="O754" s="9" t="s">
        <v>1686</v>
      </c>
      <c r="P754" s="9" t="str">
        <f>HYPERLINK("https://ceds.ed.gov/cedselementdetails.aspx?termid=14634")</f>
        <v>https://ceds.ed.gov/cedselementdetails.aspx?termid=14634</v>
      </c>
      <c r="Q754" s="9" t="str">
        <f>HYPERLINK("https://ceds.ed.gov/elementComment.aspx?elementName=Charter School Contract Renewal Date &amp;elementID=14634", "Click here to submit comment")</f>
        <v>Click here to submit comment</v>
      </c>
    </row>
    <row r="755" spans="1:17" ht="45" x14ac:dyDescent="0.25">
      <c r="A755" s="9" t="s">
        <v>6811</v>
      </c>
      <c r="B755" s="9" t="s">
        <v>6812</v>
      </c>
      <c r="C755" s="9" t="s">
        <v>6786</v>
      </c>
      <c r="D755" s="9" t="s">
        <v>6742</v>
      </c>
      <c r="E755" s="9" t="s">
        <v>1695</v>
      </c>
      <c r="F755" s="9" t="s">
        <v>1696</v>
      </c>
      <c r="G755" s="9" t="s">
        <v>6106</v>
      </c>
      <c r="H755" s="9"/>
      <c r="I755" s="9"/>
      <c r="J755" s="9"/>
      <c r="K755" s="9"/>
      <c r="L755" s="9"/>
      <c r="M755" s="9" t="s">
        <v>1697</v>
      </c>
      <c r="N755" s="9"/>
      <c r="O755" s="9" t="s">
        <v>1698</v>
      </c>
      <c r="P755" s="9" t="str">
        <f>HYPERLINK("https://ceds.ed.gov/cedselementdetails.aspx?termid=14524")</f>
        <v>https://ceds.ed.gov/cedselementdetails.aspx?termid=14524</v>
      </c>
      <c r="Q755" s="9" t="str">
        <f>HYPERLINK("https://ceds.ed.gov/elementComment.aspx?elementName=Charter School Open Enrollment Indicator &amp;elementID=14524", "Click here to submit comment")</f>
        <v>Click here to submit comment</v>
      </c>
    </row>
    <row r="756" spans="1:17" ht="90" x14ac:dyDescent="0.25">
      <c r="A756" s="9" t="s">
        <v>6811</v>
      </c>
      <c r="B756" s="9" t="s">
        <v>6812</v>
      </c>
      <c r="C756" s="9" t="s">
        <v>6786</v>
      </c>
      <c r="D756" s="9" t="s">
        <v>6742</v>
      </c>
      <c r="E756" s="9" t="s">
        <v>5472</v>
      </c>
      <c r="F756" s="9" t="s">
        <v>5473</v>
      </c>
      <c r="G756" s="9" t="s">
        <v>6106</v>
      </c>
      <c r="H756" s="9" t="s">
        <v>199</v>
      </c>
      <c r="I756" s="9"/>
      <c r="J756" s="9"/>
      <c r="K756" s="9"/>
      <c r="L756" s="9"/>
      <c r="M756" s="9" t="s">
        <v>5474</v>
      </c>
      <c r="N756" s="9"/>
      <c r="O756" s="9" t="s">
        <v>5475</v>
      </c>
      <c r="P756" s="9" t="str">
        <f>HYPERLINK("https://ceds.ed.gov/cedselementdetails.aspx?termid=13257")</f>
        <v>https://ceds.ed.gov/cedselementdetails.aspx?termid=13257</v>
      </c>
      <c r="Q756" s="9" t="str">
        <f>HYPERLINK("https://ceds.ed.gov/elementComment.aspx?elementName=Shared Time Indicator &amp;elementID=13257", "Click here to submit comment")</f>
        <v>Click here to submit comment</v>
      </c>
    </row>
    <row r="757" spans="1:17" ht="105" x14ac:dyDescent="0.25">
      <c r="A757" s="9" t="s">
        <v>6811</v>
      </c>
      <c r="B757" s="9" t="s">
        <v>6812</v>
      </c>
      <c r="C757" s="9" t="s">
        <v>6786</v>
      </c>
      <c r="D757" s="9" t="s">
        <v>6742</v>
      </c>
      <c r="E757" s="9" t="s">
        <v>6024</v>
      </c>
      <c r="F757" s="9" t="s">
        <v>6025</v>
      </c>
      <c r="G757" s="9" t="s">
        <v>6106</v>
      </c>
      <c r="H757" s="9"/>
      <c r="I757" s="9"/>
      <c r="J757" s="9"/>
      <c r="K757" s="9"/>
      <c r="L757" s="9"/>
      <c r="M757" s="9" t="s">
        <v>6026</v>
      </c>
      <c r="N757" s="9"/>
      <c r="O757" s="9" t="s">
        <v>6027</v>
      </c>
      <c r="P757" s="9" t="str">
        <f>HYPERLINK("https://ceds.ed.gov/cedselementdetails.aspx?termid=14167")</f>
        <v>https://ceds.ed.gov/cedselementdetails.aspx?termid=14167</v>
      </c>
      <c r="Q757" s="9" t="str">
        <f>HYPERLINK("https://ceds.ed.gov/elementComment.aspx?elementName=Virtual Indicator &amp;elementID=14167", "Click here to submit comment")</f>
        <v>Click here to submit comment</v>
      </c>
    </row>
    <row r="758" spans="1:17" ht="45" x14ac:dyDescent="0.25">
      <c r="A758" s="9" t="s">
        <v>6811</v>
      </c>
      <c r="B758" s="9" t="s">
        <v>6812</v>
      </c>
      <c r="C758" s="9" t="s">
        <v>6786</v>
      </c>
      <c r="D758" s="9" t="s">
        <v>6742</v>
      </c>
      <c r="E758" s="9" t="s">
        <v>6057</v>
      </c>
      <c r="F758" s="9" t="s">
        <v>6058</v>
      </c>
      <c r="G758" s="9" t="s">
        <v>12</v>
      </c>
      <c r="H758" s="9" t="s">
        <v>199</v>
      </c>
      <c r="I758" s="9"/>
      <c r="J758" s="9" t="s">
        <v>68</v>
      </c>
      <c r="K758" s="9"/>
      <c r="L758" s="9"/>
      <c r="M758" s="9" t="s">
        <v>6059</v>
      </c>
      <c r="N758" s="9"/>
      <c r="O758" s="9" t="s">
        <v>6060</v>
      </c>
      <c r="P758" s="9" t="str">
        <f>HYPERLINK("https://ceds.ed.gov/cedselementdetails.aspx?termid=13300")</f>
        <v>https://ceds.ed.gov/cedselementdetails.aspx?termid=13300</v>
      </c>
      <c r="Q758" s="9" t="str">
        <f>HYPERLINK("https://ceds.ed.gov/elementComment.aspx?elementName=Web Site Address &amp;elementID=13300", "Click here to submit comment")</f>
        <v>Click here to submit comment</v>
      </c>
    </row>
    <row r="759" spans="1:17" ht="60" x14ac:dyDescent="0.25">
      <c r="A759" s="9" t="s">
        <v>6811</v>
      </c>
      <c r="B759" s="9" t="s">
        <v>6812</v>
      </c>
      <c r="C759" s="9" t="s">
        <v>6786</v>
      </c>
      <c r="D759" s="9" t="s">
        <v>6742</v>
      </c>
      <c r="E759" s="9" t="s">
        <v>3508</v>
      </c>
      <c r="F759" s="9" t="s">
        <v>3509</v>
      </c>
      <c r="G759" s="10" t="s">
        <v>6566</v>
      </c>
      <c r="H759" s="9" t="s">
        <v>199</v>
      </c>
      <c r="I759" s="9"/>
      <c r="J759" s="9"/>
      <c r="K759" s="9"/>
      <c r="L759" s="9"/>
      <c r="M759" s="9" t="s">
        <v>3510</v>
      </c>
      <c r="N759" s="9"/>
      <c r="O759" s="9" t="s">
        <v>3511</v>
      </c>
      <c r="P759" s="9" t="str">
        <f>HYPERLINK("https://ceds.ed.gov/cedselementdetails.aspx?termid=13580")</f>
        <v>https://ceds.ed.gov/cedselementdetails.aspx?termid=13580</v>
      </c>
      <c r="Q759" s="9" t="str">
        <f>HYPERLINK("https://ceds.ed.gov/elementComment.aspx?elementName=Internet Access &amp;elementID=13580", "Click here to submit comment")</f>
        <v>Click here to submit comment</v>
      </c>
    </row>
    <row r="760" spans="1:17" ht="105" x14ac:dyDescent="0.25">
      <c r="A760" s="9" t="s">
        <v>6811</v>
      </c>
      <c r="B760" s="9" t="s">
        <v>6812</v>
      </c>
      <c r="C760" s="9" t="s">
        <v>6786</v>
      </c>
      <c r="D760" s="9" t="s">
        <v>6746</v>
      </c>
      <c r="E760" s="9" t="s">
        <v>11773</v>
      </c>
      <c r="F760" s="9" t="s">
        <v>11774</v>
      </c>
      <c r="G760" s="10" t="s">
        <v>11911</v>
      </c>
      <c r="H760" s="9"/>
      <c r="I760" s="9" t="s">
        <v>1457</v>
      </c>
      <c r="J760" s="9"/>
      <c r="K760" s="9"/>
      <c r="L760" s="9"/>
      <c r="M760" s="9" t="s">
        <v>11776</v>
      </c>
      <c r="N760" s="9"/>
      <c r="O760" s="9" t="s">
        <v>11777</v>
      </c>
      <c r="P760" s="9" t="str">
        <f>HYPERLINK("https://ceds.ed.gov/cedselementdetails.aspx?termid=14747")</f>
        <v>https://ceds.ed.gov/cedselementdetails.aspx?termid=14747</v>
      </c>
      <c r="Q760" s="9" t="str">
        <f>HYPERLINK("https://ceds.ed.gov/elementComment.aspx?elementName=Virtual School Status &amp;elementID=14747", "Click here to submit comment")</f>
        <v>Click here to submit comment</v>
      </c>
    </row>
    <row r="761" spans="1:17" ht="105" x14ac:dyDescent="0.25">
      <c r="A761" s="18" t="s">
        <v>6811</v>
      </c>
      <c r="B761" s="18" t="s">
        <v>6812</v>
      </c>
      <c r="C761" s="18" t="s">
        <v>6813</v>
      </c>
      <c r="D761" s="18" t="s">
        <v>6742</v>
      </c>
      <c r="E761" s="18" t="s">
        <v>4448</v>
      </c>
      <c r="F761" s="18" t="s">
        <v>4449</v>
      </c>
      <c r="G761" s="18" t="s">
        <v>12</v>
      </c>
      <c r="H761" s="18" t="s">
        <v>64</v>
      </c>
      <c r="I761" s="18"/>
      <c r="J761" s="18" t="s">
        <v>119</v>
      </c>
      <c r="K761" s="18"/>
      <c r="L761" s="9" t="s">
        <v>120</v>
      </c>
      <c r="M761" s="18" t="s">
        <v>4450</v>
      </c>
      <c r="N761" s="18"/>
      <c r="O761" s="18" t="s">
        <v>4451</v>
      </c>
      <c r="P761" s="18" t="str">
        <f>HYPERLINK("https://ceds.ed.gov/cedselementdetails.aspx?termid=13825")</f>
        <v>https://ceds.ed.gov/cedselementdetails.aspx?termid=13825</v>
      </c>
      <c r="Q761" s="18" t="str">
        <f>HYPERLINK("https://ceds.ed.gov/elementComment.aspx?elementName=Organization Identifier &amp;elementID=13825", "Click here to submit comment")</f>
        <v>Click here to submit comment</v>
      </c>
    </row>
    <row r="762" spans="1:17" x14ac:dyDescent="0.25">
      <c r="A762" s="18"/>
      <c r="B762" s="18"/>
      <c r="C762" s="18"/>
      <c r="D762" s="18"/>
      <c r="E762" s="18"/>
      <c r="F762" s="18"/>
      <c r="G762" s="18"/>
      <c r="H762" s="18"/>
      <c r="I762" s="18"/>
      <c r="J762" s="18"/>
      <c r="K762" s="18"/>
      <c r="L762" s="9"/>
      <c r="M762" s="18"/>
      <c r="N762" s="18"/>
      <c r="O762" s="18"/>
      <c r="P762" s="18"/>
      <c r="Q762" s="18"/>
    </row>
    <row r="763" spans="1:17" ht="90" x14ac:dyDescent="0.25">
      <c r="A763" s="18"/>
      <c r="B763" s="18"/>
      <c r="C763" s="18"/>
      <c r="D763" s="18"/>
      <c r="E763" s="18"/>
      <c r="F763" s="18"/>
      <c r="G763" s="18"/>
      <c r="H763" s="18"/>
      <c r="I763" s="18"/>
      <c r="J763" s="18"/>
      <c r="K763" s="18"/>
      <c r="L763" s="9" t="s">
        <v>121</v>
      </c>
      <c r="M763" s="18"/>
      <c r="N763" s="18"/>
      <c r="O763" s="18"/>
      <c r="P763" s="18"/>
      <c r="Q763" s="18"/>
    </row>
    <row r="764" spans="1:17" ht="240" x14ac:dyDescent="0.25">
      <c r="A764" s="9" t="s">
        <v>6811</v>
      </c>
      <c r="B764" s="9" t="s">
        <v>6812</v>
      </c>
      <c r="C764" s="9" t="s">
        <v>6813</v>
      </c>
      <c r="D764" s="9" t="s">
        <v>6742</v>
      </c>
      <c r="E764" s="9" t="s">
        <v>4444</v>
      </c>
      <c r="F764" s="9" t="s">
        <v>4445</v>
      </c>
      <c r="G764" s="10" t="s">
        <v>11903</v>
      </c>
      <c r="H764" s="9" t="s">
        <v>64</v>
      </c>
      <c r="I764" s="9"/>
      <c r="J764" s="9"/>
      <c r="K764" s="9"/>
      <c r="L764" s="9"/>
      <c r="M764" s="9" t="s">
        <v>4446</v>
      </c>
      <c r="N764" s="9"/>
      <c r="O764" s="9" t="s">
        <v>4447</v>
      </c>
      <c r="P764" s="9" t="str">
        <f>HYPERLINK("https://ceds.ed.gov/cedselementdetails.aspx?termid=13827")</f>
        <v>https://ceds.ed.gov/cedselementdetails.aspx?termid=13827</v>
      </c>
      <c r="Q764" s="9" t="str">
        <f>HYPERLINK("https://ceds.ed.gov/elementComment.aspx?elementName=Organization Identification System &amp;elementID=13827", "Click here to submit comment")</f>
        <v>Click here to submit comment</v>
      </c>
    </row>
    <row r="765" spans="1:17" ht="90" x14ac:dyDescent="0.25">
      <c r="A765" s="9" t="s">
        <v>6811</v>
      </c>
      <c r="B765" s="9" t="s">
        <v>6812</v>
      </c>
      <c r="C765" s="9" t="s">
        <v>6813</v>
      </c>
      <c r="D765" s="9" t="s">
        <v>6742</v>
      </c>
      <c r="E765" s="9" t="s">
        <v>1667</v>
      </c>
      <c r="F765" s="9" t="s">
        <v>1668</v>
      </c>
      <c r="G765" s="10" t="s">
        <v>6400</v>
      </c>
      <c r="H765" s="9"/>
      <c r="I765" s="9"/>
      <c r="J765" s="9"/>
      <c r="K765" s="9"/>
      <c r="L765" s="9"/>
      <c r="M765" s="9" t="s">
        <v>1669</v>
      </c>
      <c r="N765" s="9"/>
      <c r="O765" s="9" t="s">
        <v>1670</v>
      </c>
      <c r="P765" s="9" t="str">
        <f>HYPERLINK("https://ceds.ed.gov/cedselementdetails.aspx?termid=14258")</f>
        <v>https://ceds.ed.gov/cedselementdetails.aspx?termid=14258</v>
      </c>
      <c r="Q765" s="9" t="str">
        <f>HYPERLINK("https://ceds.ed.gov/elementComment.aspx?elementName=Charter School Approval Agency Type &amp;elementID=14258", "Click here to submit comment")</f>
        <v>Click here to submit comment</v>
      </c>
    </row>
    <row r="766" spans="1:17" ht="105" x14ac:dyDescent="0.25">
      <c r="A766" s="18" t="s">
        <v>6811</v>
      </c>
      <c r="B766" s="18" t="s">
        <v>6812</v>
      </c>
      <c r="C766" s="18" t="s">
        <v>6814</v>
      </c>
      <c r="D766" s="18" t="s">
        <v>6742</v>
      </c>
      <c r="E766" s="18" t="s">
        <v>4448</v>
      </c>
      <c r="F766" s="18" t="s">
        <v>4449</v>
      </c>
      <c r="G766" s="18" t="s">
        <v>12</v>
      </c>
      <c r="H766" s="18" t="s">
        <v>64</v>
      </c>
      <c r="I766" s="18"/>
      <c r="J766" s="18" t="s">
        <v>119</v>
      </c>
      <c r="K766" s="18"/>
      <c r="L766" s="9" t="s">
        <v>120</v>
      </c>
      <c r="M766" s="18" t="s">
        <v>4450</v>
      </c>
      <c r="N766" s="18"/>
      <c r="O766" s="18" t="s">
        <v>4451</v>
      </c>
      <c r="P766" s="18" t="str">
        <f>HYPERLINK("https://ceds.ed.gov/cedselementdetails.aspx?termid=13825")</f>
        <v>https://ceds.ed.gov/cedselementdetails.aspx?termid=13825</v>
      </c>
      <c r="Q766" s="18" t="str">
        <f>HYPERLINK("https://ceds.ed.gov/elementComment.aspx?elementName=Organization Identifier &amp;elementID=13825", "Click here to submit comment")</f>
        <v>Click here to submit comment</v>
      </c>
    </row>
    <row r="767" spans="1:17" x14ac:dyDescent="0.25">
      <c r="A767" s="18"/>
      <c r="B767" s="18"/>
      <c r="C767" s="18"/>
      <c r="D767" s="18"/>
      <c r="E767" s="18"/>
      <c r="F767" s="18"/>
      <c r="G767" s="18"/>
      <c r="H767" s="18"/>
      <c r="I767" s="18"/>
      <c r="J767" s="18"/>
      <c r="K767" s="18"/>
      <c r="L767" s="9"/>
      <c r="M767" s="18"/>
      <c r="N767" s="18"/>
      <c r="O767" s="18"/>
      <c r="P767" s="18"/>
      <c r="Q767" s="18"/>
    </row>
    <row r="768" spans="1:17" ht="90" x14ac:dyDescent="0.25">
      <c r="A768" s="18"/>
      <c r="B768" s="18"/>
      <c r="C768" s="18"/>
      <c r="D768" s="18"/>
      <c r="E768" s="18"/>
      <c r="F768" s="18"/>
      <c r="G768" s="18"/>
      <c r="H768" s="18"/>
      <c r="I768" s="18"/>
      <c r="J768" s="18"/>
      <c r="K768" s="18"/>
      <c r="L768" s="9" t="s">
        <v>121</v>
      </c>
      <c r="M768" s="18"/>
      <c r="N768" s="18"/>
      <c r="O768" s="18"/>
      <c r="P768" s="18"/>
      <c r="Q768" s="18"/>
    </row>
    <row r="769" spans="1:17" ht="240" x14ac:dyDescent="0.25">
      <c r="A769" s="9" t="s">
        <v>6811</v>
      </c>
      <c r="B769" s="9" t="s">
        <v>6812</v>
      </c>
      <c r="C769" s="9" t="s">
        <v>6814</v>
      </c>
      <c r="D769" s="9" t="s">
        <v>6742</v>
      </c>
      <c r="E769" s="9" t="s">
        <v>4444</v>
      </c>
      <c r="F769" s="9" t="s">
        <v>4445</v>
      </c>
      <c r="G769" s="10" t="s">
        <v>11903</v>
      </c>
      <c r="H769" s="9" t="s">
        <v>64</v>
      </c>
      <c r="I769" s="9"/>
      <c r="J769" s="9"/>
      <c r="K769" s="9"/>
      <c r="L769" s="9"/>
      <c r="M769" s="9" t="s">
        <v>4446</v>
      </c>
      <c r="N769" s="9"/>
      <c r="O769" s="9" t="s">
        <v>4447</v>
      </c>
      <c r="P769" s="9" t="str">
        <f>HYPERLINK("https://ceds.ed.gov/cedselementdetails.aspx?termid=13827")</f>
        <v>https://ceds.ed.gov/cedselementdetails.aspx?termid=13827</v>
      </c>
      <c r="Q769" s="9" t="str">
        <f>HYPERLINK("https://ceds.ed.gov/elementComment.aspx?elementName=Organization Identification System &amp;elementID=13827", "Click here to submit comment")</f>
        <v>Click here to submit comment</v>
      </c>
    </row>
    <row r="770" spans="1:17" ht="105" x14ac:dyDescent="0.25">
      <c r="A770" s="9" t="s">
        <v>6811</v>
      </c>
      <c r="B770" s="9" t="s">
        <v>6812</v>
      </c>
      <c r="C770" s="9" t="s">
        <v>6814</v>
      </c>
      <c r="D770" s="9" t="s">
        <v>6742</v>
      </c>
      <c r="E770" s="9" t="s">
        <v>1691</v>
      </c>
      <c r="F770" s="9" t="s">
        <v>1692</v>
      </c>
      <c r="G770" s="10" t="s">
        <v>6401</v>
      </c>
      <c r="H770" s="9" t="s">
        <v>199</v>
      </c>
      <c r="I770" s="9"/>
      <c r="J770" s="9"/>
      <c r="K770" s="9"/>
      <c r="L770" s="9"/>
      <c r="M770" s="9" t="s">
        <v>1693</v>
      </c>
      <c r="N770" s="9"/>
      <c r="O770" s="9" t="s">
        <v>1694</v>
      </c>
      <c r="P770" s="9" t="str">
        <f>HYPERLINK("https://ceds.ed.gov/cedselementdetails.aspx?termid=14631")</f>
        <v>https://ceds.ed.gov/cedselementdetails.aspx?termid=14631</v>
      </c>
      <c r="Q770" s="9" t="str">
        <f>HYPERLINK("https://ceds.ed.gov/elementComment.aspx?elementName=Charter School Management Organization Type &amp;elementID=14631", "Click here to submit comment")</f>
        <v>Click here to submit comment</v>
      </c>
    </row>
    <row r="771" spans="1:17" ht="75" x14ac:dyDescent="0.25">
      <c r="A771" s="9" t="s">
        <v>6811</v>
      </c>
      <c r="B771" s="9" t="s">
        <v>6812</v>
      </c>
      <c r="C771" s="9" t="s">
        <v>6815</v>
      </c>
      <c r="D771" s="9" t="s">
        <v>6742</v>
      </c>
      <c r="E771" s="9" t="s">
        <v>0</v>
      </c>
      <c r="F771" s="9" t="s">
        <v>1</v>
      </c>
      <c r="G771" s="9" t="s">
        <v>6106</v>
      </c>
      <c r="H771" s="9" t="s">
        <v>4</v>
      </c>
      <c r="I771" s="9"/>
      <c r="J771" s="9"/>
      <c r="K771" s="9"/>
      <c r="L771" s="9"/>
      <c r="M771" s="9" t="s">
        <v>2</v>
      </c>
      <c r="N771" s="9"/>
      <c r="O771" s="9" t="s">
        <v>3</v>
      </c>
      <c r="P771" s="9" t="str">
        <f>HYPERLINK("https://ceds.ed.gov/cedselementdetails.aspx?termid=13000")</f>
        <v>https://ceds.ed.gov/cedselementdetails.aspx?termid=13000</v>
      </c>
      <c r="Q771" s="9" t="str">
        <f>HYPERLINK("https://ceds.ed.gov/elementComment.aspx?elementName=Ability Grouping Status &amp;elementID=13000", "Click here to submit comment")</f>
        <v>Click here to submit comment</v>
      </c>
    </row>
    <row r="772" spans="1:17" ht="409.5" x14ac:dyDescent="0.25">
      <c r="A772" s="9" t="s">
        <v>6811</v>
      </c>
      <c r="B772" s="9" t="s">
        <v>6812</v>
      </c>
      <c r="C772" s="9" t="s">
        <v>6815</v>
      </c>
      <c r="D772" s="9" t="s">
        <v>6742</v>
      </c>
      <c r="E772" s="9" t="s">
        <v>4905</v>
      </c>
      <c r="F772" s="9" t="s">
        <v>4906</v>
      </c>
      <c r="G772" s="10" t="s">
        <v>6663</v>
      </c>
      <c r="H772" s="9"/>
      <c r="I772" s="9"/>
      <c r="J772" s="9"/>
      <c r="K772" s="9"/>
      <c r="L772" s="9"/>
      <c r="M772" s="9" t="s">
        <v>4907</v>
      </c>
      <c r="N772" s="9"/>
      <c r="O772" s="9" t="s">
        <v>4908</v>
      </c>
      <c r="P772" s="9" t="str">
        <f>HYPERLINK("https://ceds.ed.gov/cedselementdetails.aspx?termid=14210")</f>
        <v>https://ceds.ed.gov/cedselementdetails.aspx?termid=14210</v>
      </c>
      <c r="Q772" s="9" t="str">
        <f>HYPERLINK("https://ceds.ed.gov/elementComment.aspx?elementName=Program Gifted Eligibility Criteria &amp;elementID=14210", "Click here to submit comment")</f>
        <v>Click here to submit comment</v>
      </c>
    </row>
    <row r="773" spans="1:17" ht="120" x14ac:dyDescent="0.25">
      <c r="A773" s="9" t="s">
        <v>6811</v>
      </c>
      <c r="B773" s="9" t="s">
        <v>6812</v>
      </c>
      <c r="C773" s="9" t="s">
        <v>6815</v>
      </c>
      <c r="D773" s="9" t="s">
        <v>6742</v>
      </c>
      <c r="E773" s="9" t="s">
        <v>3352</v>
      </c>
      <c r="F773" s="9" t="s">
        <v>3353</v>
      </c>
      <c r="G773" s="10" t="s">
        <v>6554</v>
      </c>
      <c r="H773" s="9" t="s">
        <v>199</v>
      </c>
      <c r="I773" s="9"/>
      <c r="J773" s="9"/>
      <c r="K773" s="9"/>
      <c r="L773" s="9"/>
      <c r="M773" s="9" t="s">
        <v>3354</v>
      </c>
      <c r="N773" s="9"/>
      <c r="O773" s="9" t="s">
        <v>3355</v>
      </c>
      <c r="P773" s="9" t="str">
        <f>HYPERLINK("https://ceds.ed.gov/cedselementdetails.aspx?termid=13164")</f>
        <v>https://ceds.ed.gov/cedselementdetails.aspx?termid=13164</v>
      </c>
      <c r="Q773" s="9" t="str">
        <f>HYPERLINK("https://ceds.ed.gov/elementComment.aspx?elementName=Increased Learning Time Type &amp;elementID=13164", "Click here to submit comment")</f>
        <v>Click here to submit comment</v>
      </c>
    </row>
    <row r="774" spans="1:17" ht="105" x14ac:dyDescent="0.25">
      <c r="A774" s="9" t="s">
        <v>6811</v>
      </c>
      <c r="B774" s="9" t="s">
        <v>6812</v>
      </c>
      <c r="C774" s="9" t="s">
        <v>6815</v>
      </c>
      <c r="D774" s="9" t="s">
        <v>6742</v>
      </c>
      <c r="E774" s="9" t="s">
        <v>5696</v>
      </c>
      <c r="F774" s="9" t="s">
        <v>5697</v>
      </c>
      <c r="G774" s="10" t="s">
        <v>6705</v>
      </c>
      <c r="H774" s="9" t="s">
        <v>199</v>
      </c>
      <c r="I774" s="9"/>
      <c r="J774" s="9"/>
      <c r="K774" s="9"/>
      <c r="L774" s="9"/>
      <c r="M774" s="9" t="s">
        <v>5698</v>
      </c>
      <c r="N774" s="9"/>
      <c r="O774" s="9" t="s">
        <v>5699</v>
      </c>
      <c r="P774" s="9" t="str">
        <f>HYPERLINK("https://ceds.ed.gov/cedselementdetails.aspx?termid=13578")</f>
        <v>https://ceds.ed.gov/cedselementdetails.aspx?termid=13578</v>
      </c>
      <c r="Q774" s="9" t="str">
        <f>HYPERLINK("https://ceds.ed.gov/elementComment.aspx?elementName=State Poverty Designation &amp;elementID=13578", "Click here to submit comment")</f>
        <v>Click here to submit comment</v>
      </c>
    </row>
    <row r="775" spans="1:17" ht="409.5" x14ac:dyDescent="0.25">
      <c r="A775" s="9" t="s">
        <v>6811</v>
      </c>
      <c r="B775" s="9" t="s">
        <v>6812</v>
      </c>
      <c r="C775" s="9" t="s">
        <v>6815</v>
      </c>
      <c r="D775" s="9" t="s">
        <v>6742</v>
      </c>
      <c r="E775" s="9" t="s">
        <v>5740</v>
      </c>
      <c r="F775" s="9" t="s">
        <v>5741</v>
      </c>
      <c r="G775" s="10" t="s">
        <v>6708</v>
      </c>
      <c r="H775" s="9"/>
      <c r="I775" s="9"/>
      <c r="J775" s="9"/>
      <c r="K775" s="9"/>
      <c r="L775" s="9"/>
      <c r="M775" s="9" t="s">
        <v>5742</v>
      </c>
      <c r="N775" s="9"/>
      <c r="O775" s="9" t="s">
        <v>5743</v>
      </c>
      <c r="P775" s="9" t="str">
        <f>HYPERLINK("https://ceds.ed.gov/cedselementdetails.aspx?termid=13273")</f>
        <v>https://ceds.ed.gov/cedselementdetails.aspx?termid=13273</v>
      </c>
      <c r="Q775" s="9" t="str">
        <f>HYPERLINK("https://ceds.ed.gov/elementComment.aspx?elementName=Student Support Service Type &amp;elementID=13273", "Click here to submit comment")</f>
        <v>Click here to submit comment</v>
      </c>
    </row>
    <row r="776" spans="1:17" ht="135" x14ac:dyDescent="0.25">
      <c r="A776" s="9" t="s">
        <v>6811</v>
      </c>
      <c r="B776" s="9" t="s">
        <v>6812</v>
      </c>
      <c r="C776" s="9" t="s">
        <v>6815</v>
      </c>
      <c r="D776" s="9" t="s">
        <v>6742</v>
      </c>
      <c r="E776" s="9" t="s">
        <v>5886</v>
      </c>
      <c r="F776" s="9" t="s">
        <v>5887</v>
      </c>
      <c r="G776" s="10" t="s">
        <v>6721</v>
      </c>
      <c r="H776" s="9" t="s">
        <v>199</v>
      </c>
      <c r="I776" s="9"/>
      <c r="J776" s="9"/>
      <c r="K776" s="9"/>
      <c r="L776" s="9"/>
      <c r="M776" s="9" t="s">
        <v>5888</v>
      </c>
      <c r="N776" s="9"/>
      <c r="O776" s="9" t="s">
        <v>5889</v>
      </c>
      <c r="P776" s="9" t="str">
        <f>HYPERLINK("https://ceds.ed.gov/cedselementdetails.aspx?termid=13284")</f>
        <v>https://ceds.ed.gov/cedselementdetails.aspx?termid=13284</v>
      </c>
      <c r="Q776" s="9" t="str">
        <f>HYPERLINK("https://ceds.ed.gov/elementComment.aspx?elementName=Title I Program Type &amp;elementID=13284", "Click here to submit comment")</f>
        <v>Click here to submit comment</v>
      </c>
    </row>
    <row r="777" spans="1:17" ht="195" x14ac:dyDescent="0.25">
      <c r="A777" s="9" t="s">
        <v>6811</v>
      </c>
      <c r="B777" s="9" t="s">
        <v>6812</v>
      </c>
      <c r="C777" s="9" t="s">
        <v>6815</v>
      </c>
      <c r="D777" s="9" t="s">
        <v>6742</v>
      </c>
      <c r="E777" s="9" t="s">
        <v>5890</v>
      </c>
      <c r="F777" s="9" t="s">
        <v>5891</v>
      </c>
      <c r="G777" s="10" t="s">
        <v>6722</v>
      </c>
      <c r="H777" s="9" t="s">
        <v>199</v>
      </c>
      <c r="I777" s="9"/>
      <c r="J777" s="9"/>
      <c r="K777" s="9"/>
      <c r="L777" s="9"/>
      <c r="M777" s="9" t="s">
        <v>5892</v>
      </c>
      <c r="N777" s="9"/>
      <c r="O777" s="9" t="s">
        <v>5893</v>
      </c>
      <c r="P777" s="9" t="str">
        <f>HYPERLINK("https://ceds.ed.gov/cedselementdetails.aspx?termid=13285")</f>
        <v>https://ceds.ed.gov/cedselementdetails.aspx?termid=13285</v>
      </c>
      <c r="Q777" s="9" t="str">
        <f>HYPERLINK("https://ceds.ed.gov/elementComment.aspx?elementName=Title I School Status &amp;elementID=13285", "Click here to submit comment")</f>
        <v>Click here to submit comment</v>
      </c>
    </row>
    <row r="778" spans="1:17" ht="270" x14ac:dyDescent="0.25">
      <c r="A778" s="9" t="s">
        <v>6811</v>
      </c>
      <c r="B778" s="9" t="s">
        <v>6812</v>
      </c>
      <c r="C778" s="9" t="s">
        <v>6815</v>
      </c>
      <c r="D778" s="9" t="s">
        <v>6742</v>
      </c>
      <c r="E778" s="9" t="s">
        <v>5934</v>
      </c>
      <c r="F778" s="9" t="s">
        <v>5935</v>
      </c>
      <c r="G778" s="10" t="s">
        <v>6725</v>
      </c>
      <c r="H778" s="9" t="s">
        <v>188</v>
      </c>
      <c r="I778" s="9"/>
      <c r="J778" s="9"/>
      <c r="K778" s="9"/>
      <c r="L778" s="9"/>
      <c r="M778" s="9" t="s">
        <v>5936</v>
      </c>
      <c r="N778" s="9"/>
      <c r="O778" s="9" t="s">
        <v>5937</v>
      </c>
      <c r="P778" s="9" t="str">
        <f>HYPERLINK("https://ceds.ed.gov/cedselementdetails.aspx?termid=13437")</f>
        <v>https://ceds.ed.gov/cedselementdetails.aspx?termid=13437</v>
      </c>
      <c r="Q778" s="9" t="str">
        <f>HYPERLINK("https://ceds.ed.gov/elementComment.aspx?elementName=Title III Language Instruction Program Type &amp;elementID=13437", "Click here to submit comment")</f>
        <v>Click here to submit comment</v>
      </c>
    </row>
    <row r="779" spans="1:17" ht="45" x14ac:dyDescent="0.25">
      <c r="A779" s="9" t="s">
        <v>6811</v>
      </c>
      <c r="B779" s="9" t="s">
        <v>6812</v>
      </c>
      <c r="C779" s="9" t="s">
        <v>6815</v>
      </c>
      <c r="D779" s="9" t="s">
        <v>6742</v>
      </c>
      <c r="E779" s="9" t="s">
        <v>65</v>
      </c>
      <c r="F779" s="9" t="s">
        <v>66</v>
      </c>
      <c r="G779" s="9" t="s">
        <v>12</v>
      </c>
      <c r="H779" s="9"/>
      <c r="I779" s="9"/>
      <c r="J779" s="9" t="s">
        <v>68</v>
      </c>
      <c r="K779" s="9"/>
      <c r="L779" s="9"/>
      <c r="M779" s="9" t="s">
        <v>69</v>
      </c>
      <c r="N779" s="9"/>
      <c r="O779" s="9" t="s">
        <v>70</v>
      </c>
      <c r="P779" s="9" t="str">
        <f>HYPERLINK("https://ceds.ed.gov/cedselementdetails.aspx?termid=14500")</f>
        <v>https://ceds.ed.gov/cedselementdetails.aspx?termid=14500</v>
      </c>
      <c r="Q779" s="9" t="str">
        <f>HYPERLINK("https://ceds.ed.gov/elementComment.aspx?elementName=Accreditation Agency Name &amp;elementID=14500", "Click here to submit comment")</f>
        <v>Click here to submit comment</v>
      </c>
    </row>
    <row r="780" spans="1:17" ht="45" x14ac:dyDescent="0.25">
      <c r="A780" s="9" t="s">
        <v>6811</v>
      </c>
      <c r="B780" s="9" t="s">
        <v>6812</v>
      </c>
      <c r="C780" s="9" t="s">
        <v>6815</v>
      </c>
      <c r="D780" s="9" t="s">
        <v>6742</v>
      </c>
      <c r="E780" s="9" t="s">
        <v>71</v>
      </c>
      <c r="F780" s="9" t="s">
        <v>72</v>
      </c>
      <c r="G780" s="9" t="s">
        <v>12</v>
      </c>
      <c r="H780" s="9" t="s">
        <v>64</v>
      </c>
      <c r="I780" s="9"/>
      <c r="J780" s="9" t="s">
        <v>73</v>
      </c>
      <c r="K780" s="9"/>
      <c r="L780" s="9"/>
      <c r="M780" s="9" t="s">
        <v>74</v>
      </c>
      <c r="N780" s="9"/>
      <c r="O780" s="9" t="s">
        <v>75</v>
      </c>
      <c r="P780" s="9" t="str">
        <f>HYPERLINK("https://ceds.ed.gov/cedselementdetails.aspx?termid=13840")</f>
        <v>https://ceds.ed.gov/cedselementdetails.aspx?termid=13840</v>
      </c>
      <c r="Q780" s="9" t="str">
        <f>HYPERLINK("https://ceds.ed.gov/elementComment.aspx?elementName=Accreditation Award Date &amp;elementID=13840", "Click here to submit comment")</f>
        <v>Click here to submit comment</v>
      </c>
    </row>
    <row r="781" spans="1:17" ht="45" x14ac:dyDescent="0.25">
      <c r="A781" s="9" t="s">
        <v>6811</v>
      </c>
      <c r="B781" s="9" t="s">
        <v>6812</v>
      </c>
      <c r="C781" s="9" t="s">
        <v>6815</v>
      </c>
      <c r="D781" s="9" t="s">
        <v>6742</v>
      </c>
      <c r="E781" s="9" t="s">
        <v>76</v>
      </c>
      <c r="F781" s="9" t="s">
        <v>77</v>
      </c>
      <c r="G781" s="9" t="s">
        <v>12</v>
      </c>
      <c r="H781" s="9" t="s">
        <v>64</v>
      </c>
      <c r="I781" s="9"/>
      <c r="J781" s="9" t="s">
        <v>73</v>
      </c>
      <c r="K781" s="9"/>
      <c r="L781" s="9"/>
      <c r="M781" s="9" t="s">
        <v>78</v>
      </c>
      <c r="N781" s="9"/>
      <c r="O781" s="9" t="s">
        <v>79</v>
      </c>
      <c r="P781" s="9" t="str">
        <f>HYPERLINK("https://ceds.ed.gov/cedselementdetails.aspx?termid=13841")</f>
        <v>https://ceds.ed.gov/cedselementdetails.aspx?termid=13841</v>
      </c>
      <c r="Q781" s="9" t="str">
        <f>HYPERLINK("https://ceds.ed.gov/elementComment.aspx?elementName=Accreditation Expiration Date &amp;elementID=13841", "Click here to submit comment")</f>
        <v>Click here to submit comment</v>
      </c>
    </row>
    <row r="782" spans="1:17" ht="150" x14ac:dyDescent="0.25">
      <c r="A782" s="9" t="s">
        <v>6811</v>
      </c>
      <c r="B782" s="9" t="s">
        <v>6812</v>
      </c>
      <c r="C782" s="9" t="s">
        <v>6815</v>
      </c>
      <c r="D782" s="9" t="s">
        <v>6746</v>
      </c>
      <c r="E782" s="9" t="s">
        <v>11635</v>
      </c>
      <c r="F782" s="9" t="s">
        <v>11636</v>
      </c>
      <c r="G782" s="10" t="s">
        <v>11902</v>
      </c>
      <c r="H782" s="9"/>
      <c r="I782" s="9" t="s">
        <v>1457</v>
      </c>
      <c r="J782" s="9"/>
      <c r="K782" s="9"/>
      <c r="L782" s="9"/>
      <c r="M782" s="9" t="s">
        <v>11638</v>
      </c>
      <c r="N782" s="9"/>
      <c r="O782" s="9" t="s">
        <v>11639</v>
      </c>
      <c r="P782" s="9" t="str">
        <f>HYPERLINK("https://ceds.ed.gov/cedselementdetails.aspx?termid=14748")</f>
        <v>https://ceds.ed.gov/cedselementdetails.aspx?termid=14748</v>
      </c>
      <c r="Q782" s="9" t="str">
        <f>HYPERLINK("https://ceds.ed.gov/elementComment.aspx?elementName=National School Lunch Program Status &amp;elementID=14748", "Click here to submit comment")</f>
        <v>Click here to submit comment</v>
      </c>
    </row>
    <row r="783" spans="1:17" ht="45" x14ac:dyDescent="0.25">
      <c r="A783" s="9" t="s">
        <v>6811</v>
      </c>
      <c r="B783" s="9" t="s">
        <v>6812</v>
      </c>
      <c r="C783" s="9" t="s">
        <v>6816</v>
      </c>
      <c r="D783" s="9" t="s">
        <v>6742</v>
      </c>
      <c r="E783" s="9" t="s">
        <v>5379</v>
      </c>
      <c r="F783" s="9" t="s">
        <v>5380</v>
      </c>
      <c r="G783" s="9" t="s">
        <v>12</v>
      </c>
      <c r="H783" s="9" t="s">
        <v>1858</v>
      </c>
      <c r="I783" s="9"/>
      <c r="J783" s="9" t="s">
        <v>1813</v>
      </c>
      <c r="K783" s="9"/>
      <c r="L783" s="9" t="s">
        <v>5381</v>
      </c>
      <c r="M783" s="9" t="s">
        <v>5382</v>
      </c>
      <c r="N783" s="9"/>
      <c r="O783" s="9" t="s">
        <v>5383</v>
      </c>
      <c r="P783" s="9" t="str">
        <f>HYPERLINK("https://ceds.ed.gov/cedselementdetails.aspx?termid=13243")</f>
        <v>https://ceds.ed.gov/cedselementdetails.aspx?termid=13243</v>
      </c>
      <c r="Q783" s="9" t="str">
        <f>HYPERLINK("https://ceds.ed.gov/elementComment.aspx?elementName=School Year &amp;elementID=13243", "Click here to submit comment")</f>
        <v>Click here to submit comment</v>
      </c>
    </row>
    <row r="784" spans="1:17" ht="75" x14ac:dyDescent="0.25">
      <c r="A784" s="9" t="s">
        <v>6811</v>
      </c>
      <c r="B784" s="9" t="s">
        <v>6812</v>
      </c>
      <c r="C784" s="9" t="s">
        <v>6816</v>
      </c>
      <c r="D784" s="9" t="s">
        <v>6742</v>
      </c>
      <c r="E784" s="9" t="s">
        <v>194</v>
      </c>
      <c r="F784" s="9" t="s">
        <v>195</v>
      </c>
      <c r="G784" s="10" t="s">
        <v>6322</v>
      </c>
      <c r="H784" s="9" t="s">
        <v>199</v>
      </c>
      <c r="I784" s="9"/>
      <c r="J784" s="9"/>
      <c r="K784" s="9"/>
      <c r="L784" s="9"/>
      <c r="M784" s="9" t="s">
        <v>196</v>
      </c>
      <c r="N784" s="9" t="s">
        <v>197</v>
      </c>
      <c r="O784" s="9" t="s">
        <v>198</v>
      </c>
      <c r="P784" s="9" t="str">
        <f>HYPERLINK("https://ceds.ed.gov/cedselementdetails.aspx?termid=13011")</f>
        <v>https://ceds.ed.gov/cedselementdetails.aspx?termid=13011</v>
      </c>
      <c r="Q784" s="9" t="str">
        <f>HYPERLINK("https://ceds.ed.gov/elementComment.aspx?elementName=Adequate Yearly Progress Status &amp;elementID=13011", "Click here to submit comment")</f>
        <v>Click here to submit comment</v>
      </c>
    </row>
    <row r="785" spans="1:17" ht="45" x14ac:dyDescent="0.25">
      <c r="A785" s="9" t="s">
        <v>6811</v>
      </c>
      <c r="B785" s="9" t="s">
        <v>6812</v>
      </c>
      <c r="C785" s="9" t="s">
        <v>6816</v>
      </c>
      <c r="D785" s="9" t="s">
        <v>6742</v>
      </c>
      <c r="E785" s="9" t="s">
        <v>189</v>
      </c>
      <c r="F785" s="9" t="s">
        <v>190</v>
      </c>
      <c r="G785" s="9" t="s">
        <v>12</v>
      </c>
      <c r="H785" s="9" t="s">
        <v>188</v>
      </c>
      <c r="I785" s="9"/>
      <c r="J785" s="9" t="s">
        <v>73</v>
      </c>
      <c r="K785" s="9"/>
      <c r="L785" s="9"/>
      <c r="M785" s="9" t="s">
        <v>191</v>
      </c>
      <c r="N785" s="9" t="s">
        <v>192</v>
      </c>
      <c r="O785" s="9" t="s">
        <v>193</v>
      </c>
      <c r="P785" s="9" t="str">
        <f>HYPERLINK("https://ceds.ed.gov/cedselementdetails.aspx?termid=13434")</f>
        <v>https://ceds.ed.gov/cedselementdetails.aspx?termid=13434</v>
      </c>
      <c r="Q785" s="9" t="str">
        <f>HYPERLINK("https://ceds.ed.gov/elementComment.aspx?elementName=Adequate Yearly Progress Appeal Process Date &amp;elementID=13434", "Click here to submit comment")</f>
        <v>Click here to submit comment</v>
      </c>
    </row>
    <row r="786" spans="1:17" ht="45" x14ac:dyDescent="0.25">
      <c r="A786" s="9" t="s">
        <v>6811</v>
      </c>
      <c r="B786" s="9" t="s">
        <v>6812</v>
      </c>
      <c r="C786" s="9" t="s">
        <v>6816</v>
      </c>
      <c r="D786" s="9" t="s">
        <v>6742</v>
      </c>
      <c r="E786" s="9" t="s">
        <v>183</v>
      </c>
      <c r="F786" s="9" t="s">
        <v>184</v>
      </c>
      <c r="G786" s="9" t="s">
        <v>6106</v>
      </c>
      <c r="H786" s="9" t="s">
        <v>188</v>
      </c>
      <c r="I786" s="9"/>
      <c r="J786" s="9"/>
      <c r="K786" s="9"/>
      <c r="L786" s="9"/>
      <c r="M786" s="9" t="s">
        <v>185</v>
      </c>
      <c r="N786" s="9" t="s">
        <v>186</v>
      </c>
      <c r="O786" s="9" t="s">
        <v>187</v>
      </c>
      <c r="P786" s="9" t="str">
        <f>HYPERLINK("https://ceds.ed.gov/cedselementdetails.aspx?termid=13433")</f>
        <v>https://ceds.ed.gov/cedselementdetails.aspx?termid=13433</v>
      </c>
      <c r="Q786" s="9" t="str">
        <f>HYPERLINK("https://ceds.ed.gov/elementComment.aspx?elementName=Adequate Yearly Progress Appeal Changed Designation &amp;elementID=13433", "Click here to submit comment")</f>
        <v>Click here to submit comment</v>
      </c>
    </row>
    <row r="787" spans="1:17" ht="45" x14ac:dyDescent="0.25">
      <c r="A787" s="9" t="s">
        <v>6811</v>
      </c>
      <c r="B787" s="9" t="s">
        <v>6812</v>
      </c>
      <c r="C787" s="9" t="s">
        <v>6816</v>
      </c>
      <c r="D787" s="9" t="s">
        <v>6742</v>
      </c>
      <c r="E787" s="9" t="s">
        <v>367</v>
      </c>
      <c r="F787" s="9" t="s">
        <v>368</v>
      </c>
      <c r="G787" s="9" t="s">
        <v>6106</v>
      </c>
      <c r="H787" s="9" t="s">
        <v>188</v>
      </c>
      <c r="I787" s="9"/>
      <c r="J787" s="9"/>
      <c r="K787" s="9"/>
      <c r="L787" s="9"/>
      <c r="M787" s="9" t="s">
        <v>369</v>
      </c>
      <c r="N787" s="9" t="s">
        <v>370</v>
      </c>
      <c r="O787" s="9" t="s">
        <v>371</v>
      </c>
      <c r="P787" s="9" t="str">
        <f>HYPERLINK("https://ceds.ed.gov/cedselementdetails.aspx?termid=13432")</f>
        <v>https://ceds.ed.gov/cedselementdetails.aspx?termid=13432</v>
      </c>
      <c r="Q787" s="9" t="str">
        <f>HYPERLINK("https://ceds.ed.gov/elementComment.aspx?elementName=Appealed Adequate Yearly Progress Designation &amp;elementID=13432", "Click here to submit comment")</f>
        <v>Click here to submit comment</v>
      </c>
    </row>
    <row r="788" spans="1:17" ht="60" x14ac:dyDescent="0.25">
      <c r="A788" s="9" t="s">
        <v>6811</v>
      </c>
      <c r="B788" s="9" t="s">
        <v>6812</v>
      </c>
      <c r="C788" s="9" t="s">
        <v>6816</v>
      </c>
      <c r="D788" s="9" t="s">
        <v>6742</v>
      </c>
      <c r="E788" s="9" t="s">
        <v>314</v>
      </c>
      <c r="F788" s="9" t="s">
        <v>315</v>
      </c>
      <c r="G788" s="9" t="s">
        <v>6106</v>
      </c>
      <c r="H788" s="9" t="s">
        <v>199</v>
      </c>
      <c r="I788" s="9"/>
      <c r="J788" s="9"/>
      <c r="K788" s="9"/>
      <c r="L788" s="9"/>
      <c r="M788" s="9" t="s">
        <v>316</v>
      </c>
      <c r="N788" s="9" t="s">
        <v>317</v>
      </c>
      <c r="O788" s="9" t="s">
        <v>318</v>
      </c>
      <c r="P788" s="9" t="str">
        <f>HYPERLINK("https://ceds.ed.gov/cedselementdetails.aspx?termid=13014")</f>
        <v>https://ceds.ed.gov/cedselementdetails.aspx?termid=13014</v>
      </c>
      <c r="Q788" s="9" t="str">
        <f>HYPERLINK("https://ceds.ed.gov/elementComment.aspx?elementName=Alternate Adequate Yearly Progress Approach Indicator &amp;elementID=13014", "Click here to submit comment")</f>
        <v>Click here to submit comment</v>
      </c>
    </row>
    <row r="789" spans="1:17" ht="105" x14ac:dyDescent="0.25">
      <c r="A789" s="9" t="s">
        <v>6811</v>
      </c>
      <c r="B789" s="9" t="s">
        <v>6812</v>
      </c>
      <c r="C789" s="9" t="s">
        <v>6816</v>
      </c>
      <c r="D789" s="9" t="s">
        <v>6742</v>
      </c>
      <c r="E789" s="9" t="s">
        <v>352</v>
      </c>
      <c r="F789" s="9" t="s">
        <v>353</v>
      </c>
      <c r="G789" s="10" t="s">
        <v>6343</v>
      </c>
      <c r="H789" s="9" t="s">
        <v>199</v>
      </c>
      <c r="I789" s="9"/>
      <c r="J789" s="9"/>
      <c r="K789" s="9"/>
      <c r="L789" s="9"/>
      <c r="M789" s="9" t="s">
        <v>354</v>
      </c>
      <c r="N789" s="9" t="s">
        <v>355</v>
      </c>
      <c r="O789" s="9" t="s">
        <v>356</v>
      </c>
      <c r="P789" s="9" t="str">
        <f>HYPERLINK("https://ceds.ed.gov/cedselementdetails.aspx?termid=13535")</f>
        <v>https://ceds.ed.gov/cedselementdetails.aspx?termid=13535</v>
      </c>
      <c r="Q789" s="9" t="str">
        <f>HYPERLINK("https://ceds.ed.gov/elementComment.aspx?elementName=Annual Measurable Achievement Objective Proficiency Attainment Status for LEP Students &amp;elementID=13535", "Click here to submit comment")</f>
        <v>Click here to submit comment</v>
      </c>
    </row>
    <row r="790" spans="1:17" ht="105" x14ac:dyDescent="0.25">
      <c r="A790" s="9" t="s">
        <v>6811</v>
      </c>
      <c r="B790" s="9" t="s">
        <v>6812</v>
      </c>
      <c r="C790" s="9" t="s">
        <v>6816</v>
      </c>
      <c r="D790" s="9" t="s">
        <v>6742</v>
      </c>
      <c r="E790" s="9" t="s">
        <v>357</v>
      </c>
      <c r="F790" s="9" t="s">
        <v>358</v>
      </c>
      <c r="G790" s="10" t="s">
        <v>6343</v>
      </c>
      <c r="H790" s="9" t="s">
        <v>199</v>
      </c>
      <c r="I790" s="9"/>
      <c r="J790" s="9"/>
      <c r="K790" s="9"/>
      <c r="L790" s="9"/>
      <c r="M790" s="9" t="s">
        <v>359</v>
      </c>
      <c r="N790" s="9" t="s">
        <v>360</v>
      </c>
      <c r="O790" s="9" t="s">
        <v>361</v>
      </c>
      <c r="P790" s="9" t="str">
        <f>HYPERLINK("https://ceds.ed.gov/cedselementdetails.aspx?termid=13545")</f>
        <v>https://ceds.ed.gov/cedselementdetails.aspx?termid=13545</v>
      </c>
      <c r="Q790" s="9" t="str">
        <f>HYPERLINK("https://ceds.ed.gov/elementComment.aspx?elementName=Annual Measurable Achievement Objective Progress Attainment Status for LEP Students &amp;elementID=13545", "Click here to submit comment")</f>
        <v>Click here to submit comment</v>
      </c>
    </row>
    <row r="791" spans="1:17" ht="195" x14ac:dyDescent="0.25">
      <c r="A791" s="9" t="s">
        <v>6811</v>
      </c>
      <c r="B791" s="9" t="s">
        <v>6812</v>
      </c>
      <c r="C791" s="9" t="s">
        <v>6816</v>
      </c>
      <c r="D791" s="9" t="s">
        <v>6742</v>
      </c>
      <c r="E791" s="9" t="s">
        <v>4888</v>
      </c>
      <c r="F791" s="9" t="s">
        <v>4889</v>
      </c>
      <c r="G791" s="10" t="s">
        <v>6662</v>
      </c>
      <c r="H791" s="9" t="s">
        <v>199</v>
      </c>
      <c r="I791" s="9"/>
      <c r="J791" s="9"/>
      <c r="K791" s="9"/>
      <c r="L791" s="9"/>
      <c r="M791" s="9" t="s">
        <v>4890</v>
      </c>
      <c r="N791" s="9"/>
      <c r="O791" s="9" t="s">
        <v>4891</v>
      </c>
      <c r="P791" s="9" t="str">
        <f>HYPERLINK("https://ceds.ed.gov/cedselementdetails.aspx?termid=13221")</f>
        <v>https://ceds.ed.gov/cedselementdetails.aspx?termid=13221</v>
      </c>
      <c r="Q791" s="9" t="str">
        <f>HYPERLINK("https://ceds.ed.gov/elementComment.aspx?elementName=Proficiency Target Status for Math &amp;elementID=13221", "Click here to submit comment")</f>
        <v>Click here to submit comment</v>
      </c>
    </row>
    <row r="792" spans="1:17" ht="195" x14ac:dyDescent="0.25">
      <c r="A792" s="9" t="s">
        <v>6811</v>
      </c>
      <c r="B792" s="9" t="s">
        <v>6812</v>
      </c>
      <c r="C792" s="9" t="s">
        <v>6816</v>
      </c>
      <c r="D792" s="9" t="s">
        <v>6742</v>
      </c>
      <c r="E792" s="9" t="s">
        <v>4892</v>
      </c>
      <c r="F792" s="9" t="s">
        <v>4893</v>
      </c>
      <c r="G792" s="10" t="s">
        <v>6662</v>
      </c>
      <c r="H792" s="9" t="s">
        <v>199</v>
      </c>
      <c r="I792" s="9"/>
      <c r="J792" s="9"/>
      <c r="K792" s="9"/>
      <c r="L792" s="9"/>
      <c r="M792" s="9" t="s">
        <v>4894</v>
      </c>
      <c r="N792" s="9"/>
      <c r="O792" s="9" t="s">
        <v>4895</v>
      </c>
      <c r="P792" s="9" t="str">
        <f>HYPERLINK("https://ceds.ed.gov/cedselementdetails.aspx?termid=13544")</f>
        <v>https://ceds.ed.gov/cedselementdetails.aspx?termid=13544</v>
      </c>
      <c r="Q792" s="9" t="str">
        <f>HYPERLINK("https://ceds.ed.gov/elementComment.aspx?elementName=Proficiency Target Status for Reading and Language Arts &amp;elementID=13544", "Click here to submit comment")</f>
        <v>Click here to submit comment</v>
      </c>
    </row>
    <row r="793" spans="1:17" ht="120" x14ac:dyDescent="0.25">
      <c r="A793" s="9" t="s">
        <v>6811</v>
      </c>
      <c r="B793" s="9" t="s">
        <v>6812</v>
      </c>
      <c r="C793" s="9" t="s">
        <v>6816</v>
      </c>
      <c r="D793" s="9" t="s">
        <v>6742</v>
      </c>
      <c r="E793" s="9" t="s">
        <v>4533</v>
      </c>
      <c r="F793" s="9" t="s">
        <v>4534</v>
      </c>
      <c r="G793" s="10" t="s">
        <v>6634</v>
      </c>
      <c r="H793" s="9" t="s">
        <v>199</v>
      </c>
      <c r="I793" s="9"/>
      <c r="J793" s="9"/>
      <c r="K793" s="9"/>
      <c r="L793" s="9"/>
      <c r="M793" s="9" t="s">
        <v>4535</v>
      </c>
      <c r="N793" s="9"/>
      <c r="O793" s="9" t="s">
        <v>4536</v>
      </c>
      <c r="P793" s="9" t="str">
        <f>HYPERLINK("https://ceds.ed.gov/cedselementdetails.aspx?termid=13208")</f>
        <v>https://ceds.ed.gov/cedselementdetails.aspx?termid=13208</v>
      </c>
      <c r="Q793" s="9" t="str">
        <f>HYPERLINK("https://ceds.ed.gov/elementComment.aspx?elementName=Participation Status for Math &amp;elementID=13208", "Click here to submit comment")</f>
        <v>Click here to submit comment</v>
      </c>
    </row>
    <row r="794" spans="1:17" ht="120" x14ac:dyDescent="0.25">
      <c r="A794" s="9" t="s">
        <v>6811</v>
      </c>
      <c r="B794" s="9" t="s">
        <v>6812</v>
      </c>
      <c r="C794" s="9" t="s">
        <v>6816</v>
      </c>
      <c r="D794" s="9" t="s">
        <v>6742</v>
      </c>
      <c r="E794" s="9" t="s">
        <v>4537</v>
      </c>
      <c r="F794" s="9" t="s">
        <v>4538</v>
      </c>
      <c r="G794" s="10" t="s">
        <v>6634</v>
      </c>
      <c r="H794" s="9" t="s">
        <v>199</v>
      </c>
      <c r="I794" s="9"/>
      <c r="J794" s="9"/>
      <c r="K794" s="9"/>
      <c r="L794" s="9"/>
      <c r="M794" s="9" t="s">
        <v>4539</v>
      </c>
      <c r="N794" s="9"/>
      <c r="O794" s="9" t="s">
        <v>4540</v>
      </c>
      <c r="P794" s="9" t="str">
        <f>HYPERLINK("https://ceds.ed.gov/cedselementdetails.aspx?termid=13209")</f>
        <v>https://ceds.ed.gov/cedselementdetails.aspx?termid=13209</v>
      </c>
      <c r="Q794" s="9" t="str">
        <f>HYPERLINK("https://ceds.ed.gov/elementComment.aspx?elementName=Participation Status for Reading and Language Arts &amp;elementID=13209", "Click here to submit comment")</f>
        <v>Click here to submit comment</v>
      </c>
    </row>
    <row r="795" spans="1:17" ht="45" x14ac:dyDescent="0.25">
      <c r="A795" s="9" t="s">
        <v>6811</v>
      </c>
      <c r="B795" s="9" t="s">
        <v>6812</v>
      </c>
      <c r="C795" s="9" t="s">
        <v>6816</v>
      </c>
      <c r="D795" s="9" t="s">
        <v>6742</v>
      </c>
      <c r="E795" s="9" t="s">
        <v>4570</v>
      </c>
      <c r="F795" s="9" t="s">
        <v>4571</v>
      </c>
      <c r="G795" s="9" t="s">
        <v>6106</v>
      </c>
      <c r="H795" s="9" t="s">
        <v>199</v>
      </c>
      <c r="I795" s="9"/>
      <c r="J795" s="9"/>
      <c r="K795" s="9"/>
      <c r="L795" s="9"/>
      <c r="M795" s="9" t="s">
        <v>4572</v>
      </c>
      <c r="N795" s="9"/>
      <c r="O795" s="9" t="s">
        <v>4573</v>
      </c>
      <c r="P795" s="9" t="str">
        <f>HYPERLINK("https://ceds.ed.gov/cedselementdetails.aspx?termid=13210")</f>
        <v>https://ceds.ed.gov/cedselementdetails.aspx?termid=13210</v>
      </c>
      <c r="Q795" s="9" t="str">
        <f>HYPERLINK("https://ceds.ed.gov/elementComment.aspx?elementName=Persistently Dangerous Status &amp;elementID=13210", "Click here to submit comment")</f>
        <v>Click here to submit comment</v>
      </c>
    </row>
    <row r="796" spans="1:17" ht="45" x14ac:dyDescent="0.25">
      <c r="A796" s="9" t="s">
        <v>6811</v>
      </c>
      <c r="B796" s="9" t="s">
        <v>6812</v>
      </c>
      <c r="C796" s="9" t="s">
        <v>6816</v>
      </c>
      <c r="D796" s="9" t="s">
        <v>6742</v>
      </c>
      <c r="E796" s="9" t="s">
        <v>4574</v>
      </c>
      <c r="F796" s="9" t="s">
        <v>4575</v>
      </c>
      <c r="G796" s="9" t="s">
        <v>6106</v>
      </c>
      <c r="H796" s="9" t="s">
        <v>199</v>
      </c>
      <c r="I796" s="9"/>
      <c r="J796" s="9"/>
      <c r="K796" s="9"/>
      <c r="L796" s="9"/>
      <c r="M796" s="9" t="s">
        <v>4576</v>
      </c>
      <c r="N796" s="9"/>
      <c r="O796" s="9" t="s">
        <v>4577</v>
      </c>
      <c r="P796" s="9" t="str">
        <f>HYPERLINK("https://ceds.ed.gov/cedselementdetails.aspx?termid=13211")</f>
        <v>https://ceds.ed.gov/cedselementdetails.aspx?termid=13211</v>
      </c>
      <c r="Q796" s="9" t="str">
        <f>HYPERLINK("https://ceds.ed.gov/elementComment.aspx?elementName=Persistently Lowest Achieving School Status &amp;elementID=13211", "Click here to submit comment")</f>
        <v>Click here to submit comment</v>
      </c>
    </row>
    <row r="797" spans="1:17" ht="105" x14ac:dyDescent="0.25">
      <c r="A797" s="9" t="s">
        <v>6811</v>
      </c>
      <c r="B797" s="9" t="s">
        <v>6812</v>
      </c>
      <c r="C797" s="9" t="s">
        <v>6816</v>
      </c>
      <c r="D797" s="9" t="s">
        <v>6742</v>
      </c>
      <c r="E797" s="9" t="s">
        <v>2594</v>
      </c>
      <c r="F797" s="9" t="s">
        <v>2595</v>
      </c>
      <c r="G797" s="10" t="s">
        <v>6485</v>
      </c>
      <c r="H797" s="9" t="s">
        <v>199</v>
      </c>
      <c r="I797" s="9"/>
      <c r="J797" s="9"/>
      <c r="K797" s="9"/>
      <c r="L797" s="9"/>
      <c r="M797" s="9" t="s">
        <v>2596</v>
      </c>
      <c r="N797" s="9"/>
      <c r="O797" s="9" t="s">
        <v>2597</v>
      </c>
      <c r="P797" s="9" t="str">
        <f>HYPERLINK("https://ceds.ed.gov/cedselementdetails.aspx?termid=13091")</f>
        <v>https://ceds.ed.gov/cedselementdetails.aspx?termid=13091</v>
      </c>
      <c r="Q797" s="9" t="str">
        <f>HYPERLINK("https://ceds.ed.gov/elementComment.aspx?elementName=Elementary-Middle Additional Indicator Status &amp;elementID=13091", "Click here to submit comment")</f>
        <v>Click here to submit comment</v>
      </c>
    </row>
    <row r="798" spans="1:17" ht="120" x14ac:dyDescent="0.25">
      <c r="A798" s="9" t="s">
        <v>6811</v>
      </c>
      <c r="B798" s="9" t="s">
        <v>6812</v>
      </c>
      <c r="C798" s="9" t="s">
        <v>6816</v>
      </c>
      <c r="D798" s="9" t="s">
        <v>6742</v>
      </c>
      <c r="E798" s="9" t="s">
        <v>3077</v>
      </c>
      <c r="F798" s="9" t="s">
        <v>3078</v>
      </c>
      <c r="G798" s="10" t="s">
        <v>6529</v>
      </c>
      <c r="H798" s="9" t="s">
        <v>199</v>
      </c>
      <c r="I798" s="9"/>
      <c r="J798" s="9"/>
      <c r="K798" s="9"/>
      <c r="L798" s="9"/>
      <c r="M798" s="9" t="s">
        <v>3079</v>
      </c>
      <c r="N798" s="9"/>
      <c r="O798" s="9" t="s">
        <v>3080</v>
      </c>
      <c r="P798" s="9" t="str">
        <f>HYPERLINK("https://ceds.ed.gov/cedselementdetails.aspx?termid=13134")</f>
        <v>https://ceds.ed.gov/cedselementdetails.aspx?termid=13134</v>
      </c>
      <c r="Q798" s="9" t="str">
        <f>HYPERLINK("https://ceds.ed.gov/elementComment.aspx?elementName=Gun Free Schools Act Reporting Status &amp;elementID=13134", "Click here to submit comment")</f>
        <v>Click here to submit comment</v>
      </c>
    </row>
    <row r="799" spans="1:17" ht="120" x14ac:dyDescent="0.25">
      <c r="A799" s="9" t="s">
        <v>6811</v>
      </c>
      <c r="B799" s="9" t="s">
        <v>6812</v>
      </c>
      <c r="C799" s="9" t="s">
        <v>6816</v>
      </c>
      <c r="D799" s="9" t="s">
        <v>6742</v>
      </c>
      <c r="E799" s="9" t="s">
        <v>3113</v>
      </c>
      <c r="F799" s="9" t="s">
        <v>3114</v>
      </c>
      <c r="G799" s="10" t="s">
        <v>6533</v>
      </c>
      <c r="H799" s="9" t="s">
        <v>199</v>
      </c>
      <c r="I799" s="9"/>
      <c r="J799" s="9"/>
      <c r="K799" s="9"/>
      <c r="L799" s="9"/>
      <c r="M799" s="9" t="s">
        <v>3115</v>
      </c>
      <c r="N799" s="9"/>
      <c r="O799" s="9" t="s">
        <v>3116</v>
      </c>
      <c r="P799" s="9" t="str">
        <f>HYPERLINK("https://ceds.ed.gov/cedselementdetails.aspx?termid=13140")</f>
        <v>https://ceds.ed.gov/cedselementdetails.aspx?termid=13140</v>
      </c>
      <c r="Q799" s="9" t="str">
        <f>HYPERLINK("https://ceds.ed.gov/elementComment.aspx?elementName=High School Graduation Rate Indicator Status &amp;elementID=13140", "Click here to submit comment")</f>
        <v>Click here to submit comment</v>
      </c>
    </row>
    <row r="800" spans="1:17" ht="255" x14ac:dyDescent="0.25">
      <c r="A800" s="9" t="s">
        <v>6811</v>
      </c>
      <c r="B800" s="9" t="s">
        <v>6812</v>
      </c>
      <c r="C800" s="9" t="s">
        <v>6816</v>
      </c>
      <c r="D800" s="9" t="s">
        <v>6742</v>
      </c>
      <c r="E800" s="9" t="s">
        <v>1880</v>
      </c>
      <c r="F800" s="9" t="s">
        <v>1881</v>
      </c>
      <c r="G800" s="10" t="s">
        <v>6417</v>
      </c>
      <c r="H800" s="9" t="s">
        <v>199</v>
      </c>
      <c r="I800" s="9"/>
      <c r="J800" s="9"/>
      <c r="K800" s="9"/>
      <c r="L800" s="9"/>
      <c r="M800" s="9" t="s">
        <v>1883</v>
      </c>
      <c r="N800" s="9"/>
      <c r="O800" s="9" t="s">
        <v>1884</v>
      </c>
      <c r="P800" s="9" t="str">
        <f>HYPERLINK("https://ceds.ed.gov/cedselementdetails.aspx?termid=13049")</f>
        <v>https://ceds.ed.gov/cedselementdetails.aspx?termid=13049</v>
      </c>
      <c r="Q800" s="9" t="str">
        <f>HYPERLINK("https://ceds.ed.gov/elementComment.aspx?elementName=Corrective Action Type &amp;elementID=13049", "Click here to submit comment")</f>
        <v>Click here to submit comment</v>
      </c>
    </row>
    <row r="801" spans="1:17" ht="90" x14ac:dyDescent="0.25">
      <c r="A801" s="9" t="s">
        <v>6811</v>
      </c>
      <c r="B801" s="9" t="s">
        <v>6812</v>
      </c>
      <c r="C801" s="9" t="s">
        <v>6816</v>
      </c>
      <c r="D801" s="9" t="s">
        <v>6742</v>
      </c>
      <c r="E801" s="9" t="s">
        <v>5097</v>
      </c>
      <c r="F801" s="9" t="s">
        <v>5098</v>
      </c>
      <c r="G801" s="10" t="s">
        <v>6678</v>
      </c>
      <c r="H801" s="9" t="s">
        <v>199</v>
      </c>
      <c r="I801" s="9"/>
      <c r="J801" s="9"/>
      <c r="K801" s="9"/>
      <c r="L801" s="9"/>
      <c r="M801" s="9" t="s">
        <v>5099</v>
      </c>
      <c r="N801" s="9"/>
      <c r="O801" s="9" t="s">
        <v>5100</v>
      </c>
      <c r="P801" s="9" t="str">
        <f>HYPERLINK("https://ceds.ed.gov/cedselementdetails.aspx?termid=13230")</f>
        <v>https://ceds.ed.gov/cedselementdetails.aspx?termid=13230</v>
      </c>
      <c r="Q801" s="9" t="str">
        <f>HYPERLINK("https://ceds.ed.gov/elementComment.aspx?elementName=Reconstituted Status &amp;elementID=13230", "Click here to submit comment")</f>
        <v>Click here to submit comment</v>
      </c>
    </row>
    <row r="802" spans="1:17" ht="165" x14ac:dyDescent="0.25">
      <c r="A802" s="9" t="s">
        <v>6811</v>
      </c>
      <c r="B802" s="9" t="s">
        <v>6812</v>
      </c>
      <c r="C802" s="9" t="s">
        <v>6816</v>
      </c>
      <c r="D802" s="9" t="s">
        <v>6742</v>
      </c>
      <c r="E802" s="9" t="s">
        <v>5180</v>
      </c>
      <c r="F802" s="9" t="s">
        <v>5181</v>
      </c>
      <c r="G802" s="10" t="s">
        <v>6682</v>
      </c>
      <c r="H802" s="9" t="s">
        <v>199</v>
      </c>
      <c r="I802" s="9"/>
      <c r="J802" s="9"/>
      <c r="K802" s="9"/>
      <c r="L802" s="9"/>
      <c r="M802" s="9" t="s">
        <v>5182</v>
      </c>
      <c r="N802" s="9"/>
      <c r="O802" s="9" t="s">
        <v>5183</v>
      </c>
      <c r="P802" s="9" t="str">
        <f>HYPERLINK("https://ceds.ed.gov/cedselementdetails.aspx?termid=13232")</f>
        <v>https://ceds.ed.gov/cedselementdetails.aspx?termid=13232</v>
      </c>
      <c r="Q802" s="9" t="str">
        <f>HYPERLINK("https://ceds.ed.gov/elementComment.aspx?elementName=Restructuring Action &amp;elementID=13232", "Click here to submit comment")</f>
        <v>Click here to submit comment</v>
      </c>
    </row>
    <row r="803" spans="1:17" ht="45" x14ac:dyDescent="0.25">
      <c r="A803" s="9" t="s">
        <v>6811</v>
      </c>
      <c r="B803" s="9" t="s">
        <v>6812</v>
      </c>
      <c r="C803" s="9" t="s">
        <v>6816</v>
      </c>
      <c r="D803" s="9" t="s">
        <v>6742</v>
      </c>
      <c r="E803" s="9" t="s">
        <v>5351</v>
      </c>
      <c r="F803" s="9" t="s">
        <v>5352</v>
      </c>
      <c r="G803" s="9" t="s">
        <v>6106</v>
      </c>
      <c r="H803" s="9" t="s">
        <v>199</v>
      </c>
      <c r="I803" s="9"/>
      <c r="J803" s="9"/>
      <c r="K803" s="9"/>
      <c r="L803" s="9"/>
      <c r="M803" s="9" t="s">
        <v>5353</v>
      </c>
      <c r="N803" s="9"/>
      <c r="O803" s="9" t="s">
        <v>5354</v>
      </c>
      <c r="P803" s="9" t="str">
        <f>HYPERLINK("https://ceds.ed.gov/cedselementdetails.aspx?termid=13238")</f>
        <v>https://ceds.ed.gov/cedselementdetails.aspx?termid=13238</v>
      </c>
      <c r="Q803" s="9" t="str">
        <f>HYPERLINK("https://ceds.ed.gov/elementComment.aspx?elementName=School Improvement Funds Status &amp;elementID=13238", "Click here to submit comment")</f>
        <v>Click here to submit comment</v>
      </c>
    </row>
    <row r="804" spans="1:17" ht="45" x14ac:dyDescent="0.25">
      <c r="A804" s="9" t="s">
        <v>6811</v>
      </c>
      <c r="B804" s="9" t="s">
        <v>6812</v>
      </c>
      <c r="C804" s="9" t="s">
        <v>6816</v>
      </c>
      <c r="D804" s="9" t="s">
        <v>6742</v>
      </c>
      <c r="E804" s="9" t="s">
        <v>5347</v>
      </c>
      <c r="F804" s="9" t="s">
        <v>5348</v>
      </c>
      <c r="G804" s="9" t="s">
        <v>12</v>
      </c>
      <c r="H804" s="9" t="s">
        <v>188</v>
      </c>
      <c r="I804" s="9"/>
      <c r="J804" s="9" t="s">
        <v>73</v>
      </c>
      <c r="K804" s="9"/>
      <c r="L804" s="9"/>
      <c r="M804" s="9" t="s">
        <v>5349</v>
      </c>
      <c r="N804" s="9"/>
      <c r="O804" s="9" t="s">
        <v>5350</v>
      </c>
      <c r="P804" s="9" t="str">
        <f>HYPERLINK("https://ceds.ed.gov/cedselementdetails.aspx?termid=13472")</f>
        <v>https://ceds.ed.gov/cedselementdetails.aspx?termid=13472</v>
      </c>
      <c r="Q804" s="9" t="str">
        <f>HYPERLINK("https://ceds.ed.gov/elementComment.aspx?elementName=School Improvement Exit Date &amp;elementID=13472", "Click here to submit comment")</f>
        <v>Click here to submit comment</v>
      </c>
    </row>
    <row r="805" spans="1:17" ht="45" x14ac:dyDescent="0.25">
      <c r="A805" s="9" t="s">
        <v>6811</v>
      </c>
      <c r="B805" s="9" t="s">
        <v>6812</v>
      </c>
      <c r="C805" s="9" t="s">
        <v>6762</v>
      </c>
      <c r="D805" s="9" t="s">
        <v>6742</v>
      </c>
      <c r="E805" s="9" t="s">
        <v>2952</v>
      </c>
      <c r="F805" s="9" t="s">
        <v>2953</v>
      </c>
      <c r="G805" s="9" t="s">
        <v>12</v>
      </c>
      <c r="H805" s="9"/>
      <c r="I805" s="9"/>
      <c r="J805" s="9" t="s">
        <v>1813</v>
      </c>
      <c r="K805" s="9"/>
      <c r="L805" s="9"/>
      <c r="M805" s="9" t="s">
        <v>2954</v>
      </c>
      <c r="N805" s="9"/>
      <c r="O805" s="9" t="s">
        <v>2955</v>
      </c>
      <c r="P805" s="9" t="str">
        <f>HYPERLINK("https://ceds.ed.gov/cedselementdetails.aspx?termid=14620")</f>
        <v>https://ceds.ed.gov/cedselementdetails.aspx?termid=14620</v>
      </c>
      <c r="Q805" s="9" t="str">
        <f>HYPERLINK("https://ceds.ed.gov/elementComment.aspx?elementName=Fiscal Year &amp;elementID=14620", "Click here to submit comment")</f>
        <v>Click here to submit comment</v>
      </c>
    </row>
    <row r="806" spans="1:17" ht="45" x14ac:dyDescent="0.25">
      <c r="A806" s="9" t="s">
        <v>6811</v>
      </c>
      <c r="B806" s="9" t="s">
        <v>6812</v>
      </c>
      <c r="C806" s="9" t="s">
        <v>6762</v>
      </c>
      <c r="D806" s="9" t="s">
        <v>6742</v>
      </c>
      <c r="E806" s="9" t="s">
        <v>2944</v>
      </c>
      <c r="F806" s="9" t="s">
        <v>2945</v>
      </c>
      <c r="G806" s="9" t="s">
        <v>12</v>
      </c>
      <c r="H806" s="9"/>
      <c r="I806" s="9"/>
      <c r="J806" s="9" t="s">
        <v>73</v>
      </c>
      <c r="K806" s="9"/>
      <c r="L806" s="9"/>
      <c r="M806" s="9" t="s">
        <v>2946</v>
      </c>
      <c r="N806" s="9"/>
      <c r="O806" s="9" t="s">
        <v>2947</v>
      </c>
      <c r="P806" s="9" t="str">
        <f>HYPERLINK("https://ceds.ed.gov/cedselementdetails.aspx?termid=14623")</f>
        <v>https://ceds.ed.gov/cedselementdetails.aspx?termid=14623</v>
      </c>
      <c r="Q806" s="9" t="str">
        <f>HYPERLINK("https://ceds.ed.gov/elementComment.aspx?elementName=Fiscal Period Begin Date &amp;elementID=14623", "Click here to submit comment")</f>
        <v>Click here to submit comment</v>
      </c>
    </row>
    <row r="807" spans="1:17" ht="45" x14ac:dyDescent="0.25">
      <c r="A807" s="9" t="s">
        <v>6811</v>
      </c>
      <c r="B807" s="9" t="s">
        <v>6812</v>
      </c>
      <c r="C807" s="9" t="s">
        <v>6762</v>
      </c>
      <c r="D807" s="9" t="s">
        <v>6742</v>
      </c>
      <c r="E807" s="9" t="s">
        <v>2948</v>
      </c>
      <c r="F807" s="9" t="s">
        <v>2949</v>
      </c>
      <c r="G807" s="9" t="s">
        <v>12</v>
      </c>
      <c r="H807" s="9"/>
      <c r="I807" s="9"/>
      <c r="J807" s="9" t="s">
        <v>73</v>
      </c>
      <c r="K807" s="9"/>
      <c r="L807" s="9"/>
      <c r="M807" s="9" t="s">
        <v>2950</v>
      </c>
      <c r="N807" s="9"/>
      <c r="O807" s="9" t="s">
        <v>2951</v>
      </c>
      <c r="P807" s="9" t="str">
        <f>HYPERLINK("https://ceds.ed.gov/cedselementdetails.aspx?termid=14624")</f>
        <v>https://ceds.ed.gov/cedselementdetails.aspx?termid=14624</v>
      </c>
      <c r="Q807" s="9" t="str">
        <f>HYPERLINK("https://ceds.ed.gov/elementComment.aspx?elementName=Fiscal Period End Date &amp;elementID=14624", "Click here to submit comment")</f>
        <v>Click here to submit comment</v>
      </c>
    </row>
    <row r="808" spans="1:17" ht="105" x14ac:dyDescent="0.25">
      <c r="A808" s="9" t="s">
        <v>6811</v>
      </c>
      <c r="B808" s="9" t="s">
        <v>6812</v>
      </c>
      <c r="C808" s="9" t="s">
        <v>6762</v>
      </c>
      <c r="D808" s="9" t="s">
        <v>6742</v>
      </c>
      <c r="E808" s="9" t="s">
        <v>2810</v>
      </c>
      <c r="F808" s="9" t="s">
        <v>2811</v>
      </c>
      <c r="G808" s="9" t="s">
        <v>12</v>
      </c>
      <c r="H808" s="9"/>
      <c r="I808" s="9"/>
      <c r="J808" s="9" t="s">
        <v>87</v>
      </c>
      <c r="K808" s="9"/>
      <c r="L808" s="9"/>
      <c r="M808" s="9" t="s">
        <v>2812</v>
      </c>
      <c r="N808" s="9"/>
      <c r="O808" s="9" t="s">
        <v>2813</v>
      </c>
      <c r="P808" s="9" t="str">
        <f>HYPERLINK("https://ceds.ed.gov/cedselementdetails.aspx?termid=14530")</f>
        <v>https://ceds.ed.gov/cedselementdetails.aspx?termid=14530</v>
      </c>
      <c r="Q808" s="9" t="str">
        <f>HYPERLINK("https://ceds.ed.gov/elementComment.aspx?elementName=Financial Account Number &amp;elementID=14530", "Click here to submit comment")</f>
        <v>Click here to submit comment</v>
      </c>
    </row>
    <row r="809" spans="1:17" ht="45" x14ac:dyDescent="0.25">
      <c r="A809" s="9" t="s">
        <v>6811</v>
      </c>
      <c r="B809" s="9" t="s">
        <v>6812</v>
      </c>
      <c r="C809" s="9" t="s">
        <v>6762</v>
      </c>
      <c r="D809" s="9" t="s">
        <v>6742</v>
      </c>
      <c r="E809" s="9" t="s">
        <v>2806</v>
      </c>
      <c r="F809" s="9" t="s">
        <v>2807</v>
      </c>
      <c r="G809" s="9" t="s">
        <v>12</v>
      </c>
      <c r="H809" s="9"/>
      <c r="I809" s="9"/>
      <c r="J809" s="9" t="s">
        <v>762</v>
      </c>
      <c r="K809" s="9"/>
      <c r="L809" s="9"/>
      <c r="M809" s="9" t="s">
        <v>2808</v>
      </c>
      <c r="N809" s="9"/>
      <c r="O809" s="9" t="s">
        <v>2809</v>
      </c>
      <c r="P809" s="9" t="str">
        <f>HYPERLINK("https://ceds.ed.gov/cedselementdetails.aspx?termid=14315")</f>
        <v>https://ceds.ed.gov/cedselementdetails.aspx?termid=14315</v>
      </c>
      <c r="Q809" s="9" t="str">
        <f>HYPERLINK("https://ceds.ed.gov/elementComment.aspx?elementName=Financial Account Name &amp;elementID=14315", "Click here to submit comment")</f>
        <v>Click here to submit comment</v>
      </c>
    </row>
    <row r="810" spans="1:17" ht="45" x14ac:dyDescent="0.25">
      <c r="A810" s="9" t="s">
        <v>6811</v>
      </c>
      <c r="B810" s="9" t="s">
        <v>6812</v>
      </c>
      <c r="C810" s="9" t="s">
        <v>6762</v>
      </c>
      <c r="D810" s="9" t="s">
        <v>6742</v>
      </c>
      <c r="E810" s="9" t="s">
        <v>2800</v>
      </c>
      <c r="F810" s="9" t="s">
        <v>2801</v>
      </c>
      <c r="G810" s="9" t="s">
        <v>12</v>
      </c>
      <c r="H810" s="9"/>
      <c r="I810" s="9"/>
      <c r="J810" s="9" t="s">
        <v>68</v>
      </c>
      <c r="K810" s="9"/>
      <c r="L810" s="9"/>
      <c r="M810" s="9" t="s">
        <v>2802</v>
      </c>
      <c r="N810" s="9"/>
      <c r="O810" s="9" t="s">
        <v>2803</v>
      </c>
      <c r="P810" s="9" t="str">
        <f>HYPERLINK("https://ceds.ed.gov/cedselementdetails.aspx?termid=14313")</f>
        <v>https://ceds.ed.gov/cedselementdetails.aspx?termid=14313</v>
      </c>
      <c r="Q810" s="9" t="str">
        <f>HYPERLINK("https://ceds.ed.gov/elementComment.aspx?elementName=Financial Account Description &amp;elementID=14313", "Click here to submit comment")</f>
        <v>Click here to submit comment</v>
      </c>
    </row>
    <row r="811" spans="1:17" ht="105" x14ac:dyDescent="0.25">
      <c r="A811" s="9" t="s">
        <v>6811</v>
      </c>
      <c r="B811" s="9" t="s">
        <v>6812</v>
      </c>
      <c r="C811" s="9" t="s">
        <v>6762</v>
      </c>
      <c r="D811" s="9" t="s">
        <v>6742</v>
      </c>
      <c r="E811" s="9" t="s">
        <v>2796</v>
      </c>
      <c r="F811" s="9" t="s">
        <v>2797</v>
      </c>
      <c r="G811" s="10" t="s">
        <v>6505</v>
      </c>
      <c r="H811" s="9"/>
      <c r="I811" s="9"/>
      <c r="J811" s="9"/>
      <c r="K811" s="9"/>
      <c r="L811" s="9"/>
      <c r="M811" s="9" t="s">
        <v>2798</v>
      </c>
      <c r="N811" s="9"/>
      <c r="O811" s="9" t="s">
        <v>2799</v>
      </c>
      <c r="P811" s="9" t="str">
        <f>HYPERLINK("https://ceds.ed.gov/cedselementdetails.aspx?termid=14312")</f>
        <v>https://ceds.ed.gov/cedselementdetails.aspx?termid=14312</v>
      </c>
      <c r="Q811" s="9" t="str">
        <f>HYPERLINK("https://ceds.ed.gov/elementComment.aspx?elementName=Financial Account Category &amp;elementID=14312", "Click here to submit comment")</f>
        <v>Click here to submit comment</v>
      </c>
    </row>
    <row r="812" spans="1:17" ht="15" customHeight="1" x14ac:dyDescent="0.25">
      <c r="A812" s="18" t="s">
        <v>6811</v>
      </c>
      <c r="B812" s="18" t="s">
        <v>6812</v>
      </c>
      <c r="C812" s="18" t="s">
        <v>6762</v>
      </c>
      <c r="D812" s="18" t="s">
        <v>6742</v>
      </c>
      <c r="E812" s="18" t="s">
        <v>11338</v>
      </c>
      <c r="F812" s="18" t="s">
        <v>2824</v>
      </c>
      <c r="G812" s="19" t="s">
        <v>6508</v>
      </c>
      <c r="H812" s="18"/>
      <c r="I812" s="18"/>
      <c r="J812" s="18"/>
      <c r="K812" s="18"/>
      <c r="L812" s="11" t="s">
        <v>2794</v>
      </c>
      <c r="M812" s="18" t="s">
        <v>2826</v>
      </c>
      <c r="N812" s="18"/>
      <c r="O812" s="18" t="s">
        <v>11339</v>
      </c>
      <c r="P812" s="18" t="str">
        <f>HYPERLINK("https://ceds.ed.gov/cedselementdetails.aspx?termid=14440")</f>
        <v>https://ceds.ed.gov/cedselementdetails.aspx?termid=14440</v>
      </c>
      <c r="Q812" s="18" t="str">
        <f>HYPERLINK("https://ceds.ed.gov/elementComment.aspx?elementName=Financial Account K12 Revenue Code &amp;elementID=14440", "Click here to submit comment")</f>
        <v>Click here to submit comment</v>
      </c>
    </row>
    <row r="813" spans="1:17" x14ac:dyDescent="0.25">
      <c r="A813" s="18"/>
      <c r="B813" s="18"/>
      <c r="C813" s="18"/>
      <c r="D813" s="18"/>
      <c r="E813" s="18"/>
      <c r="F813" s="18"/>
      <c r="G813" s="18"/>
      <c r="H813" s="18"/>
      <c r="I813" s="18"/>
      <c r="J813" s="18"/>
      <c r="K813" s="18"/>
      <c r="L813" s="9"/>
      <c r="M813" s="18"/>
      <c r="N813" s="18"/>
      <c r="O813" s="18"/>
      <c r="P813" s="18"/>
      <c r="Q813" s="18"/>
    </row>
    <row r="814" spans="1:17" ht="30" x14ac:dyDescent="0.25">
      <c r="A814" s="18"/>
      <c r="B814" s="18"/>
      <c r="C814" s="18"/>
      <c r="D814" s="18"/>
      <c r="E814" s="18"/>
      <c r="F814" s="18"/>
      <c r="G814" s="18"/>
      <c r="H814" s="18"/>
      <c r="I814" s="18"/>
      <c r="J814" s="18"/>
      <c r="K814" s="18"/>
      <c r="L814" s="9" t="s">
        <v>2825</v>
      </c>
      <c r="M814" s="18"/>
      <c r="N814" s="18"/>
      <c r="O814" s="18"/>
      <c r="P814" s="18"/>
      <c r="Q814" s="18"/>
    </row>
    <row r="815" spans="1:17" ht="409.5" x14ac:dyDescent="0.25">
      <c r="A815" s="9" t="s">
        <v>6811</v>
      </c>
      <c r="B815" s="9" t="s">
        <v>6812</v>
      </c>
      <c r="C815" s="9" t="s">
        <v>6762</v>
      </c>
      <c r="D815" s="9" t="s">
        <v>6742</v>
      </c>
      <c r="E815" s="9" t="s">
        <v>11340</v>
      </c>
      <c r="F815" s="9" t="s">
        <v>2894</v>
      </c>
      <c r="G815" s="10" t="s">
        <v>6514</v>
      </c>
      <c r="H815" s="9"/>
      <c r="I815" s="9"/>
      <c r="J815" s="9"/>
      <c r="K815" s="9"/>
      <c r="L815" s="11" t="s">
        <v>2794</v>
      </c>
      <c r="M815" s="9" t="s">
        <v>2895</v>
      </c>
      <c r="N815" s="9"/>
      <c r="O815" s="9" t="s">
        <v>11341</v>
      </c>
      <c r="P815" s="9" t="str">
        <f>HYPERLINK("https://ceds.ed.gov/cedselementdetails.aspx?termid=14321")</f>
        <v>https://ceds.ed.gov/cedselementdetails.aspx?termid=14321</v>
      </c>
      <c r="Q815" s="9" t="str">
        <f>HYPERLINK("https://ceds.ed.gov/elementComment.aspx?elementName=Financial Expenditure K12 Function Code &amp;elementID=14321", "Click here to submit comment")</f>
        <v>Click here to submit comment</v>
      </c>
    </row>
    <row r="816" spans="1:17" ht="409.5" x14ac:dyDescent="0.25">
      <c r="A816" s="9" t="s">
        <v>6811</v>
      </c>
      <c r="B816" s="9" t="s">
        <v>6812</v>
      </c>
      <c r="C816" s="9" t="s">
        <v>6762</v>
      </c>
      <c r="D816" s="9" t="s">
        <v>6742</v>
      </c>
      <c r="E816" s="9" t="s">
        <v>11344</v>
      </c>
      <c r="F816" s="9" t="s">
        <v>2898</v>
      </c>
      <c r="G816" s="10" t="s">
        <v>6516</v>
      </c>
      <c r="H816" s="9"/>
      <c r="I816" s="9"/>
      <c r="J816" s="9"/>
      <c r="K816" s="9"/>
      <c r="L816" s="11" t="s">
        <v>2794</v>
      </c>
      <c r="M816" s="9" t="s">
        <v>2899</v>
      </c>
      <c r="N816" s="9"/>
      <c r="O816" s="9" t="s">
        <v>11345</v>
      </c>
      <c r="P816" s="9" t="str">
        <f>HYPERLINK("https://ceds.ed.gov/cedselementdetails.aspx?termid=14322")</f>
        <v>https://ceds.ed.gov/cedselementdetails.aspx?termid=14322</v>
      </c>
      <c r="Q816" s="9" t="str">
        <f>HYPERLINK("https://ceds.ed.gov/elementComment.aspx?elementName=Financial Expenditure K12 Object Code &amp;elementID=14322", "Click here to submit comment")</f>
        <v>Click here to submit comment</v>
      </c>
    </row>
    <row r="817" spans="1:17" ht="195" x14ac:dyDescent="0.25">
      <c r="A817" s="9" t="s">
        <v>6811</v>
      </c>
      <c r="B817" s="9" t="s">
        <v>6812</v>
      </c>
      <c r="C817" s="9" t="s">
        <v>6762</v>
      </c>
      <c r="D817" s="9" t="s">
        <v>6742</v>
      </c>
      <c r="E817" s="9" t="s">
        <v>11342</v>
      </c>
      <c r="F817" s="9" t="s">
        <v>2896</v>
      </c>
      <c r="G817" s="10" t="s">
        <v>6515</v>
      </c>
      <c r="H817" s="9"/>
      <c r="I817" s="9"/>
      <c r="J817" s="9"/>
      <c r="K817" s="9"/>
      <c r="L817" s="11" t="s">
        <v>2794</v>
      </c>
      <c r="M817" s="9" t="s">
        <v>2897</v>
      </c>
      <c r="N817" s="9"/>
      <c r="O817" s="9" t="s">
        <v>11343</v>
      </c>
      <c r="P817" s="9" t="str">
        <f>HYPERLINK("https://ceds.ed.gov/cedselementdetails.aspx?termid=14531")</f>
        <v>https://ceds.ed.gov/cedselementdetails.aspx?termid=14531</v>
      </c>
      <c r="Q817" s="9" t="str">
        <f>HYPERLINK("https://ceds.ed.gov/elementComment.aspx?elementName=Financial Expenditure K12 Level of Instruction Code &amp;elementID=14531", "Click here to submit comment")</f>
        <v>Click here to submit comment</v>
      </c>
    </row>
    <row r="818" spans="1:17" ht="75" x14ac:dyDescent="0.25">
      <c r="A818" s="18" t="s">
        <v>6811</v>
      </c>
      <c r="B818" s="18" t="s">
        <v>6812</v>
      </c>
      <c r="C818" s="18" t="s">
        <v>6762</v>
      </c>
      <c r="D818" s="18" t="s">
        <v>6742</v>
      </c>
      <c r="E818" s="18" t="s">
        <v>11346</v>
      </c>
      <c r="F818" s="18" t="s">
        <v>2900</v>
      </c>
      <c r="G818" s="18"/>
      <c r="H818" s="18"/>
      <c r="I818" s="18"/>
      <c r="J818" s="18" t="s">
        <v>134</v>
      </c>
      <c r="K818" s="18"/>
      <c r="L818" s="11" t="s">
        <v>2901</v>
      </c>
      <c r="M818" s="18" t="s">
        <v>2906</v>
      </c>
      <c r="N818" s="18"/>
      <c r="O818" s="18" t="s">
        <v>11347</v>
      </c>
      <c r="P818" s="18" t="str">
        <f>HYPERLINK("https://ceds.ed.gov/cedselementdetails.aspx?termid=14532")</f>
        <v>https://ceds.ed.gov/cedselementdetails.aspx?termid=14532</v>
      </c>
      <c r="Q818" s="18" t="str">
        <f>HYPERLINK("https://ceds.ed.gov/elementComment.aspx?elementName=Financial Expenditure K12 Project Reporting Code &amp;elementID=14532", "Click here to submit comment")</f>
        <v>Click here to submit comment</v>
      </c>
    </row>
    <row r="819" spans="1:17" x14ac:dyDescent="0.25">
      <c r="A819" s="18"/>
      <c r="B819" s="18"/>
      <c r="C819" s="18"/>
      <c r="D819" s="18"/>
      <c r="E819" s="18"/>
      <c r="F819" s="18"/>
      <c r="G819" s="18"/>
      <c r="H819" s="18"/>
      <c r="I819" s="18"/>
      <c r="J819" s="18"/>
      <c r="K819" s="18"/>
      <c r="L819" s="9"/>
      <c r="M819" s="18"/>
      <c r="N819" s="18"/>
      <c r="O819" s="18"/>
      <c r="P819" s="18"/>
      <c r="Q819" s="18"/>
    </row>
    <row r="820" spans="1:17" ht="45" x14ac:dyDescent="0.25">
      <c r="A820" s="18"/>
      <c r="B820" s="18"/>
      <c r="C820" s="18"/>
      <c r="D820" s="18"/>
      <c r="E820" s="18"/>
      <c r="F820" s="18"/>
      <c r="G820" s="18"/>
      <c r="H820" s="18"/>
      <c r="I820" s="18"/>
      <c r="J820" s="18"/>
      <c r="K820" s="18"/>
      <c r="L820" s="9" t="s">
        <v>2902</v>
      </c>
      <c r="M820" s="18"/>
      <c r="N820" s="18"/>
      <c r="O820" s="18"/>
      <c r="P820" s="18"/>
      <c r="Q820" s="18"/>
    </row>
    <row r="821" spans="1:17" x14ac:dyDescent="0.25">
      <c r="A821" s="18"/>
      <c r="B821" s="18"/>
      <c r="C821" s="18"/>
      <c r="D821" s="18"/>
      <c r="E821" s="18"/>
      <c r="F821" s="18"/>
      <c r="G821" s="18"/>
      <c r="H821" s="18"/>
      <c r="I821" s="18"/>
      <c r="J821" s="18"/>
      <c r="K821" s="18"/>
      <c r="L821" s="9"/>
      <c r="M821" s="18"/>
      <c r="N821" s="18"/>
      <c r="O821" s="18"/>
      <c r="P821" s="18"/>
      <c r="Q821" s="18"/>
    </row>
    <row r="822" spans="1:17" ht="45" x14ac:dyDescent="0.25">
      <c r="A822" s="18"/>
      <c r="B822" s="18"/>
      <c r="C822" s="18"/>
      <c r="D822" s="18"/>
      <c r="E822" s="18"/>
      <c r="F822" s="18"/>
      <c r="G822" s="18"/>
      <c r="H822" s="18"/>
      <c r="I822" s="18"/>
      <c r="J822" s="18"/>
      <c r="K822" s="18"/>
      <c r="L822" s="9" t="s">
        <v>2903</v>
      </c>
      <c r="M822" s="18"/>
      <c r="N822" s="18"/>
      <c r="O822" s="18"/>
      <c r="P822" s="18"/>
      <c r="Q822" s="18"/>
    </row>
    <row r="823" spans="1:17" x14ac:dyDescent="0.25">
      <c r="A823" s="18"/>
      <c r="B823" s="18"/>
      <c r="C823" s="18"/>
      <c r="D823" s="18"/>
      <c r="E823" s="18"/>
      <c r="F823" s="18"/>
      <c r="G823" s="18"/>
      <c r="H823" s="18"/>
      <c r="I823" s="18"/>
      <c r="J823" s="18"/>
      <c r="K823" s="18"/>
      <c r="L823" s="9"/>
      <c r="M823" s="18"/>
      <c r="N823" s="18"/>
      <c r="O823" s="18"/>
      <c r="P823" s="18"/>
      <c r="Q823" s="18"/>
    </row>
    <row r="824" spans="1:17" ht="60" x14ac:dyDescent="0.25">
      <c r="A824" s="18"/>
      <c r="B824" s="18"/>
      <c r="C824" s="18"/>
      <c r="D824" s="18"/>
      <c r="E824" s="18"/>
      <c r="F824" s="18"/>
      <c r="G824" s="18"/>
      <c r="H824" s="18"/>
      <c r="I824" s="18"/>
      <c r="J824" s="18"/>
      <c r="K824" s="18"/>
      <c r="L824" s="9" t="s">
        <v>2904</v>
      </c>
      <c r="M824" s="18"/>
      <c r="N824" s="18"/>
      <c r="O824" s="18"/>
      <c r="P824" s="18"/>
      <c r="Q824" s="18"/>
    </row>
    <row r="825" spans="1:17" x14ac:dyDescent="0.25">
      <c r="A825" s="18"/>
      <c r="B825" s="18"/>
      <c r="C825" s="18"/>
      <c r="D825" s="18"/>
      <c r="E825" s="18"/>
      <c r="F825" s="18"/>
      <c r="G825" s="18"/>
      <c r="H825" s="18"/>
      <c r="I825" s="18"/>
      <c r="J825" s="18"/>
      <c r="K825" s="18"/>
      <c r="L825" s="9"/>
      <c r="M825" s="18"/>
      <c r="N825" s="18"/>
      <c r="O825" s="18"/>
      <c r="P825" s="18"/>
      <c r="Q825" s="18"/>
    </row>
    <row r="826" spans="1:17" ht="30" x14ac:dyDescent="0.25">
      <c r="A826" s="18"/>
      <c r="B826" s="18"/>
      <c r="C826" s="18"/>
      <c r="D826" s="18"/>
      <c r="E826" s="18"/>
      <c r="F826" s="18"/>
      <c r="G826" s="18"/>
      <c r="H826" s="18"/>
      <c r="I826" s="18"/>
      <c r="J826" s="18"/>
      <c r="K826" s="18"/>
      <c r="L826" s="9" t="s">
        <v>2905</v>
      </c>
      <c r="M826" s="18"/>
      <c r="N826" s="18"/>
      <c r="O826" s="18"/>
      <c r="P826" s="18"/>
      <c r="Q826" s="18"/>
    </row>
    <row r="827" spans="1:17" ht="409.5" x14ac:dyDescent="0.25">
      <c r="A827" s="9" t="s">
        <v>6811</v>
      </c>
      <c r="B827" s="9" t="s">
        <v>6812</v>
      </c>
      <c r="C827" s="9" t="s">
        <v>6762</v>
      </c>
      <c r="D827" s="9" t="s">
        <v>6742</v>
      </c>
      <c r="E827" s="9" t="s">
        <v>11332</v>
      </c>
      <c r="F827" s="9" t="s">
        <v>2793</v>
      </c>
      <c r="G827" s="10" t="s">
        <v>6504</v>
      </c>
      <c r="H827" s="9"/>
      <c r="I827" s="9"/>
      <c r="J827" s="9"/>
      <c r="K827" s="9"/>
      <c r="L827" s="11" t="s">
        <v>2794</v>
      </c>
      <c r="M827" s="9" t="s">
        <v>2795</v>
      </c>
      <c r="N827" s="9"/>
      <c r="O827" s="9" t="s">
        <v>11333</v>
      </c>
      <c r="P827" s="9" t="str">
        <f>HYPERLINK("https://ceds.ed.gov/cedselementdetails.aspx?termid=14320")</f>
        <v>https://ceds.ed.gov/cedselementdetails.aspx?termid=14320</v>
      </c>
      <c r="Q827" s="9" t="str">
        <f>HYPERLINK("https://ceds.ed.gov/elementComment.aspx?elementName=Financial Account K12 Balance Sheet Code &amp;elementID=14320", "Click here to submit comment")</f>
        <v>Click here to submit comment</v>
      </c>
    </row>
    <row r="828" spans="1:17" ht="45" x14ac:dyDescent="0.25">
      <c r="A828" s="9" t="s">
        <v>6811</v>
      </c>
      <c r="B828" s="9" t="s">
        <v>6812</v>
      </c>
      <c r="C828" s="9" t="s">
        <v>6762</v>
      </c>
      <c r="D828" s="9" t="s">
        <v>6742</v>
      </c>
      <c r="E828" s="9" t="s">
        <v>2835</v>
      </c>
      <c r="F828" s="9" t="s">
        <v>2836</v>
      </c>
      <c r="G828" s="9" t="s">
        <v>12</v>
      </c>
      <c r="H828" s="9"/>
      <c r="I828" s="9"/>
      <c r="J828" s="9" t="s">
        <v>1513</v>
      </c>
      <c r="K828" s="9"/>
      <c r="L828" s="9"/>
      <c r="M828" s="9" t="s">
        <v>2837</v>
      </c>
      <c r="N828" s="9"/>
      <c r="O828" s="9" t="s">
        <v>2838</v>
      </c>
      <c r="P828" s="9" t="str">
        <f>HYPERLINK("https://ceds.ed.gov/cedselementdetails.aspx?termid=14318")</f>
        <v>https://ceds.ed.gov/cedselementdetails.aspx?termid=14318</v>
      </c>
      <c r="Q828" s="9" t="str">
        <f>HYPERLINK("https://ceds.ed.gov/elementComment.aspx?elementName=Financial Accounting Period Budgeted Value &amp;elementID=14318", "Click here to submit comment")</f>
        <v>Click here to submit comment</v>
      </c>
    </row>
    <row r="829" spans="1:17" ht="60" x14ac:dyDescent="0.25">
      <c r="A829" s="9" t="s">
        <v>6811</v>
      </c>
      <c r="B829" s="9" t="s">
        <v>6812</v>
      </c>
      <c r="C829" s="9" t="s">
        <v>6762</v>
      </c>
      <c r="D829" s="9" t="s">
        <v>6742</v>
      </c>
      <c r="E829" s="9" t="s">
        <v>2839</v>
      </c>
      <c r="F829" s="9" t="s">
        <v>2840</v>
      </c>
      <c r="G829" s="9" t="s">
        <v>12</v>
      </c>
      <c r="H829" s="9"/>
      <c r="I829" s="9"/>
      <c r="J829" s="9" t="s">
        <v>1513</v>
      </c>
      <c r="K829" s="9"/>
      <c r="L829" s="9" t="s">
        <v>2841</v>
      </c>
      <c r="M829" s="9" t="s">
        <v>2842</v>
      </c>
      <c r="N829" s="9"/>
      <c r="O829" s="9" t="s">
        <v>2843</v>
      </c>
      <c r="P829" s="9" t="str">
        <f>HYPERLINK("https://ceds.ed.gov/cedselementdetails.aspx?termid=14625")</f>
        <v>https://ceds.ed.gov/cedselementdetails.aspx?termid=14625</v>
      </c>
      <c r="Q829" s="9" t="str">
        <f>HYPERLINK("https://ceds.ed.gov/elementComment.aspx?elementName=Financial Accounting Period Encumbered Value &amp;elementID=14625", "Click here to submit comment")</f>
        <v>Click here to submit comment</v>
      </c>
    </row>
    <row r="830" spans="1:17" ht="45" x14ac:dyDescent="0.25">
      <c r="A830" s="9" t="s">
        <v>6811</v>
      </c>
      <c r="B830" s="9" t="s">
        <v>6812</v>
      </c>
      <c r="C830" s="9" t="s">
        <v>6762</v>
      </c>
      <c r="D830" s="9" t="s">
        <v>6742</v>
      </c>
      <c r="E830" s="9" t="s">
        <v>2831</v>
      </c>
      <c r="F830" s="9" t="s">
        <v>2832</v>
      </c>
      <c r="G830" s="9" t="s">
        <v>12</v>
      </c>
      <c r="H830" s="9"/>
      <c r="I830" s="9"/>
      <c r="J830" s="9" t="s">
        <v>1513</v>
      </c>
      <c r="K830" s="9"/>
      <c r="L830" s="9"/>
      <c r="M830" s="9" t="s">
        <v>2833</v>
      </c>
      <c r="N830" s="9"/>
      <c r="O830" s="9" t="s">
        <v>2834</v>
      </c>
      <c r="P830" s="9" t="str">
        <f>HYPERLINK("https://ceds.ed.gov/cedselementdetails.aspx?termid=14317")</f>
        <v>https://ceds.ed.gov/cedselementdetails.aspx?termid=14317</v>
      </c>
      <c r="Q830" s="9" t="str">
        <f>HYPERLINK("https://ceds.ed.gov/elementComment.aspx?elementName=Financial Accounting Period Actual Value &amp;elementID=14317", "Click here to submit comment")</f>
        <v>Click here to submit comment</v>
      </c>
    </row>
    <row r="831" spans="1:17" ht="135" x14ac:dyDescent="0.25">
      <c r="A831" s="9" t="s">
        <v>6811</v>
      </c>
      <c r="B831" s="9" t="s">
        <v>6812</v>
      </c>
      <c r="C831" s="9" t="s">
        <v>6762</v>
      </c>
      <c r="D831" s="9" t="s">
        <v>6742</v>
      </c>
      <c r="E831" s="9" t="s">
        <v>2844</v>
      </c>
      <c r="F831" s="9" t="s">
        <v>2845</v>
      </c>
      <c r="G831" s="9" t="s">
        <v>12</v>
      </c>
      <c r="H831" s="9"/>
      <c r="I831" s="9"/>
      <c r="J831" s="9" t="s">
        <v>1513</v>
      </c>
      <c r="K831" s="9"/>
      <c r="L831" s="9" t="s">
        <v>2846</v>
      </c>
      <c r="M831" s="9" t="s">
        <v>2847</v>
      </c>
      <c r="N831" s="9"/>
      <c r="O831" s="9" t="s">
        <v>2848</v>
      </c>
      <c r="P831" s="9" t="str">
        <f>HYPERLINK("https://ceds.ed.gov/cedselementdetails.aspx?termid=14628")</f>
        <v>https://ceds.ed.gov/cedselementdetails.aspx?termid=14628</v>
      </c>
      <c r="Q831" s="9" t="str">
        <f>HYPERLINK("https://ceds.ed.gov/elementComment.aspx?elementName=Financial Accounting Value &amp;elementID=14628", "Click here to submit comment")</f>
        <v>Click here to submit comment</v>
      </c>
    </row>
    <row r="832" spans="1:17" ht="45" x14ac:dyDescent="0.25">
      <c r="A832" s="9" t="s">
        <v>6811</v>
      </c>
      <c r="B832" s="9" t="s">
        <v>6812</v>
      </c>
      <c r="C832" s="9" t="s">
        <v>6762</v>
      </c>
      <c r="D832" s="9" t="s">
        <v>6742</v>
      </c>
      <c r="E832" s="9" t="s">
        <v>2827</v>
      </c>
      <c r="F832" s="9" t="s">
        <v>2828</v>
      </c>
      <c r="G832" s="9" t="s">
        <v>12</v>
      </c>
      <c r="H832" s="9"/>
      <c r="I832" s="9"/>
      <c r="J832" s="9" t="s">
        <v>73</v>
      </c>
      <c r="K832" s="9"/>
      <c r="L832" s="9"/>
      <c r="M832" s="9" t="s">
        <v>2829</v>
      </c>
      <c r="N832" s="9"/>
      <c r="O832" s="9" t="s">
        <v>2830</v>
      </c>
      <c r="P832" s="9" t="str">
        <f>HYPERLINK("https://ceds.ed.gov/cedselementdetails.aspx?termid=14629")</f>
        <v>https://ceds.ed.gov/cedselementdetails.aspx?termid=14629</v>
      </c>
      <c r="Q832" s="9" t="str">
        <f>HYPERLINK("https://ceds.ed.gov/elementComment.aspx?elementName=Financial Accounting Date &amp;elementID=14629", "Click here to submit comment")</f>
        <v>Click here to submit comment</v>
      </c>
    </row>
    <row r="833" spans="1:17" ht="150" x14ac:dyDescent="0.25">
      <c r="A833" s="9" t="s">
        <v>6811</v>
      </c>
      <c r="B833" s="9" t="s">
        <v>6812</v>
      </c>
      <c r="C833" s="9" t="s">
        <v>6762</v>
      </c>
      <c r="D833" s="9" t="s">
        <v>6742</v>
      </c>
      <c r="E833" s="9" t="s">
        <v>11334</v>
      </c>
      <c r="F833" s="9" t="s">
        <v>2804</v>
      </c>
      <c r="G833" s="10" t="s">
        <v>6506</v>
      </c>
      <c r="H833" s="9"/>
      <c r="I833" s="9"/>
      <c r="J833" s="9"/>
      <c r="K833" s="9"/>
      <c r="L833" s="11" t="s">
        <v>2794</v>
      </c>
      <c r="M833" s="9" t="s">
        <v>2805</v>
      </c>
      <c r="N833" s="9"/>
      <c r="O833" s="9" t="s">
        <v>11335</v>
      </c>
      <c r="P833" s="9" t="str">
        <f>HYPERLINK("https://ceds.ed.gov/cedselementdetails.aspx?termid=14314")</f>
        <v>https://ceds.ed.gov/cedselementdetails.aspx?termid=14314</v>
      </c>
      <c r="Q833" s="9" t="str">
        <f>HYPERLINK("https://ceds.ed.gov/elementComment.aspx?elementName=Financial Account K12 Fund Classification &amp;elementID=14314", "Click here to submit comment")</f>
        <v>Click here to submit comment</v>
      </c>
    </row>
    <row r="834" spans="1:17" ht="45" x14ac:dyDescent="0.25">
      <c r="A834" s="9" t="s">
        <v>6811</v>
      </c>
      <c r="B834" s="9" t="s">
        <v>6812</v>
      </c>
      <c r="C834" s="9" t="s">
        <v>6762</v>
      </c>
      <c r="D834" s="9" t="s">
        <v>6742</v>
      </c>
      <c r="E834" s="9" t="s">
        <v>2816</v>
      </c>
      <c r="F834" s="9" t="s">
        <v>2817</v>
      </c>
      <c r="G834" s="9" t="s">
        <v>12</v>
      </c>
      <c r="H834" s="9"/>
      <c r="I834" s="9"/>
      <c r="J834" s="9" t="s">
        <v>762</v>
      </c>
      <c r="K834" s="9"/>
      <c r="L834" s="9"/>
      <c r="M834" s="9" t="s">
        <v>2818</v>
      </c>
      <c r="N834" s="9"/>
      <c r="O834" s="9" t="s">
        <v>2819</v>
      </c>
      <c r="P834" s="9" t="str">
        <f>HYPERLINK("https://ceds.ed.gov/cedselementdetails.aspx?termid=14626")</f>
        <v>https://ceds.ed.gov/cedselementdetails.aspx?termid=14626</v>
      </c>
      <c r="Q834" s="9" t="str">
        <f>HYPERLINK("https://ceds.ed.gov/elementComment.aspx?elementName=Financial Account Program Name &amp;elementID=14626", "Click here to submit comment")</f>
        <v>Click here to submit comment</v>
      </c>
    </row>
    <row r="835" spans="1:17" ht="45" x14ac:dyDescent="0.25">
      <c r="A835" s="9" t="s">
        <v>6811</v>
      </c>
      <c r="B835" s="9" t="s">
        <v>6812</v>
      </c>
      <c r="C835" s="9" t="s">
        <v>6762</v>
      </c>
      <c r="D835" s="9" t="s">
        <v>6742</v>
      </c>
      <c r="E835" s="9" t="s">
        <v>2820</v>
      </c>
      <c r="F835" s="9" t="s">
        <v>2821</v>
      </c>
      <c r="G835" s="9" t="s">
        <v>12</v>
      </c>
      <c r="H835" s="9"/>
      <c r="I835" s="9"/>
      <c r="J835" s="9" t="s">
        <v>87</v>
      </c>
      <c r="K835" s="9"/>
      <c r="L835" s="9"/>
      <c r="M835" s="9" t="s">
        <v>2822</v>
      </c>
      <c r="N835" s="9"/>
      <c r="O835" s="9" t="s">
        <v>2823</v>
      </c>
      <c r="P835" s="9" t="str">
        <f>HYPERLINK("https://ceds.ed.gov/cedselementdetails.aspx?termid=14627")</f>
        <v>https://ceds.ed.gov/cedselementdetails.aspx?termid=14627</v>
      </c>
      <c r="Q835" s="9" t="str">
        <f>HYPERLINK("https://ceds.ed.gov/elementComment.aspx?elementName=Financial Account Program Number &amp;elementID=14627", "Click here to submit comment")</f>
        <v>Click here to submit comment</v>
      </c>
    </row>
    <row r="836" spans="1:17" ht="240" x14ac:dyDescent="0.25">
      <c r="A836" s="9" t="s">
        <v>6811</v>
      </c>
      <c r="B836" s="9" t="s">
        <v>6812</v>
      </c>
      <c r="C836" s="9" t="s">
        <v>6762</v>
      </c>
      <c r="D836" s="9" t="s">
        <v>6742</v>
      </c>
      <c r="E836" s="9" t="s">
        <v>11336</v>
      </c>
      <c r="F836" s="9" t="s">
        <v>2814</v>
      </c>
      <c r="G836" s="10" t="s">
        <v>6507</v>
      </c>
      <c r="H836" s="9"/>
      <c r="I836" s="9"/>
      <c r="J836" s="9"/>
      <c r="K836" s="9"/>
      <c r="L836" s="11" t="s">
        <v>2794</v>
      </c>
      <c r="M836" s="9" t="s">
        <v>2815</v>
      </c>
      <c r="N836" s="9"/>
      <c r="O836" s="9" t="s">
        <v>11337</v>
      </c>
      <c r="P836" s="9" t="str">
        <f>HYPERLINK("https://ceds.ed.gov/cedselementdetails.aspx?termid=14316")</f>
        <v>https://ceds.ed.gov/cedselementdetails.aspx?termid=14316</v>
      </c>
      <c r="Q836" s="9" t="str">
        <f>HYPERLINK("https://ceds.ed.gov/elementComment.aspx?elementName=Financial Account K12 Program Code &amp;elementID=14316", "Click here to submit comment")</f>
        <v>Click here to submit comment</v>
      </c>
    </row>
    <row r="837" spans="1:17" ht="75" x14ac:dyDescent="0.25">
      <c r="A837" s="9" t="s">
        <v>6811</v>
      </c>
      <c r="B837" s="9" t="s">
        <v>6812</v>
      </c>
      <c r="C837" s="9" t="s">
        <v>6817</v>
      </c>
      <c r="D837" s="9" t="s">
        <v>6742</v>
      </c>
      <c r="E837" s="9" t="s">
        <v>1838</v>
      </c>
      <c r="F837" s="9" t="s">
        <v>1839</v>
      </c>
      <c r="G837" s="10" t="s">
        <v>6340</v>
      </c>
      <c r="H837" s="9" t="s">
        <v>199</v>
      </c>
      <c r="I837" s="9"/>
      <c r="J837" s="9"/>
      <c r="K837" s="9"/>
      <c r="L837" s="9"/>
      <c r="M837" s="9" t="s">
        <v>1841</v>
      </c>
      <c r="N837" s="9" t="s">
        <v>1842</v>
      </c>
      <c r="O837" s="9" t="s">
        <v>1843</v>
      </c>
      <c r="P837" s="9" t="str">
        <f>HYPERLINK("https://ceds.ed.gov/cedselementdetails.aspx?termid=13533")</f>
        <v>https://ceds.ed.gov/cedselementdetails.aspx?termid=13533</v>
      </c>
      <c r="Q837" s="9" t="str">
        <f>HYPERLINK("https://ceds.ed.gov/elementComment.aspx?elementName=Consolidated Migrant Education Program Funds Status &amp;elementID=13533", "Click here to submit comment")</f>
        <v>Click here to submit comment</v>
      </c>
    </row>
    <row r="838" spans="1:17" ht="135" x14ac:dyDescent="0.25">
      <c r="A838" s="9" t="s">
        <v>6811</v>
      </c>
      <c r="B838" s="9" t="s">
        <v>6812</v>
      </c>
      <c r="C838" s="9" t="s">
        <v>6817</v>
      </c>
      <c r="D838" s="9" t="s">
        <v>6742</v>
      </c>
      <c r="E838" s="9" t="s">
        <v>2780</v>
      </c>
      <c r="F838" s="9" t="s">
        <v>2781</v>
      </c>
      <c r="G838" s="9" t="s">
        <v>12</v>
      </c>
      <c r="H838" s="9" t="s">
        <v>199</v>
      </c>
      <c r="I838" s="9"/>
      <c r="J838" s="9" t="s">
        <v>1513</v>
      </c>
      <c r="K838" s="9"/>
      <c r="L838" s="9"/>
      <c r="M838" s="9" t="s">
        <v>2782</v>
      </c>
      <c r="N838" s="9"/>
      <c r="O838" s="9" t="s">
        <v>2783</v>
      </c>
      <c r="P838" s="9" t="str">
        <f>HYPERLINK("https://ceds.ed.gov/cedselementdetails.aspx?termid=13540")</f>
        <v>https://ceds.ed.gov/cedselementdetails.aspx?termid=13540</v>
      </c>
      <c r="Q838" s="9" t="str">
        <f>HYPERLINK("https://ceds.ed.gov/elementComment.aspx?elementName=Federal Programs Funding Allocation &amp;elementID=13540", "Click here to submit comment")</f>
        <v>Click here to submit comment</v>
      </c>
    </row>
    <row r="839" spans="1:17" ht="45" x14ac:dyDescent="0.25">
      <c r="A839" s="9" t="s">
        <v>6811</v>
      </c>
      <c r="B839" s="9" t="s">
        <v>6812</v>
      </c>
      <c r="C839" s="9" t="s">
        <v>6817</v>
      </c>
      <c r="D839" s="9" t="s">
        <v>6742</v>
      </c>
      <c r="E839" s="9" t="s">
        <v>2986</v>
      </c>
      <c r="F839" s="9" t="s">
        <v>2987</v>
      </c>
      <c r="G839" s="9" t="s">
        <v>12</v>
      </c>
      <c r="H839" s="9" t="s">
        <v>188</v>
      </c>
      <c r="I839" s="9"/>
      <c r="J839" s="9" t="s">
        <v>1513</v>
      </c>
      <c r="K839" s="9"/>
      <c r="L839" s="9"/>
      <c r="M839" s="9" t="s">
        <v>2988</v>
      </c>
      <c r="N839" s="9"/>
      <c r="O839" s="9" t="s">
        <v>2989</v>
      </c>
      <c r="P839" s="9" t="str">
        <f>HYPERLINK("https://ceds.ed.gov/cedselementdetails.aspx?termid=13442")</f>
        <v>https://ceds.ed.gov/cedselementdetails.aspx?termid=13442</v>
      </c>
      <c r="Q839" s="9" t="str">
        <f>HYPERLINK("https://ceds.ed.gov/elementComment.aspx?elementName=Funds Transfer Amount &amp;elementID=13442", "Click here to submit comment")</f>
        <v>Click here to submit comment</v>
      </c>
    </row>
    <row r="840" spans="1:17" ht="45" x14ac:dyDescent="0.25">
      <c r="A840" s="9" t="s">
        <v>6811</v>
      </c>
      <c r="B840" s="9" t="s">
        <v>6812</v>
      </c>
      <c r="C840" s="9" t="s">
        <v>6817</v>
      </c>
      <c r="D840" s="9" t="s">
        <v>6742</v>
      </c>
      <c r="E840" s="9" t="s">
        <v>3436</v>
      </c>
      <c r="F840" s="9" t="s">
        <v>3437</v>
      </c>
      <c r="G840" s="9" t="s">
        <v>12</v>
      </c>
      <c r="H840" s="9" t="s">
        <v>188</v>
      </c>
      <c r="I840" s="9"/>
      <c r="J840" s="9" t="s">
        <v>1513</v>
      </c>
      <c r="K840" s="9"/>
      <c r="L840" s="9"/>
      <c r="M840" s="9" t="s">
        <v>3438</v>
      </c>
      <c r="N840" s="9"/>
      <c r="O840" s="9" t="s">
        <v>3439</v>
      </c>
      <c r="P840" s="9" t="str">
        <f>HYPERLINK("https://ceds.ed.gov/cedselementdetails.aspx?termid=13454")</f>
        <v>https://ceds.ed.gov/cedselementdetails.aspx?termid=13454</v>
      </c>
      <c r="Q840" s="9" t="str">
        <f>HYPERLINK("https://ceds.ed.gov/elementComment.aspx?elementName=Innovative Programs Funds Received &amp;elementID=13454", "Click here to submit comment")</f>
        <v>Click here to submit comment</v>
      </c>
    </row>
    <row r="841" spans="1:17" ht="45" x14ac:dyDescent="0.25">
      <c r="A841" s="9" t="s">
        <v>6811</v>
      </c>
      <c r="B841" s="9" t="s">
        <v>6812</v>
      </c>
      <c r="C841" s="9" t="s">
        <v>6817</v>
      </c>
      <c r="D841" s="9" t="s">
        <v>6742</v>
      </c>
      <c r="E841" s="9" t="s">
        <v>3428</v>
      </c>
      <c r="F841" s="9" t="s">
        <v>3429</v>
      </c>
      <c r="G841" s="9" t="s">
        <v>12</v>
      </c>
      <c r="H841" s="9" t="s">
        <v>188</v>
      </c>
      <c r="I841" s="9"/>
      <c r="J841" s="9" t="s">
        <v>1513</v>
      </c>
      <c r="K841" s="9"/>
      <c r="L841" s="9"/>
      <c r="M841" s="9" t="s">
        <v>3430</v>
      </c>
      <c r="N841" s="9"/>
      <c r="O841" s="9" t="s">
        <v>3431</v>
      </c>
      <c r="P841" s="9" t="str">
        <f>HYPERLINK("https://ceds.ed.gov/cedselementdetails.aspx?termid=13451")</f>
        <v>https://ceds.ed.gov/cedselementdetails.aspx?termid=13451</v>
      </c>
      <c r="Q841" s="9" t="str">
        <f>HYPERLINK("https://ceds.ed.gov/elementComment.aspx?elementName=Innovative Dollars Spent &amp;elementID=13451", "Click here to submit comment")</f>
        <v>Click here to submit comment</v>
      </c>
    </row>
    <row r="842" spans="1:17" ht="45" x14ac:dyDescent="0.25">
      <c r="A842" s="9" t="s">
        <v>6811</v>
      </c>
      <c r="B842" s="9" t="s">
        <v>6812</v>
      </c>
      <c r="C842" s="9" t="s">
        <v>6817</v>
      </c>
      <c r="D842" s="9" t="s">
        <v>6742</v>
      </c>
      <c r="E842" s="9" t="s">
        <v>3432</v>
      </c>
      <c r="F842" s="9" t="s">
        <v>3433</v>
      </c>
      <c r="G842" s="9" t="s">
        <v>12</v>
      </c>
      <c r="H842" s="9" t="s">
        <v>188</v>
      </c>
      <c r="I842" s="9"/>
      <c r="J842" s="9" t="s">
        <v>1513</v>
      </c>
      <c r="K842" s="9"/>
      <c r="L842" s="9"/>
      <c r="M842" s="9" t="s">
        <v>3434</v>
      </c>
      <c r="N842" s="9"/>
      <c r="O842" s="9" t="s">
        <v>3435</v>
      </c>
      <c r="P842" s="9" t="str">
        <f>HYPERLINK("https://ceds.ed.gov/cedselementdetails.aspx?termid=13452")</f>
        <v>https://ceds.ed.gov/cedselementdetails.aspx?termid=13452</v>
      </c>
      <c r="Q842" s="9" t="str">
        <f>HYPERLINK("https://ceds.ed.gov/elementComment.aspx?elementName=Innovative Dollars Spent on Strategic Priorities &amp;elementID=13452", "Click here to submit comment")</f>
        <v>Click here to submit comment</v>
      </c>
    </row>
    <row r="843" spans="1:17" ht="60" x14ac:dyDescent="0.25">
      <c r="A843" s="9" t="s">
        <v>6811</v>
      </c>
      <c r="B843" s="9" t="s">
        <v>6812</v>
      </c>
      <c r="C843" s="9" t="s">
        <v>6817</v>
      </c>
      <c r="D843" s="9" t="s">
        <v>6742</v>
      </c>
      <c r="E843" s="9" t="s">
        <v>4998</v>
      </c>
      <c r="F843" s="9" t="s">
        <v>4999</v>
      </c>
      <c r="G843" s="9" t="s">
        <v>12</v>
      </c>
      <c r="H843" s="9" t="s">
        <v>199</v>
      </c>
      <c r="I843" s="9"/>
      <c r="J843" s="9" t="s">
        <v>1513</v>
      </c>
      <c r="K843" s="9"/>
      <c r="L843" s="9"/>
      <c r="M843" s="9" t="s">
        <v>5000</v>
      </c>
      <c r="N843" s="9"/>
      <c r="O843" s="9" t="s">
        <v>5001</v>
      </c>
      <c r="P843" s="9" t="str">
        <f>HYPERLINK("https://ceds.ed.gov/cedselementdetails.aspx?termid=13560")</f>
        <v>https://ceds.ed.gov/cedselementdetails.aspx?termid=13560</v>
      </c>
      <c r="Q843" s="9" t="str">
        <f>HYPERLINK("https://ceds.ed.gov/elementComment.aspx?elementName=Public School Choice Funds Spent &amp;elementID=13560", "Click here to submit comment")</f>
        <v>Click here to submit comment</v>
      </c>
    </row>
    <row r="844" spans="1:17" ht="90" x14ac:dyDescent="0.25">
      <c r="A844" s="9" t="s">
        <v>6811</v>
      </c>
      <c r="B844" s="9" t="s">
        <v>6812</v>
      </c>
      <c r="C844" s="9" t="s">
        <v>6817</v>
      </c>
      <c r="D844" s="9" t="s">
        <v>6742</v>
      </c>
      <c r="E844" s="9" t="s">
        <v>5355</v>
      </c>
      <c r="F844" s="9" t="s">
        <v>5356</v>
      </c>
      <c r="G844" s="10" t="s">
        <v>6686</v>
      </c>
      <c r="H844" s="9" t="s">
        <v>199</v>
      </c>
      <c r="I844" s="9"/>
      <c r="J844" s="9"/>
      <c r="K844" s="9"/>
      <c r="L844" s="9"/>
      <c r="M844" s="9" t="s">
        <v>5357</v>
      </c>
      <c r="N844" s="9"/>
      <c r="O844" s="9" t="s">
        <v>5358</v>
      </c>
      <c r="P844" s="9" t="str">
        <f>HYPERLINK("https://ceds.ed.gov/cedselementdetails.aspx?termid=13239")</f>
        <v>https://ceds.ed.gov/cedselementdetails.aspx?termid=13239</v>
      </c>
      <c r="Q844" s="9" t="str">
        <f>HYPERLINK("https://ceds.ed.gov/elementComment.aspx?elementName=School Improvement Grant Intervention Type &amp;elementID=13239", "Click here to submit comment")</f>
        <v>Click here to submit comment</v>
      </c>
    </row>
    <row r="845" spans="1:17" ht="105" x14ac:dyDescent="0.25">
      <c r="A845" s="9" t="s">
        <v>6811</v>
      </c>
      <c r="B845" s="9" t="s">
        <v>6812</v>
      </c>
      <c r="C845" s="9" t="s">
        <v>6817</v>
      </c>
      <c r="D845" s="9" t="s">
        <v>6742</v>
      </c>
      <c r="E845" s="9" t="s">
        <v>5359</v>
      </c>
      <c r="F845" s="9" t="s">
        <v>5360</v>
      </c>
      <c r="G845" s="9" t="s">
        <v>12</v>
      </c>
      <c r="H845" s="9" t="s">
        <v>188</v>
      </c>
      <c r="I845" s="9"/>
      <c r="J845" s="9" t="s">
        <v>10496</v>
      </c>
      <c r="K845" s="9"/>
      <c r="L845" s="9"/>
      <c r="M845" s="9" t="s">
        <v>5361</v>
      </c>
      <c r="N845" s="9"/>
      <c r="O845" s="9" t="s">
        <v>5362</v>
      </c>
      <c r="P845" s="9" t="str">
        <f>HYPERLINK("https://ceds.ed.gov/cedselementdetails.aspx?termid=13470")</f>
        <v>https://ceds.ed.gov/cedselementdetails.aspx?termid=13470</v>
      </c>
      <c r="Q845" s="9" t="str">
        <f>HYPERLINK("https://ceds.ed.gov/elementComment.aspx?elementName=School Improvement Reserved Funds Percentage &amp;elementID=13470", "Click here to submit comment")</f>
        <v>Click here to submit comment</v>
      </c>
    </row>
    <row r="846" spans="1:17" ht="45" x14ac:dyDescent="0.25">
      <c r="A846" s="9" t="s">
        <v>6811</v>
      </c>
      <c r="B846" s="9" t="s">
        <v>6812</v>
      </c>
      <c r="C846" s="9" t="s">
        <v>6817</v>
      </c>
      <c r="D846" s="9" t="s">
        <v>6742</v>
      </c>
      <c r="E846" s="9" t="s">
        <v>5343</v>
      </c>
      <c r="F846" s="9" t="s">
        <v>5344</v>
      </c>
      <c r="G846" s="9" t="s">
        <v>12</v>
      </c>
      <c r="H846" s="9" t="s">
        <v>188</v>
      </c>
      <c r="I846" s="9"/>
      <c r="J846" s="9" t="s">
        <v>1513</v>
      </c>
      <c r="K846" s="9"/>
      <c r="L846" s="9"/>
      <c r="M846" s="9" t="s">
        <v>5345</v>
      </c>
      <c r="N846" s="9"/>
      <c r="O846" s="9" t="s">
        <v>5346</v>
      </c>
      <c r="P846" s="9" t="str">
        <f>HYPERLINK("https://ceds.ed.gov/cedselementdetails.aspx?termid=13471")</f>
        <v>https://ceds.ed.gov/cedselementdetails.aspx?termid=13471</v>
      </c>
      <c r="Q846" s="9" t="str">
        <f>HYPERLINK("https://ceds.ed.gov/elementComment.aspx?elementName=School Improvement Allocation &amp;elementID=13471", "Click here to submit comment")</f>
        <v>Click here to submit comment</v>
      </c>
    </row>
    <row r="847" spans="1:17" ht="60" x14ac:dyDescent="0.25">
      <c r="A847" s="9" t="s">
        <v>6811</v>
      </c>
      <c r="B847" s="9" t="s">
        <v>6812</v>
      </c>
      <c r="C847" s="9" t="s">
        <v>6817</v>
      </c>
      <c r="D847" s="9" t="s">
        <v>6742</v>
      </c>
      <c r="E847" s="9" t="s">
        <v>5762</v>
      </c>
      <c r="F847" s="9" t="s">
        <v>5763</v>
      </c>
      <c r="G847" s="9" t="s">
        <v>12</v>
      </c>
      <c r="H847" s="9" t="s">
        <v>199</v>
      </c>
      <c r="I847" s="9"/>
      <c r="J847" s="9" t="s">
        <v>1513</v>
      </c>
      <c r="K847" s="9"/>
      <c r="L847" s="9"/>
      <c r="M847" s="9" t="s">
        <v>5764</v>
      </c>
      <c r="N847" s="9" t="s">
        <v>5765</v>
      </c>
      <c r="O847" s="9" t="s">
        <v>5766</v>
      </c>
      <c r="P847" s="9" t="str">
        <f>HYPERLINK("https://ceds.ed.gov/cedselementdetails.aspx?termid=13567")</f>
        <v>https://ceds.ed.gov/cedselementdetails.aspx?termid=13567</v>
      </c>
      <c r="Q847" s="9" t="str">
        <f>HYPERLINK("https://ceds.ed.gov/elementComment.aspx?elementName=Supplemental Educational Services Per Pupil Expenditure &amp;elementID=13567", "Click here to submit comment")</f>
        <v>Click here to submit comment</v>
      </c>
    </row>
    <row r="848" spans="1:17" ht="75" x14ac:dyDescent="0.25">
      <c r="A848" s="9" t="s">
        <v>6811</v>
      </c>
      <c r="B848" s="9" t="s">
        <v>6812</v>
      </c>
      <c r="C848" s="9" t="s">
        <v>6817</v>
      </c>
      <c r="D848" s="9" t="s">
        <v>6742</v>
      </c>
      <c r="E848" s="9" t="s">
        <v>5757</v>
      </c>
      <c r="F848" s="9" t="s">
        <v>5758</v>
      </c>
      <c r="G848" s="9" t="s">
        <v>12</v>
      </c>
      <c r="H848" s="9" t="s">
        <v>199</v>
      </c>
      <c r="I848" s="9"/>
      <c r="J848" s="9" t="s">
        <v>1513</v>
      </c>
      <c r="K848" s="9"/>
      <c r="L848" s="9"/>
      <c r="M848" s="9" t="s">
        <v>5759</v>
      </c>
      <c r="N848" s="9" t="s">
        <v>5760</v>
      </c>
      <c r="O848" s="9" t="s">
        <v>5761</v>
      </c>
      <c r="P848" s="9" t="str">
        <f>HYPERLINK("https://ceds.ed.gov/cedselementdetails.aspx?termid=13559")</f>
        <v>https://ceds.ed.gov/cedselementdetails.aspx?termid=13559</v>
      </c>
      <c r="Q848" s="9" t="str">
        <f>HYPERLINK("https://ceds.ed.gov/elementComment.aspx?elementName=Supplemental Educational Services Funds Spent &amp;elementID=13559", "Click here to submit comment")</f>
        <v>Click here to submit comment</v>
      </c>
    </row>
    <row r="849" spans="1:17" ht="60" x14ac:dyDescent="0.25">
      <c r="A849" s="9" t="s">
        <v>6811</v>
      </c>
      <c r="B849" s="9" t="s">
        <v>6812</v>
      </c>
      <c r="C849" s="9" t="s">
        <v>6817</v>
      </c>
      <c r="D849" s="9" t="s">
        <v>6742</v>
      </c>
      <c r="E849" s="9" t="s">
        <v>5752</v>
      </c>
      <c r="F849" s="9" t="s">
        <v>5753</v>
      </c>
      <c r="G849" s="9" t="s">
        <v>12</v>
      </c>
      <c r="H849" s="9" t="s">
        <v>199</v>
      </c>
      <c r="I849" s="9"/>
      <c r="J849" s="9" t="s">
        <v>1513</v>
      </c>
      <c r="K849" s="9"/>
      <c r="L849" s="9"/>
      <c r="M849" s="9" t="s">
        <v>5754</v>
      </c>
      <c r="N849" s="9" t="s">
        <v>5755</v>
      </c>
      <c r="O849" s="9" t="s">
        <v>5756</v>
      </c>
      <c r="P849" s="9" t="str">
        <f>HYPERLINK("https://ceds.ed.gov/cedselementdetails.aspx?termid=13566")</f>
        <v>https://ceds.ed.gov/cedselementdetails.aspx?termid=13566</v>
      </c>
      <c r="Q849" s="9" t="str">
        <f>HYPERLINK("https://ceds.ed.gov/elementComment.aspx?elementName=Supplemental Education Services Public School Choice Twenty Percent Obligation &amp;elementID=13566", "Click here to submit comment")</f>
        <v>Click here to submit comment</v>
      </c>
    </row>
    <row r="850" spans="1:17" ht="195" x14ac:dyDescent="0.25">
      <c r="A850" s="9" t="s">
        <v>6811</v>
      </c>
      <c r="B850" s="9" t="s">
        <v>6812</v>
      </c>
      <c r="C850" s="9" t="s">
        <v>6817</v>
      </c>
      <c r="D850" s="9" t="s">
        <v>6742</v>
      </c>
      <c r="E850" s="9" t="s">
        <v>6003</v>
      </c>
      <c r="F850" s="9" t="s">
        <v>6004</v>
      </c>
      <c r="G850" s="10" t="s">
        <v>11910</v>
      </c>
      <c r="H850" s="9" t="s">
        <v>188</v>
      </c>
      <c r="I850" s="9" t="s">
        <v>91</v>
      </c>
      <c r="J850" s="9"/>
      <c r="K850" s="9"/>
      <c r="L850" s="9"/>
      <c r="M850" s="9" t="s">
        <v>6005</v>
      </c>
      <c r="N850" s="9" t="s">
        <v>6006</v>
      </c>
      <c r="O850" s="9" t="s">
        <v>6007</v>
      </c>
      <c r="P850" s="9" t="str">
        <f>HYPERLINK("https://ceds.ed.gov/cedselementdetails.aspx?termid=13477")</f>
        <v>https://ceds.ed.gov/cedselementdetails.aspx?termid=13477</v>
      </c>
      <c r="Q850" s="9" t="str">
        <f>HYPERLINK("https://ceds.ed.gov/elementComment.aspx?elementName=Type of Use of the Rural Low-Income Schools Program &amp;elementID=13477", "Click here to submit comment")</f>
        <v>Click here to submit comment</v>
      </c>
    </row>
    <row r="851" spans="1:17" ht="75" x14ac:dyDescent="0.25">
      <c r="A851" s="9" t="s">
        <v>6811</v>
      </c>
      <c r="B851" s="9" t="s">
        <v>6812</v>
      </c>
      <c r="C851" s="9" t="s">
        <v>6817</v>
      </c>
      <c r="D851" s="9" t="s">
        <v>6742</v>
      </c>
      <c r="E851" s="9" t="s">
        <v>2776</v>
      </c>
      <c r="F851" s="9" t="s">
        <v>2777</v>
      </c>
      <c r="G851" s="9" t="s">
        <v>12</v>
      </c>
      <c r="H851" s="9" t="s">
        <v>199</v>
      </c>
      <c r="I851" s="9"/>
      <c r="J851" s="9" t="s">
        <v>11328</v>
      </c>
      <c r="K851" s="9"/>
      <c r="L851" s="9"/>
      <c r="M851" s="9" t="s">
        <v>2778</v>
      </c>
      <c r="N851" s="9"/>
      <c r="O851" s="9" t="s">
        <v>2779</v>
      </c>
      <c r="P851" s="9" t="str">
        <f>HYPERLINK("https://ceds.ed.gov/cedselementdetails.aspx?termid=13538")</f>
        <v>https://ceds.ed.gov/cedselementdetails.aspx?termid=13538</v>
      </c>
      <c r="Q851" s="9" t="str">
        <f>HYPERLINK("https://ceds.ed.gov/elementComment.aspx?elementName=Federal Program Code &amp;elementID=13538", "Click here to submit comment")</f>
        <v>Click here to submit comment</v>
      </c>
    </row>
    <row r="852" spans="1:17" ht="120" x14ac:dyDescent="0.25">
      <c r="A852" s="9" t="s">
        <v>6811</v>
      </c>
      <c r="B852" s="9" t="s">
        <v>6812</v>
      </c>
      <c r="C852" s="9" t="s">
        <v>6818</v>
      </c>
      <c r="D852" s="9" t="s">
        <v>6742</v>
      </c>
      <c r="E852" s="9" t="s">
        <v>5428</v>
      </c>
      <c r="F852" s="9" t="s">
        <v>5429</v>
      </c>
      <c r="G852" s="9" t="s">
        <v>12</v>
      </c>
      <c r="H852" s="9" t="s">
        <v>6150</v>
      </c>
      <c r="I852" s="9"/>
      <c r="J852" s="9" t="s">
        <v>73</v>
      </c>
      <c r="K852" s="9"/>
      <c r="L852" s="9"/>
      <c r="M852" s="9" t="s">
        <v>5430</v>
      </c>
      <c r="N852" s="9"/>
      <c r="O852" s="9" t="s">
        <v>5431</v>
      </c>
      <c r="P852" s="9" t="str">
        <f>HYPERLINK("https://ceds.ed.gov/cedselementdetails.aspx?termid=13251")</f>
        <v>https://ceds.ed.gov/cedselementdetails.aspx?termid=13251</v>
      </c>
      <c r="Q852" s="9" t="str">
        <f>HYPERLINK("https://ceds.ed.gov/elementComment.aspx?elementName=Session Begin Date &amp;elementID=13251", "Click here to submit comment")</f>
        <v>Click here to submit comment</v>
      </c>
    </row>
    <row r="853" spans="1:17" ht="120" x14ac:dyDescent="0.25">
      <c r="A853" s="9" t="s">
        <v>6811</v>
      </c>
      <c r="B853" s="9" t="s">
        <v>6812</v>
      </c>
      <c r="C853" s="9" t="s">
        <v>6818</v>
      </c>
      <c r="D853" s="9" t="s">
        <v>6742</v>
      </c>
      <c r="E853" s="9" t="s">
        <v>5444</v>
      </c>
      <c r="F853" s="9" t="s">
        <v>5445</v>
      </c>
      <c r="G853" s="9" t="s">
        <v>12</v>
      </c>
      <c r="H853" s="9" t="s">
        <v>6150</v>
      </c>
      <c r="I853" s="9"/>
      <c r="J853" s="9" t="s">
        <v>73</v>
      </c>
      <c r="K853" s="9"/>
      <c r="L853" s="9"/>
      <c r="M853" s="9" t="s">
        <v>5446</v>
      </c>
      <c r="N853" s="9"/>
      <c r="O853" s="9" t="s">
        <v>5447</v>
      </c>
      <c r="P853" s="9" t="str">
        <f>HYPERLINK("https://ceds.ed.gov/cedselementdetails.aspx?termid=13253")</f>
        <v>https://ceds.ed.gov/cedselementdetails.aspx?termid=13253</v>
      </c>
      <c r="Q853" s="9" t="str">
        <f>HYPERLINK("https://ceds.ed.gov/elementComment.aspx?elementName=Session End Date &amp;elementID=13253", "Click here to submit comment")</f>
        <v>Click here to submit comment</v>
      </c>
    </row>
    <row r="854" spans="1:17" ht="45" x14ac:dyDescent="0.25">
      <c r="A854" s="9" t="s">
        <v>6811</v>
      </c>
      <c r="B854" s="9" t="s">
        <v>6812</v>
      </c>
      <c r="C854" s="9" t="s">
        <v>6818</v>
      </c>
      <c r="D854" s="9" t="s">
        <v>6742</v>
      </c>
      <c r="E854" s="9" t="s">
        <v>5440</v>
      </c>
      <c r="F854" s="9" t="s">
        <v>5441</v>
      </c>
      <c r="G854" s="9" t="s">
        <v>12</v>
      </c>
      <c r="H854" s="9" t="s">
        <v>6161</v>
      </c>
      <c r="I854" s="9"/>
      <c r="J854" s="9" t="s">
        <v>2270</v>
      </c>
      <c r="K854" s="9"/>
      <c r="L854" s="9"/>
      <c r="M854" s="9" t="s">
        <v>5442</v>
      </c>
      <c r="N854" s="9"/>
      <c r="O854" s="9" t="s">
        <v>5443</v>
      </c>
      <c r="P854" s="9" t="str">
        <f>HYPERLINK("https://ceds.ed.gov/cedselementdetails.aspx?termid=13252")</f>
        <v>https://ceds.ed.gov/cedselementdetails.aspx?termid=13252</v>
      </c>
      <c r="Q854" s="9" t="str">
        <f>HYPERLINK("https://ceds.ed.gov/elementComment.aspx?elementName=Session Designator &amp;elementID=13252", "Click here to submit comment")</f>
        <v>Click here to submit comment</v>
      </c>
    </row>
    <row r="855" spans="1:17" ht="180" x14ac:dyDescent="0.25">
      <c r="A855" s="9" t="s">
        <v>6811</v>
      </c>
      <c r="B855" s="9" t="s">
        <v>6812</v>
      </c>
      <c r="C855" s="9" t="s">
        <v>6818</v>
      </c>
      <c r="D855" s="9" t="s">
        <v>6742</v>
      </c>
      <c r="E855" s="9" t="s">
        <v>5464</v>
      </c>
      <c r="F855" s="9" t="s">
        <v>5465</v>
      </c>
      <c r="G855" s="10" t="s">
        <v>6693</v>
      </c>
      <c r="H855" s="9" t="s">
        <v>6150</v>
      </c>
      <c r="I855" s="9"/>
      <c r="J855" s="9"/>
      <c r="K855" s="9"/>
      <c r="L855" s="9"/>
      <c r="M855" s="9" t="s">
        <v>5466</v>
      </c>
      <c r="N855" s="9"/>
      <c r="O855" s="9" t="s">
        <v>5467</v>
      </c>
      <c r="P855" s="9" t="str">
        <f>HYPERLINK("https://ceds.ed.gov/cedselementdetails.aspx?termid=13254")</f>
        <v>https://ceds.ed.gov/cedselementdetails.aspx?termid=13254</v>
      </c>
      <c r="Q855" s="9" t="str">
        <f>HYPERLINK("https://ceds.ed.gov/elementComment.aspx?elementName=Session Type &amp;elementID=13254", "Click here to submit comment")</f>
        <v>Click here to submit comment</v>
      </c>
    </row>
    <row r="856" spans="1:17" ht="60" x14ac:dyDescent="0.25">
      <c r="A856" s="9" t="s">
        <v>6811</v>
      </c>
      <c r="B856" s="9" t="s">
        <v>6812</v>
      </c>
      <c r="C856" s="9" t="s">
        <v>6818</v>
      </c>
      <c r="D856" s="9" t="s">
        <v>6742</v>
      </c>
      <c r="E856" s="9" t="s">
        <v>5432</v>
      </c>
      <c r="F856" s="9" t="s">
        <v>5433</v>
      </c>
      <c r="G856" s="9" t="s">
        <v>12</v>
      </c>
      <c r="H856" s="9"/>
      <c r="I856" s="9"/>
      <c r="J856" s="9" t="s">
        <v>87</v>
      </c>
      <c r="K856" s="9"/>
      <c r="L856" s="9"/>
      <c r="M856" s="9" t="s">
        <v>5434</v>
      </c>
      <c r="N856" s="9"/>
      <c r="O856" s="9" t="s">
        <v>5435</v>
      </c>
      <c r="P856" s="9" t="str">
        <f>HYPERLINK("https://ceds.ed.gov/cedselementdetails.aspx?termid=14236")</f>
        <v>https://ceds.ed.gov/cedselementdetails.aspx?termid=14236</v>
      </c>
      <c r="Q856" s="9" t="str">
        <f>HYPERLINK("https://ceds.ed.gov/elementComment.aspx?elementName=Session Code &amp;elementID=14236", "Click here to submit comment")</f>
        <v>Click here to submit comment</v>
      </c>
    </row>
    <row r="857" spans="1:17" ht="45" x14ac:dyDescent="0.25">
      <c r="A857" s="9" t="s">
        <v>6811</v>
      </c>
      <c r="B857" s="9" t="s">
        <v>6812</v>
      </c>
      <c r="C857" s="9" t="s">
        <v>6818</v>
      </c>
      <c r="D857" s="9" t="s">
        <v>6742</v>
      </c>
      <c r="E857" s="9" t="s">
        <v>5436</v>
      </c>
      <c r="F857" s="9" t="s">
        <v>5437</v>
      </c>
      <c r="G857" s="9" t="s">
        <v>12</v>
      </c>
      <c r="H857" s="9"/>
      <c r="I857" s="9"/>
      <c r="J857" s="9" t="s">
        <v>303</v>
      </c>
      <c r="K857" s="9"/>
      <c r="L857" s="9"/>
      <c r="M857" s="9" t="s">
        <v>5438</v>
      </c>
      <c r="N857" s="9"/>
      <c r="O857" s="9" t="s">
        <v>5439</v>
      </c>
      <c r="P857" s="9" t="str">
        <f>HYPERLINK("https://ceds.ed.gov/cedselementdetails.aspx?termid=14237")</f>
        <v>https://ceds.ed.gov/cedselementdetails.aspx?termid=14237</v>
      </c>
      <c r="Q857" s="9" t="str">
        <f>HYPERLINK("https://ceds.ed.gov/elementComment.aspx?elementName=Session Description &amp;elementID=14237", "Click here to submit comment")</f>
        <v>Click here to submit comment</v>
      </c>
    </row>
    <row r="858" spans="1:17" ht="45" x14ac:dyDescent="0.25">
      <c r="A858" s="9" t="s">
        <v>6811</v>
      </c>
      <c r="B858" s="9" t="s">
        <v>6812</v>
      </c>
      <c r="C858" s="9" t="s">
        <v>6818</v>
      </c>
      <c r="D858" s="9" t="s">
        <v>6742</v>
      </c>
      <c r="E858" s="9" t="s">
        <v>5452</v>
      </c>
      <c r="F858" s="9" t="s">
        <v>5453</v>
      </c>
      <c r="G858" s="9" t="s">
        <v>6106</v>
      </c>
      <c r="H858" s="9"/>
      <c r="I858" s="9"/>
      <c r="J858" s="9"/>
      <c r="K858" s="9"/>
      <c r="L858" s="9"/>
      <c r="M858" s="9" t="s">
        <v>5454</v>
      </c>
      <c r="N858" s="9"/>
      <c r="O858" s="9" t="s">
        <v>5455</v>
      </c>
      <c r="P858" s="9" t="str">
        <f>HYPERLINK("https://ceds.ed.gov/cedselementdetails.aspx?termid=14238")</f>
        <v>https://ceds.ed.gov/cedselementdetails.aspx?termid=14238</v>
      </c>
      <c r="Q858" s="9" t="str">
        <f>HYPERLINK("https://ceds.ed.gov/elementComment.aspx?elementName=Session Marking Term Indicator &amp;elementID=14238", "Click here to submit comment")</f>
        <v>Click here to submit comment</v>
      </c>
    </row>
    <row r="859" spans="1:17" ht="45" x14ac:dyDescent="0.25">
      <c r="A859" s="9" t="s">
        <v>6811</v>
      </c>
      <c r="B859" s="9" t="s">
        <v>6812</v>
      </c>
      <c r="C859" s="9" t="s">
        <v>6818</v>
      </c>
      <c r="D859" s="9" t="s">
        <v>6742</v>
      </c>
      <c r="E859" s="9" t="s">
        <v>5456</v>
      </c>
      <c r="F859" s="9" t="s">
        <v>5457</v>
      </c>
      <c r="G859" s="9" t="s">
        <v>6106</v>
      </c>
      <c r="H859" s="9"/>
      <c r="I859" s="9"/>
      <c r="J859" s="9"/>
      <c r="K859" s="9"/>
      <c r="L859" s="9"/>
      <c r="M859" s="9" t="s">
        <v>5458</v>
      </c>
      <c r="N859" s="9"/>
      <c r="O859" s="9" t="s">
        <v>5459</v>
      </c>
      <c r="P859" s="9" t="str">
        <f>HYPERLINK("https://ceds.ed.gov/cedselementdetails.aspx?termid=14239")</f>
        <v>https://ceds.ed.gov/cedselementdetails.aspx?termid=14239</v>
      </c>
      <c r="Q859" s="9" t="str">
        <f>HYPERLINK("https://ceds.ed.gov/elementComment.aspx?elementName=Session Scheduling Term Indicator &amp;elementID=14239", "Click here to submit comment")</f>
        <v>Click here to submit comment</v>
      </c>
    </row>
    <row r="860" spans="1:17" ht="45" x14ac:dyDescent="0.25">
      <c r="A860" s="9" t="s">
        <v>6811</v>
      </c>
      <c r="B860" s="9" t="s">
        <v>6812</v>
      </c>
      <c r="C860" s="9" t="s">
        <v>6818</v>
      </c>
      <c r="D860" s="9" t="s">
        <v>6742</v>
      </c>
      <c r="E860" s="9" t="s">
        <v>5424</v>
      </c>
      <c r="F860" s="9" t="s">
        <v>5425</v>
      </c>
      <c r="G860" s="9" t="s">
        <v>6106</v>
      </c>
      <c r="H860" s="9"/>
      <c r="I860" s="9"/>
      <c r="J860" s="9"/>
      <c r="K860" s="9"/>
      <c r="L860" s="9"/>
      <c r="M860" s="9" t="s">
        <v>5426</v>
      </c>
      <c r="N860" s="9"/>
      <c r="O860" s="9" t="s">
        <v>5427</v>
      </c>
      <c r="P860" s="9" t="str">
        <f>HYPERLINK("https://ceds.ed.gov/cedselementdetails.aspx?termid=14240")</f>
        <v>https://ceds.ed.gov/cedselementdetails.aspx?termid=14240</v>
      </c>
      <c r="Q860" s="9" t="str">
        <f>HYPERLINK("https://ceds.ed.gov/elementComment.aspx?elementName=Session Attendance Term Indicator &amp;elementID=14240", "Click here to submit comment")</f>
        <v>Click here to submit comment</v>
      </c>
    </row>
    <row r="861" spans="1:17" ht="45" x14ac:dyDescent="0.25">
      <c r="A861" s="9" t="s">
        <v>6811</v>
      </c>
      <c r="B861" s="9" t="s">
        <v>6812</v>
      </c>
      <c r="C861" s="9" t="s">
        <v>6818</v>
      </c>
      <c r="D861" s="9" t="s">
        <v>6742</v>
      </c>
      <c r="E861" s="9" t="s">
        <v>5379</v>
      </c>
      <c r="F861" s="9" t="s">
        <v>5380</v>
      </c>
      <c r="G861" s="9" t="s">
        <v>12</v>
      </c>
      <c r="H861" s="9" t="s">
        <v>1858</v>
      </c>
      <c r="I861" s="9"/>
      <c r="J861" s="9" t="s">
        <v>1813</v>
      </c>
      <c r="K861" s="9"/>
      <c r="L861" s="9" t="s">
        <v>5381</v>
      </c>
      <c r="M861" s="9" t="s">
        <v>5382</v>
      </c>
      <c r="N861" s="9"/>
      <c r="O861" s="9" t="s">
        <v>5383</v>
      </c>
      <c r="P861" s="9" t="str">
        <f>HYPERLINK("https://ceds.ed.gov/cedselementdetails.aspx?termid=13243")</f>
        <v>https://ceds.ed.gov/cedselementdetails.aspx?termid=13243</v>
      </c>
      <c r="Q861" s="9" t="str">
        <f>HYPERLINK("https://ceds.ed.gov/elementComment.aspx?elementName=School Year &amp;elementID=13243", "Click here to submit comment")</f>
        <v>Click here to submit comment</v>
      </c>
    </row>
    <row r="862" spans="1:17" ht="45" x14ac:dyDescent="0.25">
      <c r="A862" s="9" t="s">
        <v>6811</v>
      </c>
      <c r="B862" s="9" t="s">
        <v>6812</v>
      </c>
      <c r="C862" s="9" t="s">
        <v>6818</v>
      </c>
      <c r="D862" s="9" t="s">
        <v>6742</v>
      </c>
      <c r="E862" s="9" t="s">
        <v>2931</v>
      </c>
      <c r="F862" s="9" t="s">
        <v>2932</v>
      </c>
      <c r="G862" s="9" t="s">
        <v>12</v>
      </c>
      <c r="H862" s="9"/>
      <c r="I862" s="9"/>
      <c r="J862" s="9" t="s">
        <v>73</v>
      </c>
      <c r="K862" s="9"/>
      <c r="L862" s="9"/>
      <c r="M862" s="9" t="s">
        <v>2933</v>
      </c>
      <c r="N862" s="9"/>
      <c r="O862" s="9" t="s">
        <v>2934</v>
      </c>
      <c r="P862" s="9" t="str">
        <f>HYPERLINK("https://ceds.ed.gov/cedselementdetails.aspx?termid=13488")</f>
        <v>https://ceds.ed.gov/cedselementdetails.aspx?termid=13488</v>
      </c>
      <c r="Q862" s="9" t="str">
        <f>HYPERLINK("https://ceds.ed.gov/elementComment.aspx?elementName=First Instruction Date &amp;elementID=13488", "Click here to submit comment")</f>
        <v>Click here to submit comment</v>
      </c>
    </row>
    <row r="863" spans="1:17" ht="105" x14ac:dyDescent="0.25">
      <c r="A863" s="9" t="s">
        <v>6811</v>
      </c>
      <c r="B863" s="9" t="s">
        <v>6812</v>
      </c>
      <c r="C863" s="9" t="s">
        <v>6818</v>
      </c>
      <c r="D863" s="9" t="s">
        <v>6742</v>
      </c>
      <c r="E863" s="9" t="s">
        <v>3593</v>
      </c>
      <c r="F863" s="9" t="s">
        <v>3594</v>
      </c>
      <c r="G863" s="9" t="s">
        <v>12</v>
      </c>
      <c r="H863" s="9"/>
      <c r="I863" s="9"/>
      <c r="J863" s="9" t="s">
        <v>73</v>
      </c>
      <c r="K863" s="9"/>
      <c r="L863" s="9"/>
      <c r="M863" s="9" t="s">
        <v>3595</v>
      </c>
      <c r="N863" s="9"/>
      <c r="O863" s="9" t="s">
        <v>3596</v>
      </c>
      <c r="P863" s="9" t="str">
        <f>HYPERLINK("https://ceds.ed.gov/cedselementdetails.aspx?termid=13489")</f>
        <v>https://ceds.ed.gov/cedselementdetails.aspx?termid=13489</v>
      </c>
      <c r="Q863" s="9" t="str">
        <f>HYPERLINK("https://ceds.ed.gov/elementComment.aspx?elementName=Last Instruction Date &amp;elementID=13489", "Click here to submit comment")</f>
        <v>Click here to submit comment</v>
      </c>
    </row>
    <row r="864" spans="1:17" ht="135" x14ac:dyDescent="0.25">
      <c r="A864" s="9" t="s">
        <v>6811</v>
      </c>
      <c r="B864" s="9" t="s">
        <v>6812</v>
      </c>
      <c r="C864" s="9" t="s">
        <v>6818</v>
      </c>
      <c r="D864" s="9" t="s">
        <v>6742</v>
      </c>
      <c r="E864" s="9" t="s">
        <v>12213</v>
      </c>
      <c r="F864" s="9" t="s">
        <v>2191</v>
      </c>
      <c r="G864" s="9" t="s">
        <v>12</v>
      </c>
      <c r="H864" s="9"/>
      <c r="I864" s="9"/>
      <c r="J864" s="9" t="s">
        <v>10489</v>
      </c>
      <c r="K864" s="9"/>
      <c r="L864" s="9"/>
      <c r="M864" s="9" t="s">
        <v>2193</v>
      </c>
      <c r="N864" s="9"/>
      <c r="O864" s="9" t="s">
        <v>2194</v>
      </c>
      <c r="P864" s="9" t="str">
        <f>HYPERLINK("https://ceds.ed.gov/cedselementdetails.aspx?termid=13487")</f>
        <v>https://ceds.ed.gov/cedselementdetails.aspx?termid=13487</v>
      </c>
      <c r="Q864" s="9" t="str">
        <f>HYPERLINK("https://ceds.ed.gov/elementComment.aspx?elementName=Days in Session &amp;elementID=13487", "Click here to submit comment")</f>
        <v>Click here to submit comment</v>
      </c>
    </row>
    <row r="865" spans="1:17" ht="105" x14ac:dyDescent="0.25">
      <c r="A865" s="9" t="s">
        <v>6811</v>
      </c>
      <c r="B865" s="9" t="s">
        <v>6812</v>
      </c>
      <c r="C865" s="9" t="s">
        <v>6818</v>
      </c>
      <c r="D865" s="9" t="s">
        <v>6742</v>
      </c>
      <c r="E865" s="9" t="s">
        <v>5384</v>
      </c>
      <c r="F865" s="9" t="s">
        <v>5385</v>
      </c>
      <c r="G865" s="9" t="s">
        <v>12</v>
      </c>
      <c r="H865" s="9" t="s">
        <v>199</v>
      </c>
      <c r="I865" s="9"/>
      <c r="J865" s="9" t="s">
        <v>10489</v>
      </c>
      <c r="K865" s="9"/>
      <c r="L865" s="9"/>
      <c r="M865" s="9" t="s">
        <v>5386</v>
      </c>
      <c r="N865" s="9"/>
      <c r="O865" s="9" t="s">
        <v>5387</v>
      </c>
      <c r="P865" s="9" t="str">
        <f>HYPERLINK("https://ceds.ed.gov/cedselementdetails.aspx?termid=13244")</f>
        <v>https://ceds.ed.gov/cedselementdetails.aspx?termid=13244</v>
      </c>
      <c r="Q865" s="9" t="str">
        <f>HYPERLINK("https://ceds.ed.gov/elementComment.aspx?elementName=School Year Minutes &amp;elementID=13244", "Click here to submit comment")</f>
        <v>Click here to submit comment</v>
      </c>
    </row>
    <row r="866" spans="1:17" ht="90" x14ac:dyDescent="0.25">
      <c r="A866" s="9" t="s">
        <v>6811</v>
      </c>
      <c r="B866" s="9" t="s">
        <v>6812</v>
      </c>
      <c r="C866" s="9" t="s">
        <v>6818</v>
      </c>
      <c r="D866" s="9" t="s">
        <v>6742</v>
      </c>
      <c r="E866" s="9" t="s">
        <v>3475</v>
      </c>
      <c r="F866" s="9" t="s">
        <v>3476</v>
      </c>
      <c r="G866" s="9" t="s">
        <v>12</v>
      </c>
      <c r="H866" s="9"/>
      <c r="I866" s="9"/>
      <c r="J866" s="9" t="s">
        <v>10489</v>
      </c>
      <c r="K866" s="9"/>
      <c r="L866" s="9"/>
      <c r="M866" s="9" t="s">
        <v>3477</v>
      </c>
      <c r="N866" s="9"/>
      <c r="O866" s="9" t="s">
        <v>3478</v>
      </c>
      <c r="P866" s="9" t="str">
        <f>HYPERLINK("https://ceds.ed.gov/cedselementdetails.aspx?termid=13490")</f>
        <v>https://ceds.ed.gov/cedselementdetails.aspx?termid=13490</v>
      </c>
      <c r="Q866" s="9" t="str">
        <f>HYPERLINK("https://ceds.ed.gov/elementComment.aspx?elementName=Instructional Minutes &amp;elementID=13490", "Click here to submit comment")</f>
        <v>Click here to submit comment</v>
      </c>
    </row>
    <row r="867" spans="1:17" ht="45" x14ac:dyDescent="0.25">
      <c r="A867" s="9" t="s">
        <v>6811</v>
      </c>
      <c r="B867" s="9" t="s">
        <v>6812</v>
      </c>
      <c r="C867" s="9" t="s">
        <v>6818</v>
      </c>
      <c r="D867" s="9" t="s">
        <v>6742</v>
      </c>
      <c r="E867" s="9" t="s">
        <v>4271</v>
      </c>
      <c r="F867" s="9" t="s">
        <v>4272</v>
      </c>
      <c r="G867" s="9" t="s">
        <v>12</v>
      </c>
      <c r="H867" s="9"/>
      <c r="I867" s="9"/>
      <c r="J867" s="9" t="s">
        <v>10489</v>
      </c>
      <c r="K867" s="9"/>
      <c r="L867" s="9"/>
      <c r="M867" s="9" t="s">
        <v>4273</v>
      </c>
      <c r="N867" s="9"/>
      <c r="O867" s="9" t="s">
        <v>4274</v>
      </c>
      <c r="P867" s="9" t="str">
        <f>HYPERLINK("https://ceds.ed.gov/cedselementdetails.aspx?termid=13491")</f>
        <v>https://ceds.ed.gov/cedselementdetails.aspx?termid=13491</v>
      </c>
      <c r="Q867" s="9" t="str">
        <f>HYPERLINK("https://ceds.ed.gov/elementComment.aspx?elementName=Minutes Per Day &amp;elementID=13491", "Click here to submit comment")</f>
        <v>Click here to submit comment</v>
      </c>
    </row>
    <row r="868" spans="1:17" ht="45" x14ac:dyDescent="0.25">
      <c r="A868" s="9" t="s">
        <v>6811</v>
      </c>
      <c r="B868" s="9" t="s">
        <v>6812</v>
      </c>
      <c r="C868" s="9" t="s">
        <v>6819</v>
      </c>
      <c r="D868" s="9" t="s">
        <v>6742</v>
      </c>
      <c r="E868" s="9" t="s">
        <v>5829</v>
      </c>
      <c r="F868" s="9" t="s">
        <v>5830</v>
      </c>
      <c r="G868" s="9" t="s">
        <v>6106</v>
      </c>
      <c r="H868" s="9"/>
      <c r="I868" s="9"/>
      <c r="J868" s="9"/>
      <c r="K868" s="9"/>
      <c r="L868" s="9"/>
      <c r="M868" s="9" t="s">
        <v>5831</v>
      </c>
      <c r="N868" s="9"/>
      <c r="O868" s="9" t="s">
        <v>5832</v>
      </c>
      <c r="P868" s="9" t="str">
        <f>HYPERLINK("https://ceds.ed.gov/cedselementdetails.aspx?termid=14465")</f>
        <v>https://ceds.ed.gov/cedselementdetails.aspx?termid=14465</v>
      </c>
      <c r="Q868" s="9" t="str">
        <f>HYPERLINK("https://ceds.ed.gov/elementComment.aspx?elementName=Technical Assistance Approved Indicator &amp;elementID=14465", "Click here to submit comment")</f>
        <v>Click here to submit comment</v>
      </c>
    </row>
    <row r="869" spans="1:17" ht="75" x14ac:dyDescent="0.25">
      <c r="A869" s="9" t="s">
        <v>6811</v>
      </c>
      <c r="B869" s="9" t="s">
        <v>6812</v>
      </c>
      <c r="C869" s="9" t="s">
        <v>6819</v>
      </c>
      <c r="D869" s="9" t="s">
        <v>6742</v>
      </c>
      <c r="E869" s="9" t="s">
        <v>5833</v>
      </c>
      <c r="F869" s="9" t="s">
        <v>5834</v>
      </c>
      <c r="G869" s="10" t="s">
        <v>6655</v>
      </c>
      <c r="H869" s="9"/>
      <c r="I869" s="9"/>
      <c r="J869" s="9"/>
      <c r="K869" s="9"/>
      <c r="L869" s="9"/>
      <c r="M869" s="9" t="s">
        <v>5835</v>
      </c>
      <c r="N869" s="9"/>
      <c r="O869" s="9" t="s">
        <v>5836</v>
      </c>
      <c r="P869" s="9" t="str">
        <f>HYPERLINK("https://ceds.ed.gov/cedselementdetails.aspx?termid=14466")</f>
        <v>https://ceds.ed.gov/cedselementdetails.aspx?termid=14466</v>
      </c>
      <c r="Q869" s="9" t="str">
        <f>HYPERLINK("https://ceds.ed.gov/elementComment.aspx?elementName=Technical Assistance Delivery Type &amp;elementID=14466", "Click here to submit comment")</f>
        <v>Click here to submit comment</v>
      </c>
    </row>
    <row r="870" spans="1:17" ht="375" x14ac:dyDescent="0.25">
      <c r="A870" s="9" t="s">
        <v>6811</v>
      </c>
      <c r="B870" s="9" t="s">
        <v>6812</v>
      </c>
      <c r="C870" s="9" t="s">
        <v>6819</v>
      </c>
      <c r="D870" s="9" t="s">
        <v>6742</v>
      </c>
      <c r="E870" s="9" t="s">
        <v>5837</v>
      </c>
      <c r="F870" s="9" t="s">
        <v>5838</v>
      </c>
      <c r="G870" s="10" t="s">
        <v>6715</v>
      </c>
      <c r="H870" s="9"/>
      <c r="I870" s="9"/>
      <c r="J870" s="9"/>
      <c r="K870" s="9"/>
      <c r="L870" s="9"/>
      <c r="M870" s="9" t="s">
        <v>5839</v>
      </c>
      <c r="N870" s="9"/>
      <c r="O870" s="9" t="s">
        <v>5840</v>
      </c>
      <c r="P870" s="9" t="str">
        <f>HYPERLINK("https://ceds.ed.gov/cedselementdetails.aspx?termid=14467")</f>
        <v>https://ceds.ed.gov/cedselementdetails.aspx?termid=14467</v>
      </c>
      <c r="Q870" s="9" t="str">
        <f>HYPERLINK("https://ceds.ed.gov/elementComment.aspx?elementName=Technical Assistance Type &amp;elementID=14467", "Click here to submit comment")</f>
        <v>Click here to submit comment</v>
      </c>
    </row>
    <row r="871" spans="1:17" ht="45" x14ac:dyDescent="0.25">
      <c r="A871" s="9" t="s">
        <v>6811</v>
      </c>
      <c r="B871" s="9" t="s">
        <v>6820</v>
      </c>
      <c r="C871" s="9"/>
      <c r="D871" s="9" t="s">
        <v>6742</v>
      </c>
      <c r="E871" s="9" t="s">
        <v>11653</v>
      </c>
      <c r="F871" s="9" t="s">
        <v>11654</v>
      </c>
      <c r="G871" s="9" t="s">
        <v>12</v>
      </c>
      <c r="H871" s="9"/>
      <c r="I871" s="9"/>
      <c r="J871" s="9" t="s">
        <v>1143</v>
      </c>
      <c r="K871" s="9"/>
      <c r="L871" s="9"/>
      <c r="M871" s="9" t="s">
        <v>11656</v>
      </c>
      <c r="N871" s="9"/>
      <c r="O871" s="9" t="s">
        <v>11657</v>
      </c>
      <c r="P871" s="9" t="str">
        <f>HYPERLINK("https://ceds.ed.gov/cedselementdetails.aspx?termid=14644")</f>
        <v>https://ceds.ed.gov/cedselementdetails.aspx?termid=14644</v>
      </c>
      <c r="Q871" s="9" t="str">
        <f>HYPERLINK("https://ceds.ed.gov/elementComment.aspx?elementName=Organization Image URL &amp;elementID=14644", "Click here to submit comment")</f>
        <v>Click here to submit comment</v>
      </c>
    </row>
    <row r="872" spans="1:17" ht="45" x14ac:dyDescent="0.25">
      <c r="A872" s="9" t="s">
        <v>6811</v>
      </c>
      <c r="B872" s="9" t="s">
        <v>6820</v>
      </c>
      <c r="C872" s="9"/>
      <c r="D872" s="9" t="s">
        <v>6742</v>
      </c>
      <c r="E872" s="9" t="s">
        <v>11660</v>
      </c>
      <c r="F872" s="9" t="s">
        <v>11661</v>
      </c>
      <c r="G872" s="9" t="s">
        <v>12</v>
      </c>
      <c r="H872" s="9"/>
      <c r="I872" s="9" t="s">
        <v>91</v>
      </c>
      <c r="J872" s="9" t="s">
        <v>11025</v>
      </c>
      <c r="K872" s="9" t="s">
        <v>11663</v>
      </c>
      <c r="L872" s="9"/>
      <c r="M872" s="9" t="s">
        <v>11664</v>
      </c>
      <c r="N872" s="9"/>
      <c r="O872" s="9" t="s">
        <v>11665</v>
      </c>
      <c r="P872" s="9" t="str">
        <f>HYPERLINK("https://ceds.ed.gov/cedselementdetails.aspx?termid=14731")</f>
        <v>https://ceds.ed.gov/cedselementdetails.aspx?termid=14731</v>
      </c>
      <c r="Q872" s="9" t="str">
        <f>HYPERLINK("https://ceds.ed.gov/elementComment.aspx?elementName=Organization Region GeoJSON &amp;elementID=14731", "Click here to submit comment")</f>
        <v>Click here to submit comment</v>
      </c>
    </row>
    <row r="873" spans="1:17" ht="105" x14ac:dyDescent="0.25">
      <c r="A873" s="18" t="s">
        <v>6811</v>
      </c>
      <c r="B873" s="18" t="s">
        <v>6820</v>
      </c>
      <c r="C873" s="18" t="s">
        <v>6777</v>
      </c>
      <c r="D873" s="18" t="s">
        <v>6742</v>
      </c>
      <c r="E873" s="18" t="s">
        <v>4106</v>
      </c>
      <c r="F873" s="18" t="s">
        <v>4107</v>
      </c>
      <c r="G873" s="18" t="s">
        <v>12</v>
      </c>
      <c r="H873" s="18" t="s">
        <v>6241</v>
      </c>
      <c r="I873" s="18"/>
      <c r="J873" s="18" t="s">
        <v>119</v>
      </c>
      <c r="K873" s="18"/>
      <c r="L873" s="9" t="s">
        <v>120</v>
      </c>
      <c r="M873" s="18" t="s">
        <v>4108</v>
      </c>
      <c r="N873" s="18" t="s">
        <v>4109</v>
      </c>
      <c r="O873" s="18" t="s">
        <v>4110</v>
      </c>
      <c r="P873" s="18" t="str">
        <f>HYPERLINK("https://ceds.ed.gov/cedselementdetails.aspx?termid=13153")</f>
        <v>https://ceds.ed.gov/cedselementdetails.aspx?termid=13153</v>
      </c>
      <c r="Q873" s="18" t="str">
        <f>HYPERLINK("https://ceds.ed.gov/elementComment.aspx?elementName=Local Education Agency Identifier &amp;elementID=13153", "Click here to submit comment")</f>
        <v>Click here to submit comment</v>
      </c>
    </row>
    <row r="874" spans="1:17" x14ac:dyDescent="0.25">
      <c r="A874" s="18"/>
      <c r="B874" s="18"/>
      <c r="C874" s="18"/>
      <c r="D874" s="18"/>
      <c r="E874" s="18"/>
      <c r="F874" s="18"/>
      <c r="G874" s="18"/>
      <c r="H874" s="18"/>
      <c r="I874" s="18"/>
      <c r="J874" s="18"/>
      <c r="K874" s="18"/>
      <c r="L874" s="9"/>
      <c r="M874" s="18"/>
      <c r="N874" s="18"/>
      <c r="O874" s="18"/>
      <c r="P874" s="18"/>
      <c r="Q874" s="18"/>
    </row>
    <row r="875" spans="1:17" ht="90" x14ac:dyDescent="0.25">
      <c r="A875" s="18"/>
      <c r="B875" s="18"/>
      <c r="C875" s="18"/>
      <c r="D875" s="18"/>
      <c r="E875" s="18"/>
      <c r="F875" s="18"/>
      <c r="G875" s="18"/>
      <c r="H875" s="18"/>
      <c r="I875" s="18"/>
      <c r="J875" s="18"/>
      <c r="K875" s="18"/>
      <c r="L875" s="9" t="s">
        <v>121</v>
      </c>
      <c r="M875" s="18"/>
      <c r="N875" s="18"/>
      <c r="O875" s="18"/>
      <c r="P875" s="18"/>
      <c r="Q875" s="18"/>
    </row>
    <row r="876" spans="1:17" ht="240" x14ac:dyDescent="0.25">
      <c r="A876" s="9" t="s">
        <v>6811</v>
      </c>
      <c r="B876" s="9" t="s">
        <v>6820</v>
      </c>
      <c r="C876" s="9" t="s">
        <v>6777</v>
      </c>
      <c r="D876" s="9" t="s">
        <v>6742</v>
      </c>
      <c r="E876" s="9" t="s">
        <v>4101</v>
      </c>
      <c r="F876" s="9" t="s">
        <v>4102</v>
      </c>
      <c r="G876" s="10" t="s">
        <v>6605</v>
      </c>
      <c r="H876" s="9" t="s">
        <v>6241</v>
      </c>
      <c r="I876" s="9"/>
      <c r="J876" s="9"/>
      <c r="K876" s="9"/>
      <c r="L876" s="9"/>
      <c r="M876" s="9" t="s">
        <v>4103</v>
      </c>
      <c r="N876" s="9" t="s">
        <v>4104</v>
      </c>
      <c r="O876" s="9" t="s">
        <v>4105</v>
      </c>
      <c r="P876" s="9" t="str">
        <f>HYPERLINK("https://ceds.ed.gov/cedselementdetails.aspx?termid=13159")</f>
        <v>https://ceds.ed.gov/cedselementdetails.aspx?termid=13159</v>
      </c>
      <c r="Q876" s="9" t="str">
        <f>HYPERLINK("https://ceds.ed.gov/elementComment.aspx?elementName=Local Education Agency Identification System &amp;elementID=13159", "Click here to submit comment")</f>
        <v>Click here to submit comment</v>
      </c>
    </row>
    <row r="877" spans="1:17" ht="45" x14ac:dyDescent="0.25">
      <c r="A877" s="9" t="s">
        <v>6811</v>
      </c>
      <c r="B877" s="9" t="s">
        <v>6820</v>
      </c>
      <c r="C877" s="9" t="s">
        <v>6777</v>
      </c>
      <c r="D877" s="9" t="s">
        <v>6742</v>
      </c>
      <c r="E877" s="9" t="s">
        <v>4456</v>
      </c>
      <c r="F877" s="9" t="s">
        <v>4457</v>
      </c>
      <c r="G877" s="9" t="s">
        <v>12</v>
      </c>
      <c r="H877" s="9" t="s">
        <v>182</v>
      </c>
      <c r="I877" s="9"/>
      <c r="J877" s="9" t="s">
        <v>92</v>
      </c>
      <c r="K877" s="9"/>
      <c r="L877" s="9"/>
      <c r="M877" s="9" t="s">
        <v>4458</v>
      </c>
      <c r="N877" s="9"/>
      <c r="O877" s="9" t="s">
        <v>4459</v>
      </c>
      <c r="P877" s="9" t="str">
        <f>HYPERLINK("https://ceds.ed.gov/cedselementdetails.aspx?termid=13204")</f>
        <v>https://ceds.ed.gov/cedselementdetails.aspx?termid=13204</v>
      </c>
      <c r="Q877" s="9" t="str">
        <f>HYPERLINK("https://ceds.ed.gov/elementComment.aspx?elementName=Organization Name &amp;elementID=13204", "Click here to submit comment")</f>
        <v>Click here to submit comment</v>
      </c>
    </row>
    <row r="878" spans="1:17" ht="409.5" x14ac:dyDescent="0.25">
      <c r="A878" s="9" t="s">
        <v>6811</v>
      </c>
      <c r="B878" s="9" t="s">
        <v>6820</v>
      </c>
      <c r="C878" s="9" t="s">
        <v>6777</v>
      </c>
      <c r="D878" s="9" t="s">
        <v>6742</v>
      </c>
      <c r="E878" s="9" t="s">
        <v>4468</v>
      </c>
      <c r="F878" s="9" t="s">
        <v>4469</v>
      </c>
      <c r="G878" s="10" t="s">
        <v>11905</v>
      </c>
      <c r="H878" s="9"/>
      <c r="I878" s="9" t="s">
        <v>91</v>
      </c>
      <c r="J878" s="9"/>
      <c r="K878" s="9"/>
      <c r="L878" s="9" t="s">
        <v>4470</v>
      </c>
      <c r="M878" s="9" t="s">
        <v>4471</v>
      </c>
      <c r="N878" s="9"/>
      <c r="O878" s="9" t="s">
        <v>4472</v>
      </c>
      <c r="P878" s="9" t="str">
        <f>HYPERLINK("https://ceds.ed.gov/cedselementdetails.aspx?termid=14165")</f>
        <v>https://ceds.ed.gov/cedselementdetails.aspx?termid=14165</v>
      </c>
      <c r="Q878" s="9" t="str">
        <f>HYPERLINK("https://ceds.ed.gov/elementComment.aspx?elementName=Organization Type &amp;elementID=14165", "Click here to submit comment")</f>
        <v>Click here to submit comment</v>
      </c>
    </row>
    <row r="879" spans="1:17" ht="45" x14ac:dyDescent="0.25">
      <c r="A879" s="9" t="s">
        <v>6811</v>
      </c>
      <c r="B879" s="9" t="s">
        <v>6820</v>
      </c>
      <c r="C879" s="9" t="s">
        <v>6777</v>
      </c>
      <c r="D879" s="9" t="s">
        <v>6746</v>
      </c>
      <c r="E879" s="9" t="s">
        <v>11666</v>
      </c>
      <c r="F879" s="9" t="s">
        <v>11667</v>
      </c>
      <c r="G879" s="10" t="s">
        <v>11904</v>
      </c>
      <c r="H879" s="9"/>
      <c r="I879" s="9" t="s">
        <v>1457</v>
      </c>
      <c r="J879" s="9"/>
      <c r="K879" s="9"/>
      <c r="L879" s="9"/>
      <c r="M879" s="9" t="s">
        <v>11669</v>
      </c>
      <c r="N879" s="9"/>
      <c r="O879" s="9" t="s">
        <v>11670</v>
      </c>
      <c r="P879" s="9" t="str">
        <f>HYPERLINK("https://ceds.ed.gov/cedselementdetails.aspx?termid=14886")</f>
        <v>https://ceds.ed.gov/cedselementdetails.aspx?termid=14886</v>
      </c>
      <c r="Q879" s="9" t="str">
        <f>HYPERLINK("https://ceds.ed.gov/elementComment.aspx?elementName=Organization Relationship Type &amp;elementID=14886", "Click here to submit comment")</f>
        <v>Click here to submit comment</v>
      </c>
    </row>
    <row r="880" spans="1:17" ht="90" x14ac:dyDescent="0.25">
      <c r="A880" s="9" t="s">
        <v>6811</v>
      </c>
      <c r="B880" s="9" t="s">
        <v>6820</v>
      </c>
      <c r="C880" s="9" t="s">
        <v>6783</v>
      </c>
      <c r="D880" s="9" t="s">
        <v>6742</v>
      </c>
      <c r="E880" s="9" t="s">
        <v>174</v>
      </c>
      <c r="F880" s="9" t="s">
        <v>175</v>
      </c>
      <c r="G880" s="10" t="s">
        <v>6320</v>
      </c>
      <c r="H880" s="9" t="s">
        <v>6109</v>
      </c>
      <c r="I880" s="9"/>
      <c r="J880" s="9" t="s">
        <v>87</v>
      </c>
      <c r="K880" s="9"/>
      <c r="L880" s="9"/>
      <c r="M880" s="9" t="s">
        <v>176</v>
      </c>
      <c r="N880" s="9"/>
      <c r="O880" s="9" t="s">
        <v>177</v>
      </c>
      <c r="P880" s="9" t="str">
        <f>HYPERLINK("https://ceds.ed.gov/cedselementdetails.aspx?termid=13644")</f>
        <v>https://ceds.ed.gov/cedselementdetails.aspx?termid=13644</v>
      </c>
      <c r="Q880" s="9" t="str">
        <f>HYPERLINK("https://ceds.ed.gov/elementComment.aspx?elementName=Address Type for Organization &amp;elementID=13644", "Click here to submit comment")</f>
        <v>Click here to submit comment</v>
      </c>
    </row>
    <row r="881" spans="1:17" ht="225" x14ac:dyDescent="0.25">
      <c r="A881" s="9" t="s">
        <v>6811</v>
      </c>
      <c r="B881" s="9" t="s">
        <v>6820</v>
      </c>
      <c r="C881" s="9" t="s">
        <v>6783</v>
      </c>
      <c r="D881" s="9" t="s">
        <v>6742</v>
      </c>
      <c r="E881" s="9" t="s">
        <v>166</v>
      </c>
      <c r="F881" s="9" t="s">
        <v>167</v>
      </c>
      <c r="G881" s="9" t="s">
        <v>12</v>
      </c>
      <c r="H881" s="9" t="s">
        <v>6113</v>
      </c>
      <c r="I881" s="9"/>
      <c r="J881" s="9" t="s">
        <v>119</v>
      </c>
      <c r="K881" s="9"/>
      <c r="L881" s="9"/>
      <c r="M881" s="9" t="s">
        <v>168</v>
      </c>
      <c r="N881" s="9"/>
      <c r="O881" s="9" t="s">
        <v>169</v>
      </c>
      <c r="P881" s="9" t="str">
        <f>HYPERLINK("https://ceds.ed.gov/cedselementdetails.aspx?termid=13269")</f>
        <v>https://ceds.ed.gov/cedselementdetails.aspx?termid=13269</v>
      </c>
      <c r="Q881" s="9" t="str">
        <f>HYPERLINK("https://ceds.ed.gov/elementComment.aspx?elementName=Address Street Number and Name &amp;elementID=13269", "Click here to submit comment")</f>
        <v>Click here to submit comment</v>
      </c>
    </row>
    <row r="882" spans="1:17" ht="225" x14ac:dyDescent="0.25">
      <c r="A882" s="9" t="s">
        <v>6811</v>
      </c>
      <c r="B882" s="9" t="s">
        <v>6820</v>
      </c>
      <c r="C882" s="9" t="s">
        <v>6783</v>
      </c>
      <c r="D882" s="9" t="s">
        <v>6742</v>
      </c>
      <c r="E882" s="9" t="s">
        <v>149</v>
      </c>
      <c r="F882" s="9" t="s">
        <v>150</v>
      </c>
      <c r="G882" s="9" t="s">
        <v>12</v>
      </c>
      <c r="H882" s="9" t="s">
        <v>6113</v>
      </c>
      <c r="I882" s="9"/>
      <c r="J882" s="9" t="s">
        <v>87</v>
      </c>
      <c r="K882" s="9"/>
      <c r="L882" s="9"/>
      <c r="M882" s="9" t="s">
        <v>151</v>
      </c>
      <c r="N882" s="9"/>
      <c r="O882" s="9" t="s">
        <v>152</v>
      </c>
      <c r="P882" s="9" t="str">
        <f>HYPERLINK("https://ceds.ed.gov/cedselementdetails.aspx?termid=13019")</f>
        <v>https://ceds.ed.gov/cedselementdetails.aspx?termid=13019</v>
      </c>
      <c r="Q882" s="9" t="str">
        <f>HYPERLINK("https://ceds.ed.gov/elementComment.aspx?elementName=Address Apartment Room or Suite Number &amp;elementID=13019", "Click here to submit comment")</f>
        <v>Click here to submit comment</v>
      </c>
    </row>
    <row r="883" spans="1:17" ht="225" x14ac:dyDescent="0.25">
      <c r="A883" s="9" t="s">
        <v>6811</v>
      </c>
      <c r="B883" s="9" t="s">
        <v>6820</v>
      </c>
      <c r="C883" s="9" t="s">
        <v>6783</v>
      </c>
      <c r="D883" s="9" t="s">
        <v>6742</v>
      </c>
      <c r="E883" s="9" t="s">
        <v>153</v>
      </c>
      <c r="F883" s="9" t="s">
        <v>154</v>
      </c>
      <c r="G883" s="9" t="s">
        <v>12</v>
      </c>
      <c r="H883" s="9" t="s">
        <v>6113</v>
      </c>
      <c r="I883" s="9"/>
      <c r="J883" s="9" t="s">
        <v>87</v>
      </c>
      <c r="K883" s="9"/>
      <c r="L883" s="9"/>
      <c r="M883" s="9" t="s">
        <v>155</v>
      </c>
      <c r="N883" s="9"/>
      <c r="O883" s="9" t="s">
        <v>156</v>
      </c>
      <c r="P883" s="9" t="str">
        <f>HYPERLINK("https://ceds.ed.gov/cedselementdetails.aspx?termid=13040")</f>
        <v>https://ceds.ed.gov/cedselementdetails.aspx?termid=13040</v>
      </c>
      <c r="Q883" s="9" t="str">
        <f>HYPERLINK("https://ceds.ed.gov/elementComment.aspx?elementName=Address City &amp;elementID=13040", "Click here to submit comment")</f>
        <v>Click here to submit comment</v>
      </c>
    </row>
    <row r="884" spans="1:17" ht="409.5" x14ac:dyDescent="0.25">
      <c r="A884" s="9" t="s">
        <v>6811</v>
      </c>
      <c r="B884" s="9" t="s">
        <v>6820</v>
      </c>
      <c r="C884" s="9" t="s">
        <v>6783</v>
      </c>
      <c r="D884" s="9" t="s">
        <v>6742</v>
      </c>
      <c r="E884" s="9" t="s">
        <v>5647</v>
      </c>
      <c r="F884" s="9" t="s">
        <v>5648</v>
      </c>
      <c r="G884" s="10" t="s">
        <v>6702</v>
      </c>
      <c r="H884" s="9" t="s">
        <v>6285</v>
      </c>
      <c r="I884" s="9"/>
      <c r="J884" s="9"/>
      <c r="K884" s="9"/>
      <c r="L884" s="9"/>
      <c r="M884" s="9" t="s">
        <v>5649</v>
      </c>
      <c r="N884" s="9"/>
      <c r="O884" s="9" t="s">
        <v>5650</v>
      </c>
      <c r="P884" s="9" t="str">
        <f>HYPERLINK("https://ceds.ed.gov/cedselementdetails.aspx?termid=13267")</f>
        <v>https://ceds.ed.gov/cedselementdetails.aspx?termid=13267</v>
      </c>
      <c r="Q884" s="9" t="str">
        <f>HYPERLINK("https://ceds.ed.gov/elementComment.aspx?elementName=State Abbreviation &amp;elementID=13267", "Click here to submit comment")</f>
        <v>Click here to submit comment</v>
      </c>
    </row>
    <row r="885" spans="1:17" ht="225" x14ac:dyDescent="0.25">
      <c r="A885" s="9" t="s">
        <v>6811</v>
      </c>
      <c r="B885" s="9" t="s">
        <v>6820</v>
      </c>
      <c r="C885" s="9" t="s">
        <v>6783</v>
      </c>
      <c r="D885" s="9" t="s">
        <v>6742</v>
      </c>
      <c r="E885" s="9" t="s">
        <v>161</v>
      </c>
      <c r="F885" s="9" t="s">
        <v>162</v>
      </c>
      <c r="G885" s="9" t="s">
        <v>12</v>
      </c>
      <c r="H885" s="9" t="s">
        <v>6113</v>
      </c>
      <c r="I885" s="9"/>
      <c r="J885" s="9" t="s">
        <v>163</v>
      </c>
      <c r="K885" s="9"/>
      <c r="L885" s="9"/>
      <c r="M885" s="9" t="s">
        <v>164</v>
      </c>
      <c r="N885" s="9"/>
      <c r="O885" s="9" t="s">
        <v>165</v>
      </c>
      <c r="P885" s="9" t="str">
        <f>HYPERLINK("https://ceds.ed.gov/cedselementdetails.aspx?termid=13214")</f>
        <v>https://ceds.ed.gov/cedselementdetails.aspx?termid=13214</v>
      </c>
      <c r="Q885" s="9" t="str">
        <f>HYPERLINK("https://ceds.ed.gov/elementComment.aspx?elementName=Address Postal Code &amp;elementID=13214", "Click here to submit comment")</f>
        <v>Click here to submit comment</v>
      </c>
    </row>
    <row r="886" spans="1:17" ht="225" x14ac:dyDescent="0.25">
      <c r="A886" s="9" t="s">
        <v>6811</v>
      </c>
      <c r="B886" s="9" t="s">
        <v>6820</v>
      </c>
      <c r="C886" s="9" t="s">
        <v>6783</v>
      </c>
      <c r="D886" s="9" t="s">
        <v>6742</v>
      </c>
      <c r="E886" s="9" t="s">
        <v>157</v>
      </c>
      <c r="F886" s="9" t="s">
        <v>158</v>
      </c>
      <c r="G886" s="9" t="s">
        <v>12</v>
      </c>
      <c r="H886" s="9" t="s">
        <v>6113</v>
      </c>
      <c r="I886" s="9"/>
      <c r="J886" s="9" t="s">
        <v>87</v>
      </c>
      <c r="K886" s="9"/>
      <c r="L886" s="9"/>
      <c r="M886" s="9" t="s">
        <v>159</v>
      </c>
      <c r="N886" s="9"/>
      <c r="O886" s="9" t="s">
        <v>160</v>
      </c>
      <c r="P886" s="9" t="str">
        <f>HYPERLINK("https://ceds.ed.gov/cedselementdetails.aspx?termid=13190")</f>
        <v>https://ceds.ed.gov/cedselementdetails.aspx?termid=13190</v>
      </c>
      <c r="Q886" s="9" t="str">
        <f>HYPERLINK("https://ceds.ed.gov/elementComment.aspx?elementName=Address County Name &amp;elementID=13190", "Click here to submit comment")</f>
        <v>Click here to submit comment</v>
      </c>
    </row>
    <row r="887" spans="1:17" ht="409.5" x14ac:dyDescent="0.25">
      <c r="A887" s="9" t="s">
        <v>6811</v>
      </c>
      <c r="B887" s="9" t="s">
        <v>6820</v>
      </c>
      <c r="C887" s="9" t="s">
        <v>6783</v>
      </c>
      <c r="D887" s="9" t="s">
        <v>6742</v>
      </c>
      <c r="E887" s="9" t="s">
        <v>5659</v>
      </c>
      <c r="F887" s="9" t="s">
        <v>5660</v>
      </c>
      <c r="G887" s="10" t="s">
        <v>6704</v>
      </c>
      <c r="H887" s="9" t="s">
        <v>6287</v>
      </c>
      <c r="I887" s="9"/>
      <c r="J887" s="9"/>
      <c r="K887" s="9"/>
      <c r="L887" s="9"/>
      <c r="M887" s="9" t="s">
        <v>5661</v>
      </c>
      <c r="N887" s="9"/>
      <c r="O887" s="9" t="s">
        <v>5662</v>
      </c>
      <c r="P887" s="9" t="str">
        <f>HYPERLINK("https://ceds.ed.gov/cedselementdetails.aspx?termid=13414")</f>
        <v>https://ceds.ed.gov/cedselementdetails.aspx?termid=13414</v>
      </c>
      <c r="Q887" s="9" t="str">
        <f>HYPERLINK("https://ceds.ed.gov/elementComment.aspx?elementName=State ANSI Code &amp;elementID=13414", "Click here to submit comment")</f>
        <v>Click here to submit comment</v>
      </c>
    </row>
    <row r="888" spans="1:17" ht="180" x14ac:dyDescent="0.25">
      <c r="A888" s="9" t="s">
        <v>6811</v>
      </c>
      <c r="B888" s="9" t="s">
        <v>6820</v>
      </c>
      <c r="C888" s="9" t="s">
        <v>6783</v>
      </c>
      <c r="D888" s="9" t="s">
        <v>6742</v>
      </c>
      <c r="E888" s="9" t="s">
        <v>1894</v>
      </c>
      <c r="F888" s="9" t="s">
        <v>1895</v>
      </c>
      <c r="G888" s="9" t="s">
        <v>12</v>
      </c>
      <c r="H888" s="9"/>
      <c r="I888" s="9"/>
      <c r="J888" s="9" t="s">
        <v>10933</v>
      </c>
      <c r="K888" s="9"/>
      <c r="L888" s="9"/>
      <c r="M888" s="9" t="s">
        <v>1896</v>
      </c>
      <c r="N888" s="9"/>
      <c r="O888" s="9" t="s">
        <v>1897</v>
      </c>
      <c r="P888" s="9" t="str">
        <f>HYPERLINK("https://ceds.ed.gov/cedselementdetails.aspx?termid=14176")</f>
        <v>https://ceds.ed.gov/cedselementdetails.aspx?termid=14176</v>
      </c>
      <c r="Q888" s="9" t="str">
        <f>HYPERLINK("https://ceds.ed.gov/elementComment.aspx?elementName=County ANSI Code &amp;elementID=14176", "Click here to submit comment")</f>
        <v>Click here to submit comment</v>
      </c>
    </row>
    <row r="889" spans="1:17" ht="45" x14ac:dyDescent="0.25">
      <c r="A889" s="9" t="s">
        <v>6811</v>
      </c>
      <c r="B889" s="9" t="s">
        <v>6820</v>
      </c>
      <c r="C889" s="9" t="s">
        <v>6783</v>
      </c>
      <c r="D889" s="9" t="s">
        <v>6742</v>
      </c>
      <c r="E889" s="9" t="s">
        <v>1557</v>
      </c>
      <c r="F889" s="9" t="s">
        <v>1558</v>
      </c>
      <c r="G889" s="9" t="s">
        <v>12</v>
      </c>
      <c r="H889" s="9"/>
      <c r="I889" s="9"/>
      <c r="J889" s="9" t="s">
        <v>87</v>
      </c>
      <c r="K889" s="9"/>
      <c r="L889" s="9"/>
      <c r="M889" s="9" t="s">
        <v>1559</v>
      </c>
      <c r="N889" s="9"/>
      <c r="O889" s="9" t="s">
        <v>1560</v>
      </c>
      <c r="P889" s="9" t="str">
        <f>HYPERLINK("https://ceds.ed.gov/cedselementdetails.aspx?termid=13595")</f>
        <v>https://ceds.ed.gov/cedselementdetails.aspx?termid=13595</v>
      </c>
      <c r="Q889" s="9" t="str">
        <f>HYPERLINK("https://ceds.ed.gov/elementComment.aspx?elementName=Building Site Number &amp;elementID=13595", "Click here to submit comment")</f>
        <v>Click here to submit comment</v>
      </c>
    </row>
    <row r="890" spans="1:17" ht="75" x14ac:dyDescent="0.25">
      <c r="A890" s="9" t="s">
        <v>6811</v>
      </c>
      <c r="B890" s="9" t="s">
        <v>6820</v>
      </c>
      <c r="C890" s="9" t="s">
        <v>6783</v>
      </c>
      <c r="D890" s="9" t="s">
        <v>6742</v>
      </c>
      <c r="E890" s="9" t="s">
        <v>3606</v>
      </c>
      <c r="F890" s="9" t="s">
        <v>3607</v>
      </c>
      <c r="G890" s="9" t="s">
        <v>12</v>
      </c>
      <c r="H890" s="9"/>
      <c r="I890" s="9"/>
      <c r="J890" s="9" t="s">
        <v>1165</v>
      </c>
      <c r="K890" s="9"/>
      <c r="L890" s="9"/>
      <c r="M890" s="9" t="s">
        <v>3608</v>
      </c>
      <c r="N890" s="9"/>
      <c r="O890" s="9" t="s">
        <v>3606</v>
      </c>
      <c r="P890" s="9" t="str">
        <f>HYPERLINK("https://ceds.ed.gov/cedselementdetails.aspx?termid=13599")</f>
        <v>https://ceds.ed.gov/cedselementdetails.aspx?termid=13599</v>
      </c>
      <c r="Q890" s="9" t="str">
        <f>HYPERLINK("https://ceds.ed.gov/elementComment.aspx?elementName=Latitude &amp;elementID=13599", "Click here to submit comment")</f>
        <v>Click here to submit comment</v>
      </c>
    </row>
    <row r="891" spans="1:17" ht="75" x14ac:dyDescent="0.25">
      <c r="A891" s="9" t="s">
        <v>6811</v>
      </c>
      <c r="B891" s="9" t="s">
        <v>6820</v>
      </c>
      <c r="C891" s="9" t="s">
        <v>6783</v>
      </c>
      <c r="D891" s="9" t="s">
        <v>6742</v>
      </c>
      <c r="E891" s="9" t="s">
        <v>4139</v>
      </c>
      <c r="F891" s="9" t="s">
        <v>4140</v>
      </c>
      <c r="G891" s="9" t="s">
        <v>12</v>
      </c>
      <c r="H891" s="9"/>
      <c r="I891" s="9"/>
      <c r="J891" s="9" t="s">
        <v>1165</v>
      </c>
      <c r="K891" s="9"/>
      <c r="L891" s="9"/>
      <c r="M891" s="9" t="s">
        <v>4141</v>
      </c>
      <c r="N891" s="9"/>
      <c r="O891" s="9" t="s">
        <v>4139</v>
      </c>
      <c r="P891" s="9" t="str">
        <f>HYPERLINK("https://ceds.ed.gov/cedselementdetails.aspx?termid=13600")</f>
        <v>https://ceds.ed.gov/cedselementdetails.aspx?termid=13600</v>
      </c>
      <c r="Q891" s="9" t="str">
        <f>HYPERLINK("https://ceds.ed.gov/elementComment.aspx?elementName=Longitude &amp;elementID=13600", "Click here to submit comment")</f>
        <v>Click here to submit comment</v>
      </c>
    </row>
    <row r="892" spans="1:17" ht="90" x14ac:dyDescent="0.25">
      <c r="A892" s="9" t="s">
        <v>6811</v>
      </c>
      <c r="B892" s="9" t="s">
        <v>6820</v>
      </c>
      <c r="C892" s="9" t="s">
        <v>6784</v>
      </c>
      <c r="D892" s="9" t="s">
        <v>6742</v>
      </c>
      <c r="E892" s="9" t="s">
        <v>5849</v>
      </c>
      <c r="F892" s="9" t="s">
        <v>5850</v>
      </c>
      <c r="G892" s="9" t="s">
        <v>12</v>
      </c>
      <c r="H892" s="9" t="s">
        <v>6109</v>
      </c>
      <c r="I892" s="9"/>
      <c r="J892" s="9" t="s">
        <v>5851</v>
      </c>
      <c r="K892" s="9"/>
      <c r="L892" s="9"/>
      <c r="M892" s="9" t="s">
        <v>5852</v>
      </c>
      <c r="N892" s="9"/>
      <c r="O892" s="9" t="s">
        <v>5853</v>
      </c>
      <c r="P892" s="9" t="str">
        <f>HYPERLINK("https://ceds.ed.gov/cedselementdetails.aspx?termid=13279")</f>
        <v>https://ceds.ed.gov/cedselementdetails.aspx?termid=13279</v>
      </c>
      <c r="Q892" s="9" t="str">
        <f>HYPERLINK("https://ceds.ed.gov/elementComment.aspx?elementName=Telephone Number &amp;elementID=13279", "Click here to submit comment")</f>
        <v>Click here to submit comment</v>
      </c>
    </row>
    <row r="893" spans="1:17" ht="165" x14ac:dyDescent="0.25">
      <c r="A893" s="9" t="s">
        <v>6811</v>
      </c>
      <c r="B893" s="9" t="s">
        <v>6820</v>
      </c>
      <c r="C893" s="9" t="s">
        <v>6784</v>
      </c>
      <c r="D893" s="9" t="s">
        <v>6742</v>
      </c>
      <c r="E893" s="9" t="s">
        <v>3445</v>
      </c>
      <c r="F893" s="9" t="s">
        <v>3446</v>
      </c>
      <c r="G893" s="10" t="s">
        <v>6560</v>
      </c>
      <c r="H893" s="9"/>
      <c r="I893" s="9"/>
      <c r="J893" s="9"/>
      <c r="K893" s="9"/>
      <c r="L893" s="9"/>
      <c r="M893" s="9" t="s">
        <v>3447</v>
      </c>
      <c r="N893" s="9"/>
      <c r="O893" s="9" t="s">
        <v>3448</v>
      </c>
      <c r="P893" s="9" t="str">
        <f>HYPERLINK("https://ceds.ed.gov/cedselementdetails.aspx?termid=13167")</f>
        <v>https://ceds.ed.gov/cedselementdetails.aspx?termid=13167</v>
      </c>
      <c r="Q893" s="9" t="str">
        <f>HYPERLINK("https://ceds.ed.gov/elementComment.aspx?elementName=Institution Telephone Number Type &amp;elementID=13167", "Click here to submit comment")</f>
        <v>Click here to submit comment</v>
      </c>
    </row>
    <row r="894" spans="1:17" ht="90" x14ac:dyDescent="0.25">
      <c r="A894" s="9" t="s">
        <v>6811</v>
      </c>
      <c r="B894" s="9" t="s">
        <v>6820</v>
      </c>
      <c r="C894" s="9" t="s">
        <v>6784</v>
      </c>
      <c r="D894" s="9" t="s">
        <v>6742</v>
      </c>
      <c r="E894" s="9" t="s">
        <v>4709</v>
      </c>
      <c r="F894" s="9" t="s">
        <v>4710</v>
      </c>
      <c r="G894" s="9" t="s">
        <v>6106</v>
      </c>
      <c r="H894" s="9" t="s">
        <v>6109</v>
      </c>
      <c r="I894" s="9"/>
      <c r="J894" s="9"/>
      <c r="K894" s="9"/>
      <c r="L894" s="9"/>
      <c r="M894" s="9" t="s">
        <v>4711</v>
      </c>
      <c r="N894" s="9"/>
      <c r="O894" s="9" t="s">
        <v>4712</v>
      </c>
      <c r="P894" s="9" t="str">
        <f>HYPERLINK("https://ceds.ed.gov/cedselementdetails.aspx?termid=13219")</f>
        <v>https://ceds.ed.gov/cedselementdetails.aspx?termid=13219</v>
      </c>
      <c r="Q894" s="9" t="str">
        <f>HYPERLINK("https://ceds.ed.gov/elementComment.aspx?elementName=Primary Telephone Number Indicator &amp;elementID=13219", "Click here to submit comment")</f>
        <v>Click here to submit comment</v>
      </c>
    </row>
    <row r="895" spans="1:17" ht="225" customHeight="1" x14ac:dyDescent="0.25">
      <c r="A895" s="18" t="s">
        <v>6811</v>
      </c>
      <c r="B895" s="18" t="s">
        <v>6820</v>
      </c>
      <c r="C895" s="18" t="s">
        <v>6786</v>
      </c>
      <c r="D895" s="18" t="s">
        <v>6742</v>
      </c>
      <c r="E895" s="18" t="s">
        <v>4133</v>
      </c>
      <c r="F895" s="18" t="s">
        <v>4134</v>
      </c>
      <c r="G895" s="19" t="s">
        <v>6608</v>
      </c>
      <c r="H895" s="18" t="s">
        <v>199</v>
      </c>
      <c r="I895" s="18"/>
      <c r="J895" s="18"/>
      <c r="K895" s="18"/>
      <c r="L895" s="9" t="s">
        <v>4135</v>
      </c>
      <c r="M895" s="18" t="s">
        <v>4137</v>
      </c>
      <c r="N895" s="18"/>
      <c r="O895" s="18" t="s">
        <v>4138</v>
      </c>
      <c r="P895" s="18" t="str">
        <f>HYPERLINK("https://ceds.ed.gov/cedselementdetails.aspx?termid=13528")</f>
        <v>https://ceds.ed.gov/cedselementdetails.aspx?termid=13528</v>
      </c>
      <c r="Q895" s="18" t="str">
        <f>HYPERLINK("https://ceds.ed.gov/elementComment.aspx?elementName=Local Education Agency Type &amp;elementID=13528", "Click here to submit comment")</f>
        <v>Click here to submit comment</v>
      </c>
    </row>
    <row r="896" spans="1:17" ht="45" x14ac:dyDescent="0.25">
      <c r="A896" s="18"/>
      <c r="B896" s="18"/>
      <c r="C896" s="18"/>
      <c r="D896" s="18"/>
      <c r="E896" s="18"/>
      <c r="F896" s="18"/>
      <c r="G896" s="18"/>
      <c r="H896" s="18"/>
      <c r="I896" s="18"/>
      <c r="J896" s="18"/>
      <c r="K896" s="18"/>
      <c r="L896" s="9" t="s">
        <v>4136</v>
      </c>
      <c r="M896" s="18"/>
      <c r="N896" s="18"/>
      <c r="O896" s="18"/>
      <c r="P896" s="18"/>
      <c r="Q896" s="18"/>
    </row>
    <row r="897" spans="1:17" ht="135" x14ac:dyDescent="0.25">
      <c r="A897" s="9" t="s">
        <v>6811</v>
      </c>
      <c r="B897" s="9" t="s">
        <v>6820</v>
      </c>
      <c r="C897" s="9" t="s">
        <v>6786</v>
      </c>
      <c r="D897" s="9" t="s">
        <v>6742</v>
      </c>
      <c r="E897" s="9" t="s">
        <v>4116</v>
      </c>
      <c r="F897" s="9" t="s">
        <v>4117</v>
      </c>
      <c r="G897" s="10" t="s">
        <v>6607</v>
      </c>
      <c r="H897" s="9" t="s">
        <v>199</v>
      </c>
      <c r="I897" s="9"/>
      <c r="J897" s="9"/>
      <c r="K897" s="9"/>
      <c r="L897" s="9"/>
      <c r="M897" s="9" t="s">
        <v>4119</v>
      </c>
      <c r="N897" s="9" t="s">
        <v>4120</v>
      </c>
      <c r="O897" s="9" t="s">
        <v>4121</v>
      </c>
      <c r="P897" s="9" t="str">
        <f>HYPERLINK("https://ceds.ed.gov/cedselementdetails.aspx?termid=13174")</f>
        <v>https://ceds.ed.gov/cedselementdetails.aspx?termid=13174</v>
      </c>
      <c r="Q897" s="9" t="str">
        <f>HYPERLINK("https://ceds.ed.gov/elementComment.aspx?elementName=Local Education Agency Operational Status &amp;elementID=13174", "Click here to submit comment")</f>
        <v>Click here to submit comment</v>
      </c>
    </row>
    <row r="898" spans="1:17" ht="45" x14ac:dyDescent="0.25">
      <c r="A898" s="9" t="s">
        <v>6811</v>
      </c>
      <c r="B898" s="9" t="s">
        <v>6820</v>
      </c>
      <c r="C898" s="9" t="s">
        <v>6786</v>
      </c>
      <c r="D898" s="9" t="s">
        <v>6742</v>
      </c>
      <c r="E898" s="9" t="s">
        <v>4432</v>
      </c>
      <c r="F898" s="9" t="s">
        <v>4433</v>
      </c>
      <c r="G898" s="9" t="s">
        <v>12</v>
      </c>
      <c r="H898" s="9" t="s">
        <v>199</v>
      </c>
      <c r="I898" s="9"/>
      <c r="J898" s="9" t="s">
        <v>73</v>
      </c>
      <c r="K898" s="9"/>
      <c r="L898" s="9"/>
      <c r="M898" s="9" t="s">
        <v>4434</v>
      </c>
      <c r="N898" s="9"/>
      <c r="O898" s="9" t="s">
        <v>4435</v>
      </c>
      <c r="P898" s="9" t="str">
        <f>HYPERLINK("https://ceds.ed.gov/cedselementdetails.aspx?termid=13525")</f>
        <v>https://ceds.ed.gov/cedselementdetails.aspx?termid=13525</v>
      </c>
      <c r="Q898" s="9" t="str">
        <f>HYPERLINK("https://ceds.ed.gov/elementComment.aspx?elementName=Operational Status Effective Date &amp;elementID=13525", "Click here to submit comment")</f>
        <v>Click here to submit comment</v>
      </c>
    </row>
    <row r="899" spans="1:17" ht="45" x14ac:dyDescent="0.25">
      <c r="A899" s="9" t="s">
        <v>6811</v>
      </c>
      <c r="B899" s="9" t="s">
        <v>6820</v>
      </c>
      <c r="C899" s="9" t="s">
        <v>6786</v>
      </c>
      <c r="D899" s="9" t="s">
        <v>6742</v>
      </c>
      <c r="E899" s="9" t="s">
        <v>4122</v>
      </c>
      <c r="F899" s="9" t="s">
        <v>4123</v>
      </c>
      <c r="G899" s="9" t="s">
        <v>12</v>
      </c>
      <c r="H899" s="9" t="s">
        <v>199</v>
      </c>
      <c r="I899" s="9"/>
      <c r="J899" s="9" t="s">
        <v>4124</v>
      </c>
      <c r="K899" s="9"/>
      <c r="L899" s="9"/>
      <c r="M899" s="9" t="s">
        <v>4125</v>
      </c>
      <c r="N899" s="9" t="s">
        <v>4126</v>
      </c>
      <c r="O899" s="9" t="s">
        <v>4127</v>
      </c>
      <c r="P899" s="9" t="str">
        <f>HYPERLINK("https://ceds.ed.gov/cedselementdetails.aspx?termid=13175")</f>
        <v>https://ceds.ed.gov/cedselementdetails.aspx?termid=13175</v>
      </c>
      <c r="Q899" s="9" t="str">
        <f>HYPERLINK("https://ceds.ed.gov/elementComment.aspx?elementName=Local Education Agency Supervisory Union Identification Number &amp;elementID=13175", "Click here to submit comment")</f>
        <v>Click here to submit comment</v>
      </c>
    </row>
    <row r="900" spans="1:17" ht="135" x14ac:dyDescent="0.25">
      <c r="A900" s="9" t="s">
        <v>6811</v>
      </c>
      <c r="B900" s="9" t="s">
        <v>6820</v>
      </c>
      <c r="C900" s="9" t="s">
        <v>6786</v>
      </c>
      <c r="D900" s="9" t="s">
        <v>6742</v>
      </c>
      <c r="E900" s="9" t="s">
        <v>1687</v>
      </c>
      <c r="F900" s="9" t="s">
        <v>1688</v>
      </c>
      <c r="G900" s="9" t="s">
        <v>6106</v>
      </c>
      <c r="H900" s="9" t="s">
        <v>6109</v>
      </c>
      <c r="I900" s="9"/>
      <c r="J900" s="9"/>
      <c r="K900" s="9" t="s">
        <v>10726</v>
      </c>
      <c r="L900" s="9" t="s">
        <v>10727</v>
      </c>
      <c r="M900" s="9" t="s">
        <v>1689</v>
      </c>
      <c r="N900" s="9"/>
      <c r="O900" s="9" t="s">
        <v>1690</v>
      </c>
      <c r="P900" s="9" t="str">
        <f>HYPERLINK("https://ceds.ed.gov/cedselementdetails.aspx?termid=13039")</f>
        <v>https://ceds.ed.gov/cedselementdetails.aspx?termid=13039</v>
      </c>
      <c r="Q900" s="9" t="str">
        <f>HYPERLINK("https://ceds.ed.gov/elementComment.aspx?elementName=Charter School Indicator &amp;elementID=13039", "Click here to submit comment")</f>
        <v>Click here to submit comment</v>
      </c>
    </row>
    <row r="901" spans="1:17" ht="45" x14ac:dyDescent="0.25">
      <c r="A901" s="9" t="s">
        <v>6811</v>
      </c>
      <c r="B901" s="9" t="s">
        <v>6820</v>
      </c>
      <c r="C901" s="9" t="s">
        <v>6786</v>
      </c>
      <c r="D901" s="9" t="s">
        <v>6742</v>
      </c>
      <c r="E901" s="9" t="s">
        <v>6057</v>
      </c>
      <c r="F901" s="9" t="s">
        <v>6058</v>
      </c>
      <c r="G901" s="9" t="s">
        <v>12</v>
      </c>
      <c r="H901" s="9" t="s">
        <v>199</v>
      </c>
      <c r="I901" s="9"/>
      <c r="J901" s="9" t="s">
        <v>68</v>
      </c>
      <c r="K901" s="9"/>
      <c r="L901" s="9"/>
      <c r="M901" s="9" t="s">
        <v>6059</v>
      </c>
      <c r="N901" s="9"/>
      <c r="O901" s="9" t="s">
        <v>6060</v>
      </c>
      <c r="P901" s="9" t="str">
        <f>HYPERLINK("https://ceds.ed.gov/cedselementdetails.aspx?termid=13300")</f>
        <v>https://ceds.ed.gov/cedselementdetails.aspx?termid=13300</v>
      </c>
      <c r="Q901" s="9" t="str">
        <f>HYPERLINK("https://ceds.ed.gov/elementComment.aspx?elementName=Web Site Address &amp;elementID=13300", "Click here to submit comment")</f>
        <v>Click here to submit comment</v>
      </c>
    </row>
    <row r="902" spans="1:17" ht="105" x14ac:dyDescent="0.25">
      <c r="A902" s="18" t="s">
        <v>6811</v>
      </c>
      <c r="B902" s="18" t="s">
        <v>6820</v>
      </c>
      <c r="C902" s="18" t="s">
        <v>6786</v>
      </c>
      <c r="D902" s="18" t="s">
        <v>6742</v>
      </c>
      <c r="E902" s="18" t="s">
        <v>2727</v>
      </c>
      <c r="F902" s="18" t="s">
        <v>2728</v>
      </c>
      <c r="G902" s="18" t="s">
        <v>12</v>
      </c>
      <c r="H902" s="18"/>
      <c r="I902" s="18"/>
      <c r="J902" s="18" t="s">
        <v>119</v>
      </c>
      <c r="K902" s="18"/>
      <c r="L902" s="9" t="s">
        <v>120</v>
      </c>
      <c r="M902" s="18" t="s">
        <v>2729</v>
      </c>
      <c r="N902" s="18"/>
      <c r="O902" s="18" t="s">
        <v>2730</v>
      </c>
      <c r="P902" s="18" t="str">
        <f>HYPERLINK("https://ceds.ed.gov/cedselementdetails.aspx?termid=13495")</f>
        <v>https://ceds.ed.gov/cedselementdetails.aspx?termid=13495</v>
      </c>
      <c r="Q902" s="18" t="str">
        <f>HYPERLINK("https://ceds.ed.gov/elementComment.aspx?elementName=Facilities Identifier &amp;elementID=13495", "Click here to submit comment")</f>
        <v>Click here to submit comment</v>
      </c>
    </row>
    <row r="903" spans="1:17" x14ac:dyDescent="0.25">
      <c r="A903" s="18"/>
      <c r="B903" s="18"/>
      <c r="C903" s="18"/>
      <c r="D903" s="18"/>
      <c r="E903" s="18"/>
      <c r="F903" s="18"/>
      <c r="G903" s="18"/>
      <c r="H903" s="18"/>
      <c r="I903" s="18"/>
      <c r="J903" s="18"/>
      <c r="K903" s="18"/>
      <c r="L903" s="9"/>
      <c r="M903" s="18"/>
      <c r="N903" s="18"/>
      <c r="O903" s="18"/>
      <c r="P903" s="18"/>
      <c r="Q903" s="18"/>
    </row>
    <row r="904" spans="1:17" ht="90" x14ac:dyDescent="0.25">
      <c r="A904" s="18"/>
      <c r="B904" s="18"/>
      <c r="C904" s="18"/>
      <c r="D904" s="18"/>
      <c r="E904" s="18"/>
      <c r="F904" s="18"/>
      <c r="G904" s="18"/>
      <c r="H904" s="18"/>
      <c r="I904" s="18"/>
      <c r="J904" s="18"/>
      <c r="K904" s="18"/>
      <c r="L904" s="9" t="s">
        <v>121</v>
      </c>
      <c r="M904" s="18"/>
      <c r="N904" s="18"/>
      <c r="O904" s="18"/>
      <c r="P904" s="18"/>
      <c r="Q904" s="18"/>
    </row>
    <row r="905" spans="1:17" ht="45" x14ac:dyDescent="0.25">
      <c r="A905" s="9" t="s">
        <v>6811</v>
      </c>
      <c r="B905" s="9" t="s">
        <v>6820</v>
      </c>
      <c r="C905" s="9" t="s">
        <v>6816</v>
      </c>
      <c r="D905" s="9" t="s">
        <v>6742</v>
      </c>
      <c r="E905" s="9" t="s">
        <v>5379</v>
      </c>
      <c r="F905" s="9" t="s">
        <v>5380</v>
      </c>
      <c r="G905" s="9" t="s">
        <v>12</v>
      </c>
      <c r="H905" s="9" t="s">
        <v>1858</v>
      </c>
      <c r="I905" s="9"/>
      <c r="J905" s="9" t="s">
        <v>1813</v>
      </c>
      <c r="K905" s="9"/>
      <c r="L905" s="9" t="s">
        <v>5381</v>
      </c>
      <c r="M905" s="9" t="s">
        <v>5382</v>
      </c>
      <c r="N905" s="9"/>
      <c r="O905" s="9" t="s">
        <v>5383</v>
      </c>
      <c r="P905" s="9" t="str">
        <f>HYPERLINK("https://ceds.ed.gov/cedselementdetails.aspx?termid=13243")</f>
        <v>https://ceds.ed.gov/cedselementdetails.aspx?termid=13243</v>
      </c>
      <c r="Q905" s="9" t="str">
        <f>HYPERLINK("https://ceds.ed.gov/elementComment.aspx?elementName=School Year &amp;elementID=13243", "Click here to submit comment")</f>
        <v>Click here to submit comment</v>
      </c>
    </row>
    <row r="906" spans="1:17" ht="75" x14ac:dyDescent="0.25">
      <c r="A906" s="9" t="s">
        <v>6811</v>
      </c>
      <c r="B906" s="9" t="s">
        <v>6820</v>
      </c>
      <c r="C906" s="9" t="s">
        <v>6816</v>
      </c>
      <c r="D906" s="9" t="s">
        <v>6742</v>
      </c>
      <c r="E906" s="9" t="s">
        <v>194</v>
      </c>
      <c r="F906" s="9" t="s">
        <v>195</v>
      </c>
      <c r="G906" s="10" t="s">
        <v>6322</v>
      </c>
      <c r="H906" s="9" t="s">
        <v>199</v>
      </c>
      <c r="I906" s="9"/>
      <c r="J906" s="9"/>
      <c r="K906" s="9"/>
      <c r="L906" s="9"/>
      <c r="M906" s="9" t="s">
        <v>196</v>
      </c>
      <c r="N906" s="9" t="s">
        <v>197</v>
      </c>
      <c r="O906" s="9" t="s">
        <v>198</v>
      </c>
      <c r="P906" s="9" t="str">
        <f>HYPERLINK("https://ceds.ed.gov/cedselementdetails.aspx?termid=13011")</f>
        <v>https://ceds.ed.gov/cedselementdetails.aspx?termid=13011</v>
      </c>
      <c r="Q906" s="9" t="str">
        <f>HYPERLINK("https://ceds.ed.gov/elementComment.aspx?elementName=Adequate Yearly Progress Status &amp;elementID=13011", "Click here to submit comment")</f>
        <v>Click here to submit comment</v>
      </c>
    </row>
    <row r="907" spans="1:17" ht="45" x14ac:dyDescent="0.25">
      <c r="A907" s="9" t="s">
        <v>6811</v>
      </c>
      <c r="B907" s="9" t="s">
        <v>6820</v>
      </c>
      <c r="C907" s="9" t="s">
        <v>6816</v>
      </c>
      <c r="D907" s="9" t="s">
        <v>6742</v>
      </c>
      <c r="E907" s="9" t="s">
        <v>189</v>
      </c>
      <c r="F907" s="9" t="s">
        <v>190</v>
      </c>
      <c r="G907" s="9" t="s">
        <v>12</v>
      </c>
      <c r="H907" s="9" t="s">
        <v>188</v>
      </c>
      <c r="I907" s="9"/>
      <c r="J907" s="9" t="s">
        <v>73</v>
      </c>
      <c r="K907" s="9"/>
      <c r="L907" s="9"/>
      <c r="M907" s="9" t="s">
        <v>191</v>
      </c>
      <c r="N907" s="9" t="s">
        <v>192</v>
      </c>
      <c r="O907" s="9" t="s">
        <v>193</v>
      </c>
      <c r="P907" s="9" t="str">
        <f>HYPERLINK("https://ceds.ed.gov/cedselementdetails.aspx?termid=13434")</f>
        <v>https://ceds.ed.gov/cedselementdetails.aspx?termid=13434</v>
      </c>
      <c r="Q907" s="9" t="str">
        <f>HYPERLINK("https://ceds.ed.gov/elementComment.aspx?elementName=Adequate Yearly Progress Appeal Process Date &amp;elementID=13434", "Click here to submit comment")</f>
        <v>Click here to submit comment</v>
      </c>
    </row>
    <row r="908" spans="1:17" ht="45" x14ac:dyDescent="0.25">
      <c r="A908" s="9" t="s">
        <v>6811</v>
      </c>
      <c r="B908" s="9" t="s">
        <v>6820</v>
      </c>
      <c r="C908" s="9" t="s">
        <v>6816</v>
      </c>
      <c r="D908" s="9" t="s">
        <v>6742</v>
      </c>
      <c r="E908" s="9" t="s">
        <v>183</v>
      </c>
      <c r="F908" s="9" t="s">
        <v>184</v>
      </c>
      <c r="G908" s="9" t="s">
        <v>6106</v>
      </c>
      <c r="H908" s="9" t="s">
        <v>188</v>
      </c>
      <c r="I908" s="9"/>
      <c r="J908" s="9"/>
      <c r="K908" s="9"/>
      <c r="L908" s="9"/>
      <c r="M908" s="9" t="s">
        <v>185</v>
      </c>
      <c r="N908" s="9" t="s">
        <v>186</v>
      </c>
      <c r="O908" s="9" t="s">
        <v>187</v>
      </c>
      <c r="P908" s="9" t="str">
        <f>HYPERLINK("https://ceds.ed.gov/cedselementdetails.aspx?termid=13433")</f>
        <v>https://ceds.ed.gov/cedselementdetails.aspx?termid=13433</v>
      </c>
      <c r="Q908" s="9" t="str">
        <f>HYPERLINK("https://ceds.ed.gov/elementComment.aspx?elementName=Adequate Yearly Progress Appeal Changed Designation &amp;elementID=13433", "Click here to submit comment")</f>
        <v>Click here to submit comment</v>
      </c>
    </row>
    <row r="909" spans="1:17" ht="45" x14ac:dyDescent="0.25">
      <c r="A909" s="9" t="s">
        <v>6811</v>
      </c>
      <c r="B909" s="9" t="s">
        <v>6820</v>
      </c>
      <c r="C909" s="9" t="s">
        <v>6816</v>
      </c>
      <c r="D909" s="9" t="s">
        <v>6742</v>
      </c>
      <c r="E909" s="9" t="s">
        <v>367</v>
      </c>
      <c r="F909" s="9" t="s">
        <v>368</v>
      </c>
      <c r="G909" s="9" t="s">
        <v>6106</v>
      </c>
      <c r="H909" s="9" t="s">
        <v>188</v>
      </c>
      <c r="I909" s="9"/>
      <c r="J909" s="9"/>
      <c r="K909" s="9"/>
      <c r="L909" s="9"/>
      <c r="M909" s="9" t="s">
        <v>369</v>
      </c>
      <c r="N909" s="9" t="s">
        <v>370</v>
      </c>
      <c r="O909" s="9" t="s">
        <v>371</v>
      </c>
      <c r="P909" s="9" t="str">
        <f>HYPERLINK("https://ceds.ed.gov/cedselementdetails.aspx?termid=13432")</f>
        <v>https://ceds.ed.gov/cedselementdetails.aspx?termid=13432</v>
      </c>
      <c r="Q909" s="9" t="str">
        <f>HYPERLINK("https://ceds.ed.gov/elementComment.aspx?elementName=Appealed Adequate Yearly Progress Designation &amp;elementID=13432", "Click here to submit comment")</f>
        <v>Click here to submit comment</v>
      </c>
    </row>
    <row r="910" spans="1:17" ht="60" x14ac:dyDescent="0.25">
      <c r="A910" s="9" t="s">
        <v>6811</v>
      </c>
      <c r="B910" s="9" t="s">
        <v>6820</v>
      </c>
      <c r="C910" s="9" t="s">
        <v>6816</v>
      </c>
      <c r="D910" s="9" t="s">
        <v>6742</v>
      </c>
      <c r="E910" s="9" t="s">
        <v>314</v>
      </c>
      <c r="F910" s="9" t="s">
        <v>315</v>
      </c>
      <c r="G910" s="9" t="s">
        <v>6106</v>
      </c>
      <c r="H910" s="9" t="s">
        <v>199</v>
      </c>
      <c r="I910" s="9"/>
      <c r="J910" s="9"/>
      <c r="K910" s="9"/>
      <c r="L910" s="9"/>
      <c r="M910" s="9" t="s">
        <v>316</v>
      </c>
      <c r="N910" s="9" t="s">
        <v>317</v>
      </c>
      <c r="O910" s="9" t="s">
        <v>318</v>
      </c>
      <c r="P910" s="9" t="str">
        <f>HYPERLINK("https://ceds.ed.gov/cedselementdetails.aspx?termid=13014")</f>
        <v>https://ceds.ed.gov/cedselementdetails.aspx?termid=13014</v>
      </c>
      <c r="Q910" s="9" t="str">
        <f>HYPERLINK("https://ceds.ed.gov/elementComment.aspx?elementName=Alternate Adequate Yearly Progress Approach Indicator &amp;elementID=13014", "Click here to submit comment")</f>
        <v>Click here to submit comment</v>
      </c>
    </row>
    <row r="911" spans="1:17" ht="90" x14ac:dyDescent="0.25">
      <c r="A911" s="9" t="s">
        <v>6811</v>
      </c>
      <c r="B911" s="9" t="s">
        <v>6820</v>
      </c>
      <c r="C911" s="9" t="s">
        <v>6816</v>
      </c>
      <c r="D911" s="9" t="s">
        <v>6742</v>
      </c>
      <c r="E911" s="9" t="s">
        <v>347</v>
      </c>
      <c r="F911" s="9" t="s">
        <v>348</v>
      </c>
      <c r="G911" s="10" t="s">
        <v>6343</v>
      </c>
      <c r="H911" s="9" t="s">
        <v>199</v>
      </c>
      <c r="I911" s="9"/>
      <c r="J911" s="9"/>
      <c r="K911" s="9"/>
      <c r="L911" s="9"/>
      <c r="M911" s="9" t="s">
        <v>349</v>
      </c>
      <c r="N911" s="9" t="s">
        <v>350</v>
      </c>
      <c r="O911" s="9" t="s">
        <v>351</v>
      </c>
      <c r="P911" s="9" t="str">
        <f>HYPERLINK("https://ceds.ed.gov/cedselementdetails.aspx?termid=13572")</f>
        <v>https://ceds.ed.gov/cedselementdetails.aspx?termid=13572</v>
      </c>
      <c r="Q911" s="9" t="str">
        <f>HYPERLINK("https://ceds.ed.gov/elementComment.aspx?elementName=Annual Measurable Achievement Objective AYP Progress Attainment Status for LEP Students &amp;elementID=13572", "Click here to submit comment")</f>
        <v>Click here to submit comment</v>
      </c>
    </row>
    <row r="912" spans="1:17" ht="105" x14ac:dyDescent="0.25">
      <c r="A912" s="9" t="s">
        <v>6811</v>
      </c>
      <c r="B912" s="9" t="s">
        <v>6820</v>
      </c>
      <c r="C912" s="9" t="s">
        <v>6816</v>
      </c>
      <c r="D912" s="9" t="s">
        <v>6742</v>
      </c>
      <c r="E912" s="9" t="s">
        <v>352</v>
      </c>
      <c r="F912" s="9" t="s">
        <v>353</v>
      </c>
      <c r="G912" s="10" t="s">
        <v>6343</v>
      </c>
      <c r="H912" s="9" t="s">
        <v>199</v>
      </c>
      <c r="I912" s="9"/>
      <c r="J912" s="9"/>
      <c r="K912" s="9"/>
      <c r="L912" s="9"/>
      <c r="M912" s="9" t="s">
        <v>354</v>
      </c>
      <c r="N912" s="9" t="s">
        <v>355</v>
      </c>
      <c r="O912" s="9" t="s">
        <v>356</v>
      </c>
      <c r="P912" s="9" t="str">
        <f>HYPERLINK("https://ceds.ed.gov/cedselementdetails.aspx?termid=13535")</f>
        <v>https://ceds.ed.gov/cedselementdetails.aspx?termid=13535</v>
      </c>
      <c r="Q912" s="9" t="str">
        <f>HYPERLINK("https://ceds.ed.gov/elementComment.aspx?elementName=Annual Measurable Achievement Objective Proficiency Attainment Status for LEP Students &amp;elementID=13535", "Click here to submit comment")</f>
        <v>Click here to submit comment</v>
      </c>
    </row>
    <row r="913" spans="1:17" ht="105" x14ac:dyDescent="0.25">
      <c r="A913" s="9" t="s">
        <v>6811</v>
      </c>
      <c r="B913" s="9" t="s">
        <v>6820</v>
      </c>
      <c r="C913" s="9" t="s">
        <v>6816</v>
      </c>
      <c r="D913" s="9" t="s">
        <v>6742</v>
      </c>
      <c r="E913" s="9" t="s">
        <v>357</v>
      </c>
      <c r="F913" s="9" t="s">
        <v>358</v>
      </c>
      <c r="G913" s="10" t="s">
        <v>6343</v>
      </c>
      <c r="H913" s="9" t="s">
        <v>199</v>
      </c>
      <c r="I913" s="9"/>
      <c r="J913" s="9"/>
      <c r="K913" s="9"/>
      <c r="L913" s="9"/>
      <c r="M913" s="9" t="s">
        <v>359</v>
      </c>
      <c r="N913" s="9" t="s">
        <v>360</v>
      </c>
      <c r="O913" s="9" t="s">
        <v>361</v>
      </c>
      <c r="P913" s="9" t="str">
        <f>HYPERLINK("https://ceds.ed.gov/cedselementdetails.aspx?termid=13545")</f>
        <v>https://ceds.ed.gov/cedselementdetails.aspx?termid=13545</v>
      </c>
      <c r="Q913" s="9" t="str">
        <f>HYPERLINK("https://ceds.ed.gov/elementComment.aspx?elementName=Annual Measurable Achievement Objective Progress Attainment Status for LEP Students &amp;elementID=13545", "Click here to submit comment")</f>
        <v>Click here to submit comment</v>
      </c>
    </row>
    <row r="914" spans="1:17" ht="195" x14ac:dyDescent="0.25">
      <c r="A914" s="9" t="s">
        <v>6811</v>
      </c>
      <c r="B914" s="9" t="s">
        <v>6820</v>
      </c>
      <c r="C914" s="9" t="s">
        <v>6816</v>
      </c>
      <c r="D914" s="9" t="s">
        <v>6742</v>
      </c>
      <c r="E914" s="9" t="s">
        <v>4888</v>
      </c>
      <c r="F914" s="9" t="s">
        <v>4889</v>
      </c>
      <c r="G914" s="10" t="s">
        <v>6662</v>
      </c>
      <c r="H914" s="9" t="s">
        <v>199</v>
      </c>
      <c r="I914" s="9"/>
      <c r="J914" s="9"/>
      <c r="K914" s="9"/>
      <c r="L914" s="9"/>
      <c r="M914" s="9" t="s">
        <v>4890</v>
      </c>
      <c r="N914" s="9"/>
      <c r="O914" s="9" t="s">
        <v>4891</v>
      </c>
      <c r="P914" s="9" t="str">
        <f>HYPERLINK("https://ceds.ed.gov/cedselementdetails.aspx?termid=13221")</f>
        <v>https://ceds.ed.gov/cedselementdetails.aspx?termid=13221</v>
      </c>
      <c r="Q914" s="9" t="str">
        <f>HYPERLINK("https://ceds.ed.gov/elementComment.aspx?elementName=Proficiency Target Status for Math &amp;elementID=13221", "Click here to submit comment")</f>
        <v>Click here to submit comment</v>
      </c>
    </row>
    <row r="915" spans="1:17" ht="195" x14ac:dyDescent="0.25">
      <c r="A915" s="9" t="s">
        <v>6811</v>
      </c>
      <c r="B915" s="9" t="s">
        <v>6820</v>
      </c>
      <c r="C915" s="9" t="s">
        <v>6816</v>
      </c>
      <c r="D915" s="9" t="s">
        <v>6742</v>
      </c>
      <c r="E915" s="9" t="s">
        <v>4892</v>
      </c>
      <c r="F915" s="9" t="s">
        <v>4893</v>
      </c>
      <c r="G915" s="10" t="s">
        <v>6662</v>
      </c>
      <c r="H915" s="9" t="s">
        <v>199</v>
      </c>
      <c r="I915" s="9"/>
      <c r="J915" s="9"/>
      <c r="K915" s="9"/>
      <c r="L915" s="9"/>
      <c r="M915" s="9" t="s">
        <v>4894</v>
      </c>
      <c r="N915" s="9"/>
      <c r="O915" s="9" t="s">
        <v>4895</v>
      </c>
      <c r="P915" s="9" t="str">
        <f>HYPERLINK("https://ceds.ed.gov/cedselementdetails.aspx?termid=13544")</f>
        <v>https://ceds.ed.gov/cedselementdetails.aspx?termid=13544</v>
      </c>
      <c r="Q915" s="9" t="str">
        <f>HYPERLINK("https://ceds.ed.gov/elementComment.aspx?elementName=Proficiency Target Status for Reading and Language Arts &amp;elementID=13544", "Click here to submit comment")</f>
        <v>Click here to submit comment</v>
      </c>
    </row>
    <row r="916" spans="1:17" ht="120" x14ac:dyDescent="0.25">
      <c r="A916" s="9" t="s">
        <v>6811</v>
      </c>
      <c r="B916" s="9" t="s">
        <v>6820</v>
      </c>
      <c r="C916" s="9" t="s">
        <v>6816</v>
      </c>
      <c r="D916" s="9" t="s">
        <v>6742</v>
      </c>
      <c r="E916" s="9" t="s">
        <v>4533</v>
      </c>
      <c r="F916" s="9" t="s">
        <v>4534</v>
      </c>
      <c r="G916" s="10" t="s">
        <v>6634</v>
      </c>
      <c r="H916" s="9" t="s">
        <v>199</v>
      </c>
      <c r="I916" s="9"/>
      <c r="J916" s="9"/>
      <c r="K916" s="9"/>
      <c r="L916" s="9"/>
      <c r="M916" s="9" t="s">
        <v>4535</v>
      </c>
      <c r="N916" s="9"/>
      <c r="O916" s="9" t="s">
        <v>4536</v>
      </c>
      <c r="P916" s="9" t="str">
        <f>HYPERLINK("https://ceds.ed.gov/cedselementdetails.aspx?termid=13208")</f>
        <v>https://ceds.ed.gov/cedselementdetails.aspx?termid=13208</v>
      </c>
      <c r="Q916" s="9" t="str">
        <f>HYPERLINK("https://ceds.ed.gov/elementComment.aspx?elementName=Participation Status for Math &amp;elementID=13208", "Click here to submit comment")</f>
        <v>Click here to submit comment</v>
      </c>
    </row>
    <row r="917" spans="1:17" ht="120" x14ac:dyDescent="0.25">
      <c r="A917" s="9" t="s">
        <v>6811</v>
      </c>
      <c r="B917" s="9" t="s">
        <v>6820</v>
      </c>
      <c r="C917" s="9" t="s">
        <v>6816</v>
      </c>
      <c r="D917" s="9" t="s">
        <v>6742</v>
      </c>
      <c r="E917" s="9" t="s">
        <v>4537</v>
      </c>
      <c r="F917" s="9" t="s">
        <v>4538</v>
      </c>
      <c r="G917" s="10" t="s">
        <v>6634</v>
      </c>
      <c r="H917" s="9" t="s">
        <v>199</v>
      </c>
      <c r="I917" s="9"/>
      <c r="J917" s="9"/>
      <c r="K917" s="9"/>
      <c r="L917" s="9"/>
      <c r="M917" s="9" t="s">
        <v>4539</v>
      </c>
      <c r="N917" s="9"/>
      <c r="O917" s="9" t="s">
        <v>4540</v>
      </c>
      <c r="P917" s="9" t="str">
        <f>HYPERLINK("https://ceds.ed.gov/cedselementdetails.aspx?termid=13209")</f>
        <v>https://ceds.ed.gov/cedselementdetails.aspx?termid=13209</v>
      </c>
      <c r="Q917" s="9" t="str">
        <f>HYPERLINK("https://ceds.ed.gov/elementComment.aspx?elementName=Participation Status for Reading and Language Arts &amp;elementID=13209", "Click here to submit comment")</f>
        <v>Click here to submit comment</v>
      </c>
    </row>
    <row r="918" spans="1:17" ht="45" x14ac:dyDescent="0.25">
      <c r="A918" s="9" t="s">
        <v>6811</v>
      </c>
      <c r="B918" s="9" t="s">
        <v>6820</v>
      </c>
      <c r="C918" s="9" t="s">
        <v>6816</v>
      </c>
      <c r="D918" s="9" t="s">
        <v>6742</v>
      </c>
      <c r="E918" s="9" t="s">
        <v>53</v>
      </c>
      <c r="F918" s="9" t="s">
        <v>54</v>
      </c>
      <c r="G918" s="9" t="s">
        <v>12</v>
      </c>
      <c r="H918" s="9"/>
      <c r="I918" s="9"/>
      <c r="J918" s="9" t="s">
        <v>22</v>
      </c>
      <c r="K918" s="9"/>
      <c r="L918" s="9"/>
      <c r="M918" s="9" t="s">
        <v>56</v>
      </c>
      <c r="N918" s="9"/>
      <c r="O918" s="9" t="s">
        <v>57</v>
      </c>
      <c r="P918" s="9" t="str">
        <f>HYPERLINK("https://ceds.ed.gov/cedselementdetails.aspx?termid=13005")</f>
        <v>https://ceds.ed.gov/cedselementdetails.aspx?termid=13005</v>
      </c>
      <c r="Q918" s="9" t="str">
        <f>HYPERLINK("https://ceds.ed.gov/elementComment.aspx?elementName=Accountability Report Title &amp;elementID=13005", "Click here to submit comment")</f>
        <v>Click here to submit comment</v>
      </c>
    </row>
    <row r="919" spans="1:17" ht="105" x14ac:dyDescent="0.25">
      <c r="A919" s="9" t="s">
        <v>6811</v>
      </c>
      <c r="B919" s="9" t="s">
        <v>6820</v>
      </c>
      <c r="C919" s="9" t="s">
        <v>6816</v>
      </c>
      <c r="D919" s="9" t="s">
        <v>6742</v>
      </c>
      <c r="E919" s="9" t="s">
        <v>2594</v>
      </c>
      <c r="F919" s="9" t="s">
        <v>2595</v>
      </c>
      <c r="G919" s="10" t="s">
        <v>6485</v>
      </c>
      <c r="H919" s="9" t="s">
        <v>199</v>
      </c>
      <c r="I919" s="9"/>
      <c r="J919" s="9"/>
      <c r="K919" s="9"/>
      <c r="L919" s="9"/>
      <c r="M919" s="9" t="s">
        <v>2596</v>
      </c>
      <c r="N919" s="9"/>
      <c r="O919" s="9" t="s">
        <v>2597</v>
      </c>
      <c r="P919" s="9" t="str">
        <f>HYPERLINK("https://ceds.ed.gov/cedselementdetails.aspx?termid=13091")</f>
        <v>https://ceds.ed.gov/cedselementdetails.aspx?termid=13091</v>
      </c>
      <c r="Q919" s="9" t="str">
        <f>HYPERLINK("https://ceds.ed.gov/elementComment.aspx?elementName=Elementary-Middle Additional Indicator Status &amp;elementID=13091", "Click here to submit comment")</f>
        <v>Click here to submit comment</v>
      </c>
    </row>
    <row r="920" spans="1:17" ht="120" x14ac:dyDescent="0.25">
      <c r="A920" s="9" t="s">
        <v>6811</v>
      </c>
      <c r="B920" s="9" t="s">
        <v>6820</v>
      </c>
      <c r="C920" s="9" t="s">
        <v>6816</v>
      </c>
      <c r="D920" s="9" t="s">
        <v>6742</v>
      </c>
      <c r="E920" s="9" t="s">
        <v>3077</v>
      </c>
      <c r="F920" s="9" t="s">
        <v>3078</v>
      </c>
      <c r="G920" s="10" t="s">
        <v>6529</v>
      </c>
      <c r="H920" s="9" t="s">
        <v>199</v>
      </c>
      <c r="I920" s="9"/>
      <c r="J920" s="9"/>
      <c r="K920" s="9"/>
      <c r="L920" s="9"/>
      <c r="M920" s="9" t="s">
        <v>3079</v>
      </c>
      <c r="N920" s="9"/>
      <c r="O920" s="9" t="s">
        <v>3080</v>
      </c>
      <c r="P920" s="9" t="str">
        <f>HYPERLINK("https://ceds.ed.gov/cedselementdetails.aspx?termid=13134")</f>
        <v>https://ceds.ed.gov/cedselementdetails.aspx?termid=13134</v>
      </c>
      <c r="Q920" s="9" t="str">
        <f>HYPERLINK("https://ceds.ed.gov/elementComment.aspx?elementName=Gun Free Schools Act Reporting Status &amp;elementID=13134", "Click here to submit comment")</f>
        <v>Click here to submit comment</v>
      </c>
    </row>
    <row r="921" spans="1:17" ht="120" x14ac:dyDescent="0.25">
      <c r="A921" s="9" t="s">
        <v>6811</v>
      </c>
      <c r="B921" s="9" t="s">
        <v>6820</v>
      </c>
      <c r="C921" s="9" t="s">
        <v>6816</v>
      </c>
      <c r="D921" s="9" t="s">
        <v>6742</v>
      </c>
      <c r="E921" s="9" t="s">
        <v>3113</v>
      </c>
      <c r="F921" s="9" t="s">
        <v>3114</v>
      </c>
      <c r="G921" s="10" t="s">
        <v>6533</v>
      </c>
      <c r="H921" s="9" t="s">
        <v>199</v>
      </c>
      <c r="I921" s="9"/>
      <c r="J921" s="9"/>
      <c r="K921" s="9"/>
      <c r="L921" s="9"/>
      <c r="M921" s="9" t="s">
        <v>3115</v>
      </c>
      <c r="N921" s="9"/>
      <c r="O921" s="9" t="s">
        <v>3116</v>
      </c>
      <c r="P921" s="9" t="str">
        <f>HYPERLINK("https://ceds.ed.gov/cedselementdetails.aspx?termid=13140")</f>
        <v>https://ceds.ed.gov/cedselementdetails.aspx?termid=13140</v>
      </c>
      <c r="Q921" s="9" t="str">
        <f>HYPERLINK("https://ceds.ed.gov/elementComment.aspx?elementName=High School Graduation Rate Indicator Status &amp;elementID=13140", "Click here to submit comment")</f>
        <v>Click here to submit comment</v>
      </c>
    </row>
    <row r="922" spans="1:17" ht="90" x14ac:dyDescent="0.25">
      <c r="A922" s="9" t="s">
        <v>6811</v>
      </c>
      <c r="B922" s="9" t="s">
        <v>6820</v>
      </c>
      <c r="C922" s="9" t="s">
        <v>6816</v>
      </c>
      <c r="D922" s="9" t="s">
        <v>6742</v>
      </c>
      <c r="E922" s="9" t="s">
        <v>4111</v>
      </c>
      <c r="F922" s="9" t="s">
        <v>4112</v>
      </c>
      <c r="G922" s="10" t="s">
        <v>6606</v>
      </c>
      <c r="H922" s="9" t="s">
        <v>199</v>
      </c>
      <c r="I922" s="9"/>
      <c r="J922" s="9"/>
      <c r="K922" s="9"/>
      <c r="L922" s="9"/>
      <c r="M922" s="9" t="s">
        <v>4113</v>
      </c>
      <c r="N922" s="9" t="s">
        <v>4114</v>
      </c>
      <c r="O922" s="9" t="s">
        <v>4115</v>
      </c>
      <c r="P922" s="9" t="str">
        <f>HYPERLINK("https://ceds.ed.gov/cedselementdetails.aspx?termid=13173")</f>
        <v>https://ceds.ed.gov/cedselementdetails.aspx?termid=13173</v>
      </c>
      <c r="Q922" s="9" t="str">
        <f>HYPERLINK("https://ceds.ed.gov/elementComment.aspx?elementName=Local Education Agency Improvement Status &amp;elementID=13173", "Click here to submit comment")</f>
        <v>Click here to submit comment</v>
      </c>
    </row>
    <row r="923" spans="1:17" ht="165" x14ac:dyDescent="0.25">
      <c r="A923" s="9" t="s">
        <v>6811</v>
      </c>
      <c r="B923" s="9" t="s">
        <v>6820</v>
      </c>
      <c r="C923" s="9" t="s">
        <v>6816</v>
      </c>
      <c r="D923" s="9" t="s">
        <v>6742</v>
      </c>
      <c r="E923" s="9" t="s">
        <v>5002</v>
      </c>
      <c r="F923" s="9" t="s">
        <v>5003</v>
      </c>
      <c r="G923" s="10" t="s">
        <v>6669</v>
      </c>
      <c r="H923" s="9" t="s">
        <v>199</v>
      </c>
      <c r="I923" s="9"/>
      <c r="J923" s="9"/>
      <c r="K923" s="9"/>
      <c r="L923" s="9"/>
      <c r="M923" s="9" t="s">
        <v>5004</v>
      </c>
      <c r="N923" s="9"/>
      <c r="O923" s="9" t="s">
        <v>5005</v>
      </c>
      <c r="P923" s="9" t="str">
        <f>HYPERLINK("https://ceds.ed.gov/cedselementdetails.aspx?termid=13227")</f>
        <v>https://ceds.ed.gov/cedselementdetails.aspx?termid=13227</v>
      </c>
      <c r="Q923" s="9" t="str">
        <f>HYPERLINK("https://ceds.ed.gov/elementComment.aspx?elementName=Public School Choice Implementation Status &amp;elementID=13227", "Click here to submit comment")</f>
        <v>Click here to submit comment</v>
      </c>
    </row>
    <row r="924" spans="1:17" ht="150" x14ac:dyDescent="0.25">
      <c r="A924" s="9" t="s">
        <v>6811</v>
      </c>
      <c r="B924" s="9" t="s">
        <v>6820</v>
      </c>
      <c r="C924" s="9" t="s">
        <v>6816</v>
      </c>
      <c r="D924" s="9" t="s">
        <v>6742</v>
      </c>
      <c r="E924" s="9" t="s">
        <v>5940</v>
      </c>
      <c r="F924" s="9" t="s">
        <v>5941</v>
      </c>
      <c r="G924" s="10" t="s">
        <v>6726</v>
      </c>
      <c r="H924" s="9" t="s">
        <v>188</v>
      </c>
      <c r="I924" s="9"/>
      <c r="J924" s="9"/>
      <c r="K924" s="9"/>
      <c r="L924" s="9"/>
      <c r="M924" s="9" t="s">
        <v>5942</v>
      </c>
      <c r="N924" s="9"/>
      <c r="O924" s="9" t="s">
        <v>5943</v>
      </c>
      <c r="P924" s="9" t="str">
        <f>HYPERLINK("https://ceds.ed.gov/cedselementdetails.aspx?termid=13478")</f>
        <v>https://ceds.ed.gov/cedselementdetails.aspx?termid=13478</v>
      </c>
      <c r="Q924" s="9" t="str">
        <f>HYPERLINK("https://ceds.ed.gov/elementComment.aspx?elementName=Title III Professional Development Type &amp;elementID=13478", "Click here to submit comment")</f>
        <v>Click here to submit comment</v>
      </c>
    </row>
    <row r="925" spans="1:17" ht="45" x14ac:dyDescent="0.25">
      <c r="A925" s="9" t="s">
        <v>6811</v>
      </c>
      <c r="B925" s="9" t="s">
        <v>6820</v>
      </c>
      <c r="C925" s="9" t="s">
        <v>6762</v>
      </c>
      <c r="D925" s="9" t="s">
        <v>6742</v>
      </c>
      <c r="E925" s="9" t="s">
        <v>2952</v>
      </c>
      <c r="F925" s="9" t="s">
        <v>2953</v>
      </c>
      <c r="G925" s="9" t="s">
        <v>12</v>
      </c>
      <c r="H925" s="9"/>
      <c r="I925" s="9"/>
      <c r="J925" s="9" t="s">
        <v>1813</v>
      </c>
      <c r="K925" s="9"/>
      <c r="L925" s="9"/>
      <c r="M925" s="9" t="s">
        <v>2954</v>
      </c>
      <c r="N925" s="9"/>
      <c r="O925" s="9" t="s">
        <v>2955</v>
      </c>
      <c r="P925" s="9" t="str">
        <f>HYPERLINK("https://ceds.ed.gov/cedselementdetails.aspx?termid=14620")</f>
        <v>https://ceds.ed.gov/cedselementdetails.aspx?termid=14620</v>
      </c>
      <c r="Q925" s="9" t="str">
        <f>HYPERLINK("https://ceds.ed.gov/elementComment.aspx?elementName=Fiscal Year &amp;elementID=14620", "Click here to submit comment")</f>
        <v>Click here to submit comment</v>
      </c>
    </row>
    <row r="926" spans="1:17" ht="45" x14ac:dyDescent="0.25">
      <c r="A926" s="9" t="s">
        <v>6811</v>
      </c>
      <c r="B926" s="9" t="s">
        <v>6820</v>
      </c>
      <c r="C926" s="9" t="s">
        <v>6762</v>
      </c>
      <c r="D926" s="9" t="s">
        <v>6742</v>
      </c>
      <c r="E926" s="9" t="s">
        <v>2944</v>
      </c>
      <c r="F926" s="9" t="s">
        <v>2945</v>
      </c>
      <c r="G926" s="9" t="s">
        <v>12</v>
      </c>
      <c r="H926" s="9"/>
      <c r="I926" s="9"/>
      <c r="J926" s="9" t="s">
        <v>73</v>
      </c>
      <c r="K926" s="9"/>
      <c r="L926" s="9"/>
      <c r="M926" s="9" t="s">
        <v>2946</v>
      </c>
      <c r="N926" s="9"/>
      <c r="O926" s="9" t="s">
        <v>2947</v>
      </c>
      <c r="P926" s="9" t="str">
        <f>HYPERLINK("https://ceds.ed.gov/cedselementdetails.aspx?termid=14623")</f>
        <v>https://ceds.ed.gov/cedselementdetails.aspx?termid=14623</v>
      </c>
      <c r="Q926" s="9" t="str">
        <f>HYPERLINK("https://ceds.ed.gov/elementComment.aspx?elementName=Fiscal Period Begin Date &amp;elementID=14623", "Click here to submit comment")</f>
        <v>Click here to submit comment</v>
      </c>
    </row>
    <row r="927" spans="1:17" ht="45" x14ac:dyDescent="0.25">
      <c r="A927" s="9" t="s">
        <v>6811</v>
      </c>
      <c r="B927" s="9" t="s">
        <v>6820</v>
      </c>
      <c r="C927" s="9" t="s">
        <v>6762</v>
      </c>
      <c r="D927" s="9" t="s">
        <v>6742</v>
      </c>
      <c r="E927" s="9" t="s">
        <v>2948</v>
      </c>
      <c r="F927" s="9" t="s">
        <v>2949</v>
      </c>
      <c r="G927" s="9" t="s">
        <v>12</v>
      </c>
      <c r="H927" s="9"/>
      <c r="I927" s="9"/>
      <c r="J927" s="9" t="s">
        <v>73</v>
      </c>
      <c r="K927" s="9"/>
      <c r="L927" s="9"/>
      <c r="M927" s="9" t="s">
        <v>2950</v>
      </c>
      <c r="N927" s="9"/>
      <c r="O927" s="9" t="s">
        <v>2951</v>
      </c>
      <c r="P927" s="9" t="str">
        <f>HYPERLINK("https://ceds.ed.gov/cedselementdetails.aspx?termid=14624")</f>
        <v>https://ceds.ed.gov/cedselementdetails.aspx?termid=14624</v>
      </c>
      <c r="Q927" s="9" t="str">
        <f>HYPERLINK("https://ceds.ed.gov/elementComment.aspx?elementName=Fiscal Period End Date &amp;elementID=14624", "Click here to submit comment")</f>
        <v>Click here to submit comment</v>
      </c>
    </row>
    <row r="928" spans="1:17" ht="105" x14ac:dyDescent="0.25">
      <c r="A928" s="9" t="s">
        <v>6811</v>
      </c>
      <c r="B928" s="9" t="s">
        <v>6820</v>
      </c>
      <c r="C928" s="9" t="s">
        <v>6762</v>
      </c>
      <c r="D928" s="9" t="s">
        <v>6742</v>
      </c>
      <c r="E928" s="9" t="s">
        <v>2810</v>
      </c>
      <c r="F928" s="9" t="s">
        <v>2811</v>
      </c>
      <c r="G928" s="9" t="s">
        <v>12</v>
      </c>
      <c r="H928" s="9"/>
      <c r="I928" s="9"/>
      <c r="J928" s="9" t="s">
        <v>87</v>
      </c>
      <c r="K928" s="9"/>
      <c r="L928" s="9"/>
      <c r="M928" s="9" t="s">
        <v>2812</v>
      </c>
      <c r="N928" s="9"/>
      <c r="O928" s="9" t="s">
        <v>2813</v>
      </c>
      <c r="P928" s="9" t="str">
        <f>HYPERLINK("https://ceds.ed.gov/cedselementdetails.aspx?termid=14530")</f>
        <v>https://ceds.ed.gov/cedselementdetails.aspx?termid=14530</v>
      </c>
      <c r="Q928" s="9" t="str">
        <f>HYPERLINK("https://ceds.ed.gov/elementComment.aspx?elementName=Financial Account Number &amp;elementID=14530", "Click here to submit comment")</f>
        <v>Click here to submit comment</v>
      </c>
    </row>
    <row r="929" spans="1:17" ht="45" x14ac:dyDescent="0.25">
      <c r="A929" s="9" t="s">
        <v>6811</v>
      </c>
      <c r="B929" s="9" t="s">
        <v>6820</v>
      </c>
      <c r="C929" s="9" t="s">
        <v>6762</v>
      </c>
      <c r="D929" s="9" t="s">
        <v>6742</v>
      </c>
      <c r="E929" s="9" t="s">
        <v>2806</v>
      </c>
      <c r="F929" s="9" t="s">
        <v>2807</v>
      </c>
      <c r="G929" s="9" t="s">
        <v>12</v>
      </c>
      <c r="H929" s="9"/>
      <c r="I929" s="9"/>
      <c r="J929" s="9" t="s">
        <v>762</v>
      </c>
      <c r="K929" s="9"/>
      <c r="L929" s="9"/>
      <c r="M929" s="9" t="s">
        <v>2808</v>
      </c>
      <c r="N929" s="9"/>
      <c r="O929" s="9" t="s">
        <v>2809</v>
      </c>
      <c r="P929" s="9" t="str">
        <f>HYPERLINK("https://ceds.ed.gov/cedselementdetails.aspx?termid=14315")</f>
        <v>https://ceds.ed.gov/cedselementdetails.aspx?termid=14315</v>
      </c>
      <c r="Q929" s="9" t="str">
        <f>HYPERLINK("https://ceds.ed.gov/elementComment.aspx?elementName=Financial Account Name &amp;elementID=14315", "Click here to submit comment")</f>
        <v>Click here to submit comment</v>
      </c>
    </row>
    <row r="930" spans="1:17" ht="45" x14ac:dyDescent="0.25">
      <c r="A930" s="9" t="s">
        <v>6811</v>
      </c>
      <c r="B930" s="9" t="s">
        <v>6820</v>
      </c>
      <c r="C930" s="9" t="s">
        <v>6762</v>
      </c>
      <c r="D930" s="9" t="s">
        <v>6742</v>
      </c>
      <c r="E930" s="9" t="s">
        <v>2800</v>
      </c>
      <c r="F930" s="9" t="s">
        <v>2801</v>
      </c>
      <c r="G930" s="9" t="s">
        <v>12</v>
      </c>
      <c r="H930" s="9"/>
      <c r="I930" s="9"/>
      <c r="J930" s="9" t="s">
        <v>68</v>
      </c>
      <c r="K930" s="9"/>
      <c r="L930" s="9"/>
      <c r="M930" s="9" t="s">
        <v>2802</v>
      </c>
      <c r="N930" s="9"/>
      <c r="O930" s="9" t="s">
        <v>2803</v>
      </c>
      <c r="P930" s="9" t="str">
        <f>HYPERLINK("https://ceds.ed.gov/cedselementdetails.aspx?termid=14313")</f>
        <v>https://ceds.ed.gov/cedselementdetails.aspx?termid=14313</v>
      </c>
      <c r="Q930" s="9" t="str">
        <f>HYPERLINK("https://ceds.ed.gov/elementComment.aspx?elementName=Financial Account Description &amp;elementID=14313", "Click here to submit comment")</f>
        <v>Click here to submit comment</v>
      </c>
    </row>
    <row r="931" spans="1:17" ht="105" x14ac:dyDescent="0.25">
      <c r="A931" s="9" t="s">
        <v>6811</v>
      </c>
      <c r="B931" s="9" t="s">
        <v>6820</v>
      </c>
      <c r="C931" s="9" t="s">
        <v>6762</v>
      </c>
      <c r="D931" s="9" t="s">
        <v>6742</v>
      </c>
      <c r="E931" s="9" t="s">
        <v>2796</v>
      </c>
      <c r="F931" s="9" t="s">
        <v>2797</v>
      </c>
      <c r="G931" s="10" t="s">
        <v>6505</v>
      </c>
      <c r="H931" s="9"/>
      <c r="I931" s="9"/>
      <c r="J931" s="9"/>
      <c r="K931" s="9"/>
      <c r="L931" s="9"/>
      <c r="M931" s="9" t="s">
        <v>2798</v>
      </c>
      <c r="N931" s="9"/>
      <c r="O931" s="9" t="s">
        <v>2799</v>
      </c>
      <c r="P931" s="9" t="str">
        <f>HYPERLINK("https://ceds.ed.gov/cedselementdetails.aspx?termid=14312")</f>
        <v>https://ceds.ed.gov/cedselementdetails.aspx?termid=14312</v>
      </c>
      <c r="Q931" s="9" t="str">
        <f>HYPERLINK("https://ceds.ed.gov/elementComment.aspx?elementName=Financial Account Category &amp;elementID=14312", "Click here to submit comment")</f>
        <v>Click here to submit comment</v>
      </c>
    </row>
    <row r="932" spans="1:17" ht="15" customHeight="1" x14ac:dyDescent="0.25">
      <c r="A932" s="18" t="s">
        <v>6811</v>
      </c>
      <c r="B932" s="18" t="s">
        <v>6820</v>
      </c>
      <c r="C932" s="18" t="s">
        <v>6762</v>
      </c>
      <c r="D932" s="18" t="s">
        <v>6742</v>
      </c>
      <c r="E932" s="18" t="s">
        <v>11338</v>
      </c>
      <c r="F932" s="18" t="s">
        <v>2824</v>
      </c>
      <c r="G932" s="19" t="s">
        <v>6508</v>
      </c>
      <c r="H932" s="18"/>
      <c r="I932" s="18"/>
      <c r="J932" s="18"/>
      <c r="K932" s="18"/>
      <c r="L932" s="11" t="s">
        <v>2794</v>
      </c>
      <c r="M932" s="18" t="s">
        <v>2826</v>
      </c>
      <c r="N932" s="18"/>
      <c r="O932" s="18" t="s">
        <v>11339</v>
      </c>
      <c r="P932" s="18" t="str">
        <f>HYPERLINK("https://ceds.ed.gov/cedselementdetails.aspx?termid=14440")</f>
        <v>https://ceds.ed.gov/cedselementdetails.aspx?termid=14440</v>
      </c>
      <c r="Q932" s="18" t="str">
        <f>HYPERLINK("https://ceds.ed.gov/elementComment.aspx?elementName=Financial Account K12 Revenue Code &amp;elementID=14440", "Click here to submit comment")</f>
        <v>Click here to submit comment</v>
      </c>
    </row>
    <row r="933" spans="1:17" x14ac:dyDescent="0.25">
      <c r="A933" s="18"/>
      <c r="B933" s="18"/>
      <c r="C933" s="18"/>
      <c r="D933" s="18"/>
      <c r="E933" s="18"/>
      <c r="F933" s="18"/>
      <c r="G933" s="18"/>
      <c r="H933" s="18"/>
      <c r="I933" s="18"/>
      <c r="J933" s="18"/>
      <c r="K933" s="18"/>
      <c r="L933" s="9"/>
      <c r="M933" s="18"/>
      <c r="N933" s="18"/>
      <c r="O933" s="18"/>
      <c r="P933" s="18"/>
      <c r="Q933" s="18"/>
    </row>
    <row r="934" spans="1:17" ht="30" x14ac:dyDescent="0.25">
      <c r="A934" s="18"/>
      <c r="B934" s="18"/>
      <c r="C934" s="18"/>
      <c r="D934" s="18"/>
      <c r="E934" s="18"/>
      <c r="F934" s="18"/>
      <c r="G934" s="18"/>
      <c r="H934" s="18"/>
      <c r="I934" s="18"/>
      <c r="J934" s="18"/>
      <c r="K934" s="18"/>
      <c r="L934" s="9" t="s">
        <v>2825</v>
      </c>
      <c r="M934" s="18"/>
      <c r="N934" s="18"/>
      <c r="O934" s="18"/>
      <c r="P934" s="18"/>
      <c r="Q934" s="18"/>
    </row>
    <row r="935" spans="1:17" ht="409.5" x14ac:dyDescent="0.25">
      <c r="A935" s="9" t="s">
        <v>6811</v>
      </c>
      <c r="B935" s="9" t="s">
        <v>6820</v>
      </c>
      <c r="C935" s="9" t="s">
        <v>6762</v>
      </c>
      <c r="D935" s="9" t="s">
        <v>6742</v>
      </c>
      <c r="E935" s="9" t="s">
        <v>11340</v>
      </c>
      <c r="F935" s="9" t="s">
        <v>2894</v>
      </c>
      <c r="G935" s="10" t="s">
        <v>6514</v>
      </c>
      <c r="H935" s="9"/>
      <c r="I935" s="9"/>
      <c r="J935" s="9"/>
      <c r="K935" s="9"/>
      <c r="L935" s="11" t="s">
        <v>2794</v>
      </c>
      <c r="M935" s="9" t="s">
        <v>2895</v>
      </c>
      <c r="N935" s="9"/>
      <c r="O935" s="9" t="s">
        <v>11341</v>
      </c>
      <c r="P935" s="9" t="str">
        <f>HYPERLINK("https://ceds.ed.gov/cedselementdetails.aspx?termid=14321")</f>
        <v>https://ceds.ed.gov/cedselementdetails.aspx?termid=14321</v>
      </c>
      <c r="Q935" s="9" t="str">
        <f>HYPERLINK("https://ceds.ed.gov/elementComment.aspx?elementName=Financial Expenditure K12 Function Code &amp;elementID=14321", "Click here to submit comment")</f>
        <v>Click here to submit comment</v>
      </c>
    </row>
    <row r="936" spans="1:17" ht="409.5" x14ac:dyDescent="0.25">
      <c r="A936" s="9" t="s">
        <v>6811</v>
      </c>
      <c r="B936" s="9" t="s">
        <v>6820</v>
      </c>
      <c r="C936" s="9" t="s">
        <v>6762</v>
      </c>
      <c r="D936" s="9" t="s">
        <v>6742</v>
      </c>
      <c r="E936" s="9" t="s">
        <v>11344</v>
      </c>
      <c r="F936" s="9" t="s">
        <v>2898</v>
      </c>
      <c r="G936" s="10" t="s">
        <v>6516</v>
      </c>
      <c r="H936" s="9"/>
      <c r="I936" s="9"/>
      <c r="J936" s="9"/>
      <c r="K936" s="9"/>
      <c r="L936" s="11" t="s">
        <v>2794</v>
      </c>
      <c r="M936" s="9" t="s">
        <v>2899</v>
      </c>
      <c r="N936" s="9"/>
      <c r="O936" s="9" t="s">
        <v>11345</v>
      </c>
      <c r="P936" s="9" t="str">
        <f>HYPERLINK("https://ceds.ed.gov/cedselementdetails.aspx?termid=14322")</f>
        <v>https://ceds.ed.gov/cedselementdetails.aspx?termid=14322</v>
      </c>
      <c r="Q936" s="9" t="str">
        <f>HYPERLINK("https://ceds.ed.gov/elementComment.aspx?elementName=Financial Expenditure K12 Object Code &amp;elementID=14322", "Click here to submit comment")</f>
        <v>Click here to submit comment</v>
      </c>
    </row>
    <row r="937" spans="1:17" ht="195" x14ac:dyDescent="0.25">
      <c r="A937" s="9" t="s">
        <v>6811</v>
      </c>
      <c r="B937" s="9" t="s">
        <v>6820</v>
      </c>
      <c r="C937" s="9" t="s">
        <v>6762</v>
      </c>
      <c r="D937" s="9" t="s">
        <v>6742</v>
      </c>
      <c r="E937" s="9" t="s">
        <v>11342</v>
      </c>
      <c r="F937" s="9" t="s">
        <v>2896</v>
      </c>
      <c r="G937" s="10" t="s">
        <v>6515</v>
      </c>
      <c r="H937" s="9"/>
      <c r="I937" s="9"/>
      <c r="J937" s="9"/>
      <c r="K937" s="9"/>
      <c r="L937" s="11" t="s">
        <v>2794</v>
      </c>
      <c r="M937" s="9" t="s">
        <v>2897</v>
      </c>
      <c r="N937" s="9"/>
      <c r="O937" s="9" t="s">
        <v>11343</v>
      </c>
      <c r="P937" s="9" t="str">
        <f>HYPERLINK("https://ceds.ed.gov/cedselementdetails.aspx?termid=14531")</f>
        <v>https://ceds.ed.gov/cedselementdetails.aspx?termid=14531</v>
      </c>
      <c r="Q937" s="9" t="str">
        <f>HYPERLINK("https://ceds.ed.gov/elementComment.aspx?elementName=Financial Expenditure K12 Level of Instruction Code &amp;elementID=14531", "Click here to submit comment")</f>
        <v>Click here to submit comment</v>
      </c>
    </row>
    <row r="938" spans="1:17" ht="75" x14ac:dyDescent="0.25">
      <c r="A938" s="18" t="s">
        <v>6811</v>
      </c>
      <c r="B938" s="18" t="s">
        <v>6820</v>
      </c>
      <c r="C938" s="18" t="s">
        <v>6762</v>
      </c>
      <c r="D938" s="18" t="s">
        <v>6742</v>
      </c>
      <c r="E938" s="18" t="s">
        <v>11346</v>
      </c>
      <c r="F938" s="18" t="s">
        <v>2900</v>
      </c>
      <c r="G938" s="18"/>
      <c r="H938" s="18"/>
      <c r="I938" s="18"/>
      <c r="J938" s="18" t="s">
        <v>134</v>
      </c>
      <c r="K938" s="18"/>
      <c r="L938" s="11" t="s">
        <v>2901</v>
      </c>
      <c r="M938" s="18" t="s">
        <v>2906</v>
      </c>
      <c r="N938" s="18"/>
      <c r="O938" s="18" t="s">
        <v>11347</v>
      </c>
      <c r="P938" s="18" t="str">
        <f>HYPERLINK("https://ceds.ed.gov/cedselementdetails.aspx?termid=14532")</f>
        <v>https://ceds.ed.gov/cedselementdetails.aspx?termid=14532</v>
      </c>
      <c r="Q938" s="18" t="str">
        <f>HYPERLINK("https://ceds.ed.gov/elementComment.aspx?elementName=Financial Expenditure K12 Project Reporting Code &amp;elementID=14532", "Click here to submit comment")</f>
        <v>Click here to submit comment</v>
      </c>
    </row>
    <row r="939" spans="1:17" x14ac:dyDescent="0.25">
      <c r="A939" s="18"/>
      <c r="B939" s="18"/>
      <c r="C939" s="18"/>
      <c r="D939" s="18"/>
      <c r="E939" s="18"/>
      <c r="F939" s="18"/>
      <c r="G939" s="18"/>
      <c r="H939" s="18"/>
      <c r="I939" s="18"/>
      <c r="J939" s="18"/>
      <c r="K939" s="18"/>
      <c r="L939" s="9"/>
      <c r="M939" s="18"/>
      <c r="N939" s="18"/>
      <c r="O939" s="18"/>
      <c r="P939" s="18"/>
      <c r="Q939" s="18"/>
    </row>
    <row r="940" spans="1:17" ht="45" x14ac:dyDescent="0.25">
      <c r="A940" s="18"/>
      <c r="B940" s="18"/>
      <c r="C940" s="18"/>
      <c r="D940" s="18"/>
      <c r="E940" s="18"/>
      <c r="F940" s="18"/>
      <c r="G940" s="18"/>
      <c r="H940" s="18"/>
      <c r="I940" s="18"/>
      <c r="J940" s="18"/>
      <c r="K940" s="18"/>
      <c r="L940" s="9" t="s">
        <v>2902</v>
      </c>
      <c r="M940" s="18"/>
      <c r="N940" s="18"/>
      <c r="O940" s="18"/>
      <c r="P940" s="18"/>
      <c r="Q940" s="18"/>
    </row>
    <row r="941" spans="1:17" x14ac:dyDescent="0.25">
      <c r="A941" s="18"/>
      <c r="B941" s="18"/>
      <c r="C941" s="18"/>
      <c r="D941" s="18"/>
      <c r="E941" s="18"/>
      <c r="F941" s="18"/>
      <c r="G941" s="18"/>
      <c r="H941" s="18"/>
      <c r="I941" s="18"/>
      <c r="J941" s="18"/>
      <c r="K941" s="18"/>
      <c r="L941" s="9"/>
      <c r="M941" s="18"/>
      <c r="N941" s="18"/>
      <c r="O941" s="18"/>
      <c r="P941" s="18"/>
      <c r="Q941" s="18"/>
    </row>
    <row r="942" spans="1:17" ht="45" x14ac:dyDescent="0.25">
      <c r="A942" s="18"/>
      <c r="B942" s="18"/>
      <c r="C942" s="18"/>
      <c r="D942" s="18"/>
      <c r="E942" s="18"/>
      <c r="F942" s="18"/>
      <c r="G942" s="18"/>
      <c r="H942" s="18"/>
      <c r="I942" s="18"/>
      <c r="J942" s="18"/>
      <c r="K942" s="18"/>
      <c r="L942" s="9" t="s">
        <v>2903</v>
      </c>
      <c r="M942" s="18"/>
      <c r="N942" s="18"/>
      <c r="O942" s="18"/>
      <c r="P942" s="18"/>
      <c r="Q942" s="18"/>
    </row>
    <row r="943" spans="1:17" x14ac:dyDescent="0.25">
      <c r="A943" s="18"/>
      <c r="B943" s="18"/>
      <c r="C943" s="18"/>
      <c r="D943" s="18"/>
      <c r="E943" s="18"/>
      <c r="F943" s="18"/>
      <c r="G943" s="18"/>
      <c r="H943" s="18"/>
      <c r="I943" s="18"/>
      <c r="J943" s="18"/>
      <c r="K943" s="18"/>
      <c r="L943" s="9"/>
      <c r="M943" s="18"/>
      <c r="N943" s="18"/>
      <c r="O943" s="18"/>
      <c r="P943" s="18"/>
      <c r="Q943" s="18"/>
    </row>
    <row r="944" spans="1:17" ht="60" x14ac:dyDescent="0.25">
      <c r="A944" s="18"/>
      <c r="B944" s="18"/>
      <c r="C944" s="18"/>
      <c r="D944" s="18"/>
      <c r="E944" s="18"/>
      <c r="F944" s="18"/>
      <c r="G944" s="18"/>
      <c r="H944" s="18"/>
      <c r="I944" s="18"/>
      <c r="J944" s="18"/>
      <c r="K944" s="18"/>
      <c r="L944" s="9" t="s">
        <v>2904</v>
      </c>
      <c r="M944" s="18"/>
      <c r="N944" s="18"/>
      <c r="O944" s="18"/>
      <c r="P944" s="18"/>
      <c r="Q944" s="18"/>
    </row>
    <row r="945" spans="1:17" x14ac:dyDescent="0.25">
      <c r="A945" s="18"/>
      <c r="B945" s="18"/>
      <c r="C945" s="18"/>
      <c r="D945" s="18"/>
      <c r="E945" s="18"/>
      <c r="F945" s="18"/>
      <c r="G945" s="18"/>
      <c r="H945" s="18"/>
      <c r="I945" s="18"/>
      <c r="J945" s="18"/>
      <c r="K945" s="18"/>
      <c r="L945" s="9"/>
      <c r="M945" s="18"/>
      <c r="N945" s="18"/>
      <c r="O945" s="18"/>
      <c r="P945" s="18"/>
      <c r="Q945" s="18"/>
    </row>
    <row r="946" spans="1:17" ht="30" x14ac:dyDescent="0.25">
      <c r="A946" s="18"/>
      <c r="B946" s="18"/>
      <c r="C946" s="18"/>
      <c r="D946" s="18"/>
      <c r="E946" s="18"/>
      <c r="F946" s="18"/>
      <c r="G946" s="18"/>
      <c r="H946" s="18"/>
      <c r="I946" s="18"/>
      <c r="J946" s="18"/>
      <c r="K946" s="18"/>
      <c r="L946" s="9" t="s">
        <v>2905</v>
      </c>
      <c r="M946" s="18"/>
      <c r="N946" s="18"/>
      <c r="O946" s="18"/>
      <c r="P946" s="18"/>
      <c r="Q946" s="18"/>
    </row>
    <row r="947" spans="1:17" ht="409.5" x14ac:dyDescent="0.25">
      <c r="A947" s="9" t="s">
        <v>6811</v>
      </c>
      <c r="B947" s="9" t="s">
        <v>6820</v>
      </c>
      <c r="C947" s="9" t="s">
        <v>6762</v>
      </c>
      <c r="D947" s="9" t="s">
        <v>6742</v>
      </c>
      <c r="E947" s="9" t="s">
        <v>11332</v>
      </c>
      <c r="F947" s="9" t="s">
        <v>2793</v>
      </c>
      <c r="G947" s="10" t="s">
        <v>6504</v>
      </c>
      <c r="H947" s="9"/>
      <c r="I947" s="9"/>
      <c r="J947" s="9"/>
      <c r="K947" s="9"/>
      <c r="L947" s="11" t="s">
        <v>2794</v>
      </c>
      <c r="M947" s="9" t="s">
        <v>2795</v>
      </c>
      <c r="N947" s="9"/>
      <c r="O947" s="9" t="s">
        <v>11333</v>
      </c>
      <c r="P947" s="9" t="str">
        <f>HYPERLINK("https://ceds.ed.gov/cedselementdetails.aspx?termid=14320")</f>
        <v>https://ceds.ed.gov/cedselementdetails.aspx?termid=14320</v>
      </c>
      <c r="Q947" s="9" t="str">
        <f>HYPERLINK("https://ceds.ed.gov/elementComment.aspx?elementName=Financial Account K12 Balance Sheet Code &amp;elementID=14320", "Click here to submit comment")</f>
        <v>Click here to submit comment</v>
      </c>
    </row>
    <row r="948" spans="1:17" ht="45" x14ac:dyDescent="0.25">
      <c r="A948" s="9" t="s">
        <v>6811</v>
      </c>
      <c r="B948" s="9" t="s">
        <v>6820</v>
      </c>
      <c r="C948" s="9" t="s">
        <v>6762</v>
      </c>
      <c r="D948" s="9" t="s">
        <v>6742</v>
      </c>
      <c r="E948" s="9" t="s">
        <v>2835</v>
      </c>
      <c r="F948" s="9" t="s">
        <v>2836</v>
      </c>
      <c r="G948" s="9" t="s">
        <v>12</v>
      </c>
      <c r="H948" s="9"/>
      <c r="I948" s="9"/>
      <c r="J948" s="9" t="s">
        <v>1513</v>
      </c>
      <c r="K948" s="9"/>
      <c r="L948" s="9"/>
      <c r="M948" s="9" t="s">
        <v>2837</v>
      </c>
      <c r="N948" s="9"/>
      <c r="O948" s="9" t="s">
        <v>2838</v>
      </c>
      <c r="P948" s="9" t="str">
        <f>HYPERLINK("https://ceds.ed.gov/cedselementdetails.aspx?termid=14318")</f>
        <v>https://ceds.ed.gov/cedselementdetails.aspx?termid=14318</v>
      </c>
      <c r="Q948" s="9" t="str">
        <f>HYPERLINK("https://ceds.ed.gov/elementComment.aspx?elementName=Financial Accounting Period Budgeted Value &amp;elementID=14318", "Click here to submit comment")</f>
        <v>Click here to submit comment</v>
      </c>
    </row>
    <row r="949" spans="1:17" ht="60" x14ac:dyDescent="0.25">
      <c r="A949" s="9" t="s">
        <v>6811</v>
      </c>
      <c r="B949" s="9" t="s">
        <v>6820</v>
      </c>
      <c r="C949" s="9" t="s">
        <v>6762</v>
      </c>
      <c r="D949" s="9" t="s">
        <v>6742</v>
      </c>
      <c r="E949" s="9" t="s">
        <v>2839</v>
      </c>
      <c r="F949" s="9" t="s">
        <v>2840</v>
      </c>
      <c r="G949" s="9" t="s">
        <v>12</v>
      </c>
      <c r="H949" s="9"/>
      <c r="I949" s="9"/>
      <c r="J949" s="9" t="s">
        <v>1513</v>
      </c>
      <c r="K949" s="9"/>
      <c r="L949" s="9" t="s">
        <v>2841</v>
      </c>
      <c r="M949" s="9" t="s">
        <v>2842</v>
      </c>
      <c r="N949" s="9"/>
      <c r="O949" s="9" t="s">
        <v>2843</v>
      </c>
      <c r="P949" s="9" t="str">
        <f>HYPERLINK("https://ceds.ed.gov/cedselementdetails.aspx?termid=14625")</f>
        <v>https://ceds.ed.gov/cedselementdetails.aspx?termid=14625</v>
      </c>
      <c r="Q949" s="9" t="str">
        <f>HYPERLINK("https://ceds.ed.gov/elementComment.aspx?elementName=Financial Accounting Period Encumbered Value &amp;elementID=14625", "Click here to submit comment")</f>
        <v>Click here to submit comment</v>
      </c>
    </row>
    <row r="950" spans="1:17" ht="45" x14ac:dyDescent="0.25">
      <c r="A950" s="9" t="s">
        <v>6811</v>
      </c>
      <c r="B950" s="9" t="s">
        <v>6820</v>
      </c>
      <c r="C950" s="9" t="s">
        <v>6762</v>
      </c>
      <c r="D950" s="9" t="s">
        <v>6742</v>
      </c>
      <c r="E950" s="9" t="s">
        <v>2831</v>
      </c>
      <c r="F950" s="9" t="s">
        <v>2832</v>
      </c>
      <c r="G950" s="9" t="s">
        <v>12</v>
      </c>
      <c r="H950" s="9"/>
      <c r="I950" s="9"/>
      <c r="J950" s="9" t="s">
        <v>1513</v>
      </c>
      <c r="K950" s="9"/>
      <c r="L950" s="9"/>
      <c r="M950" s="9" t="s">
        <v>2833</v>
      </c>
      <c r="N950" s="9"/>
      <c r="O950" s="9" t="s">
        <v>2834</v>
      </c>
      <c r="P950" s="9" t="str">
        <f>HYPERLINK("https://ceds.ed.gov/cedselementdetails.aspx?termid=14317")</f>
        <v>https://ceds.ed.gov/cedselementdetails.aspx?termid=14317</v>
      </c>
      <c r="Q950" s="9" t="str">
        <f>HYPERLINK("https://ceds.ed.gov/elementComment.aspx?elementName=Financial Accounting Period Actual Value &amp;elementID=14317", "Click here to submit comment")</f>
        <v>Click here to submit comment</v>
      </c>
    </row>
    <row r="951" spans="1:17" ht="135" x14ac:dyDescent="0.25">
      <c r="A951" s="9" t="s">
        <v>6811</v>
      </c>
      <c r="B951" s="9" t="s">
        <v>6820</v>
      </c>
      <c r="C951" s="9" t="s">
        <v>6762</v>
      </c>
      <c r="D951" s="9" t="s">
        <v>6742</v>
      </c>
      <c r="E951" s="9" t="s">
        <v>2844</v>
      </c>
      <c r="F951" s="9" t="s">
        <v>2845</v>
      </c>
      <c r="G951" s="9" t="s">
        <v>12</v>
      </c>
      <c r="H951" s="9"/>
      <c r="I951" s="9"/>
      <c r="J951" s="9" t="s">
        <v>1513</v>
      </c>
      <c r="K951" s="9"/>
      <c r="L951" s="9" t="s">
        <v>2846</v>
      </c>
      <c r="M951" s="9" t="s">
        <v>2847</v>
      </c>
      <c r="N951" s="9"/>
      <c r="O951" s="9" t="s">
        <v>2848</v>
      </c>
      <c r="P951" s="9" t="str">
        <f>HYPERLINK("https://ceds.ed.gov/cedselementdetails.aspx?termid=14628")</f>
        <v>https://ceds.ed.gov/cedselementdetails.aspx?termid=14628</v>
      </c>
      <c r="Q951" s="9" t="str">
        <f>HYPERLINK("https://ceds.ed.gov/elementComment.aspx?elementName=Financial Accounting Value &amp;elementID=14628", "Click here to submit comment")</f>
        <v>Click here to submit comment</v>
      </c>
    </row>
    <row r="952" spans="1:17" ht="45" x14ac:dyDescent="0.25">
      <c r="A952" s="9" t="s">
        <v>6811</v>
      </c>
      <c r="B952" s="9" t="s">
        <v>6820</v>
      </c>
      <c r="C952" s="9" t="s">
        <v>6762</v>
      </c>
      <c r="D952" s="9" t="s">
        <v>6742</v>
      </c>
      <c r="E952" s="9" t="s">
        <v>2827</v>
      </c>
      <c r="F952" s="9" t="s">
        <v>2828</v>
      </c>
      <c r="G952" s="9" t="s">
        <v>12</v>
      </c>
      <c r="H952" s="9"/>
      <c r="I952" s="9"/>
      <c r="J952" s="9" t="s">
        <v>73</v>
      </c>
      <c r="K952" s="9"/>
      <c r="L952" s="9"/>
      <c r="M952" s="9" t="s">
        <v>2829</v>
      </c>
      <c r="N952" s="9"/>
      <c r="O952" s="9" t="s">
        <v>2830</v>
      </c>
      <c r="P952" s="9" t="str">
        <f>HYPERLINK("https://ceds.ed.gov/cedselementdetails.aspx?termid=14629")</f>
        <v>https://ceds.ed.gov/cedselementdetails.aspx?termid=14629</v>
      </c>
      <c r="Q952" s="9" t="str">
        <f>HYPERLINK("https://ceds.ed.gov/elementComment.aspx?elementName=Financial Accounting Date &amp;elementID=14629", "Click here to submit comment")</f>
        <v>Click here to submit comment</v>
      </c>
    </row>
    <row r="953" spans="1:17" ht="150" x14ac:dyDescent="0.25">
      <c r="A953" s="9" t="s">
        <v>6811</v>
      </c>
      <c r="B953" s="9" t="s">
        <v>6820</v>
      </c>
      <c r="C953" s="9" t="s">
        <v>6762</v>
      </c>
      <c r="D953" s="9" t="s">
        <v>6742</v>
      </c>
      <c r="E953" s="9" t="s">
        <v>11334</v>
      </c>
      <c r="F953" s="9" t="s">
        <v>2804</v>
      </c>
      <c r="G953" s="10" t="s">
        <v>6506</v>
      </c>
      <c r="H953" s="9"/>
      <c r="I953" s="9"/>
      <c r="J953" s="9"/>
      <c r="K953" s="9"/>
      <c r="L953" s="11" t="s">
        <v>2794</v>
      </c>
      <c r="M953" s="9" t="s">
        <v>2805</v>
      </c>
      <c r="N953" s="9"/>
      <c r="O953" s="9" t="s">
        <v>11335</v>
      </c>
      <c r="P953" s="9" t="str">
        <f>HYPERLINK("https://ceds.ed.gov/cedselementdetails.aspx?termid=14314")</f>
        <v>https://ceds.ed.gov/cedselementdetails.aspx?termid=14314</v>
      </c>
      <c r="Q953" s="9" t="str">
        <f>HYPERLINK("https://ceds.ed.gov/elementComment.aspx?elementName=Financial Account K12 Fund Classification &amp;elementID=14314", "Click here to submit comment")</f>
        <v>Click here to submit comment</v>
      </c>
    </row>
    <row r="954" spans="1:17" ht="45" x14ac:dyDescent="0.25">
      <c r="A954" s="9" t="s">
        <v>6811</v>
      </c>
      <c r="B954" s="9" t="s">
        <v>6820</v>
      </c>
      <c r="C954" s="9" t="s">
        <v>6762</v>
      </c>
      <c r="D954" s="9" t="s">
        <v>6742</v>
      </c>
      <c r="E954" s="9" t="s">
        <v>2816</v>
      </c>
      <c r="F954" s="9" t="s">
        <v>2817</v>
      </c>
      <c r="G954" s="9" t="s">
        <v>12</v>
      </c>
      <c r="H954" s="9"/>
      <c r="I954" s="9"/>
      <c r="J954" s="9" t="s">
        <v>762</v>
      </c>
      <c r="K954" s="9"/>
      <c r="L954" s="9"/>
      <c r="M954" s="9" t="s">
        <v>2818</v>
      </c>
      <c r="N954" s="9"/>
      <c r="O954" s="9" t="s">
        <v>2819</v>
      </c>
      <c r="P954" s="9" t="str">
        <f>HYPERLINK("https://ceds.ed.gov/cedselementdetails.aspx?termid=14626")</f>
        <v>https://ceds.ed.gov/cedselementdetails.aspx?termid=14626</v>
      </c>
      <c r="Q954" s="9" t="str">
        <f>HYPERLINK("https://ceds.ed.gov/elementComment.aspx?elementName=Financial Account Program Name &amp;elementID=14626", "Click here to submit comment")</f>
        <v>Click here to submit comment</v>
      </c>
    </row>
    <row r="955" spans="1:17" ht="45" x14ac:dyDescent="0.25">
      <c r="A955" s="9" t="s">
        <v>6811</v>
      </c>
      <c r="B955" s="9" t="s">
        <v>6820</v>
      </c>
      <c r="C955" s="9" t="s">
        <v>6762</v>
      </c>
      <c r="D955" s="9" t="s">
        <v>6742</v>
      </c>
      <c r="E955" s="9" t="s">
        <v>2820</v>
      </c>
      <c r="F955" s="9" t="s">
        <v>2821</v>
      </c>
      <c r="G955" s="9" t="s">
        <v>12</v>
      </c>
      <c r="H955" s="9"/>
      <c r="I955" s="9"/>
      <c r="J955" s="9" t="s">
        <v>87</v>
      </c>
      <c r="K955" s="9"/>
      <c r="L955" s="9"/>
      <c r="M955" s="9" t="s">
        <v>2822</v>
      </c>
      <c r="N955" s="9"/>
      <c r="O955" s="9" t="s">
        <v>2823</v>
      </c>
      <c r="P955" s="9" t="str">
        <f>HYPERLINK("https://ceds.ed.gov/cedselementdetails.aspx?termid=14627")</f>
        <v>https://ceds.ed.gov/cedselementdetails.aspx?termid=14627</v>
      </c>
      <c r="Q955" s="9" t="str">
        <f>HYPERLINK("https://ceds.ed.gov/elementComment.aspx?elementName=Financial Account Program Number &amp;elementID=14627", "Click here to submit comment")</f>
        <v>Click here to submit comment</v>
      </c>
    </row>
    <row r="956" spans="1:17" ht="240" x14ac:dyDescent="0.25">
      <c r="A956" s="9" t="s">
        <v>6811</v>
      </c>
      <c r="B956" s="9" t="s">
        <v>6820</v>
      </c>
      <c r="C956" s="9" t="s">
        <v>6762</v>
      </c>
      <c r="D956" s="9" t="s">
        <v>6742</v>
      </c>
      <c r="E956" s="9" t="s">
        <v>11336</v>
      </c>
      <c r="F956" s="9" t="s">
        <v>2814</v>
      </c>
      <c r="G956" s="10" t="s">
        <v>6507</v>
      </c>
      <c r="H956" s="9"/>
      <c r="I956" s="9"/>
      <c r="J956" s="9"/>
      <c r="K956" s="9"/>
      <c r="L956" s="11" t="s">
        <v>2794</v>
      </c>
      <c r="M956" s="9" t="s">
        <v>2815</v>
      </c>
      <c r="N956" s="9"/>
      <c r="O956" s="9" t="s">
        <v>11337</v>
      </c>
      <c r="P956" s="9" t="str">
        <f>HYPERLINK("https://ceds.ed.gov/cedselementdetails.aspx?termid=14316")</f>
        <v>https://ceds.ed.gov/cedselementdetails.aspx?termid=14316</v>
      </c>
      <c r="Q956" s="9" t="str">
        <f>HYPERLINK("https://ceds.ed.gov/elementComment.aspx?elementName=Financial Account K12 Program Code &amp;elementID=14316", "Click here to submit comment")</f>
        <v>Click here to submit comment</v>
      </c>
    </row>
    <row r="957" spans="1:17" ht="45" x14ac:dyDescent="0.25">
      <c r="A957" s="9" t="s">
        <v>6811</v>
      </c>
      <c r="B957" s="9" t="s">
        <v>6820</v>
      </c>
      <c r="C957" s="9" t="s">
        <v>6762</v>
      </c>
      <c r="D957" s="9" t="s">
        <v>6746</v>
      </c>
      <c r="E957" s="9" t="s">
        <v>11512</v>
      </c>
      <c r="F957" s="9" t="s">
        <v>8286</v>
      </c>
      <c r="G957" s="9" t="s">
        <v>12</v>
      </c>
      <c r="H957" s="9"/>
      <c r="I957" s="9" t="s">
        <v>1457</v>
      </c>
      <c r="J957" s="9" t="s">
        <v>1513</v>
      </c>
      <c r="K957" s="9"/>
      <c r="L957" s="9"/>
      <c r="M957" s="9" t="s">
        <v>11514</v>
      </c>
      <c r="N957" s="9"/>
      <c r="O957" s="9" t="s">
        <v>11515</v>
      </c>
      <c r="P957" s="9" t="str">
        <f>HYPERLINK("https://ceds.ed.gov/cedselementdetails.aspx?termid=14874")</f>
        <v>https://ceds.ed.gov/cedselementdetails.aspx?termid=14874</v>
      </c>
      <c r="Q957" s="9" t="str">
        <f>HYPERLINK("https://ceds.ed.gov/elementComment.aspx?elementName=Indebtedness Amount Allowed &amp;elementID=14874", "Click here to submit comment")</f>
        <v>Click here to submit comment</v>
      </c>
    </row>
    <row r="958" spans="1:17" ht="45" x14ac:dyDescent="0.25">
      <c r="A958" s="9" t="s">
        <v>6811</v>
      </c>
      <c r="B958" s="9" t="s">
        <v>6820</v>
      </c>
      <c r="C958" s="9" t="s">
        <v>6762</v>
      </c>
      <c r="D958" s="9" t="s">
        <v>6746</v>
      </c>
      <c r="E958" s="9" t="s">
        <v>8314</v>
      </c>
      <c r="F958" s="9" t="s">
        <v>8315</v>
      </c>
      <c r="G958" s="9" t="s">
        <v>12</v>
      </c>
      <c r="H958" s="9"/>
      <c r="I958" s="9" t="s">
        <v>1457</v>
      </c>
      <c r="J958" s="9" t="s">
        <v>1513</v>
      </c>
      <c r="K958" s="9"/>
      <c r="L958" s="9"/>
      <c r="M958" s="9" t="s">
        <v>11565</v>
      </c>
      <c r="N958" s="9"/>
      <c r="O958" s="9" t="s">
        <v>11566</v>
      </c>
      <c r="P958" s="9" t="str">
        <f>HYPERLINK("https://ceds.ed.gov/cedselementdetails.aspx?termid=14875")</f>
        <v>https://ceds.ed.gov/cedselementdetails.aspx?termid=14875</v>
      </c>
      <c r="Q958" s="9" t="str">
        <f>HYPERLINK("https://ceds.ed.gov/elementComment.aspx?elementName=Insurance Deductible &amp;elementID=14875", "Click here to submit comment")</f>
        <v>Click here to submit comment</v>
      </c>
    </row>
    <row r="959" spans="1:17" ht="45" x14ac:dyDescent="0.25">
      <c r="A959" s="9" t="s">
        <v>6811</v>
      </c>
      <c r="B959" s="9" t="s">
        <v>6820</v>
      </c>
      <c r="C959" s="9" t="s">
        <v>6762</v>
      </c>
      <c r="D959" s="9" t="s">
        <v>6746</v>
      </c>
      <c r="E959" s="9" t="s">
        <v>8934</v>
      </c>
      <c r="F959" s="9" t="s">
        <v>8935</v>
      </c>
      <c r="G959" s="9" t="s">
        <v>12</v>
      </c>
      <c r="H959" s="9"/>
      <c r="I959" s="9" t="s">
        <v>1457</v>
      </c>
      <c r="J959" s="9" t="s">
        <v>11692</v>
      </c>
      <c r="K959" s="9"/>
      <c r="L959" s="9"/>
      <c r="M959" s="9" t="s">
        <v>11693</v>
      </c>
      <c r="N959" s="9"/>
      <c r="O959" s="9" t="s">
        <v>11694</v>
      </c>
      <c r="P959" s="9" t="str">
        <f>HYPERLINK("https://ceds.ed.gov/cedselementdetails.aspx?termid=14876")</f>
        <v>https://ceds.ed.gov/cedselementdetails.aspx?termid=14876</v>
      </c>
      <c r="Q959" s="9" t="str">
        <f>HYPERLINK("https://ceds.ed.gov/elementComment.aspx?elementName=Public Education Mill Rate &amp;elementID=14876", "Click here to submit comment")</f>
        <v>Click here to submit comment</v>
      </c>
    </row>
    <row r="960" spans="1:17" ht="135" x14ac:dyDescent="0.25">
      <c r="A960" s="9" t="s">
        <v>6811</v>
      </c>
      <c r="B960" s="9" t="s">
        <v>6820</v>
      </c>
      <c r="C960" s="9" t="s">
        <v>6817</v>
      </c>
      <c r="D960" s="9" t="s">
        <v>6742</v>
      </c>
      <c r="E960" s="9" t="s">
        <v>2780</v>
      </c>
      <c r="F960" s="9" t="s">
        <v>2781</v>
      </c>
      <c r="G960" s="9" t="s">
        <v>12</v>
      </c>
      <c r="H960" s="9" t="s">
        <v>199</v>
      </c>
      <c r="I960" s="9"/>
      <c r="J960" s="9" t="s">
        <v>1513</v>
      </c>
      <c r="K960" s="9"/>
      <c r="L960" s="9"/>
      <c r="M960" s="9" t="s">
        <v>2782</v>
      </c>
      <c r="N960" s="9"/>
      <c r="O960" s="9" t="s">
        <v>2783</v>
      </c>
      <c r="P960" s="9" t="str">
        <f>HYPERLINK("https://ceds.ed.gov/cedselementdetails.aspx?termid=13540")</f>
        <v>https://ceds.ed.gov/cedselementdetails.aspx?termid=13540</v>
      </c>
      <c r="Q960" s="9" t="str">
        <f>HYPERLINK("https://ceds.ed.gov/elementComment.aspx?elementName=Federal Programs Funding Allocation &amp;elementID=13540", "Click here to submit comment")</f>
        <v>Click here to submit comment</v>
      </c>
    </row>
    <row r="961" spans="1:17" ht="45" x14ac:dyDescent="0.25">
      <c r="A961" s="9" t="s">
        <v>6811</v>
      </c>
      <c r="B961" s="9" t="s">
        <v>6820</v>
      </c>
      <c r="C961" s="9" t="s">
        <v>6817</v>
      </c>
      <c r="D961" s="9" t="s">
        <v>6742</v>
      </c>
      <c r="E961" s="9" t="s">
        <v>2986</v>
      </c>
      <c r="F961" s="9" t="s">
        <v>2987</v>
      </c>
      <c r="G961" s="9" t="s">
        <v>12</v>
      </c>
      <c r="H961" s="9" t="s">
        <v>188</v>
      </c>
      <c r="I961" s="9"/>
      <c r="J961" s="9" t="s">
        <v>1513</v>
      </c>
      <c r="K961" s="9"/>
      <c r="L961" s="9"/>
      <c r="M961" s="9" t="s">
        <v>2988</v>
      </c>
      <c r="N961" s="9"/>
      <c r="O961" s="9" t="s">
        <v>2989</v>
      </c>
      <c r="P961" s="9" t="str">
        <f>HYPERLINK("https://ceds.ed.gov/cedselementdetails.aspx?termid=13442")</f>
        <v>https://ceds.ed.gov/cedselementdetails.aspx?termid=13442</v>
      </c>
      <c r="Q961" s="9" t="str">
        <f>HYPERLINK("https://ceds.ed.gov/elementComment.aspx?elementName=Funds Transfer Amount &amp;elementID=13442", "Click here to submit comment")</f>
        <v>Click here to submit comment</v>
      </c>
    </row>
    <row r="962" spans="1:17" ht="45" x14ac:dyDescent="0.25">
      <c r="A962" s="9" t="s">
        <v>6811</v>
      </c>
      <c r="B962" s="9" t="s">
        <v>6820</v>
      </c>
      <c r="C962" s="9" t="s">
        <v>6817</v>
      </c>
      <c r="D962" s="9" t="s">
        <v>6742</v>
      </c>
      <c r="E962" s="9" t="s">
        <v>3436</v>
      </c>
      <c r="F962" s="9" t="s">
        <v>3437</v>
      </c>
      <c r="G962" s="9" t="s">
        <v>12</v>
      </c>
      <c r="H962" s="9" t="s">
        <v>188</v>
      </c>
      <c r="I962" s="9"/>
      <c r="J962" s="9" t="s">
        <v>1513</v>
      </c>
      <c r="K962" s="9"/>
      <c r="L962" s="9"/>
      <c r="M962" s="9" t="s">
        <v>3438</v>
      </c>
      <c r="N962" s="9"/>
      <c r="O962" s="9" t="s">
        <v>3439</v>
      </c>
      <c r="P962" s="9" t="str">
        <f>HYPERLINK("https://ceds.ed.gov/cedselementdetails.aspx?termid=13454")</f>
        <v>https://ceds.ed.gov/cedselementdetails.aspx?termid=13454</v>
      </c>
      <c r="Q962" s="9" t="str">
        <f>HYPERLINK("https://ceds.ed.gov/elementComment.aspx?elementName=Innovative Programs Funds Received &amp;elementID=13454", "Click here to submit comment")</f>
        <v>Click here to submit comment</v>
      </c>
    </row>
    <row r="963" spans="1:17" ht="45" x14ac:dyDescent="0.25">
      <c r="A963" s="9" t="s">
        <v>6811</v>
      </c>
      <c r="B963" s="9" t="s">
        <v>6820</v>
      </c>
      <c r="C963" s="9" t="s">
        <v>6817</v>
      </c>
      <c r="D963" s="9" t="s">
        <v>6742</v>
      </c>
      <c r="E963" s="9" t="s">
        <v>3428</v>
      </c>
      <c r="F963" s="9" t="s">
        <v>3429</v>
      </c>
      <c r="G963" s="9" t="s">
        <v>12</v>
      </c>
      <c r="H963" s="9" t="s">
        <v>188</v>
      </c>
      <c r="I963" s="9"/>
      <c r="J963" s="9" t="s">
        <v>1513</v>
      </c>
      <c r="K963" s="9"/>
      <c r="L963" s="9"/>
      <c r="M963" s="9" t="s">
        <v>3430</v>
      </c>
      <c r="N963" s="9"/>
      <c r="O963" s="9" t="s">
        <v>3431</v>
      </c>
      <c r="P963" s="9" t="str">
        <f>HYPERLINK("https://ceds.ed.gov/cedselementdetails.aspx?termid=13451")</f>
        <v>https://ceds.ed.gov/cedselementdetails.aspx?termid=13451</v>
      </c>
      <c r="Q963" s="9" t="str">
        <f>HYPERLINK("https://ceds.ed.gov/elementComment.aspx?elementName=Innovative Dollars Spent &amp;elementID=13451", "Click here to submit comment")</f>
        <v>Click here to submit comment</v>
      </c>
    </row>
    <row r="964" spans="1:17" ht="45" x14ac:dyDescent="0.25">
      <c r="A964" s="9" t="s">
        <v>6811</v>
      </c>
      <c r="B964" s="9" t="s">
        <v>6820</v>
      </c>
      <c r="C964" s="9" t="s">
        <v>6817</v>
      </c>
      <c r="D964" s="9" t="s">
        <v>6742</v>
      </c>
      <c r="E964" s="9" t="s">
        <v>3432</v>
      </c>
      <c r="F964" s="9" t="s">
        <v>3433</v>
      </c>
      <c r="G964" s="9" t="s">
        <v>12</v>
      </c>
      <c r="H964" s="9" t="s">
        <v>188</v>
      </c>
      <c r="I964" s="9"/>
      <c r="J964" s="9" t="s">
        <v>1513</v>
      </c>
      <c r="K964" s="9"/>
      <c r="L964" s="9"/>
      <c r="M964" s="9" t="s">
        <v>3434</v>
      </c>
      <c r="N964" s="9"/>
      <c r="O964" s="9" t="s">
        <v>3435</v>
      </c>
      <c r="P964" s="9" t="str">
        <f>HYPERLINK("https://ceds.ed.gov/cedselementdetails.aspx?termid=13452")</f>
        <v>https://ceds.ed.gov/cedselementdetails.aspx?termid=13452</v>
      </c>
      <c r="Q964" s="9" t="str">
        <f>HYPERLINK("https://ceds.ed.gov/elementComment.aspx?elementName=Innovative Dollars Spent on Strategic Priorities &amp;elementID=13452", "Click here to submit comment")</f>
        <v>Click here to submit comment</v>
      </c>
    </row>
    <row r="965" spans="1:17" ht="60" x14ac:dyDescent="0.25">
      <c r="A965" s="9" t="s">
        <v>6811</v>
      </c>
      <c r="B965" s="9" t="s">
        <v>6820</v>
      </c>
      <c r="C965" s="9" t="s">
        <v>6817</v>
      </c>
      <c r="D965" s="9" t="s">
        <v>6742</v>
      </c>
      <c r="E965" s="9" t="s">
        <v>4128</v>
      </c>
      <c r="F965" s="9" t="s">
        <v>4129</v>
      </c>
      <c r="G965" s="9" t="s">
        <v>6106</v>
      </c>
      <c r="H965" s="9" t="s">
        <v>188</v>
      </c>
      <c r="I965" s="9"/>
      <c r="J965" s="9"/>
      <c r="K965" s="9"/>
      <c r="L965" s="9"/>
      <c r="M965" s="9" t="s">
        <v>4130</v>
      </c>
      <c r="N965" s="9" t="s">
        <v>4131</v>
      </c>
      <c r="O965" s="9" t="s">
        <v>4132</v>
      </c>
      <c r="P965" s="9" t="str">
        <f>HYPERLINK("https://ceds.ed.gov/cedselementdetails.aspx?termid=13436")</f>
        <v>https://ceds.ed.gov/cedselementdetails.aspx?termid=13436</v>
      </c>
      <c r="Q965" s="9" t="str">
        <f>HYPERLINK("https://ceds.ed.gov/elementComment.aspx?elementName=Local Education Agency Transferability of Funds &amp;elementID=13436", "Click here to submit comment")</f>
        <v>Click here to submit comment</v>
      </c>
    </row>
    <row r="966" spans="1:17" ht="60" x14ac:dyDescent="0.25">
      <c r="A966" s="9" t="s">
        <v>6811</v>
      </c>
      <c r="B966" s="9" t="s">
        <v>6820</v>
      </c>
      <c r="C966" s="9" t="s">
        <v>6817</v>
      </c>
      <c r="D966" s="9" t="s">
        <v>6742</v>
      </c>
      <c r="E966" s="9" t="s">
        <v>4095</v>
      </c>
      <c r="F966" s="9" t="s">
        <v>4096</v>
      </c>
      <c r="G966" s="10" t="s">
        <v>6604</v>
      </c>
      <c r="H966" s="9" t="s">
        <v>188</v>
      </c>
      <c r="I966" s="9"/>
      <c r="J966" s="9"/>
      <c r="K966" s="9"/>
      <c r="L966" s="9"/>
      <c r="M966" s="9" t="s">
        <v>4098</v>
      </c>
      <c r="N966" s="9" t="s">
        <v>4099</v>
      </c>
      <c r="O966" s="9" t="s">
        <v>4100</v>
      </c>
      <c r="P966" s="9" t="str">
        <f>HYPERLINK("https://ceds.ed.gov/cedselementdetails.aspx?termid=13441")</f>
        <v>https://ceds.ed.gov/cedselementdetails.aspx?termid=13441</v>
      </c>
      <c r="Q966" s="9" t="str">
        <f>HYPERLINK("https://ceds.ed.gov/elementComment.aspx?elementName=Local Education Agency Funds Transfer Type &amp;elementID=13441", "Click here to submit comment")</f>
        <v>Click here to submit comment</v>
      </c>
    </row>
    <row r="967" spans="1:17" ht="60" x14ac:dyDescent="0.25">
      <c r="A967" s="9" t="s">
        <v>6811</v>
      </c>
      <c r="B967" s="9" t="s">
        <v>6820</v>
      </c>
      <c r="C967" s="9" t="s">
        <v>6817</v>
      </c>
      <c r="D967" s="9" t="s">
        <v>6742</v>
      </c>
      <c r="E967" s="9" t="s">
        <v>4998</v>
      </c>
      <c r="F967" s="9" t="s">
        <v>4999</v>
      </c>
      <c r="G967" s="9" t="s">
        <v>12</v>
      </c>
      <c r="H967" s="9" t="s">
        <v>199</v>
      </c>
      <c r="I967" s="9"/>
      <c r="J967" s="9" t="s">
        <v>1513</v>
      </c>
      <c r="K967" s="9"/>
      <c r="L967" s="9"/>
      <c r="M967" s="9" t="s">
        <v>5000</v>
      </c>
      <c r="N967" s="9"/>
      <c r="O967" s="9" t="s">
        <v>5001</v>
      </c>
      <c r="P967" s="9" t="str">
        <f>HYPERLINK("https://ceds.ed.gov/cedselementdetails.aspx?termid=13560")</f>
        <v>https://ceds.ed.gov/cedselementdetails.aspx?termid=13560</v>
      </c>
      <c r="Q967" s="9" t="str">
        <f>HYPERLINK("https://ceds.ed.gov/elementComment.aspx?elementName=Public School Choice Funds Spent &amp;elementID=13560", "Click here to submit comment")</f>
        <v>Click here to submit comment</v>
      </c>
    </row>
    <row r="968" spans="1:17" ht="105" x14ac:dyDescent="0.25">
      <c r="A968" s="9" t="s">
        <v>6811</v>
      </c>
      <c r="B968" s="9" t="s">
        <v>6820</v>
      </c>
      <c r="C968" s="9" t="s">
        <v>6817</v>
      </c>
      <c r="D968" s="9" t="s">
        <v>6742</v>
      </c>
      <c r="E968" s="9" t="s">
        <v>5359</v>
      </c>
      <c r="F968" s="9" t="s">
        <v>5360</v>
      </c>
      <c r="G968" s="9" t="s">
        <v>12</v>
      </c>
      <c r="H968" s="9" t="s">
        <v>188</v>
      </c>
      <c r="I968" s="9"/>
      <c r="J968" s="9" t="s">
        <v>10496</v>
      </c>
      <c r="K968" s="9"/>
      <c r="L968" s="9"/>
      <c r="M968" s="9" t="s">
        <v>5361</v>
      </c>
      <c r="N968" s="9"/>
      <c r="O968" s="9" t="s">
        <v>5362</v>
      </c>
      <c r="P968" s="9" t="str">
        <f>HYPERLINK("https://ceds.ed.gov/cedselementdetails.aspx?termid=13470")</f>
        <v>https://ceds.ed.gov/cedselementdetails.aspx?termid=13470</v>
      </c>
      <c r="Q968" s="9" t="str">
        <f>HYPERLINK("https://ceds.ed.gov/elementComment.aspx?elementName=School Improvement Reserved Funds Percentage &amp;elementID=13470", "Click here to submit comment")</f>
        <v>Click here to submit comment</v>
      </c>
    </row>
    <row r="969" spans="1:17" ht="45" x14ac:dyDescent="0.25">
      <c r="A969" s="9" t="s">
        <v>6811</v>
      </c>
      <c r="B969" s="9" t="s">
        <v>6820</v>
      </c>
      <c r="C969" s="9" t="s">
        <v>6817</v>
      </c>
      <c r="D969" s="9" t="s">
        <v>6742</v>
      </c>
      <c r="E969" s="9" t="s">
        <v>5343</v>
      </c>
      <c r="F969" s="9" t="s">
        <v>5344</v>
      </c>
      <c r="G969" s="9" t="s">
        <v>12</v>
      </c>
      <c r="H969" s="9" t="s">
        <v>188</v>
      </c>
      <c r="I969" s="9"/>
      <c r="J969" s="9" t="s">
        <v>1513</v>
      </c>
      <c r="K969" s="9"/>
      <c r="L969" s="9"/>
      <c r="M969" s="9" t="s">
        <v>5345</v>
      </c>
      <c r="N969" s="9"/>
      <c r="O969" s="9" t="s">
        <v>5346</v>
      </c>
      <c r="P969" s="9" t="str">
        <f>HYPERLINK("https://ceds.ed.gov/cedselementdetails.aspx?termid=13471")</f>
        <v>https://ceds.ed.gov/cedselementdetails.aspx?termid=13471</v>
      </c>
      <c r="Q969" s="9" t="str">
        <f>HYPERLINK("https://ceds.ed.gov/elementComment.aspx?elementName=School Improvement Allocation &amp;elementID=13471", "Click here to submit comment")</f>
        <v>Click here to submit comment</v>
      </c>
    </row>
    <row r="970" spans="1:17" ht="75" x14ac:dyDescent="0.25">
      <c r="A970" s="9" t="s">
        <v>6811</v>
      </c>
      <c r="B970" s="9" t="s">
        <v>6820</v>
      </c>
      <c r="C970" s="9" t="s">
        <v>6817</v>
      </c>
      <c r="D970" s="9" t="s">
        <v>6742</v>
      </c>
      <c r="E970" s="9" t="s">
        <v>5757</v>
      </c>
      <c r="F970" s="9" t="s">
        <v>5758</v>
      </c>
      <c r="G970" s="9" t="s">
        <v>12</v>
      </c>
      <c r="H970" s="9" t="s">
        <v>199</v>
      </c>
      <c r="I970" s="9"/>
      <c r="J970" s="9" t="s">
        <v>1513</v>
      </c>
      <c r="K970" s="9"/>
      <c r="L970" s="9"/>
      <c r="M970" s="9" t="s">
        <v>5759</v>
      </c>
      <c r="N970" s="9" t="s">
        <v>5760</v>
      </c>
      <c r="O970" s="9" t="s">
        <v>5761</v>
      </c>
      <c r="P970" s="9" t="str">
        <f>HYPERLINK("https://ceds.ed.gov/cedselementdetails.aspx?termid=13559")</f>
        <v>https://ceds.ed.gov/cedselementdetails.aspx?termid=13559</v>
      </c>
      <c r="Q970" s="9" t="str">
        <f>HYPERLINK("https://ceds.ed.gov/elementComment.aspx?elementName=Supplemental Educational Services Funds Spent &amp;elementID=13559", "Click here to submit comment")</f>
        <v>Click here to submit comment</v>
      </c>
    </row>
    <row r="971" spans="1:17" ht="60" x14ac:dyDescent="0.25">
      <c r="A971" s="9" t="s">
        <v>6811</v>
      </c>
      <c r="B971" s="9" t="s">
        <v>6820</v>
      </c>
      <c r="C971" s="9" t="s">
        <v>6817</v>
      </c>
      <c r="D971" s="9" t="s">
        <v>6742</v>
      </c>
      <c r="E971" s="9" t="s">
        <v>5762</v>
      </c>
      <c r="F971" s="9" t="s">
        <v>5763</v>
      </c>
      <c r="G971" s="9" t="s">
        <v>12</v>
      </c>
      <c r="H971" s="9" t="s">
        <v>199</v>
      </c>
      <c r="I971" s="9"/>
      <c r="J971" s="9" t="s">
        <v>1513</v>
      </c>
      <c r="K971" s="9"/>
      <c r="L971" s="9"/>
      <c r="M971" s="9" t="s">
        <v>5764</v>
      </c>
      <c r="N971" s="9" t="s">
        <v>5765</v>
      </c>
      <c r="O971" s="9" t="s">
        <v>5766</v>
      </c>
      <c r="P971" s="9" t="str">
        <f>HYPERLINK("https://ceds.ed.gov/cedselementdetails.aspx?termid=13567")</f>
        <v>https://ceds.ed.gov/cedselementdetails.aspx?termid=13567</v>
      </c>
      <c r="Q971" s="9" t="str">
        <f>HYPERLINK("https://ceds.ed.gov/elementComment.aspx?elementName=Supplemental Educational Services Per Pupil Expenditure &amp;elementID=13567", "Click here to submit comment")</f>
        <v>Click here to submit comment</v>
      </c>
    </row>
    <row r="972" spans="1:17" ht="60" x14ac:dyDescent="0.25">
      <c r="A972" s="9" t="s">
        <v>6811</v>
      </c>
      <c r="B972" s="9" t="s">
        <v>6820</v>
      </c>
      <c r="C972" s="9" t="s">
        <v>6817</v>
      </c>
      <c r="D972" s="9" t="s">
        <v>6742</v>
      </c>
      <c r="E972" s="9" t="s">
        <v>5752</v>
      </c>
      <c r="F972" s="9" t="s">
        <v>5753</v>
      </c>
      <c r="G972" s="9" t="s">
        <v>12</v>
      </c>
      <c r="H972" s="9" t="s">
        <v>199</v>
      </c>
      <c r="I972" s="9"/>
      <c r="J972" s="9" t="s">
        <v>1513</v>
      </c>
      <c r="K972" s="9"/>
      <c r="L972" s="9"/>
      <c r="M972" s="9" t="s">
        <v>5754</v>
      </c>
      <c r="N972" s="9" t="s">
        <v>5755</v>
      </c>
      <c r="O972" s="9" t="s">
        <v>5756</v>
      </c>
      <c r="P972" s="9" t="str">
        <f>HYPERLINK("https://ceds.ed.gov/cedselementdetails.aspx?termid=13566")</f>
        <v>https://ceds.ed.gov/cedselementdetails.aspx?termid=13566</v>
      </c>
      <c r="Q972" s="9" t="str">
        <f>HYPERLINK("https://ceds.ed.gov/elementComment.aspx?elementName=Supplemental Education Services Public School Choice Twenty Percent Obligation &amp;elementID=13566", "Click here to submit comment")</f>
        <v>Click here to submit comment</v>
      </c>
    </row>
    <row r="973" spans="1:17" ht="195" x14ac:dyDescent="0.25">
      <c r="A973" s="9" t="s">
        <v>6811</v>
      </c>
      <c r="B973" s="9" t="s">
        <v>6820</v>
      </c>
      <c r="C973" s="9" t="s">
        <v>6817</v>
      </c>
      <c r="D973" s="9" t="s">
        <v>6742</v>
      </c>
      <c r="E973" s="9" t="s">
        <v>6003</v>
      </c>
      <c r="F973" s="9" t="s">
        <v>6004</v>
      </c>
      <c r="G973" s="10" t="s">
        <v>11910</v>
      </c>
      <c r="H973" s="9" t="s">
        <v>188</v>
      </c>
      <c r="I973" s="9" t="s">
        <v>91</v>
      </c>
      <c r="J973" s="9"/>
      <c r="K973" s="9"/>
      <c r="L973" s="9"/>
      <c r="M973" s="9" t="s">
        <v>6005</v>
      </c>
      <c r="N973" s="9" t="s">
        <v>6006</v>
      </c>
      <c r="O973" s="9" t="s">
        <v>6007</v>
      </c>
      <c r="P973" s="9" t="str">
        <f>HYPERLINK("https://ceds.ed.gov/cedselementdetails.aspx?termid=13477")</f>
        <v>https://ceds.ed.gov/cedselementdetails.aspx?termid=13477</v>
      </c>
      <c r="Q973" s="9" t="str">
        <f>HYPERLINK("https://ceds.ed.gov/elementComment.aspx?elementName=Type of Use of the Rural Low-Income Schools Program &amp;elementID=13477", "Click here to submit comment")</f>
        <v>Click here to submit comment</v>
      </c>
    </row>
    <row r="974" spans="1:17" ht="75" x14ac:dyDescent="0.25">
      <c r="A974" s="9" t="s">
        <v>6811</v>
      </c>
      <c r="B974" s="9" t="s">
        <v>6820</v>
      </c>
      <c r="C974" s="9" t="s">
        <v>6817</v>
      </c>
      <c r="D974" s="9" t="s">
        <v>6742</v>
      </c>
      <c r="E974" s="9" t="s">
        <v>2776</v>
      </c>
      <c r="F974" s="9" t="s">
        <v>2777</v>
      </c>
      <c r="G974" s="9" t="s">
        <v>12</v>
      </c>
      <c r="H974" s="9" t="s">
        <v>199</v>
      </c>
      <c r="I974" s="9"/>
      <c r="J974" s="9" t="s">
        <v>11328</v>
      </c>
      <c r="K974" s="9"/>
      <c r="L974" s="9"/>
      <c r="M974" s="9" t="s">
        <v>2778</v>
      </c>
      <c r="N974" s="9"/>
      <c r="O974" s="9" t="s">
        <v>2779</v>
      </c>
      <c r="P974" s="9" t="str">
        <f>HYPERLINK("https://ceds.ed.gov/cedselementdetails.aspx?termid=13538")</f>
        <v>https://ceds.ed.gov/cedselementdetails.aspx?termid=13538</v>
      </c>
      <c r="Q974" s="9" t="str">
        <f>HYPERLINK("https://ceds.ed.gov/elementComment.aspx?elementName=Federal Program Code &amp;elementID=13538", "Click here to submit comment")</f>
        <v>Click here to submit comment</v>
      </c>
    </row>
    <row r="975" spans="1:17" ht="150" x14ac:dyDescent="0.25">
      <c r="A975" s="9" t="s">
        <v>6811</v>
      </c>
      <c r="B975" s="9" t="s">
        <v>6820</v>
      </c>
      <c r="C975" s="9" t="s">
        <v>6821</v>
      </c>
      <c r="D975" s="9" t="s">
        <v>6742</v>
      </c>
      <c r="E975" s="9" t="s">
        <v>1520</v>
      </c>
      <c r="F975" s="9" t="s">
        <v>1521</v>
      </c>
      <c r="G975" s="10" t="s">
        <v>6391</v>
      </c>
      <c r="H975" s="9" t="s">
        <v>188</v>
      </c>
      <c r="I975" s="9"/>
      <c r="J975" s="9"/>
      <c r="K975" s="9"/>
      <c r="L975" s="9"/>
      <c r="M975" s="9" t="s">
        <v>1523</v>
      </c>
      <c r="N975" s="9"/>
      <c r="O975" s="9" t="s">
        <v>1524</v>
      </c>
      <c r="P975" s="9" t="str">
        <f>HYPERLINK("https://ceds.ed.gov/cedselementdetails.aspx?termid=13439")</f>
        <v>https://ceds.ed.gov/cedselementdetails.aspx?termid=13439</v>
      </c>
      <c r="Q975" s="9" t="str">
        <f>HYPERLINK("https://ceds.ed.gov/elementComment.aspx?elementName=Barrier to Educating Homeless &amp;elementID=13439", "Click here to submit comment")</f>
        <v>Click here to submit comment</v>
      </c>
    </row>
    <row r="976" spans="1:17" ht="75" x14ac:dyDescent="0.25">
      <c r="A976" s="9" t="s">
        <v>6811</v>
      </c>
      <c r="B976" s="9" t="s">
        <v>6820</v>
      </c>
      <c r="C976" s="9" t="s">
        <v>6821</v>
      </c>
      <c r="D976" s="9" t="s">
        <v>6742</v>
      </c>
      <c r="E976" s="9" t="s">
        <v>2238</v>
      </c>
      <c r="F976" s="9" t="s">
        <v>2239</v>
      </c>
      <c r="G976" s="9" t="s">
        <v>6106</v>
      </c>
      <c r="H976" s="9" t="s">
        <v>4</v>
      </c>
      <c r="I976" s="9"/>
      <c r="J976" s="9"/>
      <c r="K976" s="9"/>
      <c r="L976" s="9"/>
      <c r="M976" s="9" t="s">
        <v>2240</v>
      </c>
      <c r="N976" s="9"/>
      <c r="O976" s="9" t="s">
        <v>2241</v>
      </c>
      <c r="P976" s="9" t="str">
        <f>HYPERLINK("https://ceds.ed.gov/cedselementdetails.aspx?termid=13080")</f>
        <v>https://ceds.ed.gov/cedselementdetails.aspx?termid=13080</v>
      </c>
      <c r="Q976" s="9" t="str">
        <f>HYPERLINK("https://ceds.ed.gov/elementComment.aspx?elementName=Desegregation Order or Plan &amp;elementID=13080", "Click here to submit comment")</f>
        <v>Click here to submit comment</v>
      </c>
    </row>
    <row r="977" spans="1:17" ht="60" x14ac:dyDescent="0.25">
      <c r="A977" s="9" t="s">
        <v>6811</v>
      </c>
      <c r="B977" s="9" t="s">
        <v>6820</v>
      </c>
      <c r="C977" s="9" t="s">
        <v>6821</v>
      </c>
      <c r="D977" s="9" t="s">
        <v>6742</v>
      </c>
      <c r="E977" s="9" t="s">
        <v>3081</v>
      </c>
      <c r="F977" s="9" t="s">
        <v>3082</v>
      </c>
      <c r="G977" s="9" t="s">
        <v>6106</v>
      </c>
      <c r="H977" s="9" t="s">
        <v>4</v>
      </c>
      <c r="I977" s="9"/>
      <c r="J977" s="9"/>
      <c r="K977" s="9"/>
      <c r="L977" s="9"/>
      <c r="M977" s="9" t="s">
        <v>3083</v>
      </c>
      <c r="N977" s="9"/>
      <c r="O977" s="9" t="s">
        <v>3084</v>
      </c>
      <c r="P977" s="9" t="str">
        <f>HYPERLINK("https://ceds.ed.gov/cedselementdetails.aspx?termid=13135")</f>
        <v>https://ceds.ed.gov/cedselementdetails.aspx?termid=13135</v>
      </c>
      <c r="Q977" s="9" t="str">
        <f>HYPERLINK("https://ceds.ed.gov/elementComment.aspx?elementName=Harassment or Bullying Policy Status &amp;elementID=13135", "Click here to submit comment")</f>
        <v>Click here to submit comment</v>
      </c>
    </row>
    <row r="978" spans="1:17" ht="90" x14ac:dyDescent="0.25">
      <c r="A978" s="9" t="s">
        <v>6811</v>
      </c>
      <c r="B978" s="9" t="s">
        <v>6820</v>
      </c>
      <c r="C978" s="9" t="s">
        <v>6821</v>
      </c>
      <c r="D978" s="9" t="s">
        <v>6742</v>
      </c>
      <c r="E978" s="9" t="s">
        <v>3500</v>
      </c>
      <c r="F978" s="9" t="s">
        <v>3501</v>
      </c>
      <c r="G978" s="10" t="s">
        <v>6565</v>
      </c>
      <c r="H978" s="9" t="s">
        <v>199</v>
      </c>
      <c r="I978" s="9"/>
      <c r="J978" s="9"/>
      <c r="K978" s="9"/>
      <c r="L978" s="9"/>
      <c r="M978" s="9" t="s">
        <v>3502</v>
      </c>
      <c r="N978" s="9"/>
      <c r="O978" s="9" t="s">
        <v>3503</v>
      </c>
      <c r="P978" s="9" t="str">
        <f>HYPERLINK("https://ceds.ed.gov/cedselementdetails.aspx?termid=13170")</f>
        <v>https://ceds.ed.gov/cedselementdetails.aspx?termid=13170</v>
      </c>
      <c r="Q978" s="9" t="str">
        <f>HYPERLINK("https://ceds.ed.gov/elementComment.aspx?elementName=Integrated Technology Status &amp;elementID=13170", "Click here to submit comment")</f>
        <v>Click here to submit comment</v>
      </c>
    </row>
    <row r="979" spans="1:17" ht="105" x14ac:dyDescent="0.25">
      <c r="A979" s="9" t="s">
        <v>6811</v>
      </c>
      <c r="B979" s="9" t="s">
        <v>6820</v>
      </c>
      <c r="C979" s="9" t="s">
        <v>6821</v>
      </c>
      <c r="D979" s="9" t="s">
        <v>6742</v>
      </c>
      <c r="E979" s="9" t="s">
        <v>5244</v>
      </c>
      <c r="F979" s="9" t="s">
        <v>5245</v>
      </c>
      <c r="G979" s="10" t="s">
        <v>6340</v>
      </c>
      <c r="H979" s="9" t="s">
        <v>199</v>
      </c>
      <c r="I979" s="9"/>
      <c r="J979" s="9"/>
      <c r="K979" s="9"/>
      <c r="L979" s="9"/>
      <c r="M979" s="9" t="s">
        <v>5246</v>
      </c>
      <c r="N979" s="9" t="s">
        <v>5247</v>
      </c>
      <c r="O979" s="9" t="s">
        <v>5248</v>
      </c>
      <c r="P979" s="9" t="str">
        <f>HYPERLINK("https://ceds.ed.gov/cedselementdetails.aspx?termid=13552")</f>
        <v>https://ceds.ed.gov/cedselementdetails.aspx?termid=13552</v>
      </c>
      <c r="Q979" s="9" t="str">
        <f>HYPERLINK("https://ceds.ed.gov/elementComment.aspx?elementName=Rural Education Achievement Program Alternative Funding Status &amp;elementID=13552", "Click here to submit comment")</f>
        <v>Click here to submit comment</v>
      </c>
    </row>
    <row r="980" spans="1:17" ht="120" x14ac:dyDescent="0.25">
      <c r="A980" s="9" t="s">
        <v>6811</v>
      </c>
      <c r="B980" s="9" t="s">
        <v>6820</v>
      </c>
      <c r="C980" s="9" t="s">
        <v>6821</v>
      </c>
      <c r="D980" s="9" t="s">
        <v>6742</v>
      </c>
      <c r="E980" s="9" t="s">
        <v>5671</v>
      </c>
      <c r="F980" s="9" t="s">
        <v>5672</v>
      </c>
      <c r="G980" s="9" t="s">
        <v>12</v>
      </c>
      <c r="H980" s="9" t="s">
        <v>188</v>
      </c>
      <c r="I980" s="9"/>
      <c r="J980" s="9" t="s">
        <v>10496</v>
      </c>
      <c r="K980" s="9"/>
      <c r="L980" s="9"/>
      <c r="M980" s="9" t="s">
        <v>5673</v>
      </c>
      <c r="N980" s="9"/>
      <c r="O980" s="9" t="s">
        <v>5674</v>
      </c>
      <c r="P980" s="9" t="str">
        <f>HYPERLINK("https://ceds.ed.gov/cedselementdetails.aspx?termid=13444")</f>
        <v>https://ceds.ed.gov/cedselementdetails.aspx?termid=13444</v>
      </c>
      <c r="Q980" s="9" t="str">
        <f>HYPERLINK("https://ceds.ed.gov/elementComment.aspx?elementName=State Assessment Administration Funding &amp;elementID=13444", "Click here to submit comment")</f>
        <v>Click here to submit comment</v>
      </c>
    </row>
    <row r="981" spans="1:17" ht="60" x14ac:dyDescent="0.25">
      <c r="A981" s="9" t="s">
        <v>6811</v>
      </c>
      <c r="B981" s="9" t="s">
        <v>6820</v>
      </c>
      <c r="C981" s="9" t="s">
        <v>6821</v>
      </c>
      <c r="D981" s="9" t="s">
        <v>6742</v>
      </c>
      <c r="E981" s="9" t="s">
        <v>5675</v>
      </c>
      <c r="F981" s="9" t="s">
        <v>5676</v>
      </c>
      <c r="G981" s="9" t="s">
        <v>12</v>
      </c>
      <c r="H981" s="9" t="s">
        <v>6288</v>
      </c>
      <c r="I981" s="9"/>
      <c r="J981" s="9" t="s">
        <v>10496</v>
      </c>
      <c r="K981" s="9"/>
      <c r="L981" s="9"/>
      <c r="M981" s="9" t="s">
        <v>5677</v>
      </c>
      <c r="N981" s="9"/>
      <c r="O981" s="9" t="s">
        <v>5678</v>
      </c>
      <c r="P981" s="9" t="str">
        <f>HYPERLINK("https://ceds.ed.gov/cedselementdetails.aspx?termid=13443")</f>
        <v>https://ceds.ed.gov/cedselementdetails.aspx?termid=13443</v>
      </c>
      <c r="Q981" s="9" t="str">
        <f>HYPERLINK("https://ceds.ed.gov/elementComment.aspx?elementName=State Assessment Standards Funding &amp;elementID=13443", "Click here to submit comment")</f>
        <v>Click here to submit comment</v>
      </c>
    </row>
    <row r="982" spans="1:17" ht="45" x14ac:dyDescent="0.25">
      <c r="A982" s="9" t="s">
        <v>6811</v>
      </c>
      <c r="B982" s="9" t="s">
        <v>6820</v>
      </c>
      <c r="C982" s="9" t="s">
        <v>6821</v>
      </c>
      <c r="D982" s="9" t="s">
        <v>6742</v>
      </c>
      <c r="E982" s="9" t="s">
        <v>5862</v>
      </c>
      <c r="F982" s="9" t="s">
        <v>5863</v>
      </c>
      <c r="G982" s="9" t="s">
        <v>6106</v>
      </c>
      <c r="H982" s="9" t="s">
        <v>188</v>
      </c>
      <c r="I982" s="9"/>
      <c r="J982" s="9"/>
      <c r="K982" s="9"/>
      <c r="L982" s="9"/>
      <c r="M982" s="9" t="s">
        <v>5864</v>
      </c>
      <c r="N982" s="9"/>
      <c r="O982" s="9" t="s">
        <v>5865</v>
      </c>
      <c r="P982" s="9" t="str">
        <f>HYPERLINK("https://ceds.ed.gov/cedselementdetails.aspx?termid=13473")</f>
        <v>https://ceds.ed.gov/cedselementdetails.aspx?termid=13473</v>
      </c>
      <c r="Q982" s="9" t="str">
        <f>HYPERLINK("https://ceds.ed.gov/elementComment.aspx?elementName=Terminated Title III Programs Due to Failure &amp;elementID=13473", "Click here to submit comment")</f>
        <v>Click here to submit comment</v>
      </c>
    </row>
    <row r="983" spans="1:17" ht="75" x14ac:dyDescent="0.25">
      <c r="A983" s="9" t="s">
        <v>6811</v>
      </c>
      <c r="B983" s="9" t="s">
        <v>6820</v>
      </c>
      <c r="C983" s="9" t="s">
        <v>6821</v>
      </c>
      <c r="D983" s="9" t="s">
        <v>6742</v>
      </c>
      <c r="E983" s="9" t="s">
        <v>3524</v>
      </c>
      <c r="F983" s="9" t="s">
        <v>3525</v>
      </c>
      <c r="G983" s="9" t="s">
        <v>12</v>
      </c>
      <c r="H983" s="9"/>
      <c r="I983" s="9"/>
      <c r="J983" s="9" t="s">
        <v>10489</v>
      </c>
      <c r="K983" s="9"/>
      <c r="L983" s="9"/>
      <c r="M983" s="9" t="s">
        <v>3526</v>
      </c>
      <c r="N983" s="9"/>
      <c r="O983" s="9" t="s">
        <v>3527</v>
      </c>
      <c r="P983" s="9" t="str">
        <f>HYPERLINK("https://ceds.ed.gov/cedselementdetails.aspx?termid=13660")</f>
        <v>https://ceds.ed.gov/cedselementdetails.aspx?termid=13660</v>
      </c>
      <c r="Q983" s="9" t="str">
        <f>HYPERLINK("https://ceds.ed.gov/elementComment.aspx?elementName=Interscholastic Sports - Male Only &amp;elementID=13660", "Click here to submit comment")</f>
        <v>Click here to submit comment</v>
      </c>
    </row>
    <row r="984" spans="1:17" ht="90" x14ac:dyDescent="0.25">
      <c r="A984" s="9" t="s">
        <v>6811</v>
      </c>
      <c r="B984" s="9" t="s">
        <v>6820</v>
      </c>
      <c r="C984" s="9" t="s">
        <v>6821</v>
      </c>
      <c r="D984" s="9" t="s">
        <v>6742</v>
      </c>
      <c r="E984" s="9" t="s">
        <v>3520</v>
      </c>
      <c r="F984" s="9" t="s">
        <v>3521</v>
      </c>
      <c r="G984" s="9" t="s">
        <v>12</v>
      </c>
      <c r="H984" s="9"/>
      <c r="I984" s="9"/>
      <c r="J984" s="9" t="s">
        <v>10489</v>
      </c>
      <c r="K984" s="9"/>
      <c r="L984" s="9"/>
      <c r="M984" s="9" t="s">
        <v>3522</v>
      </c>
      <c r="N984" s="9"/>
      <c r="O984" s="9" t="s">
        <v>3523</v>
      </c>
      <c r="P984" s="9" t="str">
        <f>HYPERLINK("https://ceds.ed.gov/cedselementdetails.aspx?termid=13661")</f>
        <v>https://ceds.ed.gov/cedselementdetails.aspx?termid=13661</v>
      </c>
      <c r="Q984" s="9" t="str">
        <f>HYPERLINK("https://ceds.ed.gov/elementComment.aspx?elementName=Interscholastic Sports - Female Only &amp;elementID=13661", "Click here to submit comment")</f>
        <v>Click here to submit comment</v>
      </c>
    </row>
    <row r="985" spans="1:17" ht="105" x14ac:dyDescent="0.25">
      <c r="A985" s="9" t="s">
        <v>6811</v>
      </c>
      <c r="B985" s="9" t="s">
        <v>6820</v>
      </c>
      <c r="C985" s="9" t="s">
        <v>6821</v>
      </c>
      <c r="D985" s="9" t="s">
        <v>6742</v>
      </c>
      <c r="E985" s="9" t="s">
        <v>3532</v>
      </c>
      <c r="F985" s="9" t="s">
        <v>3533</v>
      </c>
      <c r="G985" s="9" t="s">
        <v>12</v>
      </c>
      <c r="H985" s="9"/>
      <c r="I985" s="9"/>
      <c r="J985" s="9" t="s">
        <v>10489</v>
      </c>
      <c r="K985" s="9"/>
      <c r="L985" s="9"/>
      <c r="M985" s="9" t="s">
        <v>3534</v>
      </c>
      <c r="N985" s="9"/>
      <c r="O985" s="9" t="s">
        <v>3535</v>
      </c>
      <c r="P985" s="9" t="str">
        <f>HYPERLINK("https://ceds.ed.gov/cedselementdetails.aspx?termid=13662")</f>
        <v>https://ceds.ed.gov/cedselementdetails.aspx?termid=13662</v>
      </c>
      <c r="Q985" s="9" t="str">
        <f>HYPERLINK("https://ceds.ed.gov/elementComment.aspx?elementName=Interscholastic Teams - Male Only &amp;elementID=13662", "Click here to submit comment")</f>
        <v>Click here to submit comment</v>
      </c>
    </row>
    <row r="986" spans="1:17" ht="105" x14ac:dyDescent="0.25">
      <c r="A986" s="9" t="s">
        <v>6811</v>
      </c>
      <c r="B986" s="9" t="s">
        <v>6820</v>
      </c>
      <c r="C986" s="9" t="s">
        <v>6821</v>
      </c>
      <c r="D986" s="9" t="s">
        <v>6742</v>
      </c>
      <c r="E986" s="9" t="s">
        <v>3528</v>
      </c>
      <c r="F986" s="9" t="s">
        <v>3529</v>
      </c>
      <c r="G986" s="9" t="s">
        <v>12</v>
      </c>
      <c r="H986" s="9"/>
      <c r="I986" s="9"/>
      <c r="J986" s="9" t="s">
        <v>10489</v>
      </c>
      <c r="K986" s="9"/>
      <c r="L986" s="9"/>
      <c r="M986" s="9" t="s">
        <v>3530</v>
      </c>
      <c r="N986" s="9"/>
      <c r="O986" s="9" t="s">
        <v>3531</v>
      </c>
      <c r="P986" s="9" t="str">
        <f>HYPERLINK("https://ceds.ed.gov/cedselementdetails.aspx?termid=13663")</f>
        <v>https://ceds.ed.gov/cedselementdetails.aspx?termid=13663</v>
      </c>
      <c r="Q986" s="9" t="str">
        <f>HYPERLINK("https://ceds.ed.gov/elementComment.aspx?elementName=Interscholastic Teams - Female Only &amp;elementID=13663", "Click here to submit comment")</f>
        <v>Click here to submit comment</v>
      </c>
    </row>
    <row r="987" spans="1:17" ht="60" x14ac:dyDescent="0.25">
      <c r="A987" s="9" t="s">
        <v>6811</v>
      </c>
      <c r="B987" s="9" t="s">
        <v>6820</v>
      </c>
      <c r="C987" s="9" t="s">
        <v>6821</v>
      </c>
      <c r="D987" s="9" t="s">
        <v>6742</v>
      </c>
      <c r="E987" s="9" t="s">
        <v>3516</v>
      </c>
      <c r="F987" s="9" t="s">
        <v>3517</v>
      </c>
      <c r="G987" s="9" t="s">
        <v>12</v>
      </c>
      <c r="H987" s="9"/>
      <c r="I987" s="9"/>
      <c r="J987" s="9" t="s">
        <v>10489</v>
      </c>
      <c r="K987" s="9"/>
      <c r="L987" s="9"/>
      <c r="M987" s="9" t="s">
        <v>3518</v>
      </c>
      <c r="N987" s="9"/>
      <c r="O987" s="9" t="s">
        <v>3519</v>
      </c>
      <c r="P987" s="9" t="str">
        <f>HYPERLINK("https://ceds.ed.gov/cedselementdetails.aspx?termid=13664")</f>
        <v>https://ceds.ed.gov/cedselementdetails.aspx?termid=13664</v>
      </c>
      <c r="Q987" s="9" t="str">
        <f>HYPERLINK("https://ceds.ed.gov/elementComment.aspx?elementName=Interscholastic Sport Participants - Male Only &amp;elementID=13664", "Click here to submit comment")</f>
        <v>Click here to submit comment</v>
      </c>
    </row>
    <row r="988" spans="1:17" ht="60" x14ac:dyDescent="0.25">
      <c r="A988" s="9" t="s">
        <v>6811</v>
      </c>
      <c r="B988" s="9" t="s">
        <v>6820</v>
      </c>
      <c r="C988" s="9" t="s">
        <v>6821</v>
      </c>
      <c r="D988" s="9" t="s">
        <v>6742</v>
      </c>
      <c r="E988" s="9" t="s">
        <v>3512</v>
      </c>
      <c r="F988" s="9" t="s">
        <v>3513</v>
      </c>
      <c r="G988" s="9" t="s">
        <v>12</v>
      </c>
      <c r="H988" s="9"/>
      <c r="I988" s="9"/>
      <c r="J988" s="9" t="s">
        <v>10489</v>
      </c>
      <c r="K988" s="9"/>
      <c r="L988" s="9"/>
      <c r="M988" s="9" t="s">
        <v>3514</v>
      </c>
      <c r="N988" s="9"/>
      <c r="O988" s="9" t="s">
        <v>3515</v>
      </c>
      <c r="P988" s="9" t="str">
        <f>HYPERLINK("https://ceds.ed.gov/cedselementdetails.aspx?termid=13665")</f>
        <v>https://ceds.ed.gov/cedselementdetails.aspx?termid=13665</v>
      </c>
      <c r="Q988" s="9" t="str">
        <f>HYPERLINK("https://ceds.ed.gov/elementComment.aspx?elementName=Interscholastic Sport Participants - Female Only &amp;elementID=13665", "Click here to submit comment")</f>
        <v>Click here to submit comment</v>
      </c>
    </row>
    <row r="989" spans="1:17" ht="60" x14ac:dyDescent="0.25">
      <c r="A989" s="9" t="s">
        <v>6811</v>
      </c>
      <c r="B989" s="9" t="s">
        <v>6820</v>
      </c>
      <c r="C989" s="9" t="s">
        <v>6822</v>
      </c>
      <c r="D989" s="9" t="s">
        <v>6742</v>
      </c>
      <c r="E989" s="9" t="s">
        <v>5253</v>
      </c>
      <c r="F989" s="9" t="s">
        <v>5254</v>
      </c>
      <c r="G989" s="9" t="s">
        <v>12</v>
      </c>
      <c r="H989" s="9" t="s">
        <v>188</v>
      </c>
      <c r="I989" s="9"/>
      <c r="J989" s="9" t="s">
        <v>92</v>
      </c>
      <c r="K989" s="9"/>
      <c r="L989" s="9"/>
      <c r="M989" s="9" t="s">
        <v>5256</v>
      </c>
      <c r="N989" s="9"/>
      <c r="O989" s="9" t="s">
        <v>5257</v>
      </c>
      <c r="P989" s="9" t="str">
        <f>HYPERLINK("https://ceds.ed.gov/cedselementdetails.aspx?termid=13468")</f>
        <v>https://ceds.ed.gov/cedselementdetails.aspx?termid=13468</v>
      </c>
      <c r="Q989" s="9" t="str">
        <f>HYPERLINK("https://ceds.ed.gov/elementComment.aspx?elementName=Safe and Drug Free Baseline &amp;elementID=13468", "Click here to submit comment")</f>
        <v>Click here to submit comment</v>
      </c>
    </row>
    <row r="990" spans="1:17" ht="45" x14ac:dyDescent="0.25">
      <c r="A990" s="9" t="s">
        <v>6811</v>
      </c>
      <c r="B990" s="9" t="s">
        <v>6820</v>
      </c>
      <c r="C990" s="9" t="s">
        <v>6822</v>
      </c>
      <c r="D990" s="9" t="s">
        <v>6742</v>
      </c>
      <c r="E990" s="9" t="s">
        <v>5258</v>
      </c>
      <c r="F990" s="9" t="s">
        <v>5259</v>
      </c>
      <c r="G990" s="9" t="s">
        <v>12</v>
      </c>
      <c r="H990" s="9" t="s">
        <v>188</v>
      </c>
      <c r="I990" s="9"/>
      <c r="J990" s="9" t="s">
        <v>1165</v>
      </c>
      <c r="K990" s="9"/>
      <c r="L990" s="9"/>
      <c r="M990" s="9" t="s">
        <v>5260</v>
      </c>
      <c r="N990" s="9"/>
      <c r="O990" s="9" t="s">
        <v>5261</v>
      </c>
      <c r="P990" s="9" t="str">
        <f>HYPERLINK("https://ceds.ed.gov/cedselementdetails.aspx?termid=13469")</f>
        <v>https://ceds.ed.gov/cedselementdetails.aspx?termid=13469</v>
      </c>
      <c r="Q990" s="9" t="str">
        <f>HYPERLINK("https://ceds.ed.gov/elementComment.aspx?elementName=Safe and Drug Free Baseline Year &amp;elementID=13469", "Click here to submit comment")</f>
        <v>Click here to submit comment</v>
      </c>
    </row>
    <row r="991" spans="1:17" ht="60" x14ac:dyDescent="0.25">
      <c r="A991" s="9" t="s">
        <v>6811</v>
      </c>
      <c r="B991" s="9" t="s">
        <v>6820</v>
      </c>
      <c r="C991" s="9" t="s">
        <v>6822</v>
      </c>
      <c r="D991" s="9" t="s">
        <v>6742</v>
      </c>
      <c r="E991" s="9" t="s">
        <v>5262</v>
      </c>
      <c r="F991" s="9" t="s">
        <v>5263</v>
      </c>
      <c r="G991" s="9" t="s">
        <v>12</v>
      </c>
      <c r="H991" s="9" t="s">
        <v>188</v>
      </c>
      <c r="I991" s="9"/>
      <c r="J991" s="9" t="s">
        <v>92</v>
      </c>
      <c r="K991" s="9"/>
      <c r="L991" s="9"/>
      <c r="M991" s="9" t="s">
        <v>5264</v>
      </c>
      <c r="N991" s="9"/>
      <c r="O991" s="9" t="s">
        <v>5265</v>
      </c>
      <c r="P991" s="9" t="str">
        <f>HYPERLINK("https://ceds.ed.gov/cedselementdetails.aspx?termid=13463")</f>
        <v>https://ceds.ed.gov/cedselementdetails.aspx?termid=13463</v>
      </c>
      <c r="Q991" s="9" t="str">
        <f>HYPERLINK("https://ceds.ed.gov/elementComment.aspx?elementName=Safe and Drug Free Collection Frequency &amp;elementID=13463", "Click here to submit comment")</f>
        <v>Click here to submit comment</v>
      </c>
    </row>
    <row r="992" spans="1:17" ht="60" x14ac:dyDescent="0.25">
      <c r="A992" s="9" t="s">
        <v>6811</v>
      </c>
      <c r="B992" s="9" t="s">
        <v>6820</v>
      </c>
      <c r="C992" s="9" t="s">
        <v>6822</v>
      </c>
      <c r="D992" s="9" t="s">
        <v>6742</v>
      </c>
      <c r="E992" s="9" t="s">
        <v>5266</v>
      </c>
      <c r="F992" s="9" t="s">
        <v>5267</v>
      </c>
      <c r="G992" s="9" t="s">
        <v>12</v>
      </c>
      <c r="H992" s="9" t="s">
        <v>188</v>
      </c>
      <c r="I992" s="9"/>
      <c r="J992" s="9" t="s">
        <v>92</v>
      </c>
      <c r="K992" s="9"/>
      <c r="L992" s="9"/>
      <c r="M992" s="9" t="s">
        <v>5268</v>
      </c>
      <c r="N992" s="9"/>
      <c r="O992" s="9" t="s">
        <v>5269</v>
      </c>
      <c r="P992" s="9" t="str">
        <f>HYPERLINK("https://ceds.ed.gov/cedselementdetails.aspx?termid=13461")</f>
        <v>https://ceds.ed.gov/cedselementdetails.aspx?termid=13461</v>
      </c>
      <c r="Q992" s="9" t="str">
        <f>HYPERLINK("https://ceds.ed.gov/elementComment.aspx?elementName=Safe and Drug Free Indicator Name &amp;elementID=13461", "Click here to submit comment")</f>
        <v>Click here to submit comment</v>
      </c>
    </row>
    <row r="993" spans="1:17" ht="75" x14ac:dyDescent="0.25">
      <c r="A993" s="9" t="s">
        <v>6811</v>
      </c>
      <c r="B993" s="9" t="s">
        <v>6820</v>
      </c>
      <c r="C993" s="9" t="s">
        <v>6822</v>
      </c>
      <c r="D993" s="9" t="s">
        <v>6742</v>
      </c>
      <c r="E993" s="9" t="s">
        <v>5270</v>
      </c>
      <c r="F993" s="9" t="s">
        <v>5271</v>
      </c>
      <c r="G993" s="9" t="s">
        <v>12</v>
      </c>
      <c r="H993" s="9" t="s">
        <v>188</v>
      </c>
      <c r="I993" s="9"/>
      <c r="J993" s="9" t="s">
        <v>762</v>
      </c>
      <c r="K993" s="9"/>
      <c r="L993" s="9"/>
      <c r="M993" s="9" t="s">
        <v>5272</v>
      </c>
      <c r="N993" s="9"/>
      <c r="O993" s="9" t="s">
        <v>5273</v>
      </c>
      <c r="P993" s="9" t="str">
        <f>HYPERLINK("https://ceds.ed.gov/cedselementdetails.aspx?termid=13462")</f>
        <v>https://ceds.ed.gov/cedselementdetails.aspx?termid=13462</v>
      </c>
      <c r="Q993" s="9" t="str">
        <f>HYPERLINK("https://ceds.ed.gov/elementComment.aspx?elementName=Safe and Drug Free Instrument &amp;elementID=13462", "Click here to submit comment")</f>
        <v>Click here to submit comment</v>
      </c>
    </row>
    <row r="994" spans="1:17" ht="60" x14ac:dyDescent="0.25">
      <c r="A994" s="9" t="s">
        <v>6811</v>
      </c>
      <c r="B994" s="9" t="s">
        <v>6820</v>
      </c>
      <c r="C994" s="9" t="s">
        <v>6822</v>
      </c>
      <c r="D994" s="9" t="s">
        <v>6742</v>
      </c>
      <c r="E994" s="9" t="s">
        <v>5274</v>
      </c>
      <c r="F994" s="9" t="s">
        <v>5275</v>
      </c>
      <c r="G994" s="9" t="s">
        <v>12</v>
      </c>
      <c r="H994" s="9" t="s">
        <v>188</v>
      </c>
      <c r="I994" s="9"/>
      <c r="J994" s="9" t="s">
        <v>1165</v>
      </c>
      <c r="K994" s="9"/>
      <c r="L994" s="9"/>
      <c r="M994" s="9" t="s">
        <v>5276</v>
      </c>
      <c r="N994" s="9"/>
      <c r="O994" s="9" t="s">
        <v>5277</v>
      </c>
      <c r="P994" s="9" t="str">
        <f>HYPERLINK("https://ceds.ed.gov/cedselementdetails.aspx?termid=13466")</f>
        <v>https://ceds.ed.gov/cedselementdetails.aspx?termid=13466</v>
      </c>
      <c r="Q994" s="9" t="str">
        <f>HYPERLINK("https://ceds.ed.gov/elementComment.aspx?elementName=Safe and Drug Free Performance &amp;elementID=13466", "Click here to submit comment")</f>
        <v>Click here to submit comment</v>
      </c>
    </row>
    <row r="995" spans="1:17" ht="60" x14ac:dyDescent="0.25">
      <c r="A995" s="9" t="s">
        <v>6811</v>
      </c>
      <c r="B995" s="9" t="s">
        <v>6820</v>
      </c>
      <c r="C995" s="9" t="s">
        <v>6822</v>
      </c>
      <c r="D995" s="9" t="s">
        <v>6742</v>
      </c>
      <c r="E995" s="9" t="s">
        <v>5278</v>
      </c>
      <c r="F995" s="9" t="s">
        <v>5279</v>
      </c>
      <c r="G995" s="9" t="s">
        <v>12</v>
      </c>
      <c r="H995" s="9" t="s">
        <v>188</v>
      </c>
      <c r="I995" s="9"/>
      <c r="J995" s="9" t="s">
        <v>1165</v>
      </c>
      <c r="K995" s="9"/>
      <c r="L995" s="9"/>
      <c r="M995" s="9" t="s">
        <v>5280</v>
      </c>
      <c r="N995" s="9"/>
      <c r="O995" s="9" t="s">
        <v>5281</v>
      </c>
      <c r="P995" s="9" t="str">
        <f>HYPERLINK("https://ceds.ed.gov/cedselementdetails.aspx?termid=13465")</f>
        <v>https://ceds.ed.gov/cedselementdetails.aspx?termid=13465</v>
      </c>
      <c r="Q995" s="9" t="str">
        <f>HYPERLINK("https://ceds.ed.gov/elementComment.aspx?elementName=Safe and Drug Free Target &amp;elementID=13465", "Click here to submit comment")</f>
        <v>Click here to submit comment</v>
      </c>
    </row>
    <row r="996" spans="1:17" ht="60" x14ac:dyDescent="0.25">
      <c r="A996" s="9" t="s">
        <v>6811</v>
      </c>
      <c r="B996" s="9" t="s">
        <v>6820</v>
      </c>
      <c r="C996" s="9" t="s">
        <v>6822</v>
      </c>
      <c r="D996" s="9" t="s">
        <v>6742</v>
      </c>
      <c r="E996" s="9" t="s">
        <v>5282</v>
      </c>
      <c r="F996" s="9" t="s">
        <v>5283</v>
      </c>
      <c r="G996" s="9" t="s">
        <v>12</v>
      </c>
      <c r="H996" s="9" t="s">
        <v>188</v>
      </c>
      <c r="I996" s="9"/>
      <c r="J996" s="9" t="s">
        <v>1165</v>
      </c>
      <c r="K996" s="9"/>
      <c r="L996" s="9"/>
      <c r="M996" s="9" t="s">
        <v>5284</v>
      </c>
      <c r="N996" s="9"/>
      <c r="O996" s="9" t="s">
        <v>5285</v>
      </c>
      <c r="P996" s="9" t="str">
        <f>HYPERLINK("https://ceds.ed.gov/cedselementdetails.aspx?termid=13464")</f>
        <v>https://ceds.ed.gov/cedselementdetails.aspx?termid=13464</v>
      </c>
      <c r="Q996" s="9" t="str">
        <f>HYPERLINK("https://ceds.ed.gov/elementComment.aspx?elementName=Safe and Drug Free Year Most Recent Collection &amp;elementID=13464", "Click here to submit comment")</f>
        <v>Click here to submit comment</v>
      </c>
    </row>
    <row r="997" spans="1:17" ht="105" x14ac:dyDescent="0.25">
      <c r="A997" s="9" t="s">
        <v>6811</v>
      </c>
      <c r="B997" s="9" t="s">
        <v>6820</v>
      </c>
      <c r="C997" s="9" t="s">
        <v>6823</v>
      </c>
      <c r="D997" s="9" t="s">
        <v>6742</v>
      </c>
      <c r="E997" s="9" t="s">
        <v>4681</v>
      </c>
      <c r="F997" s="9" t="s">
        <v>4682</v>
      </c>
      <c r="G997" s="10" t="s">
        <v>6645</v>
      </c>
      <c r="H997" s="9" t="s">
        <v>4</v>
      </c>
      <c r="I997" s="9"/>
      <c r="J997" s="9"/>
      <c r="K997" s="9"/>
      <c r="L997" s="9"/>
      <c r="M997" s="9" t="s">
        <v>4683</v>
      </c>
      <c r="N997" s="9"/>
      <c r="O997" s="9" t="s">
        <v>4684</v>
      </c>
      <c r="P997" s="9" t="str">
        <f>HYPERLINK("https://ceds.ed.gov/cedselementdetails.aspx?termid=13216")</f>
        <v>https://ceds.ed.gov/cedselementdetails.aspx?termid=13216</v>
      </c>
      <c r="Q997" s="9" t="str">
        <f>HYPERLINK("https://ceds.ed.gov/elementComment.aspx?elementName=Prekindergarten Eligibility &amp;elementID=13216", "Click here to submit comment")</f>
        <v>Click here to submit comment</v>
      </c>
    </row>
    <row r="998" spans="1:17" ht="90" x14ac:dyDescent="0.25">
      <c r="A998" s="9" t="s">
        <v>6811</v>
      </c>
      <c r="B998" s="9" t="s">
        <v>6820</v>
      </c>
      <c r="C998" s="9" t="s">
        <v>6823</v>
      </c>
      <c r="D998" s="9" t="s">
        <v>6742</v>
      </c>
      <c r="E998" s="9" t="s">
        <v>4685</v>
      </c>
      <c r="F998" s="9" t="s">
        <v>4686</v>
      </c>
      <c r="G998" s="10" t="s">
        <v>6646</v>
      </c>
      <c r="H998" s="9" t="s">
        <v>4</v>
      </c>
      <c r="I998" s="9"/>
      <c r="J998" s="9"/>
      <c r="K998" s="9"/>
      <c r="L998" s="9"/>
      <c r="M998" s="9" t="s">
        <v>4687</v>
      </c>
      <c r="N998" s="9"/>
      <c r="O998" s="9" t="s">
        <v>4688</v>
      </c>
      <c r="P998" s="9" t="str">
        <f>HYPERLINK("https://ceds.ed.gov/cedselementdetails.aspx?termid=13217")</f>
        <v>https://ceds.ed.gov/cedselementdetails.aspx?termid=13217</v>
      </c>
      <c r="Q998" s="9" t="str">
        <f>HYPERLINK("https://ceds.ed.gov/elementComment.aspx?elementName=Prekindergarten Eligible Ages for Non-IDEA Students &amp;elementID=13217", "Click here to submit comment")</f>
        <v>Click here to submit comment</v>
      </c>
    </row>
    <row r="999" spans="1:17" ht="60" x14ac:dyDescent="0.25">
      <c r="A999" s="9" t="s">
        <v>6811</v>
      </c>
      <c r="B999" s="9" t="s">
        <v>6820</v>
      </c>
      <c r="C999" s="9" t="s">
        <v>6823</v>
      </c>
      <c r="D999" s="9" t="s">
        <v>6742</v>
      </c>
      <c r="E999" s="9" t="s">
        <v>4677</v>
      </c>
      <c r="F999" s="9" t="s">
        <v>4678</v>
      </c>
      <c r="G999" s="10" t="s">
        <v>6571</v>
      </c>
      <c r="H999" s="9" t="s">
        <v>4</v>
      </c>
      <c r="I999" s="9"/>
      <c r="J999" s="9"/>
      <c r="K999" s="9"/>
      <c r="L999" s="9"/>
      <c r="M999" s="9" t="s">
        <v>4679</v>
      </c>
      <c r="N999" s="9"/>
      <c r="O999" s="9" t="s">
        <v>4680</v>
      </c>
      <c r="P999" s="9" t="str">
        <f>HYPERLINK("https://ceds.ed.gov/cedselementdetails.aspx?termid=13481")</f>
        <v>https://ceds.ed.gov/cedselementdetails.aspx?termid=13481</v>
      </c>
      <c r="Q999" s="9" t="str">
        <f>HYPERLINK("https://ceds.ed.gov/elementComment.aspx?elementName=Prekindergarten Daily Length &amp;elementID=13481", "Click here to submit comment")</f>
        <v>Click here to submit comment</v>
      </c>
    </row>
    <row r="1000" spans="1:17" ht="60" x14ac:dyDescent="0.25">
      <c r="A1000" s="9" t="s">
        <v>6811</v>
      </c>
      <c r="B1000" s="9" t="s">
        <v>6820</v>
      </c>
      <c r="C1000" s="9" t="s">
        <v>6823</v>
      </c>
      <c r="D1000" s="9" t="s">
        <v>6742</v>
      </c>
      <c r="E1000" s="9" t="s">
        <v>3576</v>
      </c>
      <c r="F1000" s="9" t="s">
        <v>3577</v>
      </c>
      <c r="G1000" s="10" t="s">
        <v>6571</v>
      </c>
      <c r="H1000" s="9" t="s">
        <v>4</v>
      </c>
      <c r="I1000" s="9"/>
      <c r="J1000" s="9"/>
      <c r="K1000" s="9"/>
      <c r="L1000" s="9"/>
      <c r="M1000" s="9" t="s">
        <v>3579</v>
      </c>
      <c r="N1000" s="9"/>
      <c r="O1000" s="9" t="s">
        <v>3580</v>
      </c>
      <c r="P1000" s="9" t="str">
        <f>HYPERLINK("https://ceds.ed.gov/cedselementdetails.aspx?termid=13482")</f>
        <v>https://ceds.ed.gov/cedselementdetails.aspx?termid=13482</v>
      </c>
      <c r="Q1000" s="9" t="str">
        <f>HYPERLINK("https://ceds.ed.gov/elementComment.aspx?elementName=Kindergarten Daily Length &amp;elementID=13482", "Click here to submit comment")</f>
        <v>Click here to submit comment</v>
      </c>
    </row>
    <row r="1001" spans="1:17" ht="409.5" x14ac:dyDescent="0.25">
      <c r="A1001" s="9" t="s">
        <v>6811</v>
      </c>
      <c r="B1001" s="9" t="s">
        <v>6820</v>
      </c>
      <c r="C1001" s="9" t="s">
        <v>6823</v>
      </c>
      <c r="D1001" s="9" t="s">
        <v>6742</v>
      </c>
      <c r="E1001" s="9" t="s">
        <v>4905</v>
      </c>
      <c r="F1001" s="9" t="s">
        <v>4906</v>
      </c>
      <c r="G1001" s="10" t="s">
        <v>6663</v>
      </c>
      <c r="H1001" s="9"/>
      <c r="I1001" s="9"/>
      <c r="J1001" s="9"/>
      <c r="K1001" s="9"/>
      <c r="L1001" s="9"/>
      <c r="M1001" s="9" t="s">
        <v>4907</v>
      </c>
      <c r="N1001" s="9"/>
      <c r="O1001" s="9" t="s">
        <v>4908</v>
      </c>
      <c r="P1001" s="9" t="str">
        <f>HYPERLINK("https://ceds.ed.gov/cedselementdetails.aspx?termid=14210")</f>
        <v>https://ceds.ed.gov/cedselementdetails.aspx?termid=14210</v>
      </c>
      <c r="Q1001" s="9" t="str">
        <f>HYPERLINK("https://ceds.ed.gov/elementComment.aspx?elementName=Program Gifted Eligibility Criteria &amp;elementID=14210", "Click here to submit comment")</f>
        <v>Click here to submit comment</v>
      </c>
    </row>
    <row r="1002" spans="1:17" ht="75" x14ac:dyDescent="0.25">
      <c r="A1002" s="9" t="s">
        <v>6811</v>
      </c>
      <c r="B1002" s="9" t="s">
        <v>6820</v>
      </c>
      <c r="C1002" s="9" t="s">
        <v>6823</v>
      </c>
      <c r="D1002" s="9" t="s">
        <v>6742</v>
      </c>
      <c r="E1002" s="9" t="s">
        <v>4227</v>
      </c>
      <c r="F1002" s="9" t="s">
        <v>4228</v>
      </c>
      <c r="G1002" s="10" t="s">
        <v>6617</v>
      </c>
      <c r="H1002" s="9" t="s">
        <v>199</v>
      </c>
      <c r="I1002" s="9"/>
      <c r="J1002" s="9"/>
      <c r="K1002" s="9"/>
      <c r="L1002" s="9"/>
      <c r="M1002" s="9" t="s">
        <v>4229</v>
      </c>
      <c r="N1002" s="9" t="s">
        <v>4230</v>
      </c>
      <c r="O1002" s="9" t="s">
        <v>4231</v>
      </c>
      <c r="P1002" s="9" t="str">
        <f>HYPERLINK("https://ceds.ed.gov/cedselementdetails.aspx?termid=13187")</f>
        <v>https://ceds.ed.gov/cedselementdetails.aspx?termid=13187</v>
      </c>
      <c r="Q1002" s="9" t="str">
        <f>HYPERLINK("https://ceds.ed.gov/elementComment.aspx?elementName=Migrant Education Program Session Type &amp;elementID=13187", "Click here to submit comment")</f>
        <v>Click here to submit comment</v>
      </c>
    </row>
    <row r="1003" spans="1:17" ht="120" x14ac:dyDescent="0.25">
      <c r="A1003" s="9" t="s">
        <v>6811</v>
      </c>
      <c r="B1003" s="9" t="s">
        <v>6820</v>
      </c>
      <c r="C1003" s="9" t="s">
        <v>6823</v>
      </c>
      <c r="D1003" s="9" t="s">
        <v>6742</v>
      </c>
      <c r="E1003" s="9" t="s">
        <v>4217</v>
      </c>
      <c r="F1003" s="9" t="s">
        <v>4218</v>
      </c>
      <c r="G1003" s="10" t="s">
        <v>6615</v>
      </c>
      <c r="H1003" s="9" t="s">
        <v>188</v>
      </c>
      <c r="I1003" s="9"/>
      <c r="J1003" s="9"/>
      <c r="K1003" s="9"/>
      <c r="L1003" s="9"/>
      <c r="M1003" s="9" t="s">
        <v>4219</v>
      </c>
      <c r="N1003" s="9" t="s">
        <v>4220</v>
      </c>
      <c r="O1003" s="9" t="s">
        <v>4221</v>
      </c>
      <c r="P1003" s="9" t="str">
        <f>HYPERLINK("https://ceds.ed.gov/cedselementdetails.aspx?termid=13453")</f>
        <v>https://ceds.ed.gov/cedselementdetails.aspx?termid=13453</v>
      </c>
      <c r="Q1003" s="9" t="str">
        <f>HYPERLINK("https://ceds.ed.gov/elementComment.aspx?elementName=Migrant Education Program Project Type &amp;elementID=13453", "Click here to submit comment")</f>
        <v>Click here to submit comment</v>
      </c>
    </row>
    <row r="1004" spans="1:17" ht="45" x14ac:dyDescent="0.25">
      <c r="A1004" s="9" t="s">
        <v>6811</v>
      </c>
      <c r="B1004" s="9" t="s">
        <v>6820</v>
      </c>
      <c r="C1004" s="9" t="s">
        <v>6823</v>
      </c>
      <c r="D1004" s="9" t="s">
        <v>6742</v>
      </c>
      <c r="E1004" s="9" t="s">
        <v>4398</v>
      </c>
      <c r="F1004" s="9" t="s">
        <v>4399</v>
      </c>
      <c r="G1004" s="9" t="s">
        <v>12</v>
      </c>
      <c r="H1004" s="9" t="s">
        <v>188</v>
      </c>
      <c r="I1004" s="9"/>
      <c r="J1004" s="9" t="s">
        <v>10489</v>
      </c>
      <c r="K1004" s="9"/>
      <c r="L1004" s="9"/>
      <c r="M1004" s="9" t="s">
        <v>4400</v>
      </c>
      <c r="N1004" s="9"/>
      <c r="O1004" s="9" t="s">
        <v>4401</v>
      </c>
      <c r="P1004" s="9" t="str">
        <f>HYPERLINK("https://ceds.ed.gov/cedselementdetails.aspx?termid=13460")</f>
        <v>https://ceds.ed.gov/cedselementdetails.aspx?termid=13460</v>
      </c>
      <c r="Q1004" s="9" t="str">
        <f>HYPERLINK("https://ceds.ed.gov/elementComment.aspx?elementName=Number of Immigrant Program Subgrants &amp;elementID=13460", "Click here to submit comment")</f>
        <v>Click here to submit comment</v>
      </c>
    </row>
    <row r="1005" spans="1:17" ht="90" x14ac:dyDescent="0.25">
      <c r="A1005" s="9" t="s">
        <v>6811</v>
      </c>
      <c r="B1005" s="9" t="s">
        <v>6820</v>
      </c>
      <c r="C1005" s="9" t="s">
        <v>6823</v>
      </c>
      <c r="D1005" s="9" t="s">
        <v>6742</v>
      </c>
      <c r="E1005" s="9" t="s">
        <v>4917</v>
      </c>
      <c r="F1005" s="9" t="s">
        <v>4918</v>
      </c>
      <c r="G1005" s="9" t="s">
        <v>6106</v>
      </c>
      <c r="H1005" s="9" t="s">
        <v>188</v>
      </c>
      <c r="I1005" s="9"/>
      <c r="J1005" s="9"/>
      <c r="K1005" s="9"/>
      <c r="L1005" s="9"/>
      <c r="M1005" s="9" t="s">
        <v>4919</v>
      </c>
      <c r="N1005" s="9"/>
      <c r="O1005" s="9" t="s">
        <v>4920</v>
      </c>
      <c r="P1005" s="9" t="str">
        <f>HYPERLINK("https://ceds.ed.gov/cedselementdetails.aspx?termid=13476")</f>
        <v>https://ceds.ed.gov/cedselementdetails.aspx?termid=13476</v>
      </c>
      <c r="Q1005" s="9" t="str">
        <f>HYPERLINK("https://ceds.ed.gov/elementComment.aspx?elementName=Program in Multiple Purpose Facility &amp;elementID=13476", "Click here to submit comment")</f>
        <v>Click here to submit comment</v>
      </c>
    </row>
    <row r="1006" spans="1:17" ht="135" x14ac:dyDescent="0.25">
      <c r="A1006" s="9" t="s">
        <v>6811</v>
      </c>
      <c r="B1006" s="9" t="s">
        <v>6820</v>
      </c>
      <c r="C1006" s="9" t="s">
        <v>6823</v>
      </c>
      <c r="D1006" s="9" t="s">
        <v>6742</v>
      </c>
      <c r="E1006" s="9" t="s">
        <v>5878</v>
      </c>
      <c r="F1006" s="9" t="s">
        <v>5879</v>
      </c>
      <c r="G1006" s="10" t="s">
        <v>6719</v>
      </c>
      <c r="H1006" s="9" t="s">
        <v>199</v>
      </c>
      <c r="I1006" s="9"/>
      <c r="J1006" s="9"/>
      <c r="K1006" s="9"/>
      <c r="L1006" s="9"/>
      <c r="M1006" s="9" t="s">
        <v>5880</v>
      </c>
      <c r="N1006" s="9"/>
      <c r="O1006" s="9" t="s">
        <v>5881</v>
      </c>
      <c r="P1006" s="9" t="str">
        <f>HYPERLINK("https://ceds.ed.gov/cedselementdetails.aspx?termid=13282")</f>
        <v>https://ceds.ed.gov/cedselementdetails.aspx?termid=13282</v>
      </c>
      <c r="Q1006" s="9" t="str">
        <f>HYPERLINK("https://ceds.ed.gov/elementComment.aspx?elementName=Title I Instructional Services &amp;elementID=13282", "Click here to submit comment")</f>
        <v>Click here to submit comment</v>
      </c>
    </row>
    <row r="1007" spans="1:17" ht="135" x14ac:dyDescent="0.25">
      <c r="A1007" s="9" t="s">
        <v>6811</v>
      </c>
      <c r="B1007" s="9" t="s">
        <v>6820</v>
      </c>
      <c r="C1007" s="9" t="s">
        <v>6823</v>
      </c>
      <c r="D1007" s="9" t="s">
        <v>6742</v>
      </c>
      <c r="E1007" s="9" t="s">
        <v>5886</v>
      </c>
      <c r="F1007" s="9" t="s">
        <v>5887</v>
      </c>
      <c r="G1007" s="10" t="s">
        <v>6721</v>
      </c>
      <c r="H1007" s="9" t="s">
        <v>199</v>
      </c>
      <c r="I1007" s="9"/>
      <c r="J1007" s="9"/>
      <c r="K1007" s="9"/>
      <c r="L1007" s="9"/>
      <c r="M1007" s="9" t="s">
        <v>5888</v>
      </c>
      <c r="N1007" s="9"/>
      <c r="O1007" s="9" t="s">
        <v>5889</v>
      </c>
      <c r="P1007" s="9" t="str">
        <f>HYPERLINK("https://ceds.ed.gov/cedselementdetails.aspx?termid=13284")</f>
        <v>https://ceds.ed.gov/cedselementdetails.aspx?termid=13284</v>
      </c>
      <c r="Q1007" s="9" t="str">
        <f>HYPERLINK("https://ceds.ed.gov/elementComment.aspx?elementName=Title I Program Type &amp;elementID=13284", "Click here to submit comment")</f>
        <v>Click here to submit comment</v>
      </c>
    </row>
    <row r="1008" spans="1:17" ht="90" x14ac:dyDescent="0.25">
      <c r="A1008" s="9" t="s">
        <v>6811</v>
      </c>
      <c r="B1008" s="9" t="s">
        <v>6820</v>
      </c>
      <c r="C1008" s="9" t="s">
        <v>6823</v>
      </c>
      <c r="D1008" s="9" t="s">
        <v>6742</v>
      </c>
      <c r="E1008" s="9" t="s">
        <v>5910</v>
      </c>
      <c r="F1008" s="9" t="s">
        <v>5911</v>
      </c>
      <c r="G1008" s="10" t="s">
        <v>6723</v>
      </c>
      <c r="H1008" s="9" t="s">
        <v>199</v>
      </c>
      <c r="I1008" s="9"/>
      <c r="J1008" s="9"/>
      <c r="K1008" s="9"/>
      <c r="L1008" s="9"/>
      <c r="M1008" s="9" t="s">
        <v>5912</v>
      </c>
      <c r="N1008" s="9"/>
      <c r="O1008" s="9" t="s">
        <v>5913</v>
      </c>
      <c r="P1008" s="9" t="str">
        <f>HYPERLINK("https://ceds.ed.gov/cedselementdetails.aspx?termid=13289")</f>
        <v>https://ceds.ed.gov/cedselementdetails.aspx?termid=13289</v>
      </c>
      <c r="Q1008" s="9" t="str">
        <f>HYPERLINK("https://ceds.ed.gov/elementComment.aspx?elementName=Title I Support Services &amp;elementID=13289", "Click here to submit comment")</f>
        <v>Click here to submit comment</v>
      </c>
    </row>
    <row r="1009" spans="1:17" ht="270" x14ac:dyDescent="0.25">
      <c r="A1009" s="9" t="s">
        <v>6811</v>
      </c>
      <c r="B1009" s="9" t="s">
        <v>6820</v>
      </c>
      <c r="C1009" s="9" t="s">
        <v>6823</v>
      </c>
      <c r="D1009" s="9" t="s">
        <v>6742</v>
      </c>
      <c r="E1009" s="9" t="s">
        <v>5934</v>
      </c>
      <c r="F1009" s="9" t="s">
        <v>5935</v>
      </c>
      <c r="G1009" s="10" t="s">
        <v>6725</v>
      </c>
      <c r="H1009" s="9" t="s">
        <v>188</v>
      </c>
      <c r="I1009" s="9"/>
      <c r="J1009" s="9"/>
      <c r="K1009" s="9"/>
      <c r="L1009" s="9"/>
      <c r="M1009" s="9" t="s">
        <v>5936</v>
      </c>
      <c r="N1009" s="9"/>
      <c r="O1009" s="9" t="s">
        <v>5937</v>
      </c>
      <c r="P1009" s="9" t="str">
        <f>HYPERLINK("https://ceds.ed.gov/cedselementdetails.aspx?termid=13437")</f>
        <v>https://ceds.ed.gov/cedselementdetails.aspx?termid=13437</v>
      </c>
      <c r="Q1009" s="9" t="str">
        <f>HYPERLINK("https://ceds.ed.gov/elementComment.aspx?elementName=Title III Language Instruction Program Type &amp;elementID=13437", "Click here to submit comment")</f>
        <v>Click here to submit comment</v>
      </c>
    </row>
    <row r="1010" spans="1:17" ht="45" x14ac:dyDescent="0.25">
      <c r="A1010" s="9" t="s">
        <v>6811</v>
      </c>
      <c r="B1010" s="9" t="s">
        <v>6820</v>
      </c>
      <c r="C1010" s="9" t="s">
        <v>6819</v>
      </c>
      <c r="D1010" s="9" t="s">
        <v>6742</v>
      </c>
      <c r="E1010" s="9" t="s">
        <v>5829</v>
      </c>
      <c r="F1010" s="9" t="s">
        <v>5830</v>
      </c>
      <c r="G1010" s="9" t="s">
        <v>6106</v>
      </c>
      <c r="H1010" s="9"/>
      <c r="I1010" s="9"/>
      <c r="J1010" s="9"/>
      <c r="K1010" s="9"/>
      <c r="L1010" s="9"/>
      <c r="M1010" s="9" t="s">
        <v>5831</v>
      </c>
      <c r="N1010" s="9"/>
      <c r="O1010" s="9" t="s">
        <v>5832</v>
      </c>
      <c r="P1010" s="9" t="str">
        <f>HYPERLINK("https://ceds.ed.gov/cedselementdetails.aspx?termid=14465")</f>
        <v>https://ceds.ed.gov/cedselementdetails.aspx?termid=14465</v>
      </c>
      <c r="Q1010" s="9" t="str">
        <f>HYPERLINK("https://ceds.ed.gov/elementComment.aspx?elementName=Technical Assistance Approved Indicator &amp;elementID=14465", "Click here to submit comment")</f>
        <v>Click here to submit comment</v>
      </c>
    </row>
    <row r="1011" spans="1:17" ht="75" x14ac:dyDescent="0.25">
      <c r="A1011" s="9" t="s">
        <v>6811</v>
      </c>
      <c r="B1011" s="9" t="s">
        <v>6820</v>
      </c>
      <c r="C1011" s="9" t="s">
        <v>6819</v>
      </c>
      <c r="D1011" s="9" t="s">
        <v>6742</v>
      </c>
      <c r="E1011" s="9" t="s">
        <v>5833</v>
      </c>
      <c r="F1011" s="9" t="s">
        <v>5834</v>
      </c>
      <c r="G1011" s="10" t="s">
        <v>6655</v>
      </c>
      <c r="H1011" s="9"/>
      <c r="I1011" s="9"/>
      <c r="J1011" s="9"/>
      <c r="K1011" s="9"/>
      <c r="L1011" s="9"/>
      <c r="M1011" s="9" t="s">
        <v>5835</v>
      </c>
      <c r="N1011" s="9"/>
      <c r="O1011" s="9" t="s">
        <v>5836</v>
      </c>
      <c r="P1011" s="9" t="str">
        <f>HYPERLINK("https://ceds.ed.gov/cedselementdetails.aspx?termid=14466")</f>
        <v>https://ceds.ed.gov/cedselementdetails.aspx?termid=14466</v>
      </c>
      <c r="Q1011" s="9" t="str">
        <f>HYPERLINK("https://ceds.ed.gov/elementComment.aspx?elementName=Technical Assistance Delivery Type &amp;elementID=14466", "Click here to submit comment")</f>
        <v>Click here to submit comment</v>
      </c>
    </row>
    <row r="1012" spans="1:17" ht="375" x14ac:dyDescent="0.25">
      <c r="A1012" s="9" t="s">
        <v>6811</v>
      </c>
      <c r="B1012" s="9" t="s">
        <v>6820</v>
      </c>
      <c r="C1012" s="9" t="s">
        <v>6819</v>
      </c>
      <c r="D1012" s="9" t="s">
        <v>6742</v>
      </c>
      <c r="E1012" s="9" t="s">
        <v>5837</v>
      </c>
      <c r="F1012" s="9" t="s">
        <v>5838</v>
      </c>
      <c r="G1012" s="10" t="s">
        <v>6715</v>
      </c>
      <c r="H1012" s="9"/>
      <c r="I1012" s="9"/>
      <c r="J1012" s="9"/>
      <c r="K1012" s="9"/>
      <c r="L1012" s="9"/>
      <c r="M1012" s="9" t="s">
        <v>5839</v>
      </c>
      <c r="N1012" s="9"/>
      <c r="O1012" s="9" t="s">
        <v>5840</v>
      </c>
      <c r="P1012" s="9" t="str">
        <f>HYPERLINK("https://ceds.ed.gov/cedselementdetails.aspx?termid=14467")</f>
        <v>https://ceds.ed.gov/cedselementdetails.aspx?termid=14467</v>
      </c>
      <c r="Q1012" s="9" t="str">
        <f>HYPERLINK("https://ceds.ed.gov/elementComment.aspx?elementName=Technical Assistance Type &amp;elementID=14467", "Click here to submit comment")</f>
        <v>Click here to submit comment</v>
      </c>
    </row>
    <row r="1013" spans="1:17" ht="45" x14ac:dyDescent="0.25">
      <c r="A1013" s="9" t="s">
        <v>6811</v>
      </c>
      <c r="B1013" s="9" t="s">
        <v>6824</v>
      </c>
      <c r="C1013" s="9"/>
      <c r="D1013" s="9" t="s">
        <v>6742</v>
      </c>
      <c r="E1013" s="9" t="s">
        <v>11653</v>
      </c>
      <c r="F1013" s="9" t="s">
        <v>11654</v>
      </c>
      <c r="G1013" s="9" t="s">
        <v>12</v>
      </c>
      <c r="H1013" s="9"/>
      <c r="I1013" s="9"/>
      <c r="J1013" s="9" t="s">
        <v>1143</v>
      </c>
      <c r="K1013" s="9"/>
      <c r="L1013" s="9"/>
      <c r="M1013" s="9" t="s">
        <v>11656</v>
      </c>
      <c r="N1013" s="9"/>
      <c r="O1013" s="9" t="s">
        <v>11657</v>
      </c>
      <c r="P1013" s="9" t="str">
        <f>HYPERLINK("https://ceds.ed.gov/cedselementdetails.aspx?termid=14644")</f>
        <v>https://ceds.ed.gov/cedselementdetails.aspx?termid=14644</v>
      </c>
      <c r="Q1013" s="9" t="str">
        <f>HYPERLINK("https://ceds.ed.gov/elementComment.aspx?elementName=Organization Image URL &amp;elementID=14644", "Click here to submit comment")</f>
        <v>Click here to submit comment</v>
      </c>
    </row>
    <row r="1014" spans="1:17" ht="45" x14ac:dyDescent="0.25">
      <c r="A1014" s="9" t="s">
        <v>6811</v>
      </c>
      <c r="B1014" s="9" t="s">
        <v>6824</v>
      </c>
      <c r="C1014" s="9"/>
      <c r="D1014" s="9" t="s">
        <v>6742</v>
      </c>
      <c r="E1014" s="9" t="s">
        <v>11660</v>
      </c>
      <c r="F1014" s="9" t="s">
        <v>11661</v>
      </c>
      <c r="G1014" s="9" t="s">
        <v>12</v>
      </c>
      <c r="H1014" s="9"/>
      <c r="I1014" s="9" t="s">
        <v>91</v>
      </c>
      <c r="J1014" s="9" t="s">
        <v>11025</v>
      </c>
      <c r="K1014" s="9" t="s">
        <v>11663</v>
      </c>
      <c r="L1014" s="9"/>
      <c r="M1014" s="9" t="s">
        <v>11664</v>
      </c>
      <c r="N1014" s="9"/>
      <c r="O1014" s="9" t="s">
        <v>11665</v>
      </c>
      <c r="P1014" s="9" t="str">
        <f>HYPERLINK("https://ceds.ed.gov/cedselementdetails.aspx?termid=14731")</f>
        <v>https://ceds.ed.gov/cedselementdetails.aspx?termid=14731</v>
      </c>
      <c r="Q1014" s="9" t="str">
        <f>HYPERLINK("https://ceds.ed.gov/elementComment.aspx?elementName=Organization Region GeoJSON &amp;elementID=14731", "Click here to submit comment")</f>
        <v>Click here to submit comment</v>
      </c>
    </row>
    <row r="1015" spans="1:17" ht="105" x14ac:dyDescent="0.25">
      <c r="A1015" s="18" t="s">
        <v>6811</v>
      </c>
      <c r="B1015" s="18" t="s">
        <v>6824</v>
      </c>
      <c r="C1015" s="18" t="s">
        <v>6777</v>
      </c>
      <c r="D1015" s="18" t="s">
        <v>6742</v>
      </c>
      <c r="E1015" s="18" t="s">
        <v>5655</v>
      </c>
      <c r="F1015" s="18" t="s">
        <v>5656</v>
      </c>
      <c r="G1015" s="18" t="s">
        <v>12</v>
      </c>
      <c r="H1015" s="18"/>
      <c r="I1015" s="18"/>
      <c r="J1015" s="18" t="s">
        <v>119</v>
      </c>
      <c r="K1015" s="18"/>
      <c r="L1015" s="9" t="s">
        <v>120</v>
      </c>
      <c r="M1015" s="18" t="s">
        <v>5657</v>
      </c>
      <c r="N1015" s="18"/>
      <c r="O1015" s="18" t="s">
        <v>5658</v>
      </c>
      <c r="P1015" s="18" t="str">
        <f>HYPERLINK("https://ceds.ed.gov/cedselementdetails.aspx?termid=14462")</f>
        <v>https://ceds.ed.gov/cedselementdetails.aspx?termid=14462</v>
      </c>
      <c r="Q1015" s="18" t="str">
        <f>HYPERLINK("https://ceds.ed.gov/elementComment.aspx?elementName=State Agency Identifier &amp;elementID=14462", "Click here to submit comment")</f>
        <v>Click here to submit comment</v>
      </c>
    </row>
    <row r="1016" spans="1:17" x14ac:dyDescent="0.25">
      <c r="A1016" s="18"/>
      <c r="B1016" s="18"/>
      <c r="C1016" s="18"/>
      <c r="D1016" s="18"/>
      <c r="E1016" s="18"/>
      <c r="F1016" s="18"/>
      <c r="G1016" s="18"/>
      <c r="H1016" s="18"/>
      <c r="I1016" s="18"/>
      <c r="J1016" s="18"/>
      <c r="K1016" s="18"/>
      <c r="L1016" s="9"/>
      <c r="M1016" s="18"/>
      <c r="N1016" s="18"/>
      <c r="O1016" s="18"/>
      <c r="P1016" s="18"/>
      <c r="Q1016" s="18"/>
    </row>
    <row r="1017" spans="1:17" ht="90" x14ac:dyDescent="0.25">
      <c r="A1017" s="18"/>
      <c r="B1017" s="18"/>
      <c r="C1017" s="18"/>
      <c r="D1017" s="18"/>
      <c r="E1017" s="18"/>
      <c r="F1017" s="18"/>
      <c r="G1017" s="18"/>
      <c r="H1017" s="18"/>
      <c r="I1017" s="18"/>
      <c r="J1017" s="18"/>
      <c r="K1017" s="18"/>
      <c r="L1017" s="9" t="s">
        <v>121</v>
      </c>
      <c r="M1017" s="18"/>
      <c r="N1017" s="18"/>
      <c r="O1017" s="18"/>
      <c r="P1017" s="18"/>
      <c r="Q1017" s="18"/>
    </row>
    <row r="1018" spans="1:17" ht="60" x14ac:dyDescent="0.25">
      <c r="A1018" s="9" t="s">
        <v>6811</v>
      </c>
      <c r="B1018" s="9" t="s">
        <v>6824</v>
      </c>
      <c r="C1018" s="9" t="s">
        <v>6777</v>
      </c>
      <c r="D1018" s="9" t="s">
        <v>6742</v>
      </c>
      <c r="E1018" s="9" t="s">
        <v>5651</v>
      </c>
      <c r="F1018" s="9" t="s">
        <v>5652</v>
      </c>
      <c r="G1018" s="10" t="s">
        <v>6703</v>
      </c>
      <c r="H1018" s="9"/>
      <c r="I1018" s="9"/>
      <c r="J1018" s="9"/>
      <c r="K1018" s="9"/>
      <c r="L1018" s="9"/>
      <c r="M1018" s="9" t="s">
        <v>5653</v>
      </c>
      <c r="N1018" s="9"/>
      <c r="O1018" s="9" t="s">
        <v>5654</v>
      </c>
      <c r="P1018" s="9" t="str">
        <f>HYPERLINK("https://ceds.ed.gov/cedselementdetails.aspx?termid=14463")</f>
        <v>https://ceds.ed.gov/cedselementdetails.aspx?termid=14463</v>
      </c>
      <c r="Q1018" s="9" t="str">
        <f>HYPERLINK("https://ceds.ed.gov/elementComment.aspx?elementName=State Agency Identification System &amp;elementID=14463", "Click here to submit comment")</f>
        <v>Click here to submit comment</v>
      </c>
    </row>
    <row r="1019" spans="1:17" ht="45" x14ac:dyDescent="0.25">
      <c r="A1019" s="9" t="s">
        <v>6811</v>
      </c>
      <c r="B1019" s="9" t="s">
        <v>6824</v>
      </c>
      <c r="C1019" s="9" t="s">
        <v>6777</v>
      </c>
      <c r="D1019" s="9" t="s">
        <v>6742</v>
      </c>
      <c r="E1019" s="9" t="s">
        <v>4456</v>
      </c>
      <c r="F1019" s="9" t="s">
        <v>4457</v>
      </c>
      <c r="G1019" s="9" t="s">
        <v>12</v>
      </c>
      <c r="H1019" s="9" t="s">
        <v>182</v>
      </c>
      <c r="I1019" s="9"/>
      <c r="J1019" s="9" t="s">
        <v>92</v>
      </c>
      <c r="K1019" s="9"/>
      <c r="L1019" s="9"/>
      <c r="M1019" s="9" t="s">
        <v>4458</v>
      </c>
      <c r="N1019" s="9"/>
      <c r="O1019" s="9" t="s">
        <v>4459</v>
      </c>
      <c r="P1019" s="9" t="str">
        <f>HYPERLINK("https://ceds.ed.gov/cedselementdetails.aspx?termid=13204")</f>
        <v>https://ceds.ed.gov/cedselementdetails.aspx?termid=13204</v>
      </c>
      <c r="Q1019" s="9" t="str">
        <f>HYPERLINK("https://ceds.ed.gov/elementComment.aspx?elementName=Organization Name &amp;elementID=13204", "Click here to submit comment")</f>
        <v>Click here to submit comment</v>
      </c>
    </row>
    <row r="1020" spans="1:17" ht="409.5" x14ac:dyDescent="0.25">
      <c r="A1020" s="9" t="s">
        <v>6811</v>
      </c>
      <c r="B1020" s="9" t="s">
        <v>6824</v>
      </c>
      <c r="C1020" s="9" t="s">
        <v>6777</v>
      </c>
      <c r="D1020" s="9" t="s">
        <v>6742</v>
      </c>
      <c r="E1020" s="9" t="s">
        <v>4468</v>
      </c>
      <c r="F1020" s="9" t="s">
        <v>4469</v>
      </c>
      <c r="G1020" s="10" t="s">
        <v>11905</v>
      </c>
      <c r="H1020" s="9"/>
      <c r="I1020" s="9" t="s">
        <v>91</v>
      </c>
      <c r="J1020" s="9"/>
      <c r="K1020" s="9"/>
      <c r="L1020" s="9" t="s">
        <v>4470</v>
      </c>
      <c r="M1020" s="9" t="s">
        <v>4471</v>
      </c>
      <c r="N1020" s="9"/>
      <c r="O1020" s="9" t="s">
        <v>4472</v>
      </c>
      <c r="P1020" s="9" t="str">
        <f>HYPERLINK("https://ceds.ed.gov/cedselementdetails.aspx?termid=14165")</f>
        <v>https://ceds.ed.gov/cedselementdetails.aspx?termid=14165</v>
      </c>
      <c r="Q1020" s="9" t="str">
        <f>HYPERLINK("https://ceds.ed.gov/elementComment.aspx?elementName=Organization Type &amp;elementID=14165", "Click here to submit comment")</f>
        <v>Click here to submit comment</v>
      </c>
    </row>
    <row r="1021" spans="1:17" ht="45" x14ac:dyDescent="0.25">
      <c r="A1021" s="9" t="s">
        <v>6811</v>
      </c>
      <c r="B1021" s="9" t="s">
        <v>6824</v>
      </c>
      <c r="C1021" s="9" t="s">
        <v>6777</v>
      </c>
      <c r="D1021" s="9" t="s">
        <v>6746</v>
      </c>
      <c r="E1021" s="9" t="s">
        <v>11666</v>
      </c>
      <c r="F1021" s="9" t="s">
        <v>11667</v>
      </c>
      <c r="G1021" s="10" t="s">
        <v>11904</v>
      </c>
      <c r="H1021" s="9"/>
      <c r="I1021" s="9" t="s">
        <v>1457</v>
      </c>
      <c r="J1021" s="9"/>
      <c r="K1021" s="9"/>
      <c r="L1021" s="9"/>
      <c r="M1021" s="9" t="s">
        <v>11669</v>
      </c>
      <c r="N1021" s="9"/>
      <c r="O1021" s="9" t="s">
        <v>11670</v>
      </c>
      <c r="P1021" s="9" t="str">
        <f>HYPERLINK("https://ceds.ed.gov/cedselementdetails.aspx?termid=14886")</f>
        <v>https://ceds.ed.gov/cedselementdetails.aspx?termid=14886</v>
      </c>
      <c r="Q1021" s="9" t="str">
        <f>HYPERLINK("https://ceds.ed.gov/elementComment.aspx?elementName=Organization Relationship Type &amp;elementID=14886", "Click here to submit comment")</f>
        <v>Click here to submit comment</v>
      </c>
    </row>
    <row r="1022" spans="1:17" ht="90" x14ac:dyDescent="0.25">
      <c r="A1022" s="9" t="s">
        <v>6811</v>
      </c>
      <c r="B1022" s="9" t="s">
        <v>6824</v>
      </c>
      <c r="C1022" s="9" t="s">
        <v>6783</v>
      </c>
      <c r="D1022" s="9" t="s">
        <v>6742</v>
      </c>
      <c r="E1022" s="9" t="s">
        <v>174</v>
      </c>
      <c r="F1022" s="9" t="s">
        <v>175</v>
      </c>
      <c r="G1022" s="10" t="s">
        <v>6320</v>
      </c>
      <c r="H1022" s="9" t="s">
        <v>6109</v>
      </c>
      <c r="I1022" s="9"/>
      <c r="J1022" s="9" t="s">
        <v>87</v>
      </c>
      <c r="K1022" s="9"/>
      <c r="L1022" s="9"/>
      <c r="M1022" s="9" t="s">
        <v>176</v>
      </c>
      <c r="N1022" s="9"/>
      <c r="O1022" s="9" t="s">
        <v>177</v>
      </c>
      <c r="P1022" s="9" t="str">
        <f>HYPERLINK("https://ceds.ed.gov/cedselementdetails.aspx?termid=13644")</f>
        <v>https://ceds.ed.gov/cedselementdetails.aspx?termid=13644</v>
      </c>
      <c r="Q1022" s="9" t="str">
        <f>HYPERLINK("https://ceds.ed.gov/elementComment.aspx?elementName=Address Type for Organization &amp;elementID=13644", "Click here to submit comment")</f>
        <v>Click here to submit comment</v>
      </c>
    </row>
    <row r="1023" spans="1:17" ht="225" x14ac:dyDescent="0.25">
      <c r="A1023" s="9" t="s">
        <v>6811</v>
      </c>
      <c r="B1023" s="9" t="s">
        <v>6824</v>
      </c>
      <c r="C1023" s="9" t="s">
        <v>6783</v>
      </c>
      <c r="D1023" s="9" t="s">
        <v>6742</v>
      </c>
      <c r="E1023" s="9" t="s">
        <v>166</v>
      </c>
      <c r="F1023" s="9" t="s">
        <v>167</v>
      </c>
      <c r="G1023" s="9" t="s">
        <v>12</v>
      </c>
      <c r="H1023" s="9" t="s">
        <v>6113</v>
      </c>
      <c r="I1023" s="9"/>
      <c r="J1023" s="9" t="s">
        <v>119</v>
      </c>
      <c r="K1023" s="9"/>
      <c r="L1023" s="9"/>
      <c r="M1023" s="9" t="s">
        <v>168</v>
      </c>
      <c r="N1023" s="9"/>
      <c r="O1023" s="9" t="s">
        <v>169</v>
      </c>
      <c r="P1023" s="9" t="str">
        <f>HYPERLINK("https://ceds.ed.gov/cedselementdetails.aspx?termid=13269")</f>
        <v>https://ceds.ed.gov/cedselementdetails.aspx?termid=13269</v>
      </c>
      <c r="Q1023" s="9" t="str">
        <f>HYPERLINK("https://ceds.ed.gov/elementComment.aspx?elementName=Address Street Number and Name &amp;elementID=13269", "Click here to submit comment")</f>
        <v>Click here to submit comment</v>
      </c>
    </row>
    <row r="1024" spans="1:17" ht="225" x14ac:dyDescent="0.25">
      <c r="A1024" s="9" t="s">
        <v>6811</v>
      </c>
      <c r="B1024" s="9" t="s">
        <v>6824</v>
      </c>
      <c r="C1024" s="9" t="s">
        <v>6783</v>
      </c>
      <c r="D1024" s="9" t="s">
        <v>6742</v>
      </c>
      <c r="E1024" s="9" t="s">
        <v>149</v>
      </c>
      <c r="F1024" s="9" t="s">
        <v>150</v>
      </c>
      <c r="G1024" s="9" t="s">
        <v>12</v>
      </c>
      <c r="H1024" s="9" t="s">
        <v>6113</v>
      </c>
      <c r="I1024" s="9"/>
      <c r="J1024" s="9" t="s">
        <v>87</v>
      </c>
      <c r="K1024" s="9"/>
      <c r="L1024" s="9"/>
      <c r="M1024" s="9" t="s">
        <v>151</v>
      </c>
      <c r="N1024" s="9"/>
      <c r="O1024" s="9" t="s">
        <v>152</v>
      </c>
      <c r="P1024" s="9" t="str">
        <f>HYPERLINK("https://ceds.ed.gov/cedselementdetails.aspx?termid=13019")</f>
        <v>https://ceds.ed.gov/cedselementdetails.aspx?termid=13019</v>
      </c>
      <c r="Q1024" s="9" t="str">
        <f>HYPERLINK("https://ceds.ed.gov/elementComment.aspx?elementName=Address Apartment Room or Suite Number &amp;elementID=13019", "Click here to submit comment")</f>
        <v>Click here to submit comment</v>
      </c>
    </row>
    <row r="1025" spans="1:17" ht="225" x14ac:dyDescent="0.25">
      <c r="A1025" s="9" t="s">
        <v>6811</v>
      </c>
      <c r="B1025" s="9" t="s">
        <v>6824</v>
      </c>
      <c r="C1025" s="9" t="s">
        <v>6783</v>
      </c>
      <c r="D1025" s="9" t="s">
        <v>6742</v>
      </c>
      <c r="E1025" s="9" t="s">
        <v>153</v>
      </c>
      <c r="F1025" s="9" t="s">
        <v>154</v>
      </c>
      <c r="G1025" s="9" t="s">
        <v>12</v>
      </c>
      <c r="H1025" s="9" t="s">
        <v>6113</v>
      </c>
      <c r="I1025" s="9"/>
      <c r="J1025" s="9" t="s">
        <v>87</v>
      </c>
      <c r="K1025" s="9"/>
      <c r="L1025" s="9"/>
      <c r="M1025" s="9" t="s">
        <v>155</v>
      </c>
      <c r="N1025" s="9"/>
      <c r="O1025" s="9" t="s">
        <v>156</v>
      </c>
      <c r="P1025" s="9" t="str">
        <f>HYPERLINK("https://ceds.ed.gov/cedselementdetails.aspx?termid=13040")</f>
        <v>https://ceds.ed.gov/cedselementdetails.aspx?termid=13040</v>
      </c>
      <c r="Q1025" s="9" t="str">
        <f>HYPERLINK("https://ceds.ed.gov/elementComment.aspx?elementName=Address City &amp;elementID=13040", "Click here to submit comment")</f>
        <v>Click here to submit comment</v>
      </c>
    </row>
    <row r="1026" spans="1:17" ht="409.5" x14ac:dyDescent="0.25">
      <c r="A1026" s="9" t="s">
        <v>6811</v>
      </c>
      <c r="B1026" s="9" t="s">
        <v>6824</v>
      </c>
      <c r="C1026" s="9" t="s">
        <v>6783</v>
      </c>
      <c r="D1026" s="9" t="s">
        <v>6742</v>
      </c>
      <c r="E1026" s="9" t="s">
        <v>5647</v>
      </c>
      <c r="F1026" s="9" t="s">
        <v>5648</v>
      </c>
      <c r="G1026" s="10" t="s">
        <v>6702</v>
      </c>
      <c r="H1026" s="9" t="s">
        <v>6285</v>
      </c>
      <c r="I1026" s="9"/>
      <c r="J1026" s="9"/>
      <c r="K1026" s="9"/>
      <c r="L1026" s="9"/>
      <c r="M1026" s="9" t="s">
        <v>5649</v>
      </c>
      <c r="N1026" s="9"/>
      <c r="O1026" s="9" t="s">
        <v>5650</v>
      </c>
      <c r="P1026" s="9" t="str">
        <f>HYPERLINK("https://ceds.ed.gov/cedselementdetails.aspx?termid=13267")</f>
        <v>https://ceds.ed.gov/cedselementdetails.aspx?termid=13267</v>
      </c>
      <c r="Q1026" s="9" t="str">
        <f>HYPERLINK("https://ceds.ed.gov/elementComment.aspx?elementName=State Abbreviation &amp;elementID=13267", "Click here to submit comment")</f>
        <v>Click here to submit comment</v>
      </c>
    </row>
    <row r="1027" spans="1:17" ht="225" x14ac:dyDescent="0.25">
      <c r="A1027" s="9" t="s">
        <v>6811</v>
      </c>
      <c r="B1027" s="9" t="s">
        <v>6824</v>
      </c>
      <c r="C1027" s="9" t="s">
        <v>6783</v>
      </c>
      <c r="D1027" s="9" t="s">
        <v>6742</v>
      </c>
      <c r="E1027" s="9" t="s">
        <v>161</v>
      </c>
      <c r="F1027" s="9" t="s">
        <v>162</v>
      </c>
      <c r="G1027" s="9" t="s">
        <v>12</v>
      </c>
      <c r="H1027" s="9" t="s">
        <v>6113</v>
      </c>
      <c r="I1027" s="9"/>
      <c r="J1027" s="9" t="s">
        <v>163</v>
      </c>
      <c r="K1027" s="9"/>
      <c r="L1027" s="9"/>
      <c r="M1027" s="9" t="s">
        <v>164</v>
      </c>
      <c r="N1027" s="9"/>
      <c r="O1027" s="9" t="s">
        <v>165</v>
      </c>
      <c r="P1027" s="9" t="str">
        <f>HYPERLINK("https://ceds.ed.gov/cedselementdetails.aspx?termid=13214")</f>
        <v>https://ceds.ed.gov/cedselementdetails.aspx?termid=13214</v>
      </c>
      <c r="Q1027" s="9" t="str">
        <f>HYPERLINK("https://ceds.ed.gov/elementComment.aspx?elementName=Address Postal Code &amp;elementID=13214", "Click here to submit comment")</f>
        <v>Click here to submit comment</v>
      </c>
    </row>
    <row r="1028" spans="1:17" ht="409.5" x14ac:dyDescent="0.25">
      <c r="A1028" s="9" t="s">
        <v>6811</v>
      </c>
      <c r="B1028" s="9" t="s">
        <v>6824</v>
      </c>
      <c r="C1028" s="9" t="s">
        <v>6783</v>
      </c>
      <c r="D1028" s="9" t="s">
        <v>6742</v>
      </c>
      <c r="E1028" s="9" t="s">
        <v>5659</v>
      </c>
      <c r="F1028" s="9" t="s">
        <v>5660</v>
      </c>
      <c r="G1028" s="10" t="s">
        <v>6704</v>
      </c>
      <c r="H1028" s="9" t="s">
        <v>6287</v>
      </c>
      <c r="I1028" s="9"/>
      <c r="J1028" s="9"/>
      <c r="K1028" s="9"/>
      <c r="L1028" s="9"/>
      <c r="M1028" s="9" t="s">
        <v>5661</v>
      </c>
      <c r="N1028" s="9"/>
      <c r="O1028" s="9" t="s">
        <v>5662</v>
      </c>
      <c r="P1028" s="9" t="str">
        <f>HYPERLINK("https://ceds.ed.gov/cedselementdetails.aspx?termid=13414")</f>
        <v>https://ceds.ed.gov/cedselementdetails.aspx?termid=13414</v>
      </c>
      <c r="Q1028" s="9" t="str">
        <f>HYPERLINK("https://ceds.ed.gov/elementComment.aspx?elementName=State ANSI Code &amp;elementID=13414", "Click here to submit comment")</f>
        <v>Click here to submit comment</v>
      </c>
    </row>
    <row r="1029" spans="1:17" ht="45" x14ac:dyDescent="0.25">
      <c r="A1029" s="9" t="s">
        <v>6811</v>
      </c>
      <c r="B1029" s="9" t="s">
        <v>6824</v>
      </c>
      <c r="C1029" s="9" t="s">
        <v>6783</v>
      </c>
      <c r="D1029" s="9" t="s">
        <v>6742</v>
      </c>
      <c r="E1029" s="9" t="s">
        <v>1557</v>
      </c>
      <c r="F1029" s="9" t="s">
        <v>1558</v>
      </c>
      <c r="G1029" s="9" t="s">
        <v>12</v>
      </c>
      <c r="H1029" s="9"/>
      <c r="I1029" s="9"/>
      <c r="J1029" s="9" t="s">
        <v>87</v>
      </c>
      <c r="K1029" s="9"/>
      <c r="L1029" s="9"/>
      <c r="M1029" s="9" t="s">
        <v>1559</v>
      </c>
      <c r="N1029" s="9"/>
      <c r="O1029" s="9" t="s">
        <v>1560</v>
      </c>
      <c r="P1029" s="9" t="str">
        <f>HYPERLINK("https://ceds.ed.gov/cedselementdetails.aspx?termid=13595")</f>
        <v>https://ceds.ed.gov/cedselementdetails.aspx?termid=13595</v>
      </c>
      <c r="Q1029" s="9" t="str">
        <f>HYPERLINK("https://ceds.ed.gov/elementComment.aspx?elementName=Building Site Number &amp;elementID=13595", "Click here to submit comment")</f>
        <v>Click here to submit comment</v>
      </c>
    </row>
    <row r="1030" spans="1:17" ht="75" x14ac:dyDescent="0.25">
      <c r="A1030" s="9" t="s">
        <v>6811</v>
      </c>
      <c r="B1030" s="9" t="s">
        <v>6824</v>
      </c>
      <c r="C1030" s="9" t="s">
        <v>6783</v>
      </c>
      <c r="D1030" s="9" t="s">
        <v>6742</v>
      </c>
      <c r="E1030" s="9" t="s">
        <v>3606</v>
      </c>
      <c r="F1030" s="9" t="s">
        <v>3607</v>
      </c>
      <c r="G1030" s="9" t="s">
        <v>12</v>
      </c>
      <c r="H1030" s="9"/>
      <c r="I1030" s="9"/>
      <c r="J1030" s="9" t="s">
        <v>1165</v>
      </c>
      <c r="K1030" s="9"/>
      <c r="L1030" s="9"/>
      <c r="M1030" s="9" t="s">
        <v>3608</v>
      </c>
      <c r="N1030" s="9"/>
      <c r="O1030" s="9" t="s">
        <v>3606</v>
      </c>
      <c r="P1030" s="9" t="str">
        <f>HYPERLINK("https://ceds.ed.gov/cedselementdetails.aspx?termid=13599")</f>
        <v>https://ceds.ed.gov/cedselementdetails.aspx?termid=13599</v>
      </c>
      <c r="Q1030" s="9" t="str">
        <f>HYPERLINK("https://ceds.ed.gov/elementComment.aspx?elementName=Latitude &amp;elementID=13599", "Click here to submit comment")</f>
        <v>Click here to submit comment</v>
      </c>
    </row>
    <row r="1031" spans="1:17" ht="75" x14ac:dyDescent="0.25">
      <c r="A1031" s="9" t="s">
        <v>6811</v>
      </c>
      <c r="B1031" s="9" t="s">
        <v>6824</v>
      </c>
      <c r="C1031" s="9" t="s">
        <v>6783</v>
      </c>
      <c r="D1031" s="9" t="s">
        <v>6742</v>
      </c>
      <c r="E1031" s="9" t="s">
        <v>4139</v>
      </c>
      <c r="F1031" s="9" t="s">
        <v>4140</v>
      </c>
      <c r="G1031" s="9" t="s">
        <v>12</v>
      </c>
      <c r="H1031" s="9"/>
      <c r="I1031" s="9"/>
      <c r="J1031" s="9" t="s">
        <v>1165</v>
      </c>
      <c r="K1031" s="9"/>
      <c r="L1031" s="9"/>
      <c r="M1031" s="9" t="s">
        <v>4141</v>
      </c>
      <c r="N1031" s="9"/>
      <c r="O1031" s="9" t="s">
        <v>4139</v>
      </c>
      <c r="P1031" s="9" t="str">
        <f>HYPERLINK("https://ceds.ed.gov/cedselementdetails.aspx?termid=13600")</f>
        <v>https://ceds.ed.gov/cedselementdetails.aspx?termid=13600</v>
      </c>
      <c r="Q1031" s="9" t="str">
        <f>HYPERLINK("https://ceds.ed.gov/elementComment.aspx?elementName=Longitude &amp;elementID=13600", "Click here to submit comment")</f>
        <v>Click here to submit comment</v>
      </c>
    </row>
    <row r="1032" spans="1:17" ht="90" x14ac:dyDescent="0.25">
      <c r="A1032" s="9" t="s">
        <v>6811</v>
      </c>
      <c r="B1032" s="9" t="s">
        <v>6824</v>
      </c>
      <c r="C1032" s="9" t="s">
        <v>6780</v>
      </c>
      <c r="D1032" s="9" t="s">
        <v>6742</v>
      </c>
      <c r="E1032" s="9" t="s">
        <v>4619</v>
      </c>
      <c r="F1032" s="9" t="s">
        <v>4620</v>
      </c>
      <c r="G1032" s="9" t="s">
        <v>12</v>
      </c>
      <c r="H1032" s="9" t="s">
        <v>6109</v>
      </c>
      <c r="I1032" s="9"/>
      <c r="J1032" s="9" t="s">
        <v>1347</v>
      </c>
      <c r="K1032" s="9"/>
      <c r="L1032" s="9"/>
      <c r="M1032" s="9" t="s">
        <v>4621</v>
      </c>
      <c r="N1032" s="9"/>
      <c r="O1032" s="9" t="s">
        <v>4622</v>
      </c>
      <c r="P1032" s="9" t="str">
        <f>HYPERLINK("https://ceds.ed.gov/cedselementdetails.aspx?termid=13213")</f>
        <v>https://ceds.ed.gov/cedselementdetails.aspx?termid=13213</v>
      </c>
      <c r="Q1032" s="9" t="str">
        <f>HYPERLINK("https://ceds.ed.gov/elementComment.aspx?elementName=Position Title &amp;elementID=13213", "Click here to submit comment")</f>
        <v>Click here to submit comment</v>
      </c>
    </row>
    <row r="1033" spans="1:17" ht="90" x14ac:dyDescent="0.25">
      <c r="A1033" s="9" t="s">
        <v>6811</v>
      </c>
      <c r="B1033" s="9" t="s">
        <v>6824</v>
      </c>
      <c r="C1033" s="9" t="s">
        <v>6780</v>
      </c>
      <c r="D1033" s="9" t="s">
        <v>6742</v>
      </c>
      <c r="E1033" s="9" t="s">
        <v>4701</v>
      </c>
      <c r="F1033" s="9" t="s">
        <v>4702</v>
      </c>
      <c r="G1033" s="9" t="s">
        <v>6106</v>
      </c>
      <c r="H1033" s="9"/>
      <c r="I1033" s="9"/>
      <c r="J1033" s="9"/>
      <c r="K1033" s="9"/>
      <c r="L1033" s="9"/>
      <c r="M1033" s="9" t="s">
        <v>4703</v>
      </c>
      <c r="N1033" s="9"/>
      <c r="O1033" s="9" t="s">
        <v>4704</v>
      </c>
      <c r="P1033" s="9" t="str">
        <f>HYPERLINK("https://ceds.ed.gov/cedselementdetails.aspx?termid=14397")</f>
        <v>https://ceds.ed.gov/cedselementdetails.aspx?termid=14397</v>
      </c>
      <c r="Q1033" s="9" t="str">
        <f>HYPERLINK("https://ceds.ed.gov/elementComment.aspx?elementName=Primary Contact Indicator &amp;elementID=14397", "Click here to submit comment")</f>
        <v>Click here to submit comment</v>
      </c>
    </row>
    <row r="1034" spans="1:17" ht="45" x14ac:dyDescent="0.25">
      <c r="A1034" s="9" t="s">
        <v>6811</v>
      </c>
      <c r="B1034" s="9" t="s">
        <v>6824</v>
      </c>
      <c r="C1034" s="9" t="s">
        <v>6780</v>
      </c>
      <c r="D1034" s="9" t="s">
        <v>6742</v>
      </c>
      <c r="E1034" s="9" t="s">
        <v>6057</v>
      </c>
      <c r="F1034" s="9" t="s">
        <v>6058</v>
      </c>
      <c r="G1034" s="9" t="s">
        <v>12</v>
      </c>
      <c r="H1034" s="9" t="s">
        <v>199</v>
      </c>
      <c r="I1034" s="9"/>
      <c r="J1034" s="9" t="s">
        <v>68</v>
      </c>
      <c r="K1034" s="9"/>
      <c r="L1034" s="9"/>
      <c r="M1034" s="9" t="s">
        <v>6059</v>
      </c>
      <c r="N1034" s="9"/>
      <c r="O1034" s="9" t="s">
        <v>6060</v>
      </c>
      <c r="P1034" s="9" t="str">
        <f>HYPERLINK("https://ceds.ed.gov/cedselementdetails.aspx?termid=13300")</f>
        <v>https://ceds.ed.gov/cedselementdetails.aspx?termid=13300</v>
      </c>
      <c r="Q1034" s="9" t="str">
        <f>HYPERLINK("https://ceds.ed.gov/elementComment.aspx?elementName=Web Site Address &amp;elementID=13300", "Click here to submit comment")</f>
        <v>Click here to submit comment</v>
      </c>
    </row>
    <row r="1035" spans="1:17" ht="195" x14ac:dyDescent="0.25">
      <c r="A1035" s="9" t="s">
        <v>6811</v>
      </c>
      <c r="B1035" s="9" t="s">
        <v>6824</v>
      </c>
      <c r="C1035" s="9" t="s">
        <v>6781</v>
      </c>
      <c r="D1035" s="9" t="s">
        <v>6742</v>
      </c>
      <c r="E1035" s="9" t="s">
        <v>2935</v>
      </c>
      <c r="F1035" s="9" t="s">
        <v>2936</v>
      </c>
      <c r="G1035" s="9" t="s">
        <v>12</v>
      </c>
      <c r="H1035" s="9" t="s">
        <v>6211</v>
      </c>
      <c r="I1035" s="9"/>
      <c r="J1035" s="9" t="s">
        <v>1310</v>
      </c>
      <c r="K1035" s="9"/>
      <c r="L1035" s="9" t="s">
        <v>2937</v>
      </c>
      <c r="M1035" s="9" t="s">
        <v>2938</v>
      </c>
      <c r="N1035" s="9"/>
      <c r="O1035" s="9" t="s">
        <v>2939</v>
      </c>
      <c r="P1035" s="9" t="str">
        <f>HYPERLINK("https://ceds.ed.gov/cedselementdetails.aspx?termid=13115")</f>
        <v>https://ceds.ed.gov/cedselementdetails.aspx?termid=13115</v>
      </c>
      <c r="Q1035" s="9" t="str">
        <f>HYPERLINK("https://ceds.ed.gov/elementComment.aspx?elementName=First Name &amp;elementID=13115", "Click here to submit comment")</f>
        <v>Click here to submit comment</v>
      </c>
    </row>
    <row r="1036" spans="1:17" ht="90" customHeight="1" x14ac:dyDescent="0.25">
      <c r="A1036" s="18" t="s">
        <v>6811</v>
      </c>
      <c r="B1036" s="18" t="s">
        <v>6824</v>
      </c>
      <c r="C1036" s="18" t="s">
        <v>6781</v>
      </c>
      <c r="D1036" s="18" t="s">
        <v>6742</v>
      </c>
      <c r="E1036" s="18" t="s">
        <v>4183</v>
      </c>
      <c r="F1036" s="18" t="s">
        <v>4184</v>
      </c>
      <c r="G1036" s="18" t="s">
        <v>12</v>
      </c>
      <c r="H1036" s="18" t="s">
        <v>6211</v>
      </c>
      <c r="I1036" s="18"/>
      <c r="J1036" s="18" t="s">
        <v>1310</v>
      </c>
      <c r="K1036" s="18"/>
      <c r="L1036" s="9" t="s">
        <v>2996</v>
      </c>
      <c r="M1036" s="18" t="s">
        <v>4185</v>
      </c>
      <c r="N1036" s="18"/>
      <c r="O1036" s="18" t="s">
        <v>4186</v>
      </c>
      <c r="P1036" s="18" t="str">
        <f>HYPERLINK("https://ceds.ed.gov/cedselementdetails.aspx?termid=13184")</f>
        <v>https://ceds.ed.gov/cedselementdetails.aspx?termid=13184</v>
      </c>
      <c r="Q1036" s="18" t="str">
        <f>HYPERLINK("https://ceds.ed.gov/elementComment.aspx?elementName=Middle Name &amp;elementID=13184", "Click here to submit comment")</f>
        <v>Click here to submit comment</v>
      </c>
    </row>
    <row r="1037" spans="1:17" ht="90" x14ac:dyDescent="0.25">
      <c r="A1037" s="18"/>
      <c r="B1037" s="18"/>
      <c r="C1037" s="18"/>
      <c r="D1037" s="18"/>
      <c r="E1037" s="18"/>
      <c r="F1037" s="18"/>
      <c r="G1037" s="18"/>
      <c r="H1037" s="18"/>
      <c r="I1037" s="18"/>
      <c r="J1037" s="18"/>
      <c r="K1037" s="18"/>
      <c r="L1037" s="9" t="s">
        <v>2997</v>
      </c>
      <c r="M1037" s="18"/>
      <c r="N1037" s="18"/>
      <c r="O1037" s="18"/>
      <c r="P1037" s="18"/>
      <c r="Q1037" s="18"/>
    </row>
    <row r="1038" spans="1:17" ht="90" customHeight="1" x14ac:dyDescent="0.25">
      <c r="A1038" s="18" t="s">
        <v>6811</v>
      </c>
      <c r="B1038" s="18" t="s">
        <v>6824</v>
      </c>
      <c r="C1038" s="18" t="s">
        <v>6781</v>
      </c>
      <c r="D1038" s="18" t="s">
        <v>6742</v>
      </c>
      <c r="E1038" s="18" t="s">
        <v>3597</v>
      </c>
      <c r="F1038" s="18" t="s">
        <v>3598</v>
      </c>
      <c r="G1038" s="18" t="s">
        <v>12</v>
      </c>
      <c r="H1038" s="18" t="s">
        <v>6211</v>
      </c>
      <c r="I1038" s="18"/>
      <c r="J1038" s="18" t="s">
        <v>1310</v>
      </c>
      <c r="K1038" s="18"/>
      <c r="L1038" s="9" t="s">
        <v>2996</v>
      </c>
      <c r="M1038" s="18" t="s">
        <v>3599</v>
      </c>
      <c r="N1038" s="18" t="s">
        <v>3600</v>
      </c>
      <c r="O1038" s="18" t="s">
        <v>3601</v>
      </c>
      <c r="P1038" s="18" t="str">
        <f>HYPERLINK("https://ceds.ed.gov/cedselementdetails.aspx?termid=13172")</f>
        <v>https://ceds.ed.gov/cedselementdetails.aspx?termid=13172</v>
      </c>
      <c r="Q1038" s="18" t="str">
        <f>HYPERLINK("https://ceds.ed.gov/elementComment.aspx?elementName=Last or Surname &amp;elementID=13172", "Click here to submit comment")</f>
        <v>Click here to submit comment</v>
      </c>
    </row>
    <row r="1039" spans="1:17" ht="90" x14ac:dyDescent="0.25">
      <c r="A1039" s="18"/>
      <c r="B1039" s="18"/>
      <c r="C1039" s="18"/>
      <c r="D1039" s="18"/>
      <c r="E1039" s="18"/>
      <c r="F1039" s="18"/>
      <c r="G1039" s="18"/>
      <c r="H1039" s="18"/>
      <c r="I1039" s="18"/>
      <c r="J1039" s="18"/>
      <c r="K1039" s="18"/>
      <c r="L1039" s="9" t="s">
        <v>2997</v>
      </c>
      <c r="M1039" s="18"/>
      <c r="N1039" s="18"/>
      <c r="O1039" s="18"/>
      <c r="P1039" s="18"/>
      <c r="Q1039" s="18"/>
    </row>
    <row r="1040" spans="1:17" ht="45" customHeight="1" x14ac:dyDescent="0.25">
      <c r="A1040" s="18" t="s">
        <v>6811</v>
      </c>
      <c r="B1040" s="18" t="s">
        <v>6824</v>
      </c>
      <c r="C1040" s="18" t="s">
        <v>6781</v>
      </c>
      <c r="D1040" s="18" t="s">
        <v>6742</v>
      </c>
      <c r="E1040" s="18" t="s">
        <v>2994</v>
      </c>
      <c r="F1040" s="18" t="s">
        <v>2995</v>
      </c>
      <c r="G1040" s="18" t="s">
        <v>12</v>
      </c>
      <c r="H1040" s="18" t="s">
        <v>6212</v>
      </c>
      <c r="I1040" s="18"/>
      <c r="J1040" s="18" t="s">
        <v>2088</v>
      </c>
      <c r="K1040" s="18"/>
      <c r="L1040" s="9" t="s">
        <v>2996</v>
      </c>
      <c r="M1040" s="18" t="s">
        <v>2998</v>
      </c>
      <c r="N1040" s="18"/>
      <c r="O1040" s="18" t="s">
        <v>2999</v>
      </c>
      <c r="P1040" s="18" t="str">
        <f>HYPERLINK("https://ceds.ed.gov/cedselementdetails.aspx?termid=13121")</f>
        <v>https://ceds.ed.gov/cedselementdetails.aspx?termid=13121</v>
      </c>
      <c r="Q1040" s="18" t="str">
        <f>HYPERLINK("https://ceds.ed.gov/elementComment.aspx?elementName=Generation Code or Suffix &amp;elementID=13121", "Click here to submit comment")</f>
        <v>Click here to submit comment</v>
      </c>
    </row>
    <row r="1041" spans="1:17" ht="90" x14ac:dyDescent="0.25">
      <c r="A1041" s="18"/>
      <c r="B1041" s="18"/>
      <c r="C1041" s="18"/>
      <c r="D1041" s="18"/>
      <c r="E1041" s="18"/>
      <c r="F1041" s="18"/>
      <c r="G1041" s="18"/>
      <c r="H1041" s="18"/>
      <c r="I1041" s="18"/>
      <c r="J1041" s="18"/>
      <c r="K1041" s="18"/>
      <c r="L1041" s="9" t="s">
        <v>2997</v>
      </c>
      <c r="M1041" s="18"/>
      <c r="N1041" s="18"/>
      <c r="O1041" s="18"/>
      <c r="P1041" s="18"/>
      <c r="Q1041" s="18"/>
    </row>
    <row r="1042" spans="1:17" ht="105" x14ac:dyDescent="0.25">
      <c r="A1042" s="9" t="s">
        <v>6811</v>
      </c>
      <c r="B1042" s="9" t="s">
        <v>6824</v>
      </c>
      <c r="C1042" s="9" t="s">
        <v>6781</v>
      </c>
      <c r="D1042" s="9" t="s">
        <v>6742</v>
      </c>
      <c r="E1042" s="9" t="s">
        <v>4610</v>
      </c>
      <c r="F1042" s="9" t="s">
        <v>4611</v>
      </c>
      <c r="G1042" s="9" t="s">
        <v>12</v>
      </c>
      <c r="H1042" s="9" t="s">
        <v>6255</v>
      </c>
      <c r="I1042" s="9"/>
      <c r="J1042" s="9" t="s">
        <v>87</v>
      </c>
      <c r="K1042" s="9"/>
      <c r="L1042" s="9"/>
      <c r="M1042" s="9" t="s">
        <v>4612</v>
      </c>
      <c r="N1042" s="9" t="s">
        <v>4613</v>
      </c>
      <c r="O1042" s="9" t="s">
        <v>4614</v>
      </c>
      <c r="P1042" s="9" t="str">
        <f>HYPERLINK("https://ceds.ed.gov/cedselementdetails.aspx?termid=13212")</f>
        <v>https://ceds.ed.gov/cedselementdetails.aspx?termid=13212</v>
      </c>
      <c r="Q1042" s="9" t="str">
        <f>HYPERLINK("https://ceds.ed.gov/elementComment.aspx?elementName=Personal Title or Prefix &amp;elementID=13212", "Click here to submit comment")</f>
        <v>Click here to submit comment</v>
      </c>
    </row>
    <row r="1043" spans="1:17" ht="105" x14ac:dyDescent="0.25">
      <c r="A1043" s="9" t="s">
        <v>6811</v>
      </c>
      <c r="B1043" s="9" t="s">
        <v>6824</v>
      </c>
      <c r="C1043" s="9" t="s">
        <v>6745</v>
      </c>
      <c r="D1043" s="9" t="s">
        <v>6742</v>
      </c>
      <c r="E1043" s="9" t="s">
        <v>178</v>
      </c>
      <c r="F1043" s="9" t="s">
        <v>179</v>
      </c>
      <c r="G1043" s="10" t="s">
        <v>6321</v>
      </c>
      <c r="H1043" s="9" t="s">
        <v>182</v>
      </c>
      <c r="I1043" s="9"/>
      <c r="J1043" s="9" t="s">
        <v>87</v>
      </c>
      <c r="K1043" s="9"/>
      <c r="L1043" s="9"/>
      <c r="M1043" s="9" t="s">
        <v>180</v>
      </c>
      <c r="N1043" s="9"/>
      <c r="O1043" s="9" t="s">
        <v>181</v>
      </c>
      <c r="P1043" s="9" t="str">
        <f>HYPERLINK("https://ceds.ed.gov/cedselementdetails.aspx?termid=13698")</f>
        <v>https://ceds.ed.gov/cedselementdetails.aspx?termid=13698</v>
      </c>
      <c r="Q1043" s="9" t="str">
        <f>HYPERLINK("https://ceds.ed.gov/elementComment.aspx?elementName=Address Type for Staff &amp;elementID=13698", "Click here to submit comment")</f>
        <v>Click here to submit comment</v>
      </c>
    </row>
    <row r="1044" spans="1:17" ht="225" x14ac:dyDescent="0.25">
      <c r="A1044" s="9" t="s">
        <v>6811</v>
      </c>
      <c r="B1044" s="9" t="s">
        <v>6824</v>
      </c>
      <c r="C1044" s="9" t="s">
        <v>6745</v>
      </c>
      <c r="D1044" s="9" t="s">
        <v>6742</v>
      </c>
      <c r="E1044" s="9" t="s">
        <v>166</v>
      </c>
      <c r="F1044" s="9" t="s">
        <v>167</v>
      </c>
      <c r="G1044" s="9" t="s">
        <v>12</v>
      </c>
      <c r="H1044" s="9" t="s">
        <v>6113</v>
      </c>
      <c r="I1044" s="9"/>
      <c r="J1044" s="9" t="s">
        <v>119</v>
      </c>
      <c r="K1044" s="9"/>
      <c r="L1044" s="9"/>
      <c r="M1044" s="9" t="s">
        <v>168</v>
      </c>
      <c r="N1044" s="9"/>
      <c r="O1044" s="9" t="s">
        <v>169</v>
      </c>
      <c r="P1044" s="9" t="str">
        <f>HYPERLINK("https://ceds.ed.gov/cedselementdetails.aspx?termid=13269")</f>
        <v>https://ceds.ed.gov/cedselementdetails.aspx?termid=13269</v>
      </c>
      <c r="Q1044" s="9" t="str">
        <f>HYPERLINK("https://ceds.ed.gov/elementComment.aspx?elementName=Address Street Number and Name &amp;elementID=13269", "Click here to submit comment")</f>
        <v>Click here to submit comment</v>
      </c>
    </row>
    <row r="1045" spans="1:17" ht="225" x14ac:dyDescent="0.25">
      <c r="A1045" s="9" t="s">
        <v>6811</v>
      </c>
      <c r="B1045" s="9" t="s">
        <v>6824</v>
      </c>
      <c r="C1045" s="9" t="s">
        <v>6745</v>
      </c>
      <c r="D1045" s="9" t="s">
        <v>6742</v>
      </c>
      <c r="E1045" s="9" t="s">
        <v>149</v>
      </c>
      <c r="F1045" s="9" t="s">
        <v>150</v>
      </c>
      <c r="G1045" s="9" t="s">
        <v>12</v>
      </c>
      <c r="H1045" s="9" t="s">
        <v>6113</v>
      </c>
      <c r="I1045" s="9"/>
      <c r="J1045" s="9" t="s">
        <v>87</v>
      </c>
      <c r="K1045" s="9"/>
      <c r="L1045" s="9"/>
      <c r="M1045" s="9" t="s">
        <v>151</v>
      </c>
      <c r="N1045" s="9"/>
      <c r="O1045" s="9" t="s">
        <v>152</v>
      </c>
      <c r="P1045" s="9" t="str">
        <f>HYPERLINK("https://ceds.ed.gov/cedselementdetails.aspx?termid=13019")</f>
        <v>https://ceds.ed.gov/cedselementdetails.aspx?termid=13019</v>
      </c>
      <c r="Q1045" s="9" t="str">
        <f>HYPERLINK("https://ceds.ed.gov/elementComment.aspx?elementName=Address Apartment Room or Suite Number &amp;elementID=13019", "Click here to submit comment")</f>
        <v>Click here to submit comment</v>
      </c>
    </row>
    <row r="1046" spans="1:17" ht="225" x14ac:dyDescent="0.25">
      <c r="A1046" s="9" t="s">
        <v>6811</v>
      </c>
      <c r="B1046" s="9" t="s">
        <v>6824</v>
      </c>
      <c r="C1046" s="9" t="s">
        <v>6745</v>
      </c>
      <c r="D1046" s="9" t="s">
        <v>6742</v>
      </c>
      <c r="E1046" s="9" t="s">
        <v>153</v>
      </c>
      <c r="F1046" s="9" t="s">
        <v>154</v>
      </c>
      <c r="G1046" s="9" t="s">
        <v>12</v>
      </c>
      <c r="H1046" s="9" t="s">
        <v>6113</v>
      </c>
      <c r="I1046" s="9"/>
      <c r="J1046" s="9" t="s">
        <v>87</v>
      </c>
      <c r="K1046" s="9"/>
      <c r="L1046" s="9"/>
      <c r="M1046" s="9" t="s">
        <v>155</v>
      </c>
      <c r="N1046" s="9"/>
      <c r="O1046" s="9" t="s">
        <v>156</v>
      </c>
      <c r="P1046" s="9" t="str">
        <f>HYPERLINK("https://ceds.ed.gov/cedselementdetails.aspx?termid=13040")</f>
        <v>https://ceds.ed.gov/cedselementdetails.aspx?termid=13040</v>
      </c>
      <c r="Q1046" s="9" t="str">
        <f>HYPERLINK("https://ceds.ed.gov/elementComment.aspx?elementName=Address City &amp;elementID=13040", "Click here to submit comment")</f>
        <v>Click here to submit comment</v>
      </c>
    </row>
    <row r="1047" spans="1:17" ht="409.5" x14ac:dyDescent="0.25">
      <c r="A1047" s="9" t="s">
        <v>6811</v>
      </c>
      <c r="B1047" s="9" t="s">
        <v>6824</v>
      </c>
      <c r="C1047" s="9" t="s">
        <v>6745</v>
      </c>
      <c r="D1047" s="9" t="s">
        <v>6742</v>
      </c>
      <c r="E1047" s="9" t="s">
        <v>5647</v>
      </c>
      <c r="F1047" s="9" t="s">
        <v>5648</v>
      </c>
      <c r="G1047" s="10" t="s">
        <v>6702</v>
      </c>
      <c r="H1047" s="9" t="s">
        <v>6285</v>
      </c>
      <c r="I1047" s="9"/>
      <c r="J1047" s="9"/>
      <c r="K1047" s="9"/>
      <c r="L1047" s="9"/>
      <c r="M1047" s="9" t="s">
        <v>5649</v>
      </c>
      <c r="N1047" s="9"/>
      <c r="O1047" s="9" t="s">
        <v>5650</v>
      </c>
      <c r="P1047" s="9" t="str">
        <f>HYPERLINK("https://ceds.ed.gov/cedselementdetails.aspx?termid=13267")</f>
        <v>https://ceds.ed.gov/cedselementdetails.aspx?termid=13267</v>
      </c>
      <c r="Q1047" s="9" t="str">
        <f>HYPERLINK("https://ceds.ed.gov/elementComment.aspx?elementName=State Abbreviation &amp;elementID=13267", "Click here to submit comment")</f>
        <v>Click here to submit comment</v>
      </c>
    </row>
    <row r="1048" spans="1:17" ht="225" x14ac:dyDescent="0.25">
      <c r="A1048" s="9" t="s">
        <v>6811</v>
      </c>
      <c r="B1048" s="9" t="s">
        <v>6824</v>
      </c>
      <c r="C1048" s="9" t="s">
        <v>6745</v>
      </c>
      <c r="D1048" s="9" t="s">
        <v>6742</v>
      </c>
      <c r="E1048" s="9" t="s">
        <v>161</v>
      </c>
      <c r="F1048" s="9" t="s">
        <v>162</v>
      </c>
      <c r="G1048" s="9" t="s">
        <v>12</v>
      </c>
      <c r="H1048" s="9" t="s">
        <v>6113</v>
      </c>
      <c r="I1048" s="9"/>
      <c r="J1048" s="9" t="s">
        <v>163</v>
      </c>
      <c r="K1048" s="9"/>
      <c r="L1048" s="9"/>
      <c r="M1048" s="9" t="s">
        <v>164</v>
      </c>
      <c r="N1048" s="9"/>
      <c r="O1048" s="9" t="s">
        <v>165</v>
      </c>
      <c r="P1048" s="9" t="str">
        <f>HYPERLINK("https://ceds.ed.gov/cedselementdetails.aspx?termid=13214")</f>
        <v>https://ceds.ed.gov/cedselementdetails.aspx?termid=13214</v>
      </c>
      <c r="Q1048" s="9" t="str">
        <f>HYPERLINK("https://ceds.ed.gov/elementComment.aspx?elementName=Address Postal Code &amp;elementID=13214", "Click here to submit comment")</f>
        <v>Click here to submit comment</v>
      </c>
    </row>
    <row r="1049" spans="1:17" ht="225" x14ac:dyDescent="0.25">
      <c r="A1049" s="9" t="s">
        <v>6811</v>
      </c>
      <c r="B1049" s="9" t="s">
        <v>6824</v>
      </c>
      <c r="C1049" s="9" t="s">
        <v>6745</v>
      </c>
      <c r="D1049" s="9" t="s">
        <v>6742</v>
      </c>
      <c r="E1049" s="9" t="s">
        <v>157</v>
      </c>
      <c r="F1049" s="9" t="s">
        <v>158</v>
      </c>
      <c r="G1049" s="9" t="s">
        <v>12</v>
      </c>
      <c r="H1049" s="9" t="s">
        <v>6113</v>
      </c>
      <c r="I1049" s="9"/>
      <c r="J1049" s="9" t="s">
        <v>87</v>
      </c>
      <c r="K1049" s="9"/>
      <c r="L1049" s="9"/>
      <c r="M1049" s="9" t="s">
        <v>159</v>
      </c>
      <c r="N1049" s="9"/>
      <c r="O1049" s="9" t="s">
        <v>160</v>
      </c>
      <c r="P1049" s="9" t="str">
        <f>HYPERLINK("https://ceds.ed.gov/cedselementdetails.aspx?termid=13190")</f>
        <v>https://ceds.ed.gov/cedselementdetails.aspx?termid=13190</v>
      </c>
      <c r="Q1049" s="9" t="str">
        <f>HYPERLINK("https://ceds.ed.gov/elementComment.aspx?elementName=Address County Name &amp;elementID=13190", "Click here to submit comment")</f>
        <v>Click here to submit comment</v>
      </c>
    </row>
    <row r="1050" spans="1:17" ht="409.5" x14ac:dyDescent="0.25">
      <c r="A1050" s="9" t="s">
        <v>6811</v>
      </c>
      <c r="B1050" s="9" t="s">
        <v>6824</v>
      </c>
      <c r="C1050" s="9" t="s">
        <v>6745</v>
      </c>
      <c r="D1050" s="9" t="s">
        <v>6742</v>
      </c>
      <c r="E1050" s="9" t="s">
        <v>1885</v>
      </c>
      <c r="F1050" s="9" t="s">
        <v>1886</v>
      </c>
      <c r="G1050" s="10" t="s">
        <v>11839</v>
      </c>
      <c r="H1050" s="9" t="s">
        <v>6174</v>
      </c>
      <c r="I1050" s="9"/>
      <c r="J1050" s="9"/>
      <c r="K1050" s="9"/>
      <c r="L1050" s="11" t="s">
        <v>1887</v>
      </c>
      <c r="M1050" s="9" t="s">
        <v>1888</v>
      </c>
      <c r="N1050" s="9"/>
      <c r="O1050" s="9" t="s">
        <v>1889</v>
      </c>
      <c r="P1050" s="9" t="str">
        <f>HYPERLINK("https://ceds.ed.gov/cedselementdetails.aspx?termid=13050")</f>
        <v>https://ceds.ed.gov/cedselementdetails.aspx?termid=13050</v>
      </c>
      <c r="Q1050" s="9" t="str">
        <f>HYPERLINK("https://ceds.ed.gov/elementComment.aspx?elementName=Country Code &amp;elementID=13050", "Click here to submit comment")</f>
        <v>Click here to submit comment</v>
      </c>
    </row>
    <row r="1051" spans="1:17" ht="75" x14ac:dyDescent="0.25">
      <c r="A1051" s="9" t="s">
        <v>6811</v>
      </c>
      <c r="B1051" s="9" t="s">
        <v>6824</v>
      </c>
      <c r="C1051" s="9" t="s">
        <v>6745</v>
      </c>
      <c r="D1051" s="9" t="s">
        <v>6742</v>
      </c>
      <c r="E1051" s="9" t="s">
        <v>3606</v>
      </c>
      <c r="F1051" s="9" t="s">
        <v>3607</v>
      </c>
      <c r="G1051" s="9" t="s">
        <v>12</v>
      </c>
      <c r="H1051" s="9"/>
      <c r="I1051" s="9"/>
      <c r="J1051" s="9" t="s">
        <v>1165</v>
      </c>
      <c r="K1051" s="9"/>
      <c r="L1051" s="9"/>
      <c r="M1051" s="9" t="s">
        <v>3608</v>
      </c>
      <c r="N1051" s="9"/>
      <c r="O1051" s="9" t="s">
        <v>3606</v>
      </c>
      <c r="P1051" s="9" t="str">
        <f>HYPERLINK("https://ceds.ed.gov/cedselementdetails.aspx?termid=13599")</f>
        <v>https://ceds.ed.gov/cedselementdetails.aspx?termid=13599</v>
      </c>
      <c r="Q1051" s="9" t="str">
        <f>HYPERLINK("https://ceds.ed.gov/elementComment.aspx?elementName=Latitude &amp;elementID=13599", "Click here to submit comment")</f>
        <v>Click here to submit comment</v>
      </c>
    </row>
    <row r="1052" spans="1:17" ht="75" x14ac:dyDescent="0.25">
      <c r="A1052" s="9" t="s">
        <v>6811</v>
      </c>
      <c r="B1052" s="9" t="s">
        <v>6824</v>
      </c>
      <c r="C1052" s="9" t="s">
        <v>6745</v>
      </c>
      <c r="D1052" s="9" t="s">
        <v>6742</v>
      </c>
      <c r="E1052" s="9" t="s">
        <v>4139</v>
      </c>
      <c r="F1052" s="9" t="s">
        <v>4140</v>
      </c>
      <c r="G1052" s="9" t="s">
        <v>12</v>
      </c>
      <c r="H1052" s="9"/>
      <c r="I1052" s="9"/>
      <c r="J1052" s="9" t="s">
        <v>1165</v>
      </c>
      <c r="K1052" s="9"/>
      <c r="L1052" s="9"/>
      <c r="M1052" s="9" t="s">
        <v>4141</v>
      </c>
      <c r="N1052" s="9"/>
      <c r="O1052" s="9" t="s">
        <v>4139</v>
      </c>
      <c r="P1052" s="9" t="str">
        <f>HYPERLINK("https://ceds.ed.gov/cedselementdetails.aspx?termid=13600")</f>
        <v>https://ceds.ed.gov/cedselementdetails.aspx?termid=13600</v>
      </c>
      <c r="Q1052" s="9" t="str">
        <f>HYPERLINK("https://ceds.ed.gov/elementComment.aspx?elementName=Longitude &amp;elementID=13600", "Click here to submit comment")</f>
        <v>Click here to submit comment</v>
      </c>
    </row>
    <row r="1053" spans="1:17" ht="90" x14ac:dyDescent="0.25">
      <c r="A1053" s="9" t="s">
        <v>6811</v>
      </c>
      <c r="B1053" s="9" t="s">
        <v>6824</v>
      </c>
      <c r="C1053" s="9" t="s">
        <v>6773</v>
      </c>
      <c r="D1053" s="9" t="s">
        <v>6742</v>
      </c>
      <c r="E1053" s="9" t="s">
        <v>2584</v>
      </c>
      <c r="F1053" s="9" t="s">
        <v>2585</v>
      </c>
      <c r="G1053" s="9" t="s">
        <v>12</v>
      </c>
      <c r="H1053" s="9" t="s">
        <v>6109</v>
      </c>
      <c r="I1053" s="9"/>
      <c r="J1053" s="9" t="s">
        <v>11127</v>
      </c>
      <c r="K1053" s="9"/>
      <c r="L1053" s="9"/>
      <c r="M1053" s="9" t="s">
        <v>2586</v>
      </c>
      <c r="N1053" s="9" t="s">
        <v>2587</v>
      </c>
      <c r="O1053" s="9" t="s">
        <v>2588</v>
      </c>
      <c r="P1053" s="9" t="str">
        <f>HYPERLINK("https://ceds.ed.gov/cedselementdetails.aspx?termid=13088")</f>
        <v>https://ceds.ed.gov/cedselementdetails.aspx?termid=13088</v>
      </c>
      <c r="Q1053" s="9" t="str">
        <f>HYPERLINK("https://ceds.ed.gov/elementComment.aspx?elementName=Electronic Mail Address &amp;elementID=13088", "Click here to submit comment")</f>
        <v>Click here to submit comment</v>
      </c>
    </row>
    <row r="1054" spans="1:17" ht="90" x14ac:dyDescent="0.25">
      <c r="A1054" s="9" t="s">
        <v>6811</v>
      </c>
      <c r="B1054" s="9" t="s">
        <v>6824</v>
      </c>
      <c r="C1054" s="9" t="s">
        <v>6773</v>
      </c>
      <c r="D1054" s="9" t="s">
        <v>6742</v>
      </c>
      <c r="E1054" s="9" t="s">
        <v>2589</v>
      </c>
      <c r="F1054" s="9" t="s">
        <v>2590</v>
      </c>
      <c r="G1054" s="10" t="s">
        <v>6484</v>
      </c>
      <c r="H1054" s="9" t="s">
        <v>6109</v>
      </c>
      <c r="I1054" s="9"/>
      <c r="J1054" s="9"/>
      <c r="K1054" s="9"/>
      <c r="L1054" s="9"/>
      <c r="M1054" s="9" t="s">
        <v>2591</v>
      </c>
      <c r="N1054" s="9" t="s">
        <v>2592</v>
      </c>
      <c r="O1054" s="9" t="s">
        <v>2593</v>
      </c>
      <c r="P1054" s="9" t="str">
        <f>HYPERLINK("https://ceds.ed.gov/cedselementdetails.aspx?termid=13089")</f>
        <v>https://ceds.ed.gov/cedselementdetails.aspx?termid=13089</v>
      </c>
      <c r="Q1054" s="9" t="str">
        <f>HYPERLINK("https://ceds.ed.gov/elementComment.aspx?elementName=Electronic Mail Address Type &amp;elementID=13089", "Click here to submit comment")</f>
        <v>Click here to submit comment</v>
      </c>
    </row>
    <row r="1055" spans="1:17" ht="90" x14ac:dyDescent="0.25">
      <c r="A1055" s="9" t="s">
        <v>6811</v>
      </c>
      <c r="B1055" s="9" t="s">
        <v>6824</v>
      </c>
      <c r="C1055" s="9" t="s">
        <v>6747</v>
      </c>
      <c r="D1055" s="9" t="s">
        <v>6742</v>
      </c>
      <c r="E1055" s="9" t="s">
        <v>5849</v>
      </c>
      <c r="F1055" s="9" t="s">
        <v>5850</v>
      </c>
      <c r="G1055" s="9" t="s">
        <v>12</v>
      </c>
      <c r="H1055" s="9" t="s">
        <v>6109</v>
      </c>
      <c r="I1055" s="9"/>
      <c r="J1055" s="9" t="s">
        <v>5851</v>
      </c>
      <c r="K1055" s="9"/>
      <c r="L1055" s="9"/>
      <c r="M1055" s="9" t="s">
        <v>5852</v>
      </c>
      <c r="N1055" s="9"/>
      <c r="O1055" s="9" t="s">
        <v>5853</v>
      </c>
      <c r="P1055" s="9" t="str">
        <f>HYPERLINK("https://ceds.ed.gov/cedselementdetails.aspx?termid=13279")</f>
        <v>https://ceds.ed.gov/cedselementdetails.aspx?termid=13279</v>
      </c>
      <c r="Q1055" s="9" t="str">
        <f>HYPERLINK("https://ceds.ed.gov/elementComment.aspx?elementName=Telephone Number &amp;elementID=13279", "Click here to submit comment")</f>
        <v>Click here to submit comment</v>
      </c>
    </row>
    <row r="1056" spans="1:17" ht="90" x14ac:dyDescent="0.25">
      <c r="A1056" s="9" t="s">
        <v>6811</v>
      </c>
      <c r="B1056" s="9" t="s">
        <v>6824</v>
      </c>
      <c r="C1056" s="9" t="s">
        <v>6747</v>
      </c>
      <c r="D1056" s="9" t="s">
        <v>6742</v>
      </c>
      <c r="E1056" s="9" t="s">
        <v>5854</v>
      </c>
      <c r="F1056" s="9" t="s">
        <v>5855</v>
      </c>
      <c r="G1056" s="10" t="s">
        <v>6717</v>
      </c>
      <c r="H1056" s="9" t="s">
        <v>6109</v>
      </c>
      <c r="I1056" s="9"/>
      <c r="J1056" s="9" t="s">
        <v>1900</v>
      </c>
      <c r="K1056" s="9"/>
      <c r="L1056" s="9"/>
      <c r="M1056" s="9" t="s">
        <v>5856</v>
      </c>
      <c r="N1056" s="9"/>
      <c r="O1056" s="9" t="s">
        <v>5857</v>
      </c>
      <c r="P1056" s="9" t="str">
        <f>HYPERLINK("https://ceds.ed.gov/cedselementdetails.aspx?termid=13280")</f>
        <v>https://ceds.ed.gov/cedselementdetails.aspx?termid=13280</v>
      </c>
      <c r="Q1056" s="9" t="str">
        <f>HYPERLINK("https://ceds.ed.gov/elementComment.aspx?elementName=Telephone Number Type &amp;elementID=13280", "Click here to submit comment")</f>
        <v>Click here to submit comment</v>
      </c>
    </row>
    <row r="1057" spans="1:17" ht="90" x14ac:dyDescent="0.25">
      <c r="A1057" s="9" t="s">
        <v>6811</v>
      </c>
      <c r="B1057" s="9" t="s">
        <v>6824</v>
      </c>
      <c r="C1057" s="9" t="s">
        <v>6747</v>
      </c>
      <c r="D1057" s="9" t="s">
        <v>6742</v>
      </c>
      <c r="E1057" s="9" t="s">
        <v>4709</v>
      </c>
      <c r="F1057" s="9" t="s">
        <v>4710</v>
      </c>
      <c r="G1057" s="9" t="s">
        <v>6106</v>
      </c>
      <c r="H1057" s="9" t="s">
        <v>6109</v>
      </c>
      <c r="I1057" s="9"/>
      <c r="J1057" s="9"/>
      <c r="K1057" s="9"/>
      <c r="L1057" s="9"/>
      <c r="M1057" s="9" t="s">
        <v>4711</v>
      </c>
      <c r="N1057" s="9"/>
      <c r="O1057" s="9" t="s">
        <v>4712</v>
      </c>
      <c r="P1057" s="9" t="str">
        <f>HYPERLINK("https://ceds.ed.gov/cedselementdetails.aspx?termid=13219")</f>
        <v>https://ceds.ed.gov/cedselementdetails.aspx?termid=13219</v>
      </c>
      <c r="Q1057" s="9" t="str">
        <f>HYPERLINK("https://ceds.ed.gov/elementComment.aspx?elementName=Primary Telephone Number Indicator &amp;elementID=13219", "Click here to submit comment")</f>
        <v>Click here to submit comment</v>
      </c>
    </row>
    <row r="1058" spans="1:17" ht="45" x14ac:dyDescent="0.25">
      <c r="A1058" s="9" t="s">
        <v>6811</v>
      </c>
      <c r="B1058" s="9" t="s">
        <v>6824</v>
      </c>
      <c r="C1058" s="9" t="s">
        <v>6782</v>
      </c>
      <c r="D1058" s="9" t="s">
        <v>6742</v>
      </c>
      <c r="E1058" s="9" t="s">
        <v>4481</v>
      </c>
      <c r="F1058" s="9" t="s">
        <v>4482</v>
      </c>
      <c r="G1058" s="9" t="s">
        <v>12</v>
      </c>
      <c r="H1058" s="9"/>
      <c r="I1058" s="9"/>
      <c r="J1058" s="9" t="s">
        <v>1310</v>
      </c>
      <c r="K1058" s="9"/>
      <c r="L1058" s="9" t="s">
        <v>4483</v>
      </c>
      <c r="M1058" s="9" t="s">
        <v>4484</v>
      </c>
      <c r="N1058" s="9"/>
      <c r="O1058" s="9" t="s">
        <v>4485</v>
      </c>
      <c r="P1058" s="9" t="str">
        <f>HYPERLINK("https://ceds.ed.gov/cedselementdetails.aspx?termid=14486")</f>
        <v>https://ceds.ed.gov/cedselementdetails.aspx?termid=14486</v>
      </c>
      <c r="Q1058" s="9" t="str">
        <f>HYPERLINK("https://ceds.ed.gov/elementComment.aspx?elementName=Other First Name &amp;elementID=14486", "Click here to submit comment")</f>
        <v>Click here to submit comment</v>
      </c>
    </row>
    <row r="1059" spans="1:17" ht="45" x14ac:dyDescent="0.25">
      <c r="A1059" s="9" t="s">
        <v>6811</v>
      </c>
      <c r="B1059" s="9" t="s">
        <v>6824</v>
      </c>
      <c r="C1059" s="9" t="s">
        <v>6782</v>
      </c>
      <c r="D1059" s="9" t="s">
        <v>6742</v>
      </c>
      <c r="E1059" s="9" t="s">
        <v>4491</v>
      </c>
      <c r="F1059" s="9" t="s">
        <v>4492</v>
      </c>
      <c r="G1059" s="9" t="s">
        <v>12</v>
      </c>
      <c r="H1059" s="9"/>
      <c r="I1059" s="9"/>
      <c r="J1059" s="9" t="s">
        <v>1310</v>
      </c>
      <c r="K1059" s="9"/>
      <c r="L1059" s="9" t="s">
        <v>4493</v>
      </c>
      <c r="M1059" s="9" t="s">
        <v>4494</v>
      </c>
      <c r="N1059" s="9"/>
      <c r="O1059" s="9" t="s">
        <v>4495</v>
      </c>
      <c r="P1059" s="9" t="str">
        <f>HYPERLINK("https://ceds.ed.gov/cedselementdetails.aspx?termid=14487")</f>
        <v>https://ceds.ed.gov/cedselementdetails.aspx?termid=14487</v>
      </c>
      <c r="Q1059" s="9" t="str">
        <f>HYPERLINK("https://ceds.ed.gov/elementComment.aspx?elementName=Other Middle Name &amp;elementID=14487", "Click here to submit comment")</f>
        <v>Click here to submit comment</v>
      </c>
    </row>
    <row r="1060" spans="1:17" ht="45" x14ac:dyDescent="0.25">
      <c r="A1060" s="9" t="s">
        <v>6811</v>
      </c>
      <c r="B1060" s="9" t="s">
        <v>6824</v>
      </c>
      <c r="C1060" s="9" t="s">
        <v>6782</v>
      </c>
      <c r="D1060" s="9" t="s">
        <v>6742</v>
      </c>
      <c r="E1060" s="9" t="s">
        <v>4486</v>
      </c>
      <c r="F1060" s="9" t="s">
        <v>4487</v>
      </c>
      <c r="G1060" s="9" t="s">
        <v>12</v>
      </c>
      <c r="H1060" s="9"/>
      <c r="I1060" s="9"/>
      <c r="J1060" s="9" t="s">
        <v>1310</v>
      </c>
      <c r="K1060" s="9"/>
      <c r="L1060" s="9" t="s">
        <v>4488</v>
      </c>
      <c r="M1060" s="9" t="s">
        <v>4489</v>
      </c>
      <c r="N1060" s="9"/>
      <c r="O1060" s="9" t="s">
        <v>4490</v>
      </c>
      <c r="P1060" s="9" t="str">
        <f>HYPERLINK("https://ceds.ed.gov/cedselementdetails.aspx?termid=14485")</f>
        <v>https://ceds.ed.gov/cedselementdetails.aspx?termid=14485</v>
      </c>
      <c r="Q1060" s="9" t="str">
        <f>HYPERLINK("https://ceds.ed.gov/elementComment.aspx?elementName=Other Last Name &amp;elementID=14485", "Click here to submit comment")</f>
        <v>Click here to submit comment</v>
      </c>
    </row>
    <row r="1061" spans="1:17" ht="150" x14ac:dyDescent="0.25">
      <c r="A1061" s="9" t="s">
        <v>6811</v>
      </c>
      <c r="B1061" s="9" t="s">
        <v>6824</v>
      </c>
      <c r="C1061" s="9" t="s">
        <v>6782</v>
      </c>
      <c r="D1061" s="9" t="s">
        <v>6742</v>
      </c>
      <c r="E1061" s="9" t="s">
        <v>4496</v>
      </c>
      <c r="F1061" s="9" t="s">
        <v>4497</v>
      </c>
      <c r="G1061" s="9" t="s">
        <v>12</v>
      </c>
      <c r="H1061" s="9" t="s">
        <v>6212</v>
      </c>
      <c r="I1061" s="9"/>
      <c r="J1061" s="9" t="s">
        <v>119</v>
      </c>
      <c r="K1061" s="9"/>
      <c r="L1061" s="9"/>
      <c r="M1061" s="9" t="s">
        <v>4498</v>
      </c>
      <c r="N1061" s="9"/>
      <c r="O1061" s="9" t="s">
        <v>4499</v>
      </c>
      <c r="P1061" s="9" t="str">
        <f>HYPERLINK("https://ceds.ed.gov/cedselementdetails.aspx?termid=13206")</f>
        <v>https://ceds.ed.gov/cedselementdetails.aspx?termid=13206</v>
      </c>
      <c r="Q1061" s="9" t="str">
        <f>HYPERLINK("https://ceds.ed.gov/elementComment.aspx?elementName=Other Name &amp;elementID=13206", "Click here to submit comment")</f>
        <v>Click here to submit comment</v>
      </c>
    </row>
    <row r="1062" spans="1:17" ht="165" x14ac:dyDescent="0.25">
      <c r="A1062" s="9" t="s">
        <v>6811</v>
      </c>
      <c r="B1062" s="9" t="s">
        <v>6824</v>
      </c>
      <c r="C1062" s="9" t="s">
        <v>6782</v>
      </c>
      <c r="D1062" s="9" t="s">
        <v>6742</v>
      </c>
      <c r="E1062" s="9" t="s">
        <v>4500</v>
      </c>
      <c r="F1062" s="9" t="s">
        <v>4501</v>
      </c>
      <c r="G1062" s="10" t="s">
        <v>6630</v>
      </c>
      <c r="H1062" s="9" t="s">
        <v>6251</v>
      </c>
      <c r="I1062" s="9"/>
      <c r="J1062" s="9" t="s">
        <v>87</v>
      </c>
      <c r="K1062" s="9"/>
      <c r="L1062" s="9"/>
      <c r="M1062" s="9" t="s">
        <v>4502</v>
      </c>
      <c r="N1062" s="9"/>
      <c r="O1062" s="9" t="s">
        <v>4503</v>
      </c>
      <c r="P1062" s="9" t="str">
        <f>HYPERLINK("https://ceds.ed.gov/cedselementdetails.aspx?termid=13627")</f>
        <v>https://ceds.ed.gov/cedselementdetails.aspx?termid=13627</v>
      </c>
      <c r="Q1062" s="9" t="str">
        <f>HYPERLINK("https://ceds.ed.gov/elementComment.aspx?elementName=Other Name Type &amp;elementID=13627", "Click here to submit comment")</f>
        <v>Click here to submit comment</v>
      </c>
    </row>
    <row r="1063" spans="1:17" ht="45" x14ac:dyDescent="0.25">
      <c r="A1063" s="9" t="s">
        <v>6811</v>
      </c>
      <c r="B1063" s="9" t="s">
        <v>6824</v>
      </c>
      <c r="C1063" s="9" t="s">
        <v>6816</v>
      </c>
      <c r="D1063" s="9" t="s">
        <v>6742</v>
      </c>
      <c r="E1063" s="9" t="s">
        <v>5379</v>
      </c>
      <c r="F1063" s="9" t="s">
        <v>5380</v>
      </c>
      <c r="G1063" s="9" t="s">
        <v>12</v>
      </c>
      <c r="H1063" s="9" t="s">
        <v>1858</v>
      </c>
      <c r="I1063" s="9"/>
      <c r="J1063" s="9" t="s">
        <v>1813</v>
      </c>
      <c r="K1063" s="9"/>
      <c r="L1063" s="9" t="s">
        <v>5381</v>
      </c>
      <c r="M1063" s="9" t="s">
        <v>5382</v>
      </c>
      <c r="N1063" s="9"/>
      <c r="O1063" s="9" t="s">
        <v>5383</v>
      </c>
      <c r="P1063" s="9" t="str">
        <f>HYPERLINK("https://ceds.ed.gov/cedselementdetails.aspx?termid=13243")</f>
        <v>https://ceds.ed.gov/cedselementdetails.aspx?termid=13243</v>
      </c>
      <c r="Q1063" s="9" t="str">
        <f>HYPERLINK("https://ceds.ed.gov/elementComment.aspx?elementName=School Year &amp;elementID=13243", "Click here to submit comment")</f>
        <v>Click here to submit comment</v>
      </c>
    </row>
    <row r="1064" spans="1:17" ht="75" x14ac:dyDescent="0.25">
      <c r="A1064" s="9" t="s">
        <v>6811</v>
      </c>
      <c r="B1064" s="9" t="s">
        <v>6824</v>
      </c>
      <c r="C1064" s="9" t="s">
        <v>6816</v>
      </c>
      <c r="D1064" s="9" t="s">
        <v>6742</v>
      </c>
      <c r="E1064" s="9" t="s">
        <v>194</v>
      </c>
      <c r="F1064" s="9" t="s">
        <v>195</v>
      </c>
      <c r="G1064" s="10" t="s">
        <v>6322</v>
      </c>
      <c r="H1064" s="9" t="s">
        <v>199</v>
      </c>
      <c r="I1064" s="9"/>
      <c r="J1064" s="9"/>
      <c r="K1064" s="9"/>
      <c r="L1064" s="9"/>
      <c r="M1064" s="9" t="s">
        <v>196</v>
      </c>
      <c r="N1064" s="9" t="s">
        <v>197</v>
      </c>
      <c r="O1064" s="9" t="s">
        <v>198</v>
      </c>
      <c r="P1064" s="9" t="str">
        <f>HYPERLINK("https://ceds.ed.gov/cedselementdetails.aspx?termid=13011")</f>
        <v>https://ceds.ed.gov/cedselementdetails.aspx?termid=13011</v>
      </c>
      <c r="Q1064" s="9" t="str">
        <f>HYPERLINK("https://ceds.ed.gov/elementComment.aspx?elementName=Adequate Yearly Progress Status &amp;elementID=13011", "Click here to submit comment")</f>
        <v>Click here to submit comment</v>
      </c>
    </row>
    <row r="1065" spans="1:17" ht="90" x14ac:dyDescent="0.25">
      <c r="A1065" s="9" t="s">
        <v>6811</v>
      </c>
      <c r="B1065" s="9" t="s">
        <v>6824</v>
      </c>
      <c r="C1065" s="9" t="s">
        <v>6816</v>
      </c>
      <c r="D1065" s="9" t="s">
        <v>6742</v>
      </c>
      <c r="E1065" s="9" t="s">
        <v>347</v>
      </c>
      <c r="F1065" s="9" t="s">
        <v>348</v>
      </c>
      <c r="G1065" s="10" t="s">
        <v>6343</v>
      </c>
      <c r="H1065" s="9" t="s">
        <v>199</v>
      </c>
      <c r="I1065" s="9"/>
      <c r="J1065" s="9"/>
      <c r="K1065" s="9"/>
      <c r="L1065" s="9"/>
      <c r="M1065" s="9" t="s">
        <v>349</v>
      </c>
      <c r="N1065" s="9" t="s">
        <v>350</v>
      </c>
      <c r="O1065" s="9" t="s">
        <v>351</v>
      </c>
      <c r="P1065" s="9" t="str">
        <f>HYPERLINK("https://ceds.ed.gov/cedselementdetails.aspx?termid=13572")</f>
        <v>https://ceds.ed.gov/cedselementdetails.aspx?termid=13572</v>
      </c>
      <c r="Q1065" s="9" t="str">
        <f>HYPERLINK("https://ceds.ed.gov/elementComment.aspx?elementName=Annual Measurable Achievement Objective AYP Progress Attainment Status for LEP Students &amp;elementID=13572", "Click here to submit comment")</f>
        <v>Click here to submit comment</v>
      </c>
    </row>
    <row r="1066" spans="1:17" ht="105" x14ac:dyDescent="0.25">
      <c r="A1066" s="9" t="s">
        <v>6811</v>
      </c>
      <c r="B1066" s="9" t="s">
        <v>6824</v>
      </c>
      <c r="C1066" s="9" t="s">
        <v>6816</v>
      </c>
      <c r="D1066" s="9" t="s">
        <v>6742</v>
      </c>
      <c r="E1066" s="9" t="s">
        <v>352</v>
      </c>
      <c r="F1066" s="9" t="s">
        <v>353</v>
      </c>
      <c r="G1066" s="10" t="s">
        <v>6343</v>
      </c>
      <c r="H1066" s="9" t="s">
        <v>199</v>
      </c>
      <c r="I1066" s="9"/>
      <c r="J1066" s="9"/>
      <c r="K1066" s="9"/>
      <c r="L1066" s="9"/>
      <c r="M1066" s="9" t="s">
        <v>354</v>
      </c>
      <c r="N1066" s="9" t="s">
        <v>355</v>
      </c>
      <c r="O1066" s="9" t="s">
        <v>356</v>
      </c>
      <c r="P1066" s="9" t="str">
        <f>HYPERLINK("https://ceds.ed.gov/cedselementdetails.aspx?termid=13535")</f>
        <v>https://ceds.ed.gov/cedselementdetails.aspx?termid=13535</v>
      </c>
      <c r="Q1066" s="9" t="str">
        <f>HYPERLINK("https://ceds.ed.gov/elementComment.aspx?elementName=Annual Measurable Achievement Objective Proficiency Attainment Status for LEP Students &amp;elementID=13535", "Click here to submit comment")</f>
        <v>Click here to submit comment</v>
      </c>
    </row>
    <row r="1067" spans="1:17" ht="105" x14ac:dyDescent="0.25">
      <c r="A1067" s="9" t="s">
        <v>6811</v>
      </c>
      <c r="B1067" s="9" t="s">
        <v>6824</v>
      </c>
      <c r="C1067" s="9" t="s">
        <v>6816</v>
      </c>
      <c r="D1067" s="9" t="s">
        <v>6742</v>
      </c>
      <c r="E1067" s="9" t="s">
        <v>357</v>
      </c>
      <c r="F1067" s="9" t="s">
        <v>358</v>
      </c>
      <c r="G1067" s="10" t="s">
        <v>6343</v>
      </c>
      <c r="H1067" s="9" t="s">
        <v>199</v>
      </c>
      <c r="I1067" s="9"/>
      <c r="J1067" s="9"/>
      <c r="K1067" s="9"/>
      <c r="L1067" s="9"/>
      <c r="M1067" s="9" t="s">
        <v>359</v>
      </c>
      <c r="N1067" s="9" t="s">
        <v>360</v>
      </c>
      <c r="O1067" s="9" t="s">
        <v>361</v>
      </c>
      <c r="P1067" s="9" t="str">
        <f>HYPERLINK("https://ceds.ed.gov/cedselementdetails.aspx?termid=13545")</f>
        <v>https://ceds.ed.gov/cedselementdetails.aspx?termid=13545</v>
      </c>
      <c r="Q1067" s="9" t="str">
        <f>HYPERLINK("https://ceds.ed.gov/elementComment.aspx?elementName=Annual Measurable Achievement Objective Progress Attainment Status for LEP Students &amp;elementID=13545", "Click here to submit comment")</f>
        <v>Click here to submit comment</v>
      </c>
    </row>
    <row r="1068" spans="1:17" ht="75" x14ac:dyDescent="0.25">
      <c r="A1068" s="9" t="s">
        <v>6811</v>
      </c>
      <c r="B1068" s="9" t="s">
        <v>6824</v>
      </c>
      <c r="C1068" s="9" t="s">
        <v>6816</v>
      </c>
      <c r="D1068" s="9" t="s">
        <v>6742</v>
      </c>
      <c r="E1068" s="9" t="s">
        <v>1606</v>
      </c>
      <c r="F1068" s="9" t="s">
        <v>1607</v>
      </c>
      <c r="G1068" s="10" t="s">
        <v>6395</v>
      </c>
      <c r="H1068" s="9" t="s">
        <v>199</v>
      </c>
      <c r="I1068" s="9"/>
      <c r="J1068" s="9"/>
      <c r="K1068" s="9"/>
      <c r="L1068" s="9"/>
      <c r="M1068" s="9" t="s">
        <v>1609</v>
      </c>
      <c r="N1068" s="9" t="s">
        <v>1610</v>
      </c>
      <c r="O1068" s="9" t="s">
        <v>1611</v>
      </c>
      <c r="P1068" s="9" t="str">
        <f>HYPERLINK("https://ceds.ed.gov/cedselementdetails.aspx?termid=13075")</f>
        <v>https://ceds.ed.gov/cedselementdetails.aspx?termid=13075</v>
      </c>
      <c r="Q1068" s="9" t="str">
        <f>HYPERLINK("https://ceds.ed.gov/elementComment.aspx?elementName=Career and Technical Education Graduation Rate Inclusion &amp;elementID=13075", "Click here to submit comment")</f>
        <v>Click here to submit comment</v>
      </c>
    </row>
    <row r="1069" spans="1:17" ht="45" x14ac:dyDescent="0.25">
      <c r="A1069" s="9" t="s">
        <v>6811</v>
      </c>
      <c r="B1069" s="9" t="s">
        <v>6824</v>
      </c>
      <c r="C1069" s="9" t="s">
        <v>6762</v>
      </c>
      <c r="D1069" s="9" t="s">
        <v>6742</v>
      </c>
      <c r="E1069" s="9" t="s">
        <v>2952</v>
      </c>
      <c r="F1069" s="9" t="s">
        <v>2953</v>
      </c>
      <c r="G1069" s="9" t="s">
        <v>12</v>
      </c>
      <c r="H1069" s="9"/>
      <c r="I1069" s="9"/>
      <c r="J1069" s="9" t="s">
        <v>1813</v>
      </c>
      <c r="K1069" s="9"/>
      <c r="L1069" s="9"/>
      <c r="M1069" s="9" t="s">
        <v>2954</v>
      </c>
      <c r="N1069" s="9"/>
      <c r="O1069" s="9" t="s">
        <v>2955</v>
      </c>
      <c r="P1069" s="9" t="str">
        <f>HYPERLINK("https://ceds.ed.gov/cedselementdetails.aspx?termid=14620")</f>
        <v>https://ceds.ed.gov/cedselementdetails.aspx?termid=14620</v>
      </c>
      <c r="Q1069" s="9" t="str">
        <f>HYPERLINK("https://ceds.ed.gov/elementComment.aspx?elementName=Fiscal Year &amp;elementID=14620", "Click here to submit comment")</f>
        <v>Click here to submit comment</v>
      </c>
    </row>
    <row r="1070" spans="1:17" ht="45" x14ac:dyDescent="0.25">
      <c r="A1070" s="9" t="s">
        <v>6811</v>
      </c>
      <c r="B1070" s="9" t="s">
        <v>6824</v>
      </c>
      <c r="C1070" s="9" t="s">
        <v>6762</v>
      </c>
      <c r="D1070" s="9" t="s">
        <v>6742</v>
      </c>
      <c r="E1070" s="9" t="s">
        <v>2944</v>
      </c>
      <c r="F1070" s="9" t="s">
        <v>2945</v>
      </c>
      <c r="G1070" s="9" t="s">
        <v>12</v>
      </c>
      <c r="H1070" s="9"/>
      <c r="I1070" s="9"/>
      <c r="J1070" s="9" t="s">
        <v>73</v>
      </c>
      <c r="K1070" s="9"/>
      <c r="L1070" s="9"/>
      <c r="M1070" s="9" t="s">
        <v>2946</v>
      </c>
      <c r="N1070" s="9"/>
      <c r="O1070" s="9" t="s">
        <v>2947</v>
      </c>
      <c r="P1070" s="9" t="str">
        <f>HYPERLINK("https://ceds.ed.gov/cedselementdetails.aspx?termid=14623")</f>
        <v>https://ceds.ed.gov/cedselementdetails.aspx?termid=14623</v>
      </c>
      <c r="Q1070" s="9" t="str">
        <f>HYPERLINK("https://ceds.ed.gov/elementComment.aspx?elementName=Fiscal Period Begin Date &amp;elementID=14623", "Click here to submit comment")</f>
        <v>Click here to submit comment</v>
      </c>
    </row>
    <row r="1071" spans="1:17" ht="45" x14ac:dyDescent="0.25">
      <c r="A1071" s="9" t="s">
        <v>6811</v>
      </c>
      <c r="B1071" s="9" t="s">
        <v>6824</v>
      </c>
      <c r="C1071" s="9" t="s">
        <v>6762</v>
      </c>
      <c r="D1071" s="9" t="s">
        <v>6742</v>
      </c>
      <c r="E1071" s="9" t="s">
        <v>2948</v>
      </c>
      <c r="F1071" s="9" t="s">
        <v>2949</v>
      </c>
      <c r="G1071" s="9" t="s">
        <v>12</v>
      </c>
      <c r="H1071" s="9"/>
      <c r="I1071" s="9"/>
      <c r="J1071" s="9" t="s">
        <v>73</v>
      </c>
      <c r="K1071" s="9"/>
      <c r="L1071" s="9"/>
      <c r="M1071" s="9" t="s">
        <v>2950</v>
      </c>
      <c r="N1071" s="9"/>
      <c r="O1071" s="9" t="s">
        <v>2951</v>
      </c>
      <c r="P1071" s="9" t="str">
        <f>HYPERLINK("https://ceds.ed.gov/cedselementdetails.aspx?termid=14624")</f>
        <v>https://ceds.ed.gov/cedselementdetails.aspx?termid=14624</v>
      </c>
      <c r="Q1071" s="9" t="str">
        <f>HYPERLINK("https://ceds.ed.gov/elementComment.aspx?elementName=Fiscal Period End Date &amp;elementID=14624", "Click here to submit comment")</f>
        <v>Click here to submit comment</v>
      </c>
    </row>
    <row r="1072" spans="1:17" ht="105" x14ac:dyDescent="0.25">
      <c r="A1072" s="9" t="s">
        <v>6811</v>
      </c>
      <c r="B1072" s="9" t="s">
        <v>6824</v>
      </c>
      <c r="C1072" s="9" t="s">
        <v>6762</v>
      </c>
      <c r="D1072" s="9" t="s">
        <v>6742</v>
      </c>
      <c r="E1072" s="9" t="s">
        <v>2810</v>
      </c>
      <c r="F1072" s="9" t="s">
        <v>2811</v>
      </c>
      <c r="G1072" s="9" t="s">
        <v>12</v>
      </c>
      <c r="H1072" s="9"/>
      <c r="I1072" s="9"/>
      <c r="J1072" s="9" t="s">
        <v>87</v>
      </c>
      <c r="K1072" s="9"/>
      <c r="L1072" s="9"/>
      <c r="M1072" s="9" t="s">
        <v>2812</v>
      </c>
      <c r="N1072" s="9"/>
      <c r="O1072" s="9" t="s">
        <v>2813</v>
      </c>
      <c r="P1072" s="9" t="str">
        <f>HYPERLINK("https://ceds.ed.gov/cedselementdetails.aspx?termid=14530")</f>
        <v>https://ceds.ed.gov/cedselementdetails.aspx?termid=14530</v>
      </c>
      <c r="Q1072" s="9" t="str">
        <f>HYPERLINK("https://ceds.ed.gov/elementComment.aspx?elementName=Financial Account Number &amp;elementID=14530", "Click here to submit comment")</f>
        <v>Click here to submit comment</v>
      </c>
    </row>
    <row r="1073" spans="1:17" ht="45" x14ac:dyDescent="0.25">
      <c r="A1073" s="9" t="s">
        <v>6811</v>
      </c>
      <c r="B1073" s="9" t="s">
        <v>6824</v>
      </c>
      <c r="C1073" s="9" t="s">
        <v>6762</v>
      </c>
      <c r="D1073" s="9" t="s">
        <v>6742</v>
      </c>
      <c r="E1073" s="9" t="s">
        <v>2806</v>
      </c>
      <c r="F1073" s="9" t="s">
        <v>2807</v>
      </c>
      <c r="G1073" s="9" t="s">
        <v>12</v>
      </c>
      <c r="H1073" s="9"/>
      <c r="I1073" s="9"/>
      <c r="J1073" s="9" t="s">
        <v>762</v>
      </c>
      <c r="K1073" s="9"/>
      <c r="L1073" s="9"/>
      <c r="M1073" s="9" t="s">
        <v>2808</v>
      </c>
      <c r="N1073" s="9"/>
      <c r="O1073" s="9" t="s">
        <v>2809</v>
      </c>
      <c r="P1073" s="9" t="str">
        <f>HYPERLINK("https://ceds.ed.gov/cedselementdetails.aspx?termid=14315")</f>
        <v>https://ceds.ed.gov/cedselementdetails.aspx?termid=14315</v>
      </c>
      <c r="Q1073" s="9" t="str">
        <f>HYPERLINK("https://ceds.ed.gov/elementComment.aspx?elementName=Financial Account Name &amp;elementID=14315", "Click here to submit comment")</f>
        <v>Click here to submit comment</v>
      </c>
    </row>
    <row r="1074" spans="1:17" ht="45" x14ac:dyDescent="0.25">
      <c r="A1074" s="9" t="s">
        <v>6811</v>
      </c>
      <c r="B1074" s="9" t="s">
        <v>6824</v>
      </c>
      <c r="C1074" s="9" t="s">
        <v>6762</v>
      </c>
      <c r="D1074" s="9" t="s">
        <v>6742</v>
      </c>
      <c r="E1074" s="9" t="s">
        <v>2800</v>
      </c>
      <c r="F1074" s="9" t="s">
        <v>2801</v>
      </c>
      <c r="G1074" s="9" t="s">
        <v>12</v>
      </c>
      <c r="H1074" s="9"/>
      <c r="I1074" s="9"/>
      <c r="J1074" s="9" t="s">
        <v>68</v>
      </c>
      <c r="K1074" s="9"/>
      <c r="L1074" s="9"/>
      <c r="M1074" s="9" t="s">
        <v>2802</v>
      </c>
      <c r="N1074" s="9"/>
      <c r="O1074" s="9" t="s">
        <v>2803</v>
      </c>
      <c r="P1074" s="9" t="str">
        <f>HYPERLINK("https://ceds.ed.gov/cedselementdetails.aspx?termid=14313")</f>
        <v>https://ceds.ed.gov/cedselementdetails.aspx?termid=14313</v>
      </c>
      <c r="Q1074" s="9" t="str">
        <f>HYPERLINK("https://ceds.ed.gov/elementComment.aspx?elementName=Financial Account Description &amp;elementID=14313", "Click here to submit comment")</f>
        <v>Click here to submit comment</v>
      </c>
    </row>
    <row r="1075" spans="1:17" ht="105" x14ac:dyDescent="0.25">
      <c r="A1075" s="9" t="s">
        <v>6811</v>
      </c>
      <c r="B1075" s="9" t="s">
        <v>6824</v>
      </c>
      <c r="C1075" s="9" t="s">
        <v>6762</v>
      </c>
      <c r="D1075" s="9" t="s">
        <v>6742</v>
      </c>
      <c r="E1075" s="9" t="s">
        <v>2796</v>
      </c>
      <c r="F1075" s="9" t="s">
        <v>2797</v>
      </c>
      <c r="G1075" s="10" t="s">
        <v>6505</v>
      </c>
      <c r="H1075" s="9"/>
      <c r="I1075" s="9"/>
      <c r="J1075" s="9"/>
      <c r="K1075" s="9"/>
      <c r="L1075" s="9"/>
      <c r="M1075" s="9" t="s">
        <v>2798</v>
      </c>
      <c r="N1075" s="9"/>
      <c r="O1075" s="9" t="s">
        <v>2799</v>
      </c>
      <c r="P1075" s="9" t="str">
        <f>HYPERLINK("https://ceds.ed.gov/cedselementdetails.aspx?termid=14312")</f>
        <v>https://ceds.ed.gov/cedselementdetails.aspx?termid=14312</v>
      </c>
      <c r="Q1075" s="9" t="str">
        <f>HYPERLINK("https://ceds.ed.gov/elementComment.aspx?elementName=Financial Account Category &amp;elementID=14312", "Click here to submit comment")</f>
        <v>Click here to submit comment</v>
      </c>
    </row>
    <row r="1076" spans="1:17" ht="15" customHeight="1" x14ac:dyDescent="0.25">
      <c r="A1076" s="18" t="s">
        <v>6811</v>
      </c>
      <c r="B1076" s="18" t="s">
        <v>6824</v>
      </c>
      <c r="C1076" s="18" t="s">
        <v>6762</v>
      </c>
      <c r="D1076" s="18" t="s">
        <v>6742</v>
      </c>
      <c r="E1076" s="18" t="s">
        <v>11338</v>
      </c>
      <c r="F1076" s="18" t="s">
        <v>2824</v>
      </c>
      <c r="G1076" s="19" t="s">
        <v>6508</v>
      </c>
      <c r="H1076" s="18"/>
      <c r="I1076" s="18"/>
      <c r="J1076" s="18"/>
      <c r="K1076" s="18"/>
      <c r="L1076" s="11" t="s">
        <v>2794</v>
      </c>
      <c r="M1076" s="18" t="s">
        <v>2826</v>
      </c>
      <c r="N1076" s="18"/>
      <c r="O1076" s="18" t="s">
        <v>11339</v>
      </c>
      <c r="P1076" s="18" t="str">
        <f>HYPERLINK("https://ceds.ed.gov/cedselementdetails.aspx?termid=14440")</f>
        <v>https://ceds.ed.gov/cedselementdetails.aspx?termid=14440</v>
      </c>
      <c r="Q1076" s="18" t="str">
        <f>HYPERLINK("https://ceds.ed.gov/elementComment.aspx?elementName=Financial Account K12 Revenue Code &amp;elementID=14440", "Click here to submit comment")</f>
        <v>Click here to submit comment</v>
      </c>
    </row>
    <row r="1077" spans="1:17" x14ac:dyDescent="0.25">
      <c r="A1077" s="18"/>
      <c r="B1077" s="18"/>
      <c r="C1077" s="18"/>
      <c r="D1077" s="18"/>
      <c r="E1077" s="18"/>
      <c r="F1077" s="18"/>
      <c r="G1077" s="18"/>
      <c r="H1077" s="18"/>
      <c r="I1077" s="18"/>
      <c r="J1077" s="18"/>
      <c r="K1077" s="18"/>
      <c r="L1077" s="9"/>
      <c r="M1077" s="18"/>
      <c r="N1077" s="18"/>
      <c r="O1077" s="18"/>
      <c r="P1077" s="18"/>
      <c r="Q1077" s="18"/>
    </row>
    <row r="1078" spans="1:17" ht="30" x14ac:dyDescent="0.25">
      <c r="A1078" s="18"/>
      <c r="B1078" s="18"/>
      <c r="C1078" s="18"/>
      <c r="D1078" s="18"/>
      <c r="E1078" s="18"/>
      <c r="F1078" s="18"/>
      <c r="G1078" s="18"/>
      <c r="H1078" s="18"/>
      <c r="I1078" s="18"/>
      <c r="J1078" s="18"/>
      <c r="K1078" s="18"/>
      <c r="L1078" s="9" t="s">
        <v>2825</v>
      </c>
      <c r="M1078" s="18"/>
      <c r="N1078" s="18"/>
      <c r="O1078" s="18"/>
      <c r="P1078" s="18"/>
      <c r="Q1078" s="18"/>
    </row>
    <row r="1079" spans="1:17" ht="409.5" x14ac:dyDescent="0.25">
      <c r="A1079" s="9" t="s">
        <v>6811</v>
      </c>
      <c r="B1079" s="9" t="s">
        <v>6824</v>
      </c>
      <c r="C1079" s="9" t="s">
        <v>6762</v>
      </c>
      <c r="D1079" s="9" t="s">
        <v>6742</v>
      </c>
      <c r="E1079" s="9" t="s">
        <v>11340</v>
      </c>
      <c r="F1079" s="9" t="s">
        <v>2894</v>
      </c>
      <c r="G1079" s="10" t="s">
        <v>6514</v>
      </c>
      <c r="H1079" s="9"/>
      <c r="I1079" s="9"/>
      <c r="J1079" s="9"/>
      <c r="K1079" s="9"/>
      <c r="L1079" s="11" t="s">
        <v>2794</v>
      </c>
      <c r="M1079" s="9" t="s">
        <v>2895</v>
      </c>
      <c r="N1079" s="9"/>
      <c r="O1079" s="9" t="s">
        <v>11341</v>
      </c>
      <c r="P1079" s="9" t="str">
        <f>HYPERLINK("https://ceds.ed.gov/cedselementdetails.aspx?termid=14321")</f>
        <v>https://ceds.ed.gov/cedselementdetails.aspx?termid=14321</v>
      </c>
      <c r="Q1079" s="9" t="str">
        <f>HYPERLINK("https://ceds.ed.gov/elementComment.aspx?elementName=Financial Expenditure K12 Function Code &amp;elementID=14321", "Click here to submit comment")</f>
        <v>Click here to submit comment</v>
      </c>
    </row>
    <row r="1080" spans="1:17" ht="409.5" x14ac:dyDescent="0.25">
      <c r="A1080" s="9" t="s">
        <v>6811</v>
      </c>
      <c r="B1080" s="9" t="s">
        <v>6824</v>
      </c>
      <c r="C1080" s="9" t="s">
        <v>6762</v>
      </c>
      <c r="D1080" s="9" t="s">
        <v>6742</v>
      </c>
      <c r="E1080" s="9" t="s">
        <v>11344</v>
      </c>
      <c r="F1080" s="9" t="s">
        <v>2898</v>
      </c>
      <c r="G1080" s="10" t="s">
        <v>6516</v>
      </c>
      <c r="H1080" s="9"/>
      <c r="I1080" s="9"/>
      <c r="J1080" s="9"/>
      <c r="K1080" s="9"/>
      <c r="L1080" s="11" t="s">
        <v>2794</v>
      </c>
      <c r="M1080" s="9" t="s">
        <v>2899</v>
      </c>
      <c r="N1080" s="9"/>
      <c r="O1080" s="9" t="s">
        <v>11345</v>
      </c>
      <c r="P1080" s="9" t="str">
        <f>HYPERLINK("https://ceds.ed.gov/cedselementdetails.aspx?termid=14322")</f>
        <v>https://ceds.ed.gov/cedselementdetails.aspx?termid=14322</v>
      </c>
      <c r="Q1080" s="9" t="str">
        <f>HYPERLINK("https://ceds.ed.gov/elementComment.aspx?elementName=Financial Expenditure K12 Object Code &amp;elementID=14322", "Click here to submit comment")</f>
        <v>Click here to submit comment</v>
      </c>
    </row>
    <row r="1081" spans="1:17" ht="195" x14ac:dyDescent="0.25">
      <c r="A1081" s="9" t="s">
        <v>6811</v>
      </c>
      <c r="B1081" s="9" t="s">
        <v>6824</v>
      </c>
      <c r="C1081" s="9" t="s">
        <v>6762</v>
      </c>
      <c r="D1081" s="9" t="s">
        <v>6742</v>
      </c>
      <c r="E1081" s="9" t="s">
        <v>11342</v>
      </c>
      <c r="F1081" s="9" t="s">
        <v>2896</v>
      </c>
      <c r="G1081" s="10" t="s">
        <v>6515</v>
      </c>
      <c r="H1081" s="9"/>
      <c r="I1081" s="9"/>
      <c r="J1081" s="9"/>
      <c r="K1081" s="9"/>
      <c r="L1081" s="11" t="s">
        <v>2794</v>
      </c>
      <c r="M1081" s="9" t="s">
        <v>2897</v>
      </c>
      <c r="N1081" s="9"/>
      <c r="O1081" s="9" t="s">
        <v>11343</v>
      </c>
      <c r="P1081" s="9" t="str">
        <f>HYPERLINK("https://ceds.ed.gov/cedselementdetails.aspx?termid=14531")</f>
        <v>https://ceds.ed.gov/cedselementdetails.aspx?termid=14531</v>
      </c>
      <c r="Q1081" s="9" t="str">
        <f>HYPERLINK("https://ceds.ed.gov/elementComment.aspx?elementName=Financial Expenditure K12 Level of Instruction Code &amp;elementID=14531", "Click here to submit comment")</f>
        <v>Click here to submit comment</v>
      </c>
    </row>
    <row r="1082" spans="1:17" ht="75" x14ac:dyDescent="0.25">
      <c r="A1082" s="18" t="s">
        <v>6811</v>
      </c>
      <c r="B1082" s="18" t="s">
        <v>6824</v>
      </c>
      <c r="C1082" s="18" t="s">
        <v>6762</v>
      </c>
      <c r="D1082" s="18" t="s">
        <v>6742</v>
      </c>
      <c r="E1082" s="18" t="s">
        <v>11346</v>
      </c>
      <c r="F1082" s="18" t="s">
        <v>2900</v>
      </c>
      <c r="G1082" s="18"/>
      <c r="H1082" s="18"/>
      <c r="I1082" s="18"/>
      <c r="J1082" s="18" t="s">
        <v>134</v>
      </c>
      <c r="K1082" s="18"/>
      <c r="L1082" s="11" t="s">
        <v>2901</v>
      </c>
      <c r="M1082" s="18" t="s">
        <v>2906</v>
      </c>
      <c r="N1082" s="18"/>
      <c r="O1082" s="18" t="s">
        <v>11347</v>
      </c>
      <c r="P1082" s="18" t="str">
        <f>HYPERLINK("https://ceds.ed.gov/cedselementdetails.aspx?termid=14532")</f>
        <v>https://ceds.ed.gov/cedselementdetails.aspx?termid=14532</v>
      </c>
      <c r="Q1082" s="18" t="str">
        <f>HYPERLINK("https://ceds.ed.gov/elementComment.aspx?elementName=Financial Expenditure K12 Project Reporting Code &amp;elementID=14532", "Click here to submit comment")</f>
        <v>Click here to submit comment</v>
      </c>
    </row>
    <row r="1083" spans="1:17" x14ac:dyDescent="0.25">
      <c r="A1083" s="18"/>
      <c r="B1083" s="18"/>
      <c r="C1083" s="18"/>
      <c r="D1083" s="18"/>
      <c r="E1083" s="18"/>
      <c r="F1083" s="18"/>
      <c r="G1083" s="18"/>
      <c r="H1083" s="18"/>
      <c r="I1083" s="18"/>
      <c r="J1083" s="18"/>
      <c r="K1083" s="18"/>
      <c r="L1083" s="9"/>
      <c r="M1083" s="18"/>
      <c r="N1083" s="18"/>
      <c r="O1083" s="18"/>
      <c r="P1083" s="18"/>
      <c r="Q1083" s="18"/>
    </row>
    <row r="1084" spans="1:17" ht="45" x14ac:dyDescent="0.25">
      <c r="A1084" s="18"/>
      <c r="B1084" s="18"/>
      <c r="C1084" s="18"/>
      <c r="D1084" s="18"/>
      <c r="E1084" s="18"/>
      <c r="F1084" s="18"/>
      <c r="G1084" s="18"/>
      <c r="H1084" s="18"/>
      <c r="I1084" s="18"/>
      <c r="J1084" s="18"/>
      <c r="K1084" s="18"/>
      <c r="L1084" s="9" t="s">
        <v>2902</v>
      </c>
      <c r="M1084" s="18"/>
      <c r="N1084" s="18"/>
      <c r="O1084" s="18"/>
      <c r="P1084" s="18"/>
      <c r="Q1084" s="18"/>
    </row>
    <row r="1085" spans="1:17" x14ac:dyDescent="0.25">
      <c r="A1085" s="18"/>
      <c r="B1085" s="18"/>
      <c r="C1085" s="18"/>
      <c r="D1085" s="18"/>
      <c r="E1085" s="18"/>
      <c r="F1085" s="18"/>
      <c r="G1085" s="18"/>
      <c r="H1085" s="18"/>
      <c r="I1085" s="18"/>
      <c r="J1085" s="18"/>
      <c r="K1085" s="18"/>
      <c r="L1085" s="9"/>
      <c r="M1085" s="18"/>
      <c r="N1085" s="18"/>
      <c r="O1085" s="18"/>
      <c r="P1085" s="18"/>
      <c r="Q1085" s="18"/>
    </row>
    <row r="1086" spans="1:17" ht="45" x14ac:dyDescent="0.25">
      <c r="A1086" s="18"/>
      <c r="B1086" s="18"/>
      <c r="C1086" s="18"/>
      <c r="D1086" s="18"/>
      <c r="E1086" s="18"/>
      <c r="F1086" s="18"/>
      <c r="G1086" s="18"/>
      <c r="H1086" s="18"/>
      <c r="I1086" s="18"/>
      <c r="J1086" s="18"/>
      <c r="K1086" s="18"/>
      <c r="L1086" s="9" t="s">
        <v>2903</v>
      </c>
      <c r="M1086" s="18"/>
      <c r="N1086" s="18"/>
      <c r="O1086" s="18"/>
      <c r="P1086" s="18"/>
      <c r="Q1086" s="18"/>
    </row>
    <row r="1087" spans="1:17" x14ac:dyDescent="0.25">
      <c r="A1087" s="18"/>
      <c r="B1087" s="18"/>
      <c r="C1087" s="18"/>
      <c r="D1087" s="18"/>
      <c r="E1087" s="18"/>
      <c r="F1087" s="18"/>
      <c r="G1087" s="18"/>
      <c r="H1087" s="18"/>
      <c r="I1087" s="18"/>
      <c r="J1087" s="18"/>
      <c r="K1087" s="18"/>
      <c r="L1087" s="9"/>
      <c r="M1087" s="18"/>
      <c r="N1087" s="18"/>
      <c r="O1087" s="18"/>
      <c r="P1087" s="18"/>
      <c r="Q1087" s="18"/>
    </row>
    <row r="1088" spans="1:17" ht="60" x14ac:dyDescent="0.25">
      <c r="A1088" s="18"/>
      <c r="B1088" s="18"/>
      <c r="C1088" s="18"/>
      <c r="D1088" s="18"/>
      <c r="E1088" s="18"/>
      <c r="F1088" s="18"/>
      <c r="G1088" s="18"/>
      <c r="H1088" s="18"/>
      <c r="I1088" s="18"/>
      <c r="J1088" s="18"/>
      <c r="K1088" s="18"/>
      <c r="L1088" s="9" t="s">
        <v>2904</v>
      </c>
      <c r="M1088" s="18"/>
      <c r="N1088" s="18"/>
      <c r="O1088" s="18"/>
      <c r="P1088" s="18"/>
      <c r="Q1088" s="18"/>
    </row>
    <row r="1089" spans="1:17" x14ac:dyDescent="0.25">
      <c r="A1089" s="18"/>
      <c r="B1089" s="18"/>
      <c r="C1089" s="18"/>
      <c r="D1089" s="18"/>
      <c r="E1089" s="18"/>
      <c r="F1089" s="18"/>
      <c r="G1089" s="18"/>
      <c r="H1089" s="18"/>
      <c r="I1089" s="18"/>
      <c r="J1089" s="18"/>
      <c r="K1089" s="18"/>
      <c r="L1089" s="9"/>
      <c r="M1089" s="18"/>
      <c r="N1089" s="18"/>
      <c r="O1089" s="18"/>
      <c r="P1089" s="18"/>
      <c r="Q1089" s="18"/>
    </row>
    <row r="1090" spans="1:17" ht="30" x14ac:dyDescent="0.25">
      <c r="A1090" s="18"/>
      <c r="B1090" s="18"/>
      <c r="C1090" s="18"/>
      <c r="D1090" s="18"/>
      <c r="E1090" s="18"/>
      <c r="F1090" s="18"/>
      <c r="G1090" s="18"/>
      <c r="H1090" s="18"/>
      <c r="I1090" s="18"/>
      <c r="J1090" s="18"/>
      <c r="K1090" s="18"/>
      <c r="L1090" s="9" t="s">
        <v>2905</v>
      </c>
      <c r="M1090" s="18"/>
      <c r="N1090" s="18"/>
      <c r="O1090" s="18"/>
      <c r="P1090" s="18"/>
      <c r="Q1090" s="18"/>
    </row>
    <row r="1091" spans="1:17" ht="409.5" x14ac:dyDescent="0.25">
      <c r="A1091" s="9" t="s">
        <v>6811</v>
      </c>
      <c r="B1091" s="9" t="s">
        <v>6824</v>
      </c>
      <c r="C1091" s="9" t="s">
        <v>6762</v>
      </c>
      <c r="D1091" s="9" t="s">
        <v>6742</v>
      </c>
      <c r="E1091" s="9" t="s">
        <v>11332</v>
      </c>
      <c r="F1091" s="9" t="s">
        <v>2793</v>
      </c>
      <c r="G1091" s="10" t="s">
        <v>6504</v>
      </c>
      <c r="H1091" s="9"/>
      <c r="I1091" s="9"/>
      <c r="J1091" s="9"/>
      <c r="K1091" s="9"/>
      <c r="L1091" s="11" t="s">
        <v>2794</v>
      </c>
      <c r="M1091" s="9" t="s">
        <v>2795</v>
      </c>
      <c r="N1091" s="9"/>
      <c r="O1091" s="9" t="s">
        <v>11333</v>
      </c>
      <c r="P1091" s="9" t="str">
        <f>HYPERLINK("https://ceds.ed.gov/cedselementdetails.aspx?termid=14320")</f>
        <v>https://ceds.ed.gov/cedselementdetails.aspx?termid=14320</v>
      </c>
      <c r="Q1091" s="9" t="str">
        <f>HYPERLINK("https://ceds.ed.gov/elementComment.aspx?elementName=Financial Account K12 Balance Sheet Code &amp;elementID=14320", "Click here to submit comment")</f>
        <v>Click here to submit comment</v>
      </c>
    </row>
    <row r="1092" spans="1:17" ht="45" x14ac:dyDescent="0.25">
      <c r="A1092" s="9" t="s">
        <v>6811</v>
      </c>
      <c r="B1092" s="9" t="s">
        <v>6824</v>
      </c>
      <c r="C1092" s="9" t="s">
        <v>6762</v>
      </c>
      <c r="D1092" s="9" t="s">
        <v>6742</v>
      </c>
      <c r="E1092" s="9" t="s">
        <v>2835</v>
      </c>
      <c r="F1092" s="9" t="s">
        <v>2836</v>
      </c>
      <c r="G1092" s="9" t="s">
        <v>12</v>
      </c>
      <c r="H1092" s="9"/>
      <c r="I1092" s="9"/>
      <c r="J1092" s="9" t="s">
        <v>1513</v>
      </c>
      <c r="K1092" s="9"/>
      <c r="L1092" s="9"/>
      <c r="M1092" s="9" t="s">
        <v>2837</v>
      </c>
      <c r="N1092" s="9"/>
      <c r="O1092" s="9" t="s">
        <v>2838</v>
      </c>
      <c r="P1092" s="9" t="str">
        <f>HYPERLINK("https://ceds.ed.gov/cedselementdetails.aspx?termid=14318")</f>
        <v>https://ceds.ed.gov/cedselementdetails.aspx?termid=14318</v>
      </c>
      <c r="Q1092" s="9" t="str">
        <f>HYPERLINK("https://ceds.ed.gov/elementComment.aspx?elementName=Financial Accounting Period Budgeted Value &amp;elementID=14318", "Click here to submit comment")</f>
        <v>Click here to submit comment</v>
      </c>
    </row>
    <row r="1093" spans="1:17" ht="60" x14ac:dyDescent="0.25">
      <c r="A1093" s="9" t="s">
        <v>6811</v>
      </c>
      <c r="B1093" s="9" t="s">
        <v>6824</v>
      </c>
      <c r="C1093" s="9" t="s">
        <v>6762</v>
      </c>
      <c r="D1093" s="9" t="s">
        <v>6742</v>
      </c>
      <c r="E1093" s="9" t="s">
        <v>2839</v>
      </c>
      <c r="F1093" s="9" t="s">
        <v>2840</v>
      </c>
      <c r="G1093" s="9" t="s">
        <v>12</v>
      </c>
      <c r="H1093" s="9"/>
      <c r="I1093" s="9"/>
      <c r="J1093" s="9" t="s">
        <v>1513</v>
      </c>
      <c r="K1093" s="9"/>
      <c r="L1093" s="9" t="s">
        <v>2841</v>
      </c>
      <c r="M1093" s="9" t="s">
        <v>2842</v>
      </c>
      <c r="N1093" s="9"/>
      <c r="O1093" s="9" t="s">
        <v>2843</v>
      </c>
      <c r="P1093" s="9" t="str">
        <f>HYPERLINK("https://ceds.ed.gov/cedselementdetails.aspx?termid=14625")</f>
        <v>https://ceds.ed.gov/cedselementdetails.aspx?termid=14625</v>
      </c>
      <c r="Q1093" s="9" t="str">
        <f>HYPERLINK("https://ceds.ed.gov/elementComment.aspx?elementName=Financial Accounting Period Encumbered Value &amp;elementID=14625", "Click here to submit comment")</f>
        <v>Click here to submit comment</v>
      </c>
    </row>
    <row r="1094" spans="1:17" ht="45" x14ac:dyDescent="0.25">
      <c r="A1094" s="9" t="s">
        <v>6811</v>
      </c>
      <c r="B1094" s="9" t="s">
        <v>6824</v>
      </c>
      <c r="C1094" s="9" t="s">
        <v>6762</v>
      </c>
      <c r="D1094" s="9" t="s">
        <v>6742</v>
      </c>
      <c r="E1094" s="9" t="s">
        <v>2831</v>
      </c>
      <c r="F1094" s="9" t="s">
        <v>2832</v>
      </c>
      <c r="G1094" s="9" t="s">
        <v>12</v>
      </c>
      <c r="H1094" s="9"/>
      <c r="I1094" s="9"/>
      <c r="J1094" s="9" t="s">
        <v>1513</v>
      </c>
      <c r="K1094" s="9"/>
      <c r="L1094" s="9"/>
      <c r="M1094" s="9" t="s">
        <v>2833</v>
      </c>
      <c r="N1094" s="9"/>
      <c r="O1094" s="9" t="s">
        <v>2834</v>
      </c>
      <c r="P1094" s="9" t="str">
        <f>HYPERLINK("https://ceds.ed.gov/cedselementdetails.aspx?termid=14317")</f>
        <v>https://ceds.ed.gov/cedselementdetails.aspx?termid=14317</v>
      </c>
      <c r="Q1094" s="9" t="str">
        <f>HYPERLINK("https://ceds.ed.gov/elementComment.aspx?elementName=Financial Accounting Period Actual Value &amp;elementID=14317", "Click here to submit comment")</f>
        <v>Click here to submit comment</v>
      </c>
    </row>
    <row r="1095" spans="1:17" ht="135" x14ac:dyDescent="0.25">
      <c r="A1095" s="9" t="s">
        <v>6811</v>
      </c>
      <c r="B1095" s="9" t="s">
        <v>6824</v>
      </c>
      <c r="C1095" s="9" t="s">
        <v>6762</v>
      </c>
      <c r="D1095" s="9" t="s">
        <v>6742</v>
      </c>
      <c r="E1095" s="9" t="s">
        <v>2844</v>
      </c>
      <c r="F1095" s="9" t="s">
        <v>2845</v>
      </c>
      <c r="G1095" s="9" t="s">
        <v>12</v>
      </c>
      <c r="H1095" s="9"/>
      <c r="I1095" s="9"/>
      <c r="J1095" s="9" t="s">
        <v>1513</v>
      </c>
      <c r="K1095" s="9"/>
      <c r="L1095" s="9" t="s">
        <v>2846</v>
      </c>
      <c r="M1095" s="9" t="s">
        <v>2847</v>
      </c>
      <c r="N1095" s="9"/>
      <c r="O1095" s="9" t="s">
        <v>2848</v>
      </c>
      <c r="P1095" s="9" t="str">
        <f>HYPERLINK("https://ceds.ed.gov/cedselementdetails.aspx?termid=14628")</f>
        <v>https://ceds.ed.gov/cedselementdetails.aspx?termid=14628</v>
      </c>
      <c r="Q1095" s="9" t="str">
        <f>HYPERLINK("https://ceds.ed.gov/elementComment.aspx?elementName=Financial Accounting Value &amp;elementID=14628", "Click here to submit comment")</f>
        <v>Click here to submit comment</v>
      </c>
    </row>
    <row r="1096" spans="1:17" ht="45" x14ac:dyDescent="0.25">
      <c r="A1096" s="9" t="s">
        <v>6811</v>
      </c>
      <c r="B1096" s="9" t="s">
        <v>6824</v>
      </c>
      <c r="C1096" s="9" t="s">
        <v>6762</v>
      </c>
      <c r="D1096" s="9" t="s">
        <v>6742</v>
      </c>
      <c r="E1096" s="9" t="s">
        <v>2827</v>
      </c>
      <c r="F1096" s="9" t="s">
        <v>2828</v>
      </c>
      <c r="G1096" s="9" t="s">
        <v>12</v>
      </c>
      <c r="H1096" s="9"/>
      <c r="I1096" s="9"/>
      <c r="J1096" s="9" t="s">
        <v>73</v>
      </c>
      <c r="K1096" s="9"/>
      <c r="L1096" s="9"/>
      <c r="M1096" s="9" t="s">
        <v>2829</v>
      </c>
      <c r="N1096" s="9"/>
      <c r="O1096" s="9" t="s">
        <v>2830</v>
      </c>
      <c r="P1096" s="9" t="str">
        <f>HYPERLINK("https://ceds.ed.gov/cedselementdetails.aspx?termid=14629")</f>
        <v>https://ceds.ed.gov/cedselementdetails.aspx?termid=14629</v>
      </c>
      <c r="Q1096" s="9" t="str">
        <f>HYPERLINK("https://ceds.ed.gov/elementComment.aspx?elementName=Financial Accounting Date &amp;elementID=14629", "Click here to submit comment")</f>
        <v>Click here to submit comment</v>
      </c>
    </row>
    <row r="1097" spans="1:17" ht="150" x14ac:dyDescent="0.25">
      <c r="A1097" s="9" t="s">
        <v>6811</v>
      </c>
      <c r="B1097" s="9" t="s">
        <v>6824</v>
      </c>
      <c r="C1097" s="9" t="s">
        <v>6762</v>
      </c>
      <c r="D1097" s="9" t="s">
        <v>6742</v>
      </c>
      <c r="E1097" s="9" t="s">
        <v>11334</v>
      </c>
      <c r="F1097" s="9" t="s">
        <v>2804</v>
      </c>
      <c r="G1097" s="10" t="s">
        <v>6506</v>
      </c>
      <c r="H1097" s="9"/>
      <c r="I1097" s="9"/>
      <c r="J1097" s="9"/>
      <c r="K1097" s="9"/>
      <c r="L1097" s="11" t="s">
        <v>2794</v>
      </c>
      <c r="M1097" s="9" t="s">
        <v>2805</v>
      </c>
      <c r="N1097" s="9"/>
      <c r="O1097" s="9" t="s">
        <v>11335</v>
      </c>
      <c r="P1097" s="9" t="str">
        <f>HYPERLINK("https://ceds.ed.gov/cedselementdetails.aspx?termid=14314")</f>
        <v>https://ceds.ed.gov/cedselementdetails.aspx?termid=14314</v>
      </c>
      <c r="Q1097" s="9" t="str">
        <f>HYPERLINK("https://ceds.ed.gov/elementComment.aspx?elementName=Financial Account K12 Fund Classification &amp;elementID=14314", "Click here to submit comment")</f>
        <v>Click here to submit comment</v>
      </c>
    </row>
    <row r="1098" spans="1:17" ht="240" x14ac:dyDescent="0.25">
      <c r="A1098" s="9" t="s">
        <v>6811</v>
      </c>
      <c r="B1098" s="9" t="s">
        <v>6824</v>
      </c>
      <c r="C1098" s="9" t="s">
        <v>6762</v>
      </c>
      <c r="D1098" s="9" t="s">
        <v>6742</v>
      </c>
      <c r="E1098" s="9" t="s">
        <v>11336</v>
      </c>
      <c r="F1098" s="9" t="s">
        <v>2814</v>
      </c>
      <c r="G1098" s="10" t="s">
        <v>6507</v>
      </c>
      <c r="H1098" s="9"/>
      <c r="I1098" s="9"/>
      <c r="J1098" s="9"/>
      <c r="K1098" s="9"/>
      <c r="L1098" s="11" t="s">
        <v>2794</v>
      </c>
      <c r="M1098" s="9" t="s">
        <v>2815</v>
      </c>
      <c r="N1098" s="9"/>
      <c r="O1098" s="9" t="s">
        <v>11337</v>
      </c>
      <c r="P1098" s="9" t="str">
        <f>HYPERLINK("https://ceds.ed.gov/cedselementdetails.aspx?termid=14316")</f>
        <v>https://ceds.ed.gov/cedselementdetails.aspx?termid=14316</v>
      </c>
      <c r="Q1098" s="9" t="str">
        <f>HYPERLINK("https://ceds.ed.gov/elementComment.aspx?elementName=Financial Account K12 Program Code &amp;elementID=14316", "Click here to submit comment")</f>
        <v>Click here to submit comment</v>
      </c>
    </row>
    <row r="1099" spans="1:17" ht="45" x14ac:dyDescent="0.25">
      <c r="A1099" s="9" t="s">
        <v>6811</v>
      </c>
      <c r="B1099" s="9" t="s">
        <v>6824</v>
      </c>
      <c r="C1099" s="9" t="s">
        <v>6762</v>
      </c>
      <c r="D1099" s="9" t="s">
        <v>6742</v>
      </c>
      <c r="E1099" s="9" t="s">
        <v>2820</v>
      </c>
      <c r="F1099" s="9" t="s">
        <v>2821</v>
      </c>
      <c r="G1099" s="9" t="s">
        <v>12</v>
      </c>
      <c r="H1099" s="9"/>
      <c r="I1099" s="9"/>
      <c r="J1099" s="9" t="s">
        <v>87</v>
      </c>
      <c r="K1099" s="9"/>
      <c r="L1099" s="9"/>
      <c r="M1099" s="9" t="s">
        <v>2822</v>
      </c>
      <c r="N1099" s="9"/>
      <c r="O1099" s="9" t="s">
        <v>2823</v>
      </c>
      <c r="P1099" s="9" t="str">
        <f>HYPERLINK("https://ceds.ed.gov/cedselementdetails.aspx?termid=14627")</f>
        <v>https://ceds.ed.gov/cedselementdetails.aspx?termid=14627</v>
      </c>
      <c r="Q1099" s="9" t="str">
        <f>HYPERLINK("https://ceds.ed.gov/elementComment.aspx?elementName=Financial Account Program Number &amp;elementID=14627", "Click here to submit comment")</f>
        <v>Click here to submit comment</v>
      </c>
    </row>
    <row r="1100" spans="1:17" ht="45" x14ac:dyDescent="0.25">
      <c r="A1100" s="9" t="s">
        <v>6811</v>
      </c>
      <c r="B1100" s="9" t="s">
        <v>6824</v>
      </c>
      <c r="C1100" s="9" t="s">
        <v>6762</v>
      </c>
      <c r="D1100" s="9" t="s">
        <v>6742</v>
      </c>
      <c r="E1100" s="9" t="s">
        <v>2816</v>
      </c>
      <c r="F1100" s="9" t="s">
        <v>2817</v>
      </c>
      <c r="G1100" s="9" t="s">
        <v>12</v>
      </c>
      <c r="H1100" s="9"/>
      <c r="I1100" s="9"/>
      <c r="J1100" s="9" t="s">
        <v>762</v>
      </c>
      <c r="K1100" s="9"/>
      <c r="L1100" s="9"/>
      <c r="M1100" s="9" t="s">
        <v>2818</v>
      </c>
      <c r="N1100" s="9"/>
      <c r="O1100" s="9" t="s">
        <v>2819</v>
      </c>
      <c r="P1100" s="9" t="str">
        <f>HYPERLINK("https://ceds.ed.gov/cedselementdetails.aspx?termid=14626")</f>
        <v>https://ceds.ed.gov/cedselementdetails.aspx?termid=14626</v>
      </c>
      <c r="Q1100" s="9" t="str">
        <f>HYPERLINK("https://ceds.ed.gov/elementComment.aspx?elementName=Financial Account Program Name &amp;elementID=14626", "Click here to submit comment")</f>
        <v>Click here to submit comment</v>
      </c>
    </row>
    <row r="1101" spans="1:17" ht="75" x14ac:dyDescent="0.25">
      <c r="A1101" s="9" t="s">
        <v>6811</v>
      </c>
      <c r="B1101" s="9" t="s">
        <v>6824</v>
      </c>
      <c r="C1101" s="9" t="s">
        <v>6817</v>
      </c>
      <c r="D1101" s="9" t="s">
        <v>6742</v>
      </c>
      <c r="E1101" s="9" t="s">
        <v>2776</v>
      </c>
      <c r="F1101" s="9" t="s">
        <v>2777</v>
      </c>
      <c r="G1101" s="9" t="s">
        <v>12</v>
      </c>
      <c r="H1101" s="9" t="s">
        <v>199</v>
      </c>
      <c r="I1101" s="9"/>
      <c r="J1101" s="9" t="s">
        <v>11328</v>
      </c>
      <c r="K1101" s="9"/>
      <c r="L1101" s="9"/>
      <c r="M1101" s="9" t="s">
        <v>2778</v>
      </c>
      <c r="N1101" s="9"/>
      <c r="O1101" s="9" t="s">
        <v>2779</v>
      </c>
      <c r="P1101" s="9" t="str">
        <f>HYPERLINK("https://ceds.ed.gov/cedselementdetails.aspx?termid=13538")</f>
        <v>https://ceds.ed.gov/cedselementdetails.aspx?termid=13538</v>
      </c>
      <c r="Q1101" s="9" t="str">
        <f>HYPERLINK("https://ceds.ed.gov/elementComment.aspx?elementName=Federal Program Code &amp;elementID=13538", "Click here to submit comment")</f>
        <v>Click here to submit comment</v>
      </c>
    </row>
    <row r="1102" spans="1:17" ht="135" x14ac:dyDescent="0.25">
      <c r="A1102" s="9" t="s">
        <v>6811</v>
      </c>
      <c r="B1102" s="9" t="s">
        <v>6824</v>
      </c>
      <c r="C1102" s="9" t="s">
        <v>6817</v>
      </c>
      <c r="D1102" s="9" t="s">
        <v>6742</v>
      </c>
      <c r="E1102" s="9" t="s">
        <v>2780</v>
      </c>
      <c r="F1102" s="9" t="s">
        <v>2781</v>
      </c>
      <c r="G1102" s="9" t="s">
        <v>12</v>
      </c>
      <c r="H1102" s="9" t="s">
        <v>199</v>
      </c>
      <c r="I1102" s="9"/>
      <c r="J1102" s="9" t="s">
        <v>1513</v>
      </c>
      <c r="K1102" s="9"/>
      <c r="L1102" s="9"/>
      <c r="M1102" s="9" t="s">
        <v>2782</v>
      </c>
      <c r="N1102" s="9"/>
      <c r="O1102" s="9" t="s">
        <v>2783</v>
      </c>
      <c r="P1102" s="9" t="str">
        <f>HYPERLINK("https://ceds.ed.gov/cedselementdetails.aspx?termid=13540")</f>
        <v>https://ceds.ed.gov/cedselementdetails.aspx?termid=13540</v>
      </c>
      <c r="Q1102" s="9" t="str">
        <f>HYPERLINK("https://ceds.ed.gov/elementComment.aspx?elementName=Federal Programs Funding Allocation &amp;elementID=13540", "Click here to submit comment")</f>
        <v>Click here to submit comment</v>
      </c>
    </row>
    <row r="1103" spans="1:17" ht="135" x14ac:dyDescent="0.25">
      <c r="A1103" s="9" t="s">
        <v>6811</v>
      </c>
      <c r="B1103" s="9" t="s">
        <v>6824</v>
      </c>
      <c r="C1103" s="9" t="s">
        <v>6817</v>
      </c>
      <c r="D1103" s="9" t="s">
        <v>6742</v>
      </c>
      <c r="E1103" s="9" t="s">
        <v>2784</v>
      </c>
      <c r="F1103" s="9" t="s">
        <v>2785</v>
      </c>
      <c r="G1103" s="10" t="s">
        <v>6503</v>
      </c>
      <c r="H1103" s="9"/>
      <c r="I1103" s="9"/>
      <c r="J1103" s="9"/>
      <c r="K1103" s="9"/>
      <c r="L1103" s="9"/>
      <c r="M1103" s="9" t="s">
        <v>2786</v>
      </c>
      <c r="N1103" s="9"/>
      <c r="O1103" s="9" t="s">
        <v>2787</v>
      </c>
      <c r="P1103" s="9" t="str">
        <f>HYPERLINK("https://ceds.ed.gov/cedselementdetails.aspx?termid=13539")</f>
        <v>https://ceds.ed.gov/cedselementdetails.aspx?termid=13539</v>
      </c>
      <c r="Q1103" s="9" t="str">
        <f>HYPERLINK("https://ceds.ed.gov/elementComment.aspx?elementName=Federal Programs Funding Allocation Type &amp;elementID=13539", "Click here to submit comment")</f>
        <v>Click here to submit comment</v>
      </c>
    </row>
    <row r="1104" spans="1:17" ht="45" x14ac:dyDescent="0.25">
      <c r="A1104" s="9" t="s">
        <v>6811</v>
      </c>
      <c r="B1104" s="9" t="s">
        <v>6824</v>
      </c>
      <c r="C1104" s="9" t="s">
        <v>6817</v>
      </c>
      <c r="D1104" s="9" t="s">
        <v>6742</v>
      </c>
      <c r="E1104" s="9" t="s">
        <v>5700</v>
      </c>
      <c r="F1104" s="9" t="s">
        <v>5701</v>
      </c>
      <c r="G1104" s="9" t="s">
        <v>6106</v>
      </c>
      <c r="H1104" s="9" t="s">
        <v>188</v>
      </c>
      <c r="I1104" s="9"/>
      <c r="J1104" s="9"/>
      <c r="K1104" s="9"/>
      <c r="L1104" s="9"/>
      <c r="M1104" s="9" t="s">
        <v>5702</v>
      </c>
      <c r="N1104" s="9"/>
      <c r="O1104" s="9" t="s">
        <v>5703</v>
      </c>
      <c r="P1104" s="9" t="str">
        <f>HYPERLINK("https://ceds.ed.gov/cedselementdetails.aspx?termid=13435")</f>
        <v>https://ceds.ed.gov/cedselementdetails.aspx?termid=13435</v>
      </c>
      <c r="Q1104" s="9" t="str">
        <f>HYPERLINK("https://ceds.ed.gov/elementComment.aspx?elementName=State Transferability of Funds &amp;elementID=13435", "Click here to submit comment")</f>
        <v>Click here to submit comment</v>
      </c>
    </row>
    <row r="1105" spans="1:17" ht="45" x14ac:dyDescent="0.25">
      <c r="A1105" s="9" t="s">
        <v>6811</v>
      </c>
      <c r="B1105" s="9" t="s">
        <v>6824</v>
      </c>
      <c r="C1105" s="9" t="s">
        <v>6817</v>
      </c>
      <c r="D1105" s="9" t="s">
        <v>6742</v>
      </c>
      <c r="E1105" s="9" t="s">
        <v>2178</v>
      </c>
      <c r="F1105" s="9" t="s">
        <v>2179</v>
      </c>
      <c r="G1105" s="9" t="s">
        <v>12</v>
      </c>
      <c r="H1105" s="9" t="s">
        <v>188</v>
      </c>
      <c r="I1105" s="9"/>
      <c r="J1105" s="9" t="s">
        <v>73</v>
      </c>
      <c r="K1105" s="9"/>
      <c r="L1105" s="9"/>
      <c r="M1105" s="9" t="s">
        <v>2181</v>
      </c>
      <c r="N1105" s="9"/>
      <c r="O1105" s="9" t="s">
        <v>2182</v>
      </c>
      <c r="P1105" s="9" t="str">
        <f>HYPERLINK("https://ceds.ed.gov/cedselementdetails.aspx?termid=13445")</f>
        <v>https://ceds.ed.gov/cedselementdetails.aspx?termid=13445</v>
      </c>
      <c r="Q1105" s="9" t="str">
        <f>HYPERLINK("https://ceds.ed.gov/elementComment.aspx?elementName=Date State Received Title III Allocation &amp;elementID=13445", "Click here to submit comment")</f>
        <v>Click here to submit comment</v>
      </c>
    </row>
    <row r="1106" spans="1:17" ht="45" x14ac:dyDescent="0.25">
      <c r="A1106" s="9" t="s">
        <v>6811</v>
      </c>
      <c r="B1106" s="9" t="s">
        <v>6824</v>
      </c>
      <c r="C1106" s="9" t="s">
        <v>6817</v>
      </c>
      <c r="D1106" s="9" t="s">
        <v>6742</v>
      </c>
      <c r="E1106" s="9" t="s">
        <v>2183</v>
      </c>
      <c r="F1106" s="9" t="s">
        <v>2184</v>
      </c>
      <c r="G1106" s="9" t="s">
        <v>12</v>
      </c>
      <c r="H1106" s="9" t="s">
        <v>188</v>
      </c>
      <c r="I1106" s="9"/>
      <c r="J1106" s="9" t="s">
        <v>73</v>
      </c>
      <c r="K1106" s="9"/>
      <c r="L1106" s="9"/>
      <c r="M1106" s="9" t="s">
        <v>2185</v>
      </c>
      <c r="N1106" s="9"/>
      <c r="O1106" s="9" t="s">
        <v>2186</v>
      </c>
      <c r="P1106" s="9" t="str">
        <f>HYPERLINK("https://ceds.ed.gov/cedselementdetails.aspx?termid=13446")</f>
        <v>https://ceds.ed.gov/cedselementdetails.aspx?termid=13446</v>
      </c>
      <c r="Q1106" s="9" t="str">
        <f>HYPERLINK("https://ceds.ed.gov/elementComment.aspx?elementName=Date Title III Funds Available to Subgrantees &amp;elementID=13446", "Click here to submit comment")</f>
        <v>Click here to submit comment</v>
      </c>
    </row>
    <row r="1107" spans="1:17" ht="90" x14ac:dyDescent="0.25">
      <c r="A1107" s="9" t="s">
        <v>6811</v>
      </c>
      <c r="B1107" s="9" t="s">
        <v>6824</v>
      </c>
      <c r="C1107" s="9" t="s">
        <v>6817</v>
      </c>
      <c r="D1107" s="9" t="s">
        <v>6742</v>
      </c>
      <c r="E1107" s="9" t="s">
        <v>4373</v>
      </c>
      <c r="F1107" s="9" t="s">
        <v>4374</v>
      </c>
      <c r="G1107" s="9" t="s">
        <v>12</v>
      </c>
      <c r="H1107" s="9" t="s">
        <v>188</v>
      </c>
      <c r="I1107" s="9"/>
      <c r="J1107" s="9" t="s">
        <v>1513</v>
      </c>
      <c r="K1107" s="9"/>
      <c r="L1107" s="9"/>
      <c r="M1107" s="9" t="s">
        <v>4375</v>
      </c>
      <c r="N1107" s="9"/>
      <c r="O1107" s="9" t="s">
        <v>4376</v>
      </c>
      <c r="P1107" s="9" t="str">
        <f>HYPERLINK("https://ceds.ed.gov/cedselementdetails.aspx?termid=13447")</f>
        <v>https://ceds.ed.gov/cedselementdetails.aspx?termid=13447</v>
      </c>
      <c r="Q1107" s="9" t="str">
        <f>HYPERLINK("https://ceds.ed.gov/elementComment.aspx?elementName=Number of Days for Title III Subgrants &amp;elementID=13447", "Click here to submit comment")</f>
        <v>Click here to submit comment</v>
      </c>
    </row>
    <row r="1108" spans="1:17" ht="195" x14ac:dyDescent="0.25">
      <c r="A1108" s="9" t="s">
        <v>6811</v>
      </c>
      <c r="B1108" s="9" t="s">
        <v>6825</v>
      </c>
      <c r="C1108" s="9" t="s">
        <v>6741</v>
      </c>
      <c r="D1108" s="9" t="s">
        <v>6742</v>
      </c>
      <c r="E1108" s="9" t="s">
        <v>2935</v>
      </c>
      <c r="F1108" s="9" t="s">
        <v>2936</v>
      </c>
      <c r="G1108" s="9" t="s">
        <v>12</v>
      </c>
      <c r="H1108" s="9" t="s">
        <v>6211</v>
      </c>
      <c r="I1108" s="9"/>
      <c r="J1108" s="9" t="s">
        <v>1310</v>
      </c>
      <c r="K1108" s="9"/>
      <c r="L1108" s="9" t="s">
        <v>2937</v>
      </c>
      <c r="M1108" s="9" t="s">
        <v>2938</v>
      </c>
      <c r="N1108" s="9"/>
      <c r="O1108" s="9" t="s">
        <v>2939</v>
      </c>
      <c r="P1108" s="9" t="str">
        <f>HYPERLINK("https://ceds.ed.gov/cedselementdetails.aspx?termid=13115")</f>
        <v>https://ceds.ed.gov/cedselementdetails.aspx?termid=13115</v>
      </c>
      <c r="Q1108" s="9" t="str">
        <f>HYPERLINK("https://ceds.ed.gov/elementComment.aspx?elementName=First Name &amp;elementID=13115", "Click here to submit comment")</f>
        <v>Click here to submit comment</v>
      </c>
    </row>
    <row r="1109" spans="1:17" ht="90" customHeight="1" x14ac:dyDescent="0.25">
      <c r="A1109" s="18" t="s">
        <v>6811</v>
      </c>
      <c r="B1109" s="18" t="s">
        <v>6825</v>
      </c>
      <c r="C1109" s="18" t="s">
        <v>6741</v>
      </c>
      <c r="D1109" s="18" t="s">
        <v>6742</v>
      </c>
      <c r="E1109" s="18" t="s">
        <v>4183</v>
      </c>
      <c r="F1109" s="18" t="s">
        <v>4184</v>
      </c>
      <c r="G1109" s="18" t="s">
        <v>12</v>
      </c>
      <c r="H1109" s="18" t="s">
        <v>6211</v>
      </c>
      <c r="I1109" s="18"/>
      <c r="J1109" s="18" t="s">
        <v>1310</v>
      </c>
      <c r="K1109" s="18"/>
      <c r="L1109" s="9" t="s">
        <v>2996</v>
      </c>
      <c r="M1109" s="18" t="s">
        <v>4185</v>
      </c>
      <c r="N1109" s="18"/>
      <c r="O1109" s="18" t="s">
        <v>4186</v>
      </c>
      <c r="P1109" s="18" t="str">
        <f>HYPERLINK("https://ceds.ed.gov/cedselementdetails.aspx?termid=13184")</f>
        <v>https://ceds.ed.gov/cedselementdetails.aspx?termid=13184</v>
      </c>
      <c r="Q1109" s="18" t="str">
        <f>HYPERLINK("https://ceds.ed.gov/elementComment.aspx?elementName=Middle Name &amp;elementID=13184", "Click here to submit comment")</f>
        <v>Click here to submit comment</v>
      </c>
    </row>
    <row r="1110" spans="1:17" ht="90" x14ac:dyDescent="0.25">
      <c r="A1110" s="18"/>
      <c r="B1110" s="18"/>
      <c r="C1110" s="18"/>
      <c r="D1110" s="18"/>
      <c r="E1110" s="18"/>
      <c r="F1110" s="18"/>
      <c r="G1110" s="18"/>
      <c r="H1110" s="18"/>
      <c r="I1110" s="18"/>
      <c r="J1110" s="18"/>
      <c r="K1110" s="18"/>
      <c r="L1110" s="9" t="s">
        <v>2997</v>
      </c>
      <c r="M1110" s="18"/>
      <c r="N1110" s="18"/>
      <c r="O1110" s="18"/>
      <c r="P1110" s="18"/>
      <c r="Q1110" s="18"/>
    </row>
    <row r="1111" spans="1:17" ht="90" customHeight="1" x14ac:dyDescent="0.25">
      <c r="A1111" s="18" t="s">
        <v>6811</v>
      </c>
      <c r="B1111" s="18" t="s">
        <v>6825</v>
      </c>
      <c r="C1111" s="18" t="s">
        <v>6741</v>
      </c>
      <c r="D1111" s="18" t="s">
        <v>6742</v>
      </c>
      <c r="E1111" s="18" t="s">
        <v>3597</v>
      </c>
      <c r="F1111" s="18" t="s">
        <v>3598</v>
      </c>
      <c r="G1111" s="18" t="s">
        <v>12</v>
      </c>
      <c r="H1111" s="18" t="s">
        <v>6211</v>
      </c>
      <c r="I1111" s="18"/>
      <c r="J1111" s="18" t="s">
        <v>1310</v>
      </c>
      <c r="K1111" s="18"/>
      <c r="L1111" s="9" t="s">
        <v>2996</v>
      </c>
      <c r="M1111" s="18" t="s">
        <v>3599</v>
      </c>
      <c r="N1111" s="18" t="s">
        <v>3600</v>
      </c>
      <c r="O1111" s="18" t="s">
        <v>3601</v>
      </c>
      <c r="P1111" s="18" t="str">
        <f>HYPERLINK("https://ceds.ed.gov/cedselementdetails.aspx?termid=13172")</f>
        <v>https://ceds.ed.gov/cedselementdetails.aspx?termid=13172</v>
      </c>
      <c r="Q1111" s="18" t="str">
        <f>HYPERLINK("https://ceds.ed.gov/elementComment.aspx?elementName=Last or Surname &amp;elementID=13172", "Click here to submit comment")</f>
        <v>Click here to submit comment</v>
      </c>
    </row>
    <row r="1112" spans="1:17" ht="90" x14ac:dyDescent="0.25">
      <c r="A1112" s="18"/>
      <c r="B1112" s="18"/>
      <c r="C1112" s="18"/>
      <c r="D1112" s="18"/>
      <c r="E1112" s="18"/>
      <c r="F1112" s="18"/>
      <c r="G1112" s="18"/>
      <c r="H1112" s="18"/>
      <c r="I1112" s="18"/>
      <c r="J1112" s="18"/>
      <c r="K1112" s="18"/>
      <c r="L1112" s="9" t="s">
        <v>2997</v>
      </c>
      <c r="M1112" s="18"/>
      <c r="N1112" s="18"/>
      <c r="O1112" s="18"/>
      <c r="P1112" s="18"/>
      <c r="Q1112" s="18"/>
    </row>
    <row r="1113" spans="1:17" ht="45" customHeight="1" x14ac:dyDescent="0.25">
      <c r="A1113" s="18" t="s">
        <v>6811</v>
      </c>
      <c r="B1113" s="18" t="s">
        <v>6825</v>
      </c>
      <c r="C1113" s="18" t="s">
        <v>6741</v>
      </c>
      <c r="D1113" s="18" t="s">
        <v>6742</v>
      </c>
      <c r="E1113" s="18" t="s">
        <v>2994</v>
      </c>
      <c r="F1113" s="18" t="s">
        <v>2995</v>
      </c>
      <c r="G1113" s="18" t="s">
        <v>12</v>
      </c>
      <c r="H1113" s="18" t="s">
        <v>6212</v>
      </c>
      <c r="I1113" s="18"/>
      <c r="J1113" s="18" t="s">
        <v>2088</v>
      </c>
      <c r="K1113" s="18"/>
      <c r="L1113" s="9" t="s">
        <v>2996</v>
      </c>
      <c r="M1113" s="18" t="s">
        <v>2998</v>
      </c>
      <c r="N1113" s="18"/>
      <c r="O1113" s="18" t="s">
        <v>2999</v>
      </c>
      <c r="P1113" s="18" t="str">
        <f>HYPERLINK("https://ceds.ed.gov/cedselementdetails.aspx?termid=13121")</f>
        <v>https://ceds.ed.gov/cedselementdetails.aspx?termid=13121</v>
      </c>
      <c r="Q1113" s="18" t="str">
        <f>HYPERLINK("https://ceds.ed.gov/elementComment.aspx?elementName=Generation Code or Suffix &amp;elementID=13121", "Click here to submit comment")</f>
        <v>Click here to submit comment</v>
      </c>
    </row>
    <row r="1114" spans="1:17" ht="90" x14ac:dyDescent="0.25">
      <c r="A1114" s="18"/>
      <c r="B1114" s="18"/>
      <c r="C1114" s="18"/>
      <c r="D1114" s="18"/>
      <c r="E1114" s="18"/>
      <c r="F1114" s="18"/>
      <c r="G1114" s="18"/>
      <c r="H1114" s="18"/>
      <c r="I1114" s="18"/>
      <c r="J1114" s="18"/>
      <c r="K1114" s="18"/>
      <c r="L1114" s="9" t="s">
        <v>2997</v>
      </c>
      <c r="M1114" s="18"/>
      <c r="N1114" s="18"/>
      <c r="O1114" s="18"/>
      <c r="P1114" s="18"/>
      <c r="Q1114" s="18"/>
    </row>
    <row r="1115" spans="1:17" ht="105" x14ac:dyDescent="0.25">
      <c r="A1115" s="9" t="s">
        <v>6811</v>
      </c>
      <c r="B1115" s="9" t="s">
        <v>6825</v>
      </c>
      <c r="C1115" s="9" t="s">
        <v>6741</v>
      </c>
      <c r="D1115" s="9" t="s">
        <v>6742</v>
      </c>
      <c r="E1115" s="9" t="s">
        <v>4610</v>
      </c>
      <c r="F1115" s="9" t="s">
        <v>4611</v>
      </c>
      <c r="G1115" s="9" t="s">
        <v>12</v>
      </c>
      <c r="H1115" s="9" t="s">
        <v>6255</v>
      </c>
      <c r="I1115" s="9"/>
      <c r="J1115" s="9" t="s">
        <v>87</v>
      </c>
      <c r="K1115" s="9"/>
      <c r="L1115" s="9"/>
      <c r="M1115" s="9" t="s">
        <v>4612</v>
      </c>
      <c r="N1115" s="9" t="s">
        <v>4613</v>
      </c>
      <c r="O1115" s="9" t="s">
        <v>4614</v>
      </c>
      <c r="P1115" s="9" t="str">
        <f>HYPERLINK("https://ceds.ed.gov/cedselementdetails.aspx?termid=13212")</f>
        <v>https://ceds.ed.gov/cedselementdetails.aspx?termid=13212</v>
      </c>
      <c r="Q1115" s="9" t="str">
        <f>HYPERLINK("https://ceds.ed.gov/elementComment.aspx?elementName=Personal Title or Prefix &amp;elementID=13212", "Click here to submit comment")</f>
        <v>Click here to submit comment</v>
      </c>
    </row>
    <row r="1116" spans="1:17" ht="45" x14ac:dyDescent="0.25">
      <c r="A1116" s="9" t="s">
        <v>6811</v>
      </c>
      <c r="B1116" s="9" t="s">
        <v>6825</v>
      </c>
      <c r="C1116" s="9" t="s">
        <v>6743</v>
      </c>
      <c r="D1116" s="9" t="s">
        <v>6742</v>
      </c>
      <c r="E1116" s="9" t="s">
        <v>4481</v>
      </c>
      <c r="F1116" s="9" t="s">
        <v>4482</v>
      </c>
      <c r="G1116" s="9" t="s">
        <v>12</v>
      </c>
      <c r="H1116" s="9"/>
      <c r="I1116" s="9"/>
      <c r="J1116" s="9" t="s">
        <v>1310</v>
      </c>
      <c r="K1116" s="9"/>
      <c r="L1116" s="9" t="s">
        <v>4483</v>
      </c>
      <c r="M1116" s="9" t="s">
        <v>4484</v>
      </c>
      <c r="N1116" s="9"/>
      <c r="O1116" s="9" t="s">
        <v>4485</v>
      </c>
      <c r="P1116" s="9" t="str">
        <f>HYPERLINK("https://ceds.ed.gov/cedselementdetails.aspx?termid=14486")</f>
        <v>https://ceds.ed.gov/cedselementdetails.aspx?termid=14486</v>
      </c>
      <c r="Q1116" s="9" t="str">
        <f>HYPERLINK("https://ceds.ed.gov/elementComment.aspx?elementName=Other First Name &amp;elementID=14486", "Click here to submit comment")</f>
        <v>Click here to submit comment</v>
      </c>
    </row>
    <row r="1117" spans="1:17" ht="45" x14ac:dyDescent="0.25">
      <c r="A1117" s="9" t="s">
        <v>6811</v>
      </c>
      <c r="B1117" s="9" t="s">
        <v>6825</v>
      </c>
      <c r="C1117" s="9" t="s">
        <v>6743</v>
      </c>
      <c r="D1117" s="9" t="s">
        <v>6742</v>
      </c>
      <c r="E1117" s="9" t="s">
        <v>4491</v>
      </c>
      <c r="F1117" s="9" t="s">
        <v>4492</v>
      </c>
      <c r="G1117" s="9" t="s">
        <v>12</v>
      </c>
      <c r="H1117" s="9"/>
      <c r="I1117" s="9"/>
      <c r="J1117" s="9" t="s">
        <v>1310</v>
      </c>
      <c r="K1117" s="9"/>
      <c r="L1117" s="9" t="s">
        <v>4493</v>
      </c>
      <c r="M1117" s="9" t="s">
        <v>4494</v>
      </c>
      <c r="N1117" s="9"/>
      <c r="O1117" s="9" t="s">
        <v>4495</v>
      </c>
      <c r="P1117" s="9" t="str">
        <f>HYPERLINK("https://ceds.ed.gov/cedselementdetails.aspx?termid=14487")</f>
        <v>https://ceds.ed.gov/cedselementdetails.aspx?termid=14487</v>
      </c>
      <c r="Q1117" s="9" t="str">
        <f>HYPERLINK("https://ceds.ed.gov/elementComment.aspx?elementName=Other Middle Name &amp;elementID=14487", "Click here to submit comment")</f>
        <v>Click here to submit comment</v>
      </c>
    </row>
    <row r="1118" spans="1:17" ht="45" x14ac:dyDescent="0.25">
      <c r="A1118" s="9" t="s">
        <v>6811</v>
      </c>
      <c r="B1118" s="9" t="s">
        <v>6825</v>
      </c>
      <c r="C1118" s="9" t="s">
        <v>6743</v>
      </c>
      <c r="D1118" s="9" t="s">
        <v>6742</v>
      </c>
      <c r="E1118" s="9" t="s">
        <v>4486</v>
      </c>
      <c r="F1118" s="9" t="s">
        <v>4487</v>
      </c>
      <c r="G1118" s="9" t="s">
        <v>12</v>
      </c>
      <c r="H1118" s="9"/>
      <c r="I1118" s="9"/>
      <c r="J1118" s="9" t="s">
        <v>1310</v>
      </c>
      <c r="K1118" s="9"/>
      <c r="L1118" s="9" t="s">
        <v>4488</v>
      </c>
      <c r="M1118" s="9" t="s">
        <v>4489</v>
      </c>
      <c r="N1118" s="9"/>
      <c r="O1118" s="9" t="s">
        <v>4490</v>
      </c>
      <c r="P1118" s="9" t="str">
        <f>HYPERLINK("https://ceds.ed.gov/cedselementdetails.aspx?termid=14485")</f>
        <v>https://ceds.ed.gov/cedselementdetails.aspx?termid=14485</v>
      </c>
      <c r="Q1118" s="9" t="str">
        <f>HYPERLINK("https://ceds.ed.gov/elementComment.aspx?elementName=Other Last Name &amp;elementID=14485", "Click here to submit comment")</f>
        <v>Click here to submit comment</v>
      </c>
    </row>
    <row r="1119" spans="1:17" ht="150" x14ac:dyDescent="0.25">
      <c r="A1119" s="9" t="s">
        <v>6811</v>
      </c>
      <c r="B1119" s="9" t="s">
        <v>6825</v>
      </c>
      <c r="C1119" s="9" t="s">
        <v>6743</v>
      </c>
      <c r="D1119" s="9" t="s">
        <v>6742</v>
      </c>
      <c r="E1119" s="9" t="s">
        <v>4496</v>
      </c>
      <c r="F1119" s="9" t="s">
        <v>4497</v>
      </c>
      <c r="G1119" s="9" t="s">
        <v>12</v>
      </c>
      <c r="H1119" s="9" t="s">
        <v>6212</v>
      </c>
      <c r="I1119" s="9"/>
      <c r="J1119" s="9" t="s">
        <v>119</v>
      </c>
      <c r="K1119" s="9"/>
      <c r="L1119" s="9"/>
      <c r="M1119" s="9" t="s">
        <v>4498</v>
      </c>
      <c r="N1119" s="9"/>
      <c r="O1119" s="9" t="s">
        <v>4499</v>
      </c>
      <c r="P1119" s="9" t="str">
        <f>HYPERLINK("https://ceds.ed.gov/cedselementdetails.aspx?termid=13206")</f>
        <v>https://ceds.ed.gov/cedselementdetails.aspx?termid=13206</v>
      </c>
      <c r="Q1119" s="9" t="str">
        <f>HYPERLINK("https://ceds.ed.gov/elementComment.aspx?elementName=Other Name &amp;elementID=13206", "Click here to submit comment")</f>
        <v>Click here to submit comment</v>
      </c>
    </row>
    <row r="1120" spans="1:17" ht="165" x14ac:dyDescent="0.25">
      <c r="A1120" s="9" t="s">
        <v>6811</v>
      </c>
      <c r="B1120" s="9" t="s">
        <v>6825</v>
      </c>
      <c r="C1120" s="9" t="s">
        <v>6743</v>
      </c>
      <c r="D1120" s="9" t="s">
        <v>6742</v>
      </c>
      <c r="E1120" s="9" t="s">
        <v>4500</v>
      </c>
      <c r="F1120" s="9" t="s">
        <v>4501</v>
      </c>
      <c r="G1120" s="10" t="s">
        <v>6630</v>
      </c>
      <c r="H1120" s="9" t="s">
        <v>6251</v>
      </c>
      <c r="I1120" s="9"/>
      <c r="J1120" s="9" t="s">
        <v>87</v>
      </c>
      <c r="K1120" s="9"/>
      <c r="L1120" s="9"/>
      <c r="M1120" s="9" t="s">
        <v>4502</v>
      </c>
      <c r="N1120" s="9"/>
      <c r="O1120" s="9" t="s">
        <v>4503</v>
      </c>
      <c r="P1120" s="9" t="str">
        <f>HYPERLINK("https://ceds.ed.gov/cedselementdetails.aspx?termid=13627")</f>
        <v>https://ceds.ed.gov/cedselementdetails.aspx?termid=13627</v>
      </c>
      <c r="Q1120" s="9" t="str">
        <f>HYPERLINK("https://ceds.ed.gov/elementComment.aspx?elementName=Other Name Type &amp;elementID=13627", "Click here to submit comment")</f>
        <v>Click here to submit comment</v>
      </c>
    </row>
    <row r="1121" spans="1:17" ht="105" x14ac:dyDescent="0.25">
      <c r="A1121" s="18" t="s">
        <v>6811</v>
      </c>
      <c r="B1121" s="18" t="s">
        <v>6825</v>
      </c>
      <c r="C1121" s="18" t="s">
        <v>6744</v>
      </c>
      <c r="D1121" s="18" t="s">
        <v>6742</v>
      </c>
      <c r="E1121" s="18" t="s">
        <v>5732</v>
      </c>
      <c r="F1121" s="18" t="s">
        <v>5733</v>
      </c>
      <c r="G1121" s="18" t="s">
        <v>12</v>
      </c>
      <c r="H1121" s="18" t="s">
        <v>6290</v>
      </c>
      <c r="I1121" s="18"/>
      <c r="J1121" s="18" t="s">
        <v>119</v>
      </c>
      <c r="K1121" s="18"/>
      <c r="L1121" s="9" t="s">
        <v>120</v>
      </c>
      <c r="M1121" s="18" t="s">
        <v>5734</v>
      </c>
      <c r="N1121" s="18"/>
      <c r="O1121" s="18" t="s">
        <v>5735</v>
      </c>
      <c r="P1121" s="18" t="str">
        <f>HYPERLINK("https://ceds.ed.gov/cedselementdetails.aspx?termid=13157")</f>
        <v>https://ceds.ed.gov/cedselementdetails.aspx?termid=13157</v>
      </c>
      <c r="Q1121" s="18" t="str">
        <f>HYPERLINK("https://ceds.ed.gov/elementComment.aspx?elementName=Student Identifier &amp;elementID=13157", "Click here to submit comment")</f>
        <v>Click here to submit comment</v>
      </c>
    </row>
    <row r="1122" spans="1:17" x14ac:dyDescent="0.25">
      <c r="A1122" s="18"/>
      <c r="B1122" s="18"/>
      <c r="C1122" s="18"/>
      <c r="D1122" s="18"/>
      <c r="E1122" s="18"/>
      <c r="F1122" s="18"/>
      <c r="G1122" s="18"/>
      <c r="H1122" s="18"/>
      <c r="I1122" s="18"/>
      <c r="J1122" s="18"/>
      <c r="K1122" s="18"/>
      <c r="L1122" s="9"/>
      <c r="M1122" s="18"/>
      <c r="N1122" s="18"/>
      <c r="O1122" s="18"/>
      <c r="P1122" s="18"/>
      <c r="Q1122" s="18"/>
    </row>
    <row r="1123" spans="1:17" ht="90" x14ac:dyDescent="0.25">
      <c r="A1123" s="18"/>
      <c r="B1123" s="18"/>
      <c r="C1123" s="18"/>
      <c r="D1123" s="18"/>
      <c r="E1123" s="18"/>
      <c r="F1123" s="18"/>
      <c r="G1123" s="18"/>
      <c r="H1123" s="18"/>
      <c r="I1123" s="18"/>
      <c r="J1123" s="18"/>
      <c r="K1123" s="18"/>
      <c r="L1123" s="9" t="s">
        <v>121</v>
      </c>
      <c r="M1123" s="18"/>
      <c r="N1123" s="18"/>
      <c r="O1123" s="18"/>
      <c r="P1123" s="18"/>
      <c r="Q1123" s="18"/>
    </row>
    <row r="1124" spans="1:17" ht="210" x14ac:dyDescent="0.25">
      <c r="A1124" s="9" t="s">
        <v>6811</v>
      </c>
      <c r="B1124" s="9" t="s">
        <v>6825</v>
      </c>
      <c r="C1124" s="9" t="s">
        <v>6744</v>
      </c>
      <c r="D1124" s="9" t="s">
        <v>6742</v>
      </c>
      <c r="E1124" s="9" t="s">
        <v>5728</v>
      </c>
      <c r="F1124" s="9" t="s">
        <v>5729</v>
      </c>
      <c r="G1124" s="10" t="s">
        <v>6706</v>
      </c>
      <c r="H1124" s="9" t="s">
        <v>6290</v>
      </c>
      <c r="I1124" s="9"/>
      <c r="J1124" s="9"/>
      <c r="K1124" s="9"/>
      <c r="L1124" s="9"/>
      <c r="M1124" s="9" t="s">
        <v>5730</v>
      </c>
      <c r="N1124" s="9"/>
      <c r="O1124" s="9" t="s">
        <v>5731</v>
      </c>
      <c r="P1124" s="9" t="str">
        <f>HYPERLINK("https://ceds.ed.gov/cedselementdetails.aspx?termid=13163")</f>
        <v>https://ceds.ed.gov/cedselementdetails.aspx?termid=13163</v>
      </c>
      <c r="Q1124" s="9" t="str">
        <f>HYPERLINK("https://ceds.ed.gov/elementComment.aspx?elementName=Student Identification System &amp;elementID=13163", "Click here to submit comment")</f>
        <v>Click here to submit comment</v>
      </c>
    </row>
    <row r="1125" spans="1:17" ht="255" x14ac:dyDescent="0.25">
      <c r="A1125" s="9" t="s">
        <v>6811</v>
      </c>
      <c r="B1125" s="9" t="s">
        <v>6825</v>
      </c>
      <c r="C1125" s="9" t="s">
        <v>6744</v>
      </c>
      <c r="D1125" s="9" t="s">
        <v>6742</v>
      </c>
      <c r="E1125" s="9" t="s">
        <v>4606</v>
      </c>
      <c r="F1125" s="9" t="s">
        <v>4607</v>
      </c>
      <c r="G1125" s="10" t="s">
        <v>6637</v>
      </c>
      <c r="H1125" s="9"/>
      <c r="I1125" s="9"/>
      <c r="J1125" s="9"/>
      <c r="K1125" s="9"/>
      <c r="L1125" s="9"/>
      <c r="M1125" s="9" t="s">
        <v>4608</v>
      </c>
      <c r="N1125" s="9"/>
      <c r="O1125" s="9" t="s">
        <v>4609</v>
      </c>
      <c r="P1125" s="9" t="str">
        <f>HYPERLINK("https://ceds.ed.gov/cedselementdetails.aspx?termid=13611")</f>
        <v>https://ceds.ed.gov/cedselementdetails.aspx?termid=13611</v>
      </c>
      <c r="Q1125" s="9" t="str">
        <f>HYPERLINK("https://ceds.ed.gov/elementComment.aspx?elementName=Personal Information Verification &amp;elementID=13611", "Click here to submit comment")</f>
        <v>Click here to submit comment</v>
      </c>
    </row>
    <row r="1126" spans="1:17" ht="210" x14ac:dyDescent="0.25">
      <c r="A1126" s="9" t="s">
        <v>6811</v>
      </c>
      <c r="B1126" s="9" t="s">
        <v>6825</v>
      </c>
      <c r="C1126" s="9" t="s">
        <v>6745</v>
      </c>
      <c r="D1126" s="9" t="s">
        <v>6742</v>
      </c>
      <c r="E1126" s="9" t="s">
        <v>170</v>
      </c>
      <c r="F1126" s="9" t="s">
        <v>171</v>
      </c>
      <c r="G1126" s="10" t="s">
        <v>6319</v>
      </c>
      <c r="H1126" s="9" t="s">
        <v>6115</v>
      </c>
      <c r="I1126" s="9"/>
      <c r="J1126" s="9" t="s">
        <v>87</v>
      </c>
      <c r="K1126" s="9"/>
      <c r="L1126" s="9"/>
      <c r="M1126" s="9" t="s">
        <v>172</v>
      </c>
      <c r="N1126" s="9"/>
      <c r="O1126" s="9" t="s">
        <v>173</v>
      </c>
      <c r="P1126" s="9" t="str">
        <f>HYPERLINK("https://ceds.ed.gov/cedselementdetails.aspx?termid=13358")</f>
        <v>https://ceds.ed.gov/cedselementdetails.aspx?termid=13358</v>
      </c>
      <c r="Q1126" s="9" t="str">
        <f>HYPERLINK("https://ceds.ed.gov/elementComment.aspx?elementName=Address Type for Learner or Family &amp;elementID=13358", "Click here to submit comment")</f>
        <v>Click here to submit comment</v>
      </c>
    </row>
    <row r="1127" spans="1:17" ht="225" x14ac:dyDescent="0.25">
      <c r="A1127" s="9" t="s">
        <v>6811</v>
      </c>
      <c r="B1127" s="9" t="s">
        <v>6825</v>
      </c>
      <c r="C1127" s="9" t="s">
        <v>6745</v>
      </c>
      <c r="D1127" s="9" t="s">
        <v>6742</v>
      </c>
      <c r="E1127" s="9" t="s">
        <v>166</v>
      </c>
      <c r="F1127" s="9" t="s">
        <v>167</v>
      </c>
      <c r="G1127" s="9" t="s">
        <v>12</v>
      </c>
      <c r="H1127" s="9" t="s">
        <v>6113</v>
      </c>
      <c r="I1127" s="9"/>
      <c r="J1127" s="9" t="s">
        <v>119</v>
      </c>
      <c r="K1127" s="9"/>
      <c r="L1127" s="9"/>
      <c r="M1127" s="9" t="s">
        <v>168</v>
      </c>
      <c r="N1127" s="9"/>
      <c r="O1127" s="9" t="s">
        <v>169</v>
      </c>
      <c r="P1127" s="9" t="str">
        <f>HYPERLINK("https://ceds.ed.gov/cedselementdetails.aspx?termid=13269")</f>
        <v>https://ceds.ed.gov/cedselementdetails.aspx?termid=13269</v>
      </c>
      <c r="Q1127" s="9" t="str">
        <f>HYPERLINK("https://ceds.ed.gov/elementComment.aspx?elementName=Address Street Number and Name &amp;elementID=13269", "Click here to submit comment")</f>
        <v>Click here to submit comment</v>
      </c>
    </row>
    <row r="1128" spans="1:17" ht="225" x14ac:dyDescent="0.25">
      <c r="A1128" s="9" t="s">
        <v>6811</v>
      </c>
      <c r="B1128" s="9" t="s">
        <v>6825</v>
      </c>
      <c r="C1128" s="9" t="s">
        <v>6745</v>
      </c>
      <c r="D1128" s="9" t="s">
        <v>6742</v>
      </c>
      <c r="E1128" s="9" t="s">
        <v>149</v>
      </c>
      <c r="F1128" s="9" t="s">
        <v>150</v>
      </c>
      <c r="G1128" s="9" t="s">
        <v>12</v>
      </c>
      <c r="H1128" s="9" t="s">
        <v>6113</v>
      </c>
      <c r="I1128" s="9"/>
      <c r="J1128" s="9" t="s">
        <v>87</v>
      </c>
      <c r="K1128" s="9"/>
      <c r="L1128" s="9"/>
      <c r="M1128" s="9" t="s">
        <v>151</v>
      </c>
      <c r="N1128" s="9"/>
      <c r="O1128" s="9" t="s">
        <v>152</v>
      </c>
      <c r="P1128" s="9" t="str">
        <f>HYPERLINK("https://ceds.ed.gov/cedselementdetails.aspx?termid=13019")</f>
        <v>https://ceds.ed.gov/cedselementdetails.aspx?termid=13019</v>
      </c>
      <c r="Q1128" s="9" t="str">
        <f>HYPERLINK("https://ceds.ed.gov/elementComment.aspx?elementName=Address Apartment Room or Suite Number &amp;elementID=13019", "Click here to submit comment")</f>
        <v>Click here to submit comment</v>
      </c>
    </row>
    <row r="1129" spans="1:17" ht="225" x14ac:dyDescent="0.25">
      <c r="A1129" s="9" t="s">
        <v>6811</v>
      </c>
      <c r="B1129" s="9" t="s">
        <v>6825</v>
      </c>
      <c r="C1129" s="9" t="s">
        <v>6745</v>
      </c>
      <c r="D1129" s="9" t="s">
        <v>6742</v>
      </c>
      <c r="E1129" s="9" t="s">
        <v>153</v>
      </c>
      <c r="F1129" s="9" t="s">
        <v>154</v>
      </c>
      <c r="G1129" s="9" t="s">
        <v>12</v>
      </c>
      <c r="H1129" s="9" t="s">
        <v>6113</v>
      </c>
      <c r="I1129" s="9"/>
      <c r="J1129" s="9" t="s">
        <v>87</v>
      </c>
      <c r="K1129" s="9"/>
      <c r="L1129" s="9"/>
      <c r="M1129" s="9" t="s">
        <v>155</v>
      </c>
      <c r="N1129" s="9"/>
      <c r="O1129" s="9" t="s">
        <v>156</v>
      </c>
      <c r="P1129" s="9" t="str">
        <f>HYPERLINK("https://ceds.ed.gov/cedselementdetails.aspx?termid=13040")</f>
        <v>https://ceds.ed.gov/cedselementdetails.aspx?termid=13040</v>
      </c>
      <c r="Q1129" s="9" t="str">
        <f>HYPERLINK("https://ceds.ed.gov/elementComment.aspx?elementName=Address City &amp;elementID=13040", "Click here to submit comment")</f>
        <v>Click here to submit comment</v>
      </c>
    </row>
    <row r="1130" spans="1:17" ht="409.5" x14ac:dyDescent="0.25">
      <c r="A1130" s="9" t="s">
        <v>6811</v>
      </c>
      <c r="B1130" s="9" t="s">
        <v>6825</v>
      </c>
      <c r="C1130" s="9" t="s">
        <v>6745</v>
      </c>
      <c r="D1130" s="9" t="s">
        <v>6742</v>
      </c>
      <c r="E1130" s="9" t="s">
        <v>5647</v>
      </c>
      <c r="F1130" s="9" t="s">
        <v>5648</v>
      </c>
      <c r="G1130" s="10" t="s">
        <v>6702</v>
      </c>
      <c r="H1130" s="9" t="s">
        <v>6285</v>
      </c>
      <c r="I1130" s="9"/>
      <c r="J1130" s="9"/>
      <c r="K1130" s="9"/>
      <c r="L1130" s="9"/>
      <c r="M1130" s="9" t="s">
        <v>5649</v>
      </c>
      <c r="N1130" s="9"/>
      <c r="O1130" s="9" t="s">
        <v>5650</v>
      </c>
      <c r="P1130" s="9" t="str">
        <f>HYPERLINK("https://ceds.ed.gov/cedselementdetails.aspx?termid=13267")</f>
        <v>https://ceds.ed.gov/cedselementdetails.aspx?termid=13267</v>
      </c>
      <c r="Q1130" s="9" t="str">
        <f>HYPERLINK("https://ceds.ed.gov/elementComment.aspx?elementName=State Abbreviation &amp;elementID=13267", "Click here to submit comment")</f>
        <v>Click here to submit comment</v>
      </c>
    </row>
    <row r="1131" spans="1:17" ht="225" x14ac:dyDescent="0.25">
      <c r="A1131" s="9" t="s">
        <v>6811</v>
      </c>
      <c r="B1131" s="9" t="s">
        <v>6825</v>
      </c>
      <c r="C1131" s="9" t="s">
        <v>6745</v>
      </c>
      <c r="D1131" s="9" t="s">
        <v>6742</v>
      </c>
      <c r="E1131" s="9" t="s">
        <v>161</v>
      </c>
      <c r="F1131" s="9" t="s">
        <v>162</v>
      </c>
      <c r="G1131" s="9" t="s">
        <v>12</v>
      </c>
      <c r="H1131" s="9" t="s">
        <v>6113</v>
      </c>
      <c r="I1131" s="9"/>
      <c r="J1131" s="9" t="s">
        <v>163</v>
      </c>
      <c r="K1131" s="9"/>
      <c r="L1131" s="9"/>
      <c r="M1131" s="9" t="s">
        <v>164</v>
      </c>
      <c r="N1131" s="9"/>
      <c r="O1131" s="9" t="s">
        <v>165</v>
      </c>
      <c r="P1131" s="9" t="str">
        <f>HYPERLINK("https://ceds.ed.gov/cedselementdetails.aspx?termid=13214")</f>
        <v>https://ceds.ed.gov/cedselementdetails.aspx?termid=13214</v>
      </c>
      <c r="Q1131" s="9" t="str">
        <f>HYPERLINK("https://ceds.ed.gov/elementComment.aspx?elementName=Address Postal Code &amp;elementID=13214", "Click here to submit comment")</f>
        <v>Click here to submit comment</v>
      </c>
    </row>
    <row r="1132" spans="1:17" ht="225" x14ac:dyDescent="0.25">
      <c r="A1132" s="9" t="s">
        <v>6811</v>
      </c>
      <c r="B1132" s="9" t="s">
        <v>6825</v>
      </c>
      <c r="C1132" s="9" t="s">
        <v>6745</v>
      </c>
      <c r="D1132" s="9" t="s">
        <v>6742</v>
      </c>
      <c r="E1132" s="9" t="s">
        <v>157</v>
      </c>
      <c r="F1132" s="9" t="s">
        <v>158</v>
      </c>
      <c r="G1132" s="9" t="s">
        <v>12</v>
      </c>
      <c r="H1132" s="9" t="s">
        <v>6113</v>
      </c>
      <c r="I1132" s="9"/>
      <c r="J1132" s="9" t="s">
        <v>87</v>
      </c>
      <c r="K1132" s="9"/>
      <c r="L1132" s="9"/>
      <c r="M1132" s="9" t="s">
        <v>159</v>
      </c>
      <c r="N1132" s="9"/>
      <c r="O1132" s="9" t="s">
        <v>160</v>
      </c>
      <c r="P1132" s="9" t="str">
        <f>HYPERLINK("https://ceds.ed.gov/cedselementdetails.aspx?termid=13190")</f>
        <v>https://ceds.ed.gov/cedselementdetails.aspx?termid=13190</v>
      </c>
      <c r="Q1132" s="9" t="str">
        <f>HYPERLINK("https://ceds.ed.gov/elementComment.aspx?elementName=Address County Name &amp;elementID=13190", "Click here to submit comment")</f>
        <v>Click here to submit comment</v>
      </c>
    </row>
    <row r="1133" spans="1:17" ht="409.5" x14ac:dyDescent="0.25">
      <c r="A1133" s="9" t="s">
        <v>6811</v>
      </c>
      <c r="B1133" s="9" t="s">
        <v>6825</v>
      </c>
      <c r="C1133" s="9" t="s">
        <v>6745</v>
      </c>
      <c r="D1133" s="9" t="s">
        <v>6742</v>
      </c>
      <c r="E1133" s="9" t="s">
        <v>1885</v>
      </c>
      <c r="F1133" s="9" t="s">
        <v>1886</v>
      </c>
      <c r="G1133" s="10" t="s">
        <v>11839</v>
      </c>
      <c r="H1133" s="9" t="s">
        <v>6174</v>
      </c>
      <c r="I1133" s="9"/>
      <c r="J1133" s="9"/>
      <c r="K1133" s="9"/>
      <c r="L1133" s="11" t="s">
        <v>1887</v>
      </c>
      <c r="M1133" s="9" t="s">
        <v>1888</v>
      </c>
      <c r="N1133" s="9"/>
      <c r="O1133" s="9" t="s">
        <v>1889</v>
      </c>
      <c r="P1133" s="9" t="str">
        <f>HYPERLINK("https://ceds.ed.gov/cedselementdetails.aspx?termid=13050")</f>
        <v>https://ceds.ed.gov/cedselementdetails.aspx?termid=13050</v>
      </c>
      <c r="Q1133" s="9" t="str">
        <f>HYPERLINK("https://ceds.ed.gov/elementComment.aspx?elementName=Country Code &amp;elementID=13050", "Click here to submit comment")</f>
        <v>Click here to submit comment</v>
      </c>
    </row>
    <row r="1134" spans="1:17" ht="75" x14ac:dyDescent="0.25">
      <c r="A1134" s="9" t="s">
        <v>6811</v>
      </c>
      <c r="B1134" s="9" t="s">
        <v>6825</v>
      </c>
      <c r="C1134" s="9" t="s">
        <v>6745</v>
      </c>
      <c r="D1134" s="9" t="s">
        <v>6742</v>
      </c>
      <c r="E1134" s="9" t="s">
        <v>3606</v>
      </c>
      <c r="F1134" s="9" t="s">
        <v>3607</v>
      </c>
      <c r="G1134" s="9" t="s">
        <v>12</v>
      </c>
      <c r="H1134" s="9"/>
      <c r="I1134" s="9"/>
      <c r="J1134" s="9" t="s">
        <v>1165</v>
      </c>
      <c r="K1134" s="9"/>
      <c r="L1134" s="9"/>
      <c r="M1134" s="9" t="s">
        <v>3608</v>
      </c>
      <c r="N1134" s="9"/>
      <c r="O1134" s="9" t="s">
        <v>3606</v>
      </c>
      <c r="P1134" s="9" t="str">
        <f>HYPERLINK("https://ceds.ed.gov/cedselementdetails.aspx?termid=13599")</f>
        <v>https://ceds.ed.gov/cedselementdetails.aspx?termid=13599</v>
      </c>
      <c r="Q1134" s="9" t="str">
        <f>HYPERLINK("https://ceds.ed.gov/elementComment.aspx?elementName=Latitude &amp;elementID=13599", "Click here to submit comment")</f>
        <v>Click here to submit comment</v>
      </c>
    </row>
    <row r="1135" spans="1:17" ht="75" x14ac:dyDescent="0.25">
      <c r="A1135" s="9" t="s">
        <v>6811</v>
      </c>
      <c r="B1135" s="9" t="s">
        <v>6825</v>
      </c>
      <c r="C1135" s="9" t="s">
        <v>6745</v>
      </c>
      <c r="D1135" s="9" t="s">
        <v>6742</v>
      </c>
      <c r="E1135" s="9" t="s">
        <v>4139</v>
      </c>
      <c r="F1135" s="9" t="s">
        <v>4140</v>
      </c>
      <c r="G1135" s="9" t="s">
        <v>12</v>
      </c>
      <c r="H1135" s="9"/>
      <c r="I1135" s="9"/>
      <c r="J1135" s="9" t="s">
        <v>1165</v>
      </c>
      <c r="K1135" s="9"/>
      <c r="L1135" s="9"/>
      <c r="M1135" s="9" t="s">
        <v>4141</v>
      </c>
      <c r="N1135" s="9"/>
      <c r="O1135" s="9" t="s">
        <v>4139</v>
      </c>
      <c r="P1135" s="9" t="str">
        <f>HYPERLINK("https://ceds.ed.gov/cedselementdetails.aspx?termid=13600")</f>
        <v>https://ceds.ed.gov/cedselementdetails.aspx?termid=13600</v>
      </c>
      <c r="Q1135" s="9" t="str">
        <f>HYPERLINK("https://ceds.ed.gov/elementComment.aspx?elementName=Longitude &amp;elementID=13600", "Click here to submit comment")</f>
        <v>Click here to submit comment</v>
      </c>
    </row>
    <row r="1136" spans="1:17" ht="90" x14ac:dyDescent="0.25">
      <c r="A1136" s="9" t="s">
        <v>6811</v>
      </c>
      <c r="B1136" s="9" t="s">
        <v>6825</v>
      </c>
      <c r="C1136" s="9" t="s">
        <v>6747</v>
      </c>
      <c r="D1136" s="9" t="s">
        <v>6742</v>
      </c>
      <c r="E1136" s="9" t="s">
        <v>5849</v>
      </c>
      <c r="F1136" s="9" t="s">
        <v>5850</v>
      </c>
      <c r="G1136" s="9" t="s">
        <v>12</v>
      </c>
      <c r="H1136" s="9" t="s">
        <v>6109</v>
      </c>
      <c r="I1136" s="9"/>
      <c r="J1136" s="9" t="s">
        <v>5851</v>
      </c>
      <c r="K1136" s="9"/>
      <c r="L1136" s="9"/>
      <c r="M1136" s="9" t="s">
        <v>5852</v>
      </c>
      <c r="N1136" s="9"/>
      <c r="O1136" s="9" t="s">
        <v>5853</v>
      </c>
      <c r="P1136" s="9" t="str">
        <f>HYPERLINK("https://ceds.ed.gov/cedselementdetails.aspx?termid=13279")</f>
        <v>https://ceds.ed.gov/cedselementdetails.aspx?termid=13279</v>
      </c>
      <c r="Q1136" s="9" t="str">
        <f>HYPERLINK("https://ceds.ed.gov/elementComment.aspx?elementName=Telephone Number &amp;elementID=13279", "Click here to submit comment")</f>
        <v>Click here to submit comment</v>
      </c>
    </row>
    <row r="1137" spans="1:17" ht="90" x14ac:dyDescent="0.25">
      <c r="A1137" s="9" t="s">
        <v>6811</v>
      </c>
      <c r="B1137" s="9" t="s">
        <v>6825</v>
      </c>
      <c r="C1137" s="9" t="s">
        <v>6747</v>
      </c>
      <c r="D1137" s="9" t="s">
        <v>6742</v>
      </c>
      <c r="E1137" s="9" t="s">
        <v>5854</v>
      </c>
      <c r="F1137" s="9" t="s">
        <v>5855</v>
      </c>
      <c r="G1137" s="10" t="s">
        <v>6717</v>
      </c>
      <c r="H1137" s="9" t="s">
        <v>6109</v>
      </c>
      <c r="I1137" s="9"/>
      <c r="J1137" s="9" t="s">
        <v>1900</v>
      </c>
      <c r="K1137" s="9"/>
      <c r="L1137" s="9"/>
      <c r="M1137" s="9" t="s">
        <v>5856</v>
      </c>
      <c r="N1137" s="9"/>
      <c r="O1137" s="9" t="s">
        <v>5857</v>
      </c>
      <c r="P1137" s="9" t="str">
        <f>HYPERLINK("https://ceds.ed.gov/cedselementdetails.aspx?termid=13280")</f>
        <v>https://ceds.ed.gov/cedselementdetails.aspx?termid=13280</v>
      </c>
      <c r="Q1137" s="9" t="str">
        <f>HYPERLINK("https://ceds.ed.gov/elementComment.aspx?elementName=Telephone Number Type &amp;elementID=13280", "Click here to submit comment")</f>
        <v>Click here to submit comment</v>
      </c>
    </row>
    <row r="1138" spans="1:17" ht="90" x14ac:dyDescent="0.25">
      <c r="A1138" s="9" t="s">
        <v>6811</v>
      </c>
      <c r="B1138" s="9" t="s">
        <v>6825</v>
      </c>
      <c r="C1138" s="9" t="s">
        <v>6747</v>
      </c>
      <c r="D1138" s="9" t="s">
        <v>6742</v>
      </c>
      <c r="E1138" s="9" t="s">
        <v>4709</v>
      </c>
      <c r="F1138" s="9" t="s">
        <v>4710</v>
      </c>
      <c r="G1138" s="9" t="s">
        <v>6106</v>
      </c>
      <c r="H1138" s="9" t="s">
        <v>6109</v>
      </c>
      <c r="I1138" s="9"/>
      <c r="J1138" s="9"/>
      <c r="K1138" s="9"/>
      <c r="L1138" s="9"/>
      <c r="M1138" s="9" t="s">
        <v>4711</v>
      </c>
      <c r="N1138" s="9"/>
      <c r="O1138" s="9" t="s">
        <v>4712</v>
      </c>
      <c r="P1138" s="9" t="str">
        <f>HYPERLINK("https://ceds.ed.gov/cedselementdetails.aspx?termid=13219")</f>
        <v>https://ceds.ed.gov/cedselementdetails.aspx?termid=13219</v>
      </c>
      <c r="Q1138" s="9" t="str">
        <f>HYPERLINK("https://ceds.ed.gov/elementComment.aspx?elementName=Primary Telephone Number Indicator &amp;elementID=13219", "Click here to submit comment")</f>
        <v>Click here to submit comment</v>
      </c>
    </row>
    <row r="1139" spans="1:17" ht="90" x14ac:dyDescent="0.25">
      <c r="A1139" s="9" t="s">
        <v>6811</v>
      </c>
      <c r="B1139" s="9" t="s">
        <v>6825</v>
      </c>
      <c r="C1139" s="9" t="s">
        <v>6773</v>
      </c>
      <c r="D1139" s="9" t="s">
        <v>6742</v>
      </c>
      <c r="E1139" s="9" t="s">
        <v>2584</v>
      </c>
      <c r="F1139" s="9" t="s">
        <v>2585</v>
      </c>
      <c r="G1139" s="9" t="s">
        <v>12</v>
      </c>
      <c r="H1139" s="9" t="s">
        <v>6109</v>
      </c>
      <c r="I1139" s="9"/>
      <c r="J1139" s="9" t="s">
        <v>11127</v>
      </c>
      <c r="K1139" s="9"/>
      <c r="L1139" s="9"/>
      <c r="M1139" s="9" t="s">
        <v>2586</v>
      </c>
      <c r="N1139" s="9" t="s">
        <v>2587</v>
      </c>
      <c r="O1139" s="9" t="s">
        <v>2588</v>
      </c>
      <c r="P1139" s="9" t="str">
        <f>HYPERLINK("https://ceds.ed.gov/cedselementdetails.aspx?termid=13088")</f>
        <v>https://ceds.ed.gov/cedselementdetails.aspx?termid=13088</v>
      </c>
      <c r="Q1139" s="9" t="str">
        <f>HYPERLINK("https://ceds.ed.gov/elementComment.aspx?elementName=Electronic Mail Address &amp;elementID=13088", "Click here to submit comment")</f>
        <v>Click here to submit comment</v>
      </c>
    </row>
    <row r="1140" spans="1:17" ht="90" x14ac:dyDescent="0.25">
      <c r="A1140" s="9" t="s">
        <v>6811</v>
      </c>
      <c r="B1140" s="9" t="s">
        <v>6825</v>
      </c>
      <c r="C1140" s="9" t="s">
        <v>6773</v>
      </c>
      <c r="D1140" s="9" t="s">
        <v>6742</v>
      </c>
      <c r="E1140" s="9" t="s">
        <v>2589</v>
      </c>
      <c r="F1140" s="9" t="s">
        <v>2590</v>
      </c>
      <c r="G1140" s="10" t="s">
        <v>6484</v>
      </c>
      <c r="H1140" s="9" t="s">
        <v>6109</v>
      </c>
      <c r="I1140" s="9"/>
      <c r="J1140" s="9"/>
      <c r="K1140" s="9"/>
      <c r="L1140" s="9"/>
      <c r="M1140" s="9" t="s">
        <v>2591</v>
      </c>
      <c r="N1140" s="9" t="s">
        <v>2592</v>
      </c>
      <c r="O1140" s="9" t="s">
        <v>2593</v>
      </c>
      <c r="P1140" s="9" t="str">
        <f>HYPERLINK("https://ceds.ed.gov/cedselementdetails.aspx?termid=13089")</f>
        <v>https://ceds.ed.gov/cedselementdetails.aspx?termid=13089</v>
      </c>
      <c r="Q1140" s="9" t="str">
        <f>HYPERLINK("https://ceds.ed.gov/elementComment.aspx?elementName=Electronic Mail Address Type &amp;elementID=13089", "Click here to submit comment")</f>
        <v>Click here to submit comment</v>
      </c>
    </row>
    <row r="1141" spans="1:17" ht="240" x14ac:dyDescent="0.25">
      <c r="A1141" s="9" t="s">
        <v>6811</v>
      </c>
      <c r="B1141" s="9" t="s">
        <v>6825</v>
      </c>
      <c r="C1141" s="9" t="s">
        <v>6748</v>
      </c>
      <c r="D1141" s="9" t="s">
        <v>6742</v>
      </c>
      <c r="E1141" s="9" t="s">
        <v>1530</v>
      </c>
      <c r="F1141" s="9" t="s">
        <v>1531</v>
      </c>
      <c r="G1141" s="9" t="s">
        <v>12</v>
      </c>
      <c r="H1141" s="9" t="s">
        <v>6151</v>
      </c>
      <c r="I1141" s="9"/>
      <c r="J1141" s="9" t="s">
        <v>73</v>
      </c>
      <c r="K1141" s="9"/>
      <c r="L1141" s="9"/>
      <c r="M1141" s="9" t="s">
        <v>1532</v>
      </c>
      <c r="N1141" s="9"/>
      <c r="O1141" s="9" t="s">
        <v>1530</v>
      </c>
      <c r="P1141" s="9" t="str">
        <f>HYPERLINK("https://ceds.ed.gov/cedselementdetails.aspx?termid=13033")</f>
        <v>https://ceds.ed.gov/cedselementdetails.aspx?termid=13033</v>
      </c>
      <c r="Q1141" s="9" t="str">
        <f>HYPERLINK("https://ceds.ed.gov/elementComment.aspx?elementName=Birthdate &amp;elementID=13033", "Click here to submit comment")</f>
        <v>Click here to submit comment</v>
      </c>
    </row>
    <row r="1142" spans="1:17" ht="45" x14ac:dyDescent="0.25">
      <c r="A1142" s="9" t="s">
        <v>6811</v>
      </c>
      <c r="B1142" s="9" t="s">
        <v>6825</v>
      </c>
      <c r="C1142" s="9" t="s">
        <v>6748</v>
      </c>
      <c r="D1142" s="9" t="s">
        <v>6742</v>
      </c>
      <c r="E1142" s="9" t="s">
        <v>1533</v>
      </c>
      <c r="F1142" s="9" t="s">
        <v>1534</v>
      </c>
      <c r="G1142" s="9" t="s">
        <v>12</v>
      </c>
      <c r="H1142" s="9" t="s">
        <v>1537</v>
      </c>
      <c r="I1142" s="9"/>
      <c r="J1142" s="9" t="s">
        <v>92</v>
      </c>
      <c r="K1142" s="9"/>
      <c r="L1142" s="9"/>
      <c r="M1142" s="9" t="s">
        <v>1535</v>
      </c>
      <c r="N1142" s="9"/>
      <c r="O1142" s="9" t="s">
        <v>1536</v>
      </c>
      <c r="P1142" s="9" t="str">
        <f>HYPERLINK("https://ceds.ed.gov/cedselementdetails.aspx?termid=13418")</f>
        <v>https://ceds.ed.gov/cedselementdetails.aspx?termid=13418</v>
      </c>
      <c r="Q1142" s="9" t="str">
        <f>HYPERLINK("https://ceds.ed.gov/elementComment.aspx?elementName=Birthdate Verification &amp;elementID=13418", "Click here to submit comment")</f>
        <v>Click here to submit comment</v>
      </c>
    </row>
    <row r="1143" spans="1:17" ht="255" x14ac:dyDescent="0.25">
      <c r="A1143" s="9" t="s">
        <v>6811</v>
      </c>
      <c r="B1143" s="9" t="s">
        <v>6825</v>
      </c>
      <c r="C1143" s="9" t="s">
        <v>6748</v>
      </c>
      <c r="D1143" s="9" t="s">
        <v>6742</v>
      </c>
      <c r="E1143" s="9" t="s">
        <v>5468</v>
      </c>
      <c r="F1143" s="9" t="s">
        <v>5469</v>
      </c>
      <c r="G1143" s="10" t="s">
        <v>6694</v>
      </c>
      <c r="H1143" s="9" t="s">
        <v>6277</v>
      </c>
      <c r="I1143" s="9"/>
      <c r="J1143" s="9"/>
      <c r="K1143" s="9"/>
      <c r="L1143" s="9" t="s">
        <v>5470</v>
      </c>
      <c r="M1143" s="9" t="s">
        <v>5471</v>
      </c>
      <c r="N1143" s="9"/>
      <c r="O1143" s="9" t="s">
        <v>5468</v>
      </c>
      <c r="P1143" s="9" t="str">
        <f>HYPERLINK("https://ceds.ed.gov/cedselementdetails.aspx?termid=13255")</f>
        <v>https://ceds.ed.gov/cedselementdetails.aspx?termid=13255</v>
      </c>
      <c r="Q1143" s="9" t="str">
        <f>HYPERLINK("https://ceds.ed.gov/elementComment.aspx?elementName=Sex &amp;elementID=13255", "Click here to submit comment")</f>
        <v>Click here to submit comment</v>
      </c>
    </row>
    <row r="1144" spans="1:17" ht="165" customHeight="1" x14ac:dyDescent="0.25">
      <c r="A1144" s="18" t="s">
        <v>6811</v>
      </c>
      <c r="B1144" s="18" t="s">
        <v>6825</v>
      </c>
      <c r="C1144" s="18" t="s">
        <v>6748</v>
      </c>
      <c r="D1144" s="18" t="s">
        <v>6742</v>
      </c>
      <c r="E1144" s="18" t="s">
        <v>334</v>
      </c>
      <c r="F1144" s="18" t="s">
        <v>335</v>
      </c>
      <c r="G1144" s="19" t="s">
        <v>6342</v>
      </c>
      <c r="H1144" s="18" t="s">
        <v>6121</v>
      </c>
      <c r="I1144" s="18"/>
      <c r="J1144" s="18"/>
      <c r="K1144" s="18"/>
      <c r="L1144" s="9" t="s">
        <v>336</v>
      </c>
      <c r="M1144" s="18" t="s">
        <v>340</v>
      </c>
      <c r="N1144" s="18"/>
      <c r="O1144" s="18" t="s">
        <v>341</v>
      </c>
      <c r="P1144" s="18" t="str">
        <f>HYPERLINK("https://ceds.ed.gov/cedselementdetails.aspx?termid=13655")</f>
        <v>https://ceds.ed.gov/cedselementdetails.aspx?termid=13655</v>
      </c>
      <c r="Q1144" s="18" t="str">
        <f>HYPERLINK("https://ceds.ed.gov/elementComment.aspx?elementName=American Indian or Alaska Native &amp;elementID=13655", "Click here to submit comment")</f>
        <v>Click here to submit comment</v>
      </c>
    </row>
    <row r="1145" spans="1:17" x14ac:dyDescent="0.25">
      <c r="A1145" s="18"/>
      <c r="B1145" s="18"/>
      <c r="C1145" s="18"/>
      <c r="D1145" s="18"/>
      <c r="E1145" s="18"/>
      <c r="F1145" s="18"/>
      <c r="G1145" s="18"/>
      <c r="H1145" s="18"/>
      <c r="I1145" s="18"/>
      <c r="J1145" s="18"/>
      <c r="K1145" s="18"/>
      <c r="L1145" s="9"/>
      <c r="M1145" s="18"/>
      <c r="N1145" s="18"/>
      <c r="O1145" s="18"/>
      <c r="P1145" s="18"/>
      <c r="Q1145" s="18"/>
    </row>
    <row r="1146" spans="1:17" x14ac:dyDescent="0.25">
      <c r="A1146" s="18"/>
      <c r="B1146" s="18"/>
      <c r="C1146" s="18"/>
      <c r="D1146" s="18"/>
      <c r="E1146" s="18"/>
      <c r="F1146" s="18"/>
      <c r="G1146" s="18"/>
      <c r="H1146" s="18"/>
      <c r="I1146" s="18"/>
      <c r="J1146" s="18"/>
      <c r="K1146" s="18"/>
      <c r="L1146" s="9" t="s">
        <v>337</v>
      </c>
      <c r="M1146" s="18"/>
      <c r="N1146" s="18"/>
      <c r="O1146" s="18"/>
      <c r="P1146" s="18"/>
      <c r="Q1146" s="18"/>
    </row>
    <row r="1147" spans="1:17" ht="30" x14ac:dyDescent="0.25">
      <c r="A1147" s="18"/>
      <c r="B1147" s="18"/>
      <c r="C1147" s="18"/>
      <c r="D1147" s="18"/>
      <c r="E1147" s="18"/>
      <c r="F1147" s="18"/>
      <c r="G1147" s="18"/>
      <c r="H1147" s="18"/>
      <c r="I1147" s="18"/>
      <c r="J1147" s="18"/>
      <c r="K1147" s="18"/>
      <c r="L1147" s="9" t="s">
        <v>338</v>
      </c>
      <c r="M1147" s="18"/>
      <c r="N1147" s="18"/>
      <c r="O1147" s="18"/>
      <c r="P1147" s="18"/>
      <c r="Q1147" s="18"/>
    </row>
    <row r="1148" spans="1:17" x14ac:dyDescent="0.25">
      <c r="A1148" s="18"/>
      <c r="B1148" s="18"/>
      <c r="C1148" s="18"/>
      <c r="D1148" s="18"/>
      <c r="E1148" s="18"/>
      <c r="F1148" s="18"/>
      <c r="G1148" s="18"/>
      <c r="H1148" s="18"/>
      <c r="I1148" s="18"/>
      <c r="J1148" s="18"/>
      <c r="K1148" s="18"/>
      <c r="L1148" s="9" t="s">
        <v>339</v>
      </c>
      <c r="M1148" s="18"/>
      <c r="N1148" s="18"/>
      <c r="O1148" s="18"/>
      <c r="P1148" s="18"/>
      <c r="Q1148" s="18"/>
    </row>
    <row r="1149" spans="1:17" ht="165" customHeight="1" x14ac:dyDescent="0.25">
      <c r="A1149" s="18" t="s">
        <v>6811</v>
      </c>
      <c r="B1149" s="18" t="s">
        <v>6825</v>
      </c>
      <c r="C1149" s="18" t="s">
        <v>6748</v>
      </c>
      <c r="D1149" s="18" t="s">
        <v>6742</v>
      </c>
      <c r="E1149" s="18" t="s">
        <v>376</v>
      </c>
      <c r="F1149" s="18" t="s">
        <v>377</v>
      </c>
      <c r="G1149" s="19" t="s">
        <v>6342</v>
      </c>
      <c r="H1149" s="18" t="s">
        <v>6121</v>
      </c>
      <c r="I1149" s="18"/>
      <c r="J1149" s="18"/>
      <c r="K1149" s="18"/>
      <c r="L1149" s="9" t="s">
        <v>336</v>
      </c>
      <c r="M1149" s="18" t="s">
        <v>378</v>
      </c>
      <c r="N1149" s="18"/>
      <c r="O1149" s="18" t="s">
        <v>376</v>
      </c>
      <c r="P1149" s="18" t="str">
        <f>HYPERLINK("https://ceds.ed.gov/cedselementdetails.aspx?termid=13656")</f>
        <v>https://ceds.ed.gov/cedselementdetails.aspx?termid=13656</v>
      </c>
      <c r="Q1149" s="18" t="str">
        <f>HYPERLINK("https://ceds.ed.gov/elementComment.aspx?elementName=Asian &amp;elementID=13656", "Click here to submit comment")</f>
        <v>Click here to submit comment</v>
      </c>
    </row>
    <row r="1150" spans="1:17" x14ac:dyDescent="0.25">
      <c r="A1150" s="18"/>
      <c r="B1150" s="18"/>
      <c r="C1150" s="18"/>
      <c r="D1150" s="18"/>
      <c r="E1150" s="18"/>
      <c r="F1150" s="18"/>
      <c r="G1150" s="18"/>
      <c r="H1150" s="18"/>
      <c r="I1150" s="18"/>
      <c r="J1150" s="18"/>
      <c r="K1150" s="18"/>
      <c r="L1150" s="9"/>
      <c r="M1150" s="18"/>
      <c r="N1150" s="18"/>
      <c r="O1150" s="18"/>
      <c r="P1150" s="18"/>
      <c r="Q1150" s="18"/>
    </row>
    <row r="1151" spans="1:17" x14ac:dyDescent="0.25">
      <c r="A1151" s="18"/>
      <c r="B1151" s="18"/>
      <c r="C1151" s="18"/>
      <c r="D1151" s="18"/>
      <c r="E1151" s="18"/>
      <c r="F1151" s="18"/>
      <c r="G1151" s="18"/>
      <c r="H1151" s="18"/>
      <c r="I1151" s="18"/>
      <c r="J1151" s="18"/>
      <c r="K1151" s="18"/>
      <c r="L1151" s="9" t="s">
        <v>337</v>
      </c>
      <c r="M1151" s="18"/>
      <c r="N1151" s="18"/>
      <c r="O1151" s="18"/>
      <c r="P1151" s="18"/>
      <c r="Q1151" s="18"/>
    </row>
    <row r="1152" spans="1:17" ht="30" x14ac:dyDescent="0.25">
      <c r="A1152" s="18"/>
      <c r="B1152" s="18"/>
      <c r="C1152" s="18"/>
      <c r="D1152" s="18"/>
      <c r="E1152" s="18"/>
      <c r="F1152" s="18"/>
      <c r="G1152" s="18"/>
      <c r="H1152" s="18"/>
      <c r="I1152" s="18"/>
      <c r="J1152" s="18"/>
      <c r="K1152" s="18"/>
      <c r="L1152" s="9" t="s">
        <v>338</v>
      </c>
      <c r="M1152" s="18"/>
      <c r="N1152" s="18"/>
      <c r="O1152" s="18"/>
      <c r="P1152" s="18"/>
      <c r="Q1152" s="18"/>
    </row>
    <row r="1153" spans="1:17" x14ac:dyDescent="0.25">
      <c r="A1153" s="18"/>
      <c r="B1153" s="18"/>
      <c r="C1153" s="18"/>
      <c r="D1153" s="18"/>
      <c r="E1153" s="18"/>
      <c r="F1153" s="18"/>
      <c r="G1153" s="18"/>
      <c r="H1153" s="18"/>
      <c r="I1153" s="18"/>
      <c r="J1153" s="18"/>
      <c r="K1153" s="18"/>
      <c r="L1153" s="9" t="s">
        <v>339</v>
      </c>
      <c r="M1153" s="18"/>
      <c r="N1153" s="18"/>
      <c r="O1153" s="18"/>
      <c r="P1153" s="18"/>
      <c r="Q1153" s="18"/>
    </row>
    <row r="1154" spans="1:17" ht="165" customHeight="1" x14ac:dyDescent="0.25">
      <c r="A1154" s="18" t="s">
        <v>6811</v>
      </c>
      <c r="B1154" s="18" t="s">
        <v>6825</v>
      </c>
      <c r="C1154" s="18" t="s">
        <v>6748</v>
      </c>
      <c r="D1154" s="18" t="s">
        <v>6742</v>
      </c>
      <c r="E1154" s="18" t="s">
        <v>1538</v>
      </c>
      <c r="F1154" s="18" t="s">
        <v>1539</v>
      </c>
      <c r="G1154" s="19" t="s">
        <v>6342</v>
      </c>
      <c r="H1154" s="18" t="s">
        <v>6121</v>
      </c>
      <c r="I1154" s="18"/>
      <c r="J1154" s="18"/>
      <c r="K1154" s="18"/>
      <c r="L1154" s="9" t="s">
        <v>336</v>
      </c>
      <c r="M1154" s="18" t="s">
        <v>1540</v>
      </c>
      <c r="N1154" s="18"/>
      <c r="O1154" s="18" t="s">
        <v>1541</v>
      </c>
      <c r="P1154" s="18" t="str">
        <f>HYPERLINK("https://ceds.ed.gov/cedselementdetails.aspx?termid=13657")</f>
        <v>https://ceds.ed.gov/cedselementdetails.aspx?termid=13657</v>
      </c>
      <c r="Q1154" s="18" t="str">
        <f>HYPERLINK("https://ceds.ed.gov/elementComment.aspx?elementName=Black or African American &amp;elementID=13657", "Click here to submit comment")</f>
        <v>Click here to submit comment</v>
      </c>
    </row>
    <row r="1155" spans="1:17" x14ac:dyDescent="0.25">
      <c r="A1155" s="18"/>
      <c r="B1155" s="18"/>
      <c r="C1155" s="18"/>
      <c r="D1155" s="18"/>
      <c r="E1155" s="18"/>
      <c r="F1155" s="18"/>
      <c r="G1155" s="18"/>
      <c r="H1155" s="18"/>
      <c r="I1155" s="18"/>
      <c r="J1155" s="18"/>
      <c r="K1155" s="18"/>
      <c r="L1155" s="9"/>
      <c r="M1155" s="18"/>
      <c r="N1155" s="18"/>
      <c r="O1155" s="18"/>
      <c r="P1155" s="18"/>
      <c r="Q1155" s="18"/>
    </row>
    <row r="1156" spans="1:17" x14ac:dyDescent="0.25">
      <c r="A1156" s="18"/>
      <c r="B1156" s="18"/>
      <c r="C1156" s="18"/>
      <c r="D1156" s="18"/>
      <c r="E1156" s="18"/>
      <c r="F1156" s="18"/>
      <c r="G1156" s="18"/>
      <c r="H1156" s="18"/>
      <c r="I1156" s="18"/>
      <c r="J1156" s="18"/>
      <c r="K1156" s="18"/>
      <c r="L1156" s="9" t="s">
        <v>337</v>
      </c>
      <c r="M1156" s="18"/>
      <c r="N1156" s="18"/>
      <c r="O1156" s="18"/>
      <c r="P1156" s="18"/>
      <c r="Q1156" s="18"/>
    </row>
    <row r="1157" spans="1:17" ht="30" x14ac:dyDescent="0.25">
      <c r="A1157" s="18"/>
      <c r="B1157" s="18"/>
      <c r="C1157" s="18"/>
      <c r="D1157" s="18"/>
      <c r="E1157" s="18"/>
      <c r="F1157" s="18"/>
      <c r="G1157" s="18"/>
      <c r="H1157" s="18"/>
      <c r="I1157" s="18"/>
      <c r="J1157" s="18"/>
      <c r="K1157" s="18"/>
      <c r="L1157" s="9" t="s">
        <v>338</v>
      </c>
      <c r="M1157" s="18"/>
      <c r="N1157" s="18"/>
      <c r="O1157" s="18"/>
      <c r="P1157" s="18"/>
      <c r="Q1157" s="18"/>
    </row>
    <row r="1158" spans="1:17" x14ac:dyDescent="0.25">
      <c r="A1158" s="18"/>
      <c r="B1158" s="18"/>
      <c r="C1158" s="18"/>
      <c r="D1158" s="18"/>
      <c r="E1158" s="18"/>
      <c r="F1158" s="18"/>
      <c r="G1158" s="18"/>
      <c r="H1158" s="18"/>
      <c r="I1158" s="18"/>
      <c r="J1158" s="18"/>
      <c r="K1158" s="18"/>
      <c r="L1158" s="9" t="s">
        <v>339</v>
      </c>
      <c r="M1158" s="18"/>
      <c r="N1158" s="18"/>
      <c r="O1158" s="18"/>
      <c r="P1158" s="18"/>
      <c r="Q1158" s="18"/>
    </row>
    <row r="1159" spans="1:17" ht="165" customHeight="1" x14ac:dyDescent="0.25">
      <c r="A1159" s="18" t="s">
        <v>6811</v>
      </c>
      <c r="B1159" s="18" t="s">
        <v>6825</v>
      </c>
      <c r="C1159" s="18" t="s">
        <v>6748</v>
      </c>
      <c r="D1159" s="18" t="s">
        <v>6742</v>
      </c>
      <c r="E1159" s="18" t="s">
        <v>4314</v>
      </c>
      <c r="F1159" s="18" t="s">
        <v>4315</v>
      </c>
      <c r="G1159" s="19" t="s">
        <v>6342</v>
      </c>
      <c r="H1159" s="18" t="s">
        <v>6121</v>
      </c>
      <c r="I1159" s="18"/>
      <c r="J1159" s="18"/>
      <c r="K1159" s="18"/>
      <c r="L1159" s="9" t="s">
        <v>336</v>
      </c>
      <c r="M1159" s="18" t="s">
        <v>4316</v>
      </c>
      <c r="N1159" s="18"/>
      <c r="O1159" s="18" t="s">
        <v>4317</v>
      </c>
      <c r="P1159" s="18" t="str">
        <f>HYPERLINK("https://ceds.ed.gov/cedselementdetails.aspx?termid=13658")</f>
        <v>https://ceds.ed.gov/cedselementdetails.aspx?termid=13658</v>
      </c>
      <c r="Q1159" s="18" t="str">
        <f>HYPERLINK("https://ceds.ed.gov/elementComment.aspx?elementName=Native Hawaiian or Other Pacific Islander &amp;elementID=13658", "Click here to submit comment")</f>
        <v>Click here to submit comment</v>
      </c>
    </row>
    <row r="1160" spans="1:17" x14ac:dyDescent="0.25">
      <c r="A1160" s="18"/>
      <c r="B1160" s="18"/>
      <c r="C1160" s="18"/>
      <c r="D1160" s="18"/>
      <c r="E1160" s="18"/>
      <c r="F1160" s="18"/>
      <c r="G1160" s="18"/>
      <c r="H1160" s="18"/>
      <c r="I1160" s="18"/>
      <c r="J1160" s="18"/>
      <c r="K1160" s="18"/>
      <c r="L1160" s="9"/>
      <c r="M1160" s="18"/>
      <c r="N1160" s="18"/>
      <c r="O1160" s="18"/>
      <c r="P1160" s="18"/>
      <c r="Q1160" s="18"/>
    </row>
    <row r="1161" spans="1:17" x14ac:dyDescent="0.25">
      <c r="A1161" s="18"/>
      <c r="B1161" s="18"/>
      <c r="C1161" s="18"/>
      <c r="D1161" s="18"/>
      <c r="E1161" s="18"/>
      <c r="F1161" s="18"/>
      <c r="G1161" s="18"/>
      <c r="H1161" s="18"/>
      <c r="I1161" s="18"/>
      <c r="J1161" s="18"/>
      <c r="K1161" s="18"/>
      <c r="L1161" s="9" t="s">
        <v>337</v>
      </c>
      <c r="M1161" s="18"/>
      <c r="N1161" s="18"/>
      <c r="O1161" s="18"/>
      <c r="P1161" s="18"/>
      <c r="Q1161" s="18"/>
    </row>
    <row r="1162" spans="1:17" ht="30" x14ac:dyDescent="0.25">
      <c r="A1162" s="18"/>
      <c r="B1162" s="18"/>
      <c r="C1162" s="18"/>
      <c r="D1162" s="18"/>
      <c r="E1162" s="18"/>
      <c r="F1162" s="18"/>
      <c r="G1162" s="18"/>
      <c r="H1162" s="18"/>
      <c r="I1162" s="18"/>
      <c r="J1162" s="18"/>
      <c r="K1162" s="18"/>
      <c r="L1162" s="9" t="s">
        <v>338</v>
      </c>
      <c r="M1162" s="18"/>
      <c r="N1162" s="18"/>
      <c r="O1162" s="18"/>
      <c r="P1162" s="18"/>
      <c r="Q1162" s="18"/>
    </row>
    <row r="1163" spans="1:17" x14ac:dyDescent="0.25">
      <c r="A1163" s="18"/>
      <c r="B1163" s="18"/>
      <c r="C1163" s="18"/>
      <c r="D1163" s="18"/>
      <c r="E1163" s="18"/>
      <c r="F1163" s="18"/>
      <c r="G1163" s="18"/>
      <c r="H1163" s="18"/>
      <c r="I1163" s="18"/>
      <c r="J1163" s="18"/>
      <c r="K1163" s="18"/>
      <c r="L1163" s="9" t="s">
        <v>339</v>
      </c>
      <c r="M1163" s="18"/>
      <c r="N1163" s="18"/>
      <c r="O1163" s="18"/>
      <c r="P1163" s="18"/>
      <c r="Q1163" s="18"/>
    </row>
    <row r="1164" spans="1:17" ht="165" customHeight="1" x14ac:dyDescent="0.25">
      <c r="A1164" s="18" t="s">
        <v>6811</v>
      </c>
      <c r="B1164" s="18" t="s">
        <v>6825</v>
      </c>
      <c r="C1164" s="18" t="s">
        <v>6748</v>
      </c>
      <c r="D1164" s="18" t="s">
        <v>6742</v>
      </c>
      <c r="E1164" s="18" t="s">
        <v>6077</v>
      </c>
      <c r="F1164" s="18" t="s">
        <v>6078</v>
      </c>
      <c r="G1164" s="19" t="s">
        <v>6342</v>
      </c>
      <c r="H1164" s="18" t="s">
        <v>6121</v>
      </c>
      <c r="I1164" s="18"/>
      <c r="J1164" s="18"/>
      <c r="K1164" s="18"/>
      <c r="L1164" s="9" t="s">
        <v>336</v>
      </c>
      <c r="M1164" s="18" t="s">
        <v>6079</v>
      </c>
      <c r="N1164" s="18"/>
      <c r="O1164" s="18" t="s">
        <v>6077</v>
      </c>
      <c r="P1164" s="18" t="str">
        <f>HYPERLINK("https://ceds.ed.gov/cedselementdetails.aspx?termid=13659")</f>
        <v>https://ceds.ed.gov/cedselementdetails.aspx?termid=13659</v>
      </c>
      <c r="Q1164" s="18" t="str">
        <f>HYPERLINK("https://ceds.ed.gov/elementComment.aspx?elementName=White &amp;elementID=13659", "Click here to submit comment")</f>
        <v>Click here to submit comment</v>
      </c>
    </row>
    <row r="1165" spans="1:17" x14ac:dyDescent="0.25">
      <c r="A1165" s="18"/>
      <c r="B1165" s="18"/>
      <c r="C1165" s="18"/>
      <c r="D1165" s="18"/>
      <c r="E1165" s="18"/>
      <c r="F1165" s="18"/>
      <c r="G1165" s="18"/>
      <c r="H1165" s="18"/>
      <c r="I1165" s="18"/>
      <c r="J1165" s="18"/>
      <c r="K1165" s="18"/>
      <c r="L1165" s="9"/>
      <c r="M1165" s="18"/>
      <c r="N1165" s="18"/>
      <c r="O1165" s="18"/>
      <c r="P1165" s="18"/>
      <c r="Q1165" s="18"/>
    </row>
    <row r="1166" spans="1:17" x14ac:dyDescent="0.25">
      <c r="A1166" s="18"/>
      <c r="B1166" s="18"/>
      <c r="C1166" s="18"/>
      <c r="D1166" s="18"/>
      <c r="E1166" s="18"/>
      <c r="F1166" s="18"/>
      <c r="G1166" s="18"/>
      <c r="H1166" s="18"/>
      <c r="I1166" s="18"/>
      <c r="J1166" s="18"/>
      <c r="K1166" s="18"/>
      <c r="L1166" s="9" t="s">
        <v>337</v>
      </c>
      <c r="M1166" s="18"/>
      <c r="N1166" s="18"/>
      <c r="O1166" s="18"/>
      <c r="P1166" s="18"/>
      <c r="Q1166" s="18"/>
    </row>
    <row r="1167" spans="1:17" ht="30" x14ac:dyDescent="0.25">
      <c r="A1167" s="18"/>
      <c r="B1167" s="18"/>
      <c r="C1167" s="18"/>
      <c r="D1167" s="18"/>
      <c r="E1167" s="18"/>
      <c r="F1167" s="18"/>
      <c r="G1167" s="18"/>
      <c r="H1167" s="18"/>
      <c r="I1167" s="18"/>
      <c r="J1167" s="18"/>
      <c r="K1167" s="18"/>
      <c r="L1167" s="9" t="s">
        <v>338</v>
      </c>
      <c r="M1167" s="18"/>
      <c r="N1167" s="18"/>
      <c r="O1167" s="18"/>
      <c r="P1167" s="18"/>
      <c r="Q1167" s="18"/>
    </row>
    <row r="1168" spans="1:17" x14ac:dyDescent="0.25">
      <c r="A1168" s="18"/>
      <c r="B1168" s="18"/>
      <c r="C1168" s="18"/>
      <c r="D1168" s="18"/>
      <c r="E1168" s="18"/>
      <c r="F1168" s="18"/>
      <c r="G1168" s="18"/>
      <c r="H1168" s="18"/>
      <c r="I1168" s="18"/>
      <c r="J1168" s="18"/>
      <c r="K1168" s="18"/>
      <c r="L1168" s="9" t="s">
        <v>339</v>
      </c>
      <c r="M1168" s="18"/>
      <c r="N1168" s="18"/>
      <c r="O1168" s="18"/>
      <c r="P1168" s="18"/>
      <c r="Q1168" s="18"/>
    </row>
    <row r="1169" spans="1:17" ht="75" x14ac:dyDescent="0.25">
      <c r="A1169" s="9" t="s">
        <v>6811</v>
      </c>
      <c r="B1169" s="9" t="s">
        <v>6825</v>
      </c>
      <c r="C1169" s="9" t="s">
        <v>6748</v>
      </c>
      <c r="D1169" s="9" t="s">
        <v>6742</v>
      </c>
      <c r="E1169" s="9" t="s">
        <v>2215</v>
      </c>
      <c r="F1169" s="9" t="s">
        <v>2216</v>
      </c>
      <c r="G1169" s="9" t="s">
        <v>6106</v>
      </c>
      <c r="H1169" s="9"/>
      <c r="I1169" s="9"/>
      <c r="J1169" s="9"/>
      <c r="K1169" s="9"/>
      <c r="L1169" s="9" t="s">
        <v>2217</v>
      </c>
      <c r="M1169" s="9" t="s">
        <v>2218</v>
      </c>
      <c r="N1169" s="9"/>
      <c r="O1169" s="9" t="s">
        <v>2219</v>
      </c>
      <c r="P1169" s="9" t="str">
        <f>HYPERLINK("https://ceds.ed.gov/cedselementdetails.aspx?termid=13974")</f>
        <v>https://ceds.ed.gov/cedselementdetails.aspx?termid=13974</v>
      </c>
      <c r="Q1169" s="9" t="str">
        <f>HYPERLINK("https://ceds.ed.gov/elementComment.aspx?elementName=Demographic Race Two or More Races &amp;elementID=13974", "Click here to submit comment")</f>
        <v>Click here to submit comment</v>
      </c>
    </row>
    <row r="1170" spans="1:17" ht="165" customHeight="1" x14ac:dyDescent="0.25">
      <c r="A1170" s="18" t="s">
        <v>6811</v>
      </c>
      <c r="B1170" s="18" t="s">
        <v>6825</v>
      </c>
      <c r="C1170" s="18" t="s">
        <v>6748</v>
      </c>
      <c r="D1170" s="18" t="s">
        <v>6742</v>
      </c>
      <c r="E1170" s="18" t="s">
        <v>3145</v>
      </c>
      <c r="F1170" s="18" t="s">
        <v>3146</v>
      </c>
      <c r="G1170" s="19" t="s">
        <v>6342</v>
      </c>
      <c r="H1170" s="18" t="s">
        <v>6121</v>
      </c>
      <c r="I1170" s="18"/>
      <c r="J1170" s="18"/>
      <c r="K1170" s="18"/>
      <c r="L1170" s="9" t="s">
        <v>336</v>
      </c>
      <c r="M1170" s="18" t="s">
        <v>3147</v>
      </c>
      <c r="N1170" s="18"/>
      <c r="O1170" s="18" t="s">
        <v>3148</v>
      </c>
      <c r="P1170" s="18" t="str">
        <f>HYPERLINK("https://ceds.ed.gov/cedselementdetails.aspx?termid=13144")</f>
        <v>https://ceds.ed.gov/cedselementdetails.aspx?termid=13144</v>
      </c>
      <c r="Q1170" s="18" t="str">
        <f>HYPERLINK("https://ceds.ed.gov/elementComment.aspx?elementName=Hispanic or Latino Ethnicity &amp;elementID=13144", "Click here to submit comment")</f>
        <v>Click here to submit comment</v>
      </c>
    </row>
    <row r="1171" spans="1:17" x14ac:dyDescent="0.25">
      <c r="A1171" s="18"/>
      <c r="B1171" s="18"/>
      <c r="C1171" s="18"/>
      <c r="D1171" s="18"/>
      <c r="E1171" s="18"/>
      <c r="F1171" s="18"/>
      <c r="G1171" s="18"/>
      <c r="H1171" s="18"/>
      <c r="I1171" s="18"/>
      <c r="J1171" s="18"/>
      <c r="K1171" s="18"/>
      <c r="L1171" s="9"/>
      <c r="M1171" s="18"/>
      <c r="N1171" s="18"/>
      <c r="O1171" s="18"/>
      <c r="P1171" s="18"/>
      <c r="Q1171" s="18"/>
    </row>
    <row r="1172" spans="1:17" x14ac:dyDescent="0.25">
      <c r="A1172" s="18"/>
      <c r="B1172" s="18"/>
      <c r="C1172" s="18"/>
      <c r="D1172" s="18"/>
      <c r="E1172" s="18"/>
      <c r="F1172" s="18"/>
      <c r="G1172" s="18"/>
      <c r="H1172" s="18"/>
      <c r="I1172" s="18"/>
      <c r="J1172" s="18"/>
      <c r="K1172" s="18"/>
      <c r="L1172" s="9" t="s">
        <v>337</v>
      </c>
      <c r="M1172" s="18"/>
      <c r="N1172" s="18"/>
      <c r="O1172" s="18"/>
      <c r="P1172" s="18"/>
      <c r="Q1172" s="18"/>
    </row>
    <row r="1173" spans="1:17" ht="30" x14ac:dyDescent="0.25">
      <c r="A1173" s="18"/>
      <c r="B1173" s="18"/>
      <c r="C1173" s="18"/>
      <c r="D1173" s="18"/>
      <c r="E1173" s="18"/>
      <c r="F1173" s="18"/>
      <c r="G1173" s="18"/>
      <c r="H1173" s="18"/>
      <c r="I1173" s="18"/>
      <c r="J1173" s="18"/>
      <c r="K1173" s="18"/>
      <c r="L1173" s="9" t="s">
        <v>338</v>
      </c>
      <c r="M1173" s="18"/>
      <c r="N1173" s="18"/>
      <c r="O1173" s="18"/>
      <c r="P1173" s="18"/>
      <c r="Q1173" s="18"/>
    </row>
    <row r="1174" spans="1:17" x14ac:dyDescent="0.25">
      <c r="A1174" s="18"/>
      <c r="B1174" s="18"/>
      <c r="C1174" s="18"/>
      <c r="D1174" s="18"/>
      <c r="E1174" s="18"/>
      <c r="F1174" s="18"/>
      <c r="G1174" s="18"/>
      <c r="H1174" s="18"/>
      <c r="I1174" s="18"/>
      <c r="J1174" s="18"/>
      <c r="K1174" s="18"/>
      <c r="L1174" s="9" t="s">
        <v>339</v>
      </c>
      <c r="M1174" s="18"/>
      <c r="N1174" s="18"/>
      <c r="O1174" s="18"/>
      <c r="P1174" s="18"/>
      <c r="Q1174" s="18"/>
    </row>
    <row r="1175" spans="1:17" ht="409.5" x14ac:dyDescent="0.25">
      <c r="A1175" s="9" t="s">
        <v>6811</v>
      </c>
      <c r="B1175" s="9" t="s">
        <v>6825</v>
      </c>
      <c r="C1175" s="9" t="s">
        <v>6748</v>
      </c>
      <c r="D1175" s="9" t="s">
        <v>6742</v>
      </c>
      <c r="E1175" s="9" t="s">
        <v>1890</v>
      </c>
      <c r="F1175" s="9" t="s">
        <v>1891</v>
      </c>
      <c r="G1175" s="10" t="s">
        <v>6418</v>
      </c>
      <c r="H1175" s="9" t="s">
        <v>6175</v>
      </c>
      <c r="I1175" s="9"/>
      <c r="J1175" s="9"/>
      <c r="K1175" s="9"/>
      <c r="L1175" s="11" t="s">
        <v>1887</v>
      </c>
      <c r="M1175" s="9" t="s">
        <v>1892</v>
      </c>
      <c r="N1175" s="9"/>
      <c r="O1175" s="9" t="s">
        <v>1893</v>
      </c>
      <c r="P1175" s="9" t="str">
        <f>HYPERLINK("https://ceds.ed.gov/cedselementdetails.aspx?termid=13051")</f>
        <v>https://ceds.ed.gov/cedselementdetails.aspx?termid=13051</v>
      </c>
      <c r="Q1175" s="9" t="str">
        <f>HYPERLINK("https://ceds.ed.gov/elementComment.aspx?elementName=Country of Birth Code &amp;elementID=13051", "Click here to submit comment")</f>
        <v>Click here to submit comment</v>
      </c>
    </row>
    <row r="1176" spans="1:17" ht="409.5" x14ac:dyDescent="0.25">
      <c r="A1176" s="9" t="s">
        <v>6811</v>
      </c>
      <c r="B1176" s="9" t="s">
        <v>6825</v>
      </c>
      <c r="C1176" s="9" t="s">
        <v>6748</v>
      </c>
      <c r="D1176" s="9" t="s">
        <v>6742</v>
      </c>
      <c r="E1176" s="9" t="s">
        <v>5687</v>
      </c>
      <c r="F1176" s="9" t="s">
        <v>5688</v>
      </c>
      <c r="G1176" s="10" t="s">
        <v>6672</v>
      </c>
      <c r="H1176" s="9" t="s">
        <v>1537</v>
      </c>
      <c r="I1176" s="9"/>
      <c r="J1176" s="9"/>
      <c r="K1176" s="9"/>
      <c r="L1176" s="9"/>
      <c r="M1176" s="9" t="s">
        <v>5689</v>
      </c>
      <c r="N1176" s="9"/>
      <c r="O1176" s="9" t="s">
        <v>5690</v>
      </c>
      <c r="P1176" s="9" t="str">
        <f>HYPERLINK("https://ceds.ed.gov/cedselementdetails.aspx?termid=13417")</f>
        <v>https://ceds.ed.gov/cedselementdetails.aspx?termid=13417</v>
      </c>
      <c r="Q1176" s="9" t="str">
        <f>HYPERLINK("https://ceds.ed.gov/elementComment.aspx?elementName=State of Birth Abbreviation &amp;elementID=13417", "Click here to submit comment")</f>
        <v>Click here to submit comment</v>
      </c>
    </row>
    <row r="1177" spans="1:17" ht="45" x14ac:dyDescent="0.25">
      <c r="A1177" s="9" t="s">
        <v>6811</v>
      </c>
      <c r="B1177" s="9" t="s">
        <v>6825</v>
      </c>
      <c r="C1177" s="9" t="s">
        <v>6748</v>
      </c>
      <c r="D1177" s="9" t="s">
        <v>6742</v>
      </c>
      <c r="E1177" s="9" t="s">
        <v>1752</v>
      </c>
      <c r="F1177" s="9" t="s">
        <v>1753</v>
      </c>
      <c r="G1177" s="9" t="s">
        <v>12</v>
      </c>
      <c r="H1177" s="9" t="s">
        <v>1537</v>
      </c>
      <c r="I1177" s="9"/>
      <c r="J1177" s="9" t="s">
        <v>87</v>
      </c>
      <c r="K1177" s="9"/>
      <c r="L1177" s="9"/>
      <c r="M1177" s="9" t="s">
        <v>1755</v>
      </c>
      <c r="N1177" s="9"/>
      <c r="O1177" s="9" t="s">
        <v>1756</v>
      </c>
      <c r="P1177" s="9" t="str">
        <f>HYPERLINK("https://ceds.ed.gov/cedselementdetails.aspx?termid=13416")</f>
        <v>https://ceds.ed.gov/cedselementdetails.aspx?termid=13416</v>
      </c>
      <c r="Q1177" s="9" t="str">
        <f>HYPERLINK("https://ceds.ed.gov/elementComment.aspx?elementName=City of Birth &amp;elementID=13416", "Click here to submit comment")</f>
        <v>Click here to submit comment</v>
      </c>
    </row>
    <row r="1178" spans="1:17" ht="150" x14ac:dyDescent="0.25">
      <c r="A1178" s="9" t="s">
        <v>6811</v>
      </c>
      <c r="B1178" s="9" t="s">
        <v>6825</v>
      </c>
      <c r="C1178" s="9" t="s">
        <v>6748</v>
      </c>
      <c r="D1178" s="9" t="s">
        <v>6742</v>
      </c>
      <c r="E1178" s="9" t="s">
        <v>5006</v>
      </c>
      <c r="F1178" s="9" t="s">
        <v>5007</v>
      </c>
      <c r="G1178" s="10" t="s">
        <v>6670</v>
      </c>
      <c r="H1178" s="9"/>
      <c r="I1178" s="9"/>
      <c r="J1178" s="9"/>
      <c r="K1178" s="9"/>
      <c r="L1178" s="9"/>
      <c r="M1178" s="9" t="s">
        <v>5008</v>
      </c>
      <c r="N1178" s="9"/>
      <c r="O1178" s="9" t="s">
        <v>5009</v>
      </c>
      <c r="P1178" s="9" t="str">
        <f>HYPERLINK("https://ceds.ed.gov/cedselementdetails.aspx?termid=13523")</f>
        <v>https://ceds.ed.gov/cedselementdetails.aspx?termid=13523</v>
      </c>
      <c r="Q1178" s="9" t="str">
        <f>HYPERLINK("https://ceds.ed.gov/elementComment.aspx?elementName=Public School Residence Status &amp;elementID=13523", "Click here to submit comment")</f>
        <v>Click here to submit comment</v>
      </c>
    </row>
    <row r="1179" spans="1:17" ht="75" x14ac:dyDescent="0.25">
      <c r="A1179" s="9" t="s">
        <v>6811</v>
      </c>
      <c r="B1179" s="9" t="s">
        <v>6825</v>
      </c>
      <c r="C1179" s="9" t="s">
        <v>6748</v>
      </c>
      <c r="D1179" s="9" t="s">
        <v>6742</v>
      </c>
      <c r="E1179" s="9" t="s">
        <v>5972</v>
      </c>
      <c r="F1179" s="9" t="s">
        <v>5973</v>
      </c>
      <c r="G1179" s="9" t="s">
        <v>11766</v>
      </c>
      <c r="H1179" s="9"/>
      <c r="I1179" s="9"/>
      <c r="J1179" s="9"/>
      <c r="K1179" s="9"/>
      <c r="L1179" s="9"/>
      <c r="M1179" s="9" t="s">
        <v>5974</v>
      </c>
      <c r="N1179" s="9"/>
      <c r="O1179" s="9" t="s">
        <v>5975</v>
      </c>
      <c r="P1179" s="9" t="str">
        <f>HYPERLINK("https://ceds.ed.gov/cedselementdetails.aspx?termid=14638")</f>
        <v>https://ceds.ed.gov/cedselementdetails.aspx?termid=14638</v>
      </c>
      <c r="Q1179" s="9" t="str">
        <f>HYPERLINK("https://ceds.ed.gov/elementComment.aspx?elementName=Tribal Affiliation &amp;elementID=14638", "Click here to submit comment")</f>
        <v>Click here to submit comment</v>
      </c>
    </row>
    <row r="1180" spans="1:17" ht="105" x14ac:dyDescent="0.25">
      <c r="A1180" s="9" t="s">
        <v>6811</v>
      </c>
      <c r="B1180" s="9" t="s">
        <v>6825</v>
      </c>
      <c r="C1180" s="9" t="s">
        <v>6748</v>
      </c>
      <c r="D1180" s="9" t="s">
        <v>6742</v>
      </c>
      <c r="E1180" s="9" t="s">
        <v>4254</v>
      </c>
      <c r="F1180" s="9" t="s">
        <v>4255</v>
      </c>
      <c r="G1180" s="10" t="s">
        <v>6620</v>
      </c>
      <c r="H1180" s="9"/>
      <c r="I1180" s="9"/>
      <c r="J1180" s="9"/>
      <c r="K1180" s="9"/>
      <c r="L1180" s="9"/>
      <c r="M1180" s="9" t="s">
        <v>4256</v>
      </c>
      <c r="N1180" s="9"/>
      <c r="O1180" s="9" t="s">
        <v>4257</v>
      </c>
      <c r="P1180" s="9" t="str">
        <f>HYPERLINK("https://ceds.ed.gov/cedselementdetails.aspx?termid=14621")</f>
        <v>https://ceds.ed.gov/cedselementdetails.aspx?termid=14621</v>
      </c>
      <c r="Q1180" s="9" t="str">
        <f>HYPERLINK("https://ceds.ed.gov/elementComment.aspx?elementName=Military Branch &amp;elementID=14621", "Click here to submit comment")</f>
        <v>Click here to submit comment</v>
      </c>
    </row>
    <row r="1181" spans="1:17" ht="105" x14ac:dyDescent="0.25">
      <c r="A1181" s="9" t="s">
        <v>6811</v>
      </c>
      <c r="B1181" s="9" t="s">
        <v>6825</v>
      </c>
      <c r="C1181" s="9" t="s">
        <v>6748</v>
      </c>
      <c r="D1181" s="9" t="s">
        <v>6742</v>
      </c>
      <c r="E1181" s="9" t="s">
        <v>4258</v>
      </c>
      <c r="F1181" s="9" t="s">
        <v>4259</v>
      </c>
      <c r="G1181" s="10" t="s">
        <v>6621</v>
      </c>
      <c r="H1181" s="9"/>
      <c r="I1181" s="15" t="s">
        <v>91</v>
      </c>
      <c r="J1181" s="15"/>
      <c r="K1181" s="17" t="s">
        <v>12223</v>
      </c>
      <c r="L1181" s="9"/>
      <c r="M1181" s="9" t="s">
        <v>4260</v>
      </c>
      <c r="N1181" s="9"/>
      <c r="O1181" s="9" t="s">
        <v>4261</v>
      </c>
      <c r="P1181" s="9" t="str">
        <f>HYPERLINK("https://ceds.ed.gov/cedselementdetails.aspx?termid=14555")</f>
        <v>https://ceds.ed.gov/cedselementdetails.aspx?termid=14555</v>
      </c>
      <c r="Q1181" s="9" t="str">
        <f>HYPERLINK("https://ceds.ed.gov/elementComment.aspx?elementName=Military Connected Student Indicator &amp;elementID=14555", "Click here to submit comment")</f>
        <v>Click here to submit comment</v>
      </c>
    </row>
    <row r="1182" spans="1:17" ht="45" x14ac:dyDescent="0.25">
      <c r="A1182" s="9" t="s">
        <v>6811</v>
      </c>
      <c r="B1182" s="9" t="s">
        <v>6825</v>
      </c>
      <c r="C1182" s="9" t="s">
        <v>6749</v>
      </c>
      <c r="D1182" s="9" t="s">
        <v>6742</v>
      </c>
      <c r="E1182" s="9" t="s">
        <v>5101</v>
      </c>
      <c r="F1182" s="9" t="s">
        <v>5102</v>
      </c>
      <c r="G1182" s="9" t="s">
        <v>12</v>
      </c>
      <c r="H1182" s="9"/>
      <c r="I1182" s="9"/>
      <c r="J1182" s="9" t="s">
        <v>73</v>
      </c>
      <c r="K1182" s="9"/>
      <c r="L1182" s="9"/>
      <c r="M1182" s="9" t="s">
        <v>5104</v>
      </c>
      <c r="N1182" s="9"/>
      <c r="O1182" s="9" t="s">
        <v>5105</v>
      </c>
      <c r="P1182" s="9" t="str">
        <f>HYPERLINK("https://ceds.ed.gov/cedselementdetails.aspx?termid=14453")</f>
        <v>https://ceds.ed.gov/cedselementdetails.aspx?termid=14453</v>
      </c>
      <c r="Q1182" s="9" t="str">
        <f>HYPERLINK("https://ceds.ed.gov/elementComment.aspx?elementName=Referral Date &amp;elementID=14453", "Click here to submit comment")</f>
        <v>Click here to submit comment</v>
      </c>
    </row>
    <row r="1183" spans="1:17" ht="45" x14ac:dyDescent="0.25">
      <c r="A1183" s="9" t="s">
        <v>6811</v>
      </c>
      <c r="B1183" s="9" t="s">
        <v>6825</v>
      </c>
      <c r="C1183" s="9" t="s">
        <v>6749</v>
      </c>
      <c r="D1183" s="9" t="s">
        <v>6742</v>
      </c>
      <c r="E1183" s="9" t="s">
        <v>5114</v>
      </c>
      <c r="F1183" s="9" t="s">
        <v>5115</v>
      </c>
      <c r="G1183" s="9" t="s">
        <v>12</v>
      </c>
      <c r="H1183" s="9"/>
      <c r="I1183" s="9"/>
      <c r="J1183" s="9" t="s">
        <v>303</v>
      </c>
      <c r="K1183" s="9"/>
      <c r="L1183" s="9"/>
      <c r="M1183" s="9" t="s">
        <v>5116</v>
      </c>
      <c r="N1183" s="9"/>
      <c r="O1183" s="9" t="s">
        <v>5117</v>
      </c>
      <c r="P1183" s="9" t="str">
        <f>HYPERLINK("https://ceds.ed.gov/cedselementdetails.aspx?termid=14455")</f>
        <v>https://ceds.ed.gov/cedselementdetails.aspx?termid=14455</v>
      </c>
      <c r="Q1183" s="9" t="str">
        <f>HYPERLINK("https://ceds.ed.gov/elementComment.aspx?elementName=Referral Reason &amp;elementID=14455", "Click here to submit comment")</f>
        <v>Click here to submit comment</v>
      </c>
    </row>
    <row r="1184" spans="1:17" ht="45" x14ac:dyDescent="0.25">
      <c r="A1184" s="9" t="s">
        <v>6811</v>
      </c>
      <c r="B1184" s="9" t="s">
        <v>6825</v>
      </c>
      <c r="C1184" s="9" t="s">
        <v>6749</v>
      </c>
      <c r="D1184" s="9" t="s">
        <v>6742</v>
      </c>
      <c r="E1184" s="9" t="s">
        <v>5118</v>
      </c>
      <c r="F1184" s="9" t="s">
        <v>11698</v>
      </c>
      <c r="G1184" s="9" t="s">
        <v>12</v>
      </c>
      <c r="H1184" s="9"/>
      <c r="I1184" s="9"/>
      <c r="J1184" s="9" t="s">
        <v>92</v>
      </c>
      <c r="K1184" s="9"/>
      <c r="L1184" s="9"/>
      <c r="M1184" s="9" t="s">
        <v>5119</v>
      </c>
      <c r="N1184" s="9"/>
      <c r="O1184" s="9" t="s">
        <v>5120</v>
      </c>
      <c r="P1184" s="9" t="str">
        <f>HYPERLINK("https://ceds.ed.gov/cedselementdetails.aspx?termid=14456")</f>
        <v>https://ceds.ed.gov/cedselementdetails.aspx?termid=14456</v>
      </c>
      <c r="Q1184" s="9" t="str">
        <f>HYPERLINK("https://ceds.ed.gov/elementComment.aspx?elementName=Referral Source &amp;elementID=14456", "Click here to submit comment")</f>
        <v>Click here to submit comment</v>
      </c>
    </row>
    <row r="1185" spans="1:17" ht="60" x14ac:dyDescent="0.25">
      <c r="A1185" s="9" t="s">
        <v>6811</v>
      </c>
      <c r="B1185" s="9" t="s">
        <v>6825</v>
      </c>
      <c r="C1185" s="9" t="s">
        <v>6750</v>
      </c>
      <c r="D1185" s="9" t="s">
        <v>6742</v>
      </c>
      <c r="E1185" s="9" t="s">
        <v>4158</v>
      </c>
      <c r="F1185" s="9" t="s">
        <v>4159</v>
      </c>
      <c r="G1185" s="10" t="s">
        <v>6611</v>
      </c>
      <c r="H1185" s="9" t="s">
        <v>1537</v>
      </c>
      <c r="I1185" s="9"/>
      <c r="J1185" s="9"/>
      <c r="K1185" s="9"/>
      <c r="L1185" s="9"/>
      <c r="M1185" s="9" t="s">
        <v>4160</v>
      </c>
      <c r="N1185" s="9"/>
      <c r="O1185" s="9" t="s">
        <v>4161</v>
      </c>
      <c r="P1185" s="9" t="str">
        <f>HYPERLINK("https://ceds.ed.gov/cedselementdetails.aspx?termid=13429")</f>
        <v>https://ceds.ed.gov/cedselementdetails.aspx?termid=13429</v>
      </c>
      <c r="Q1185" s="9" t="str">
        <f>HYPERLINK("https://ceds.ed.gov/elementComment.aspx?elementName=Medical Alert Indicator &amp;elementID=13429", "Click here to submit comment")</f>
        <v>Click here to submit comment</v>
      </c>
    </row>
    <row r="1186" spans="1:17" ht="409.5" x14ac:dyDescent="0.25">
      <c r="A1186" s="9" t="s">
        <v>6811</v>
      </c>
      <c r="B1186" s="9" t="s">
        <v>6825</v>
      </c>
      <c r="C1186" s="9" t="s">
        <v>6750</v>
      </c>
      <c r="D1186" s="9" t="s">
        <v>6742</v>
      </c>
      <c r="E1186" s="9" t="s">
        <v>310</v>
      </c>
      <c r="F1186" s="9" t="s">
        <v>311</v>
      </c>
      <c r="G1186" s="10" t="s">
        <v>6339</v>
      </c>
      <c r="H1186" s="9"/>
      <c r="I1186" s="9"/>
      <c r="J1186" s="9"/>
      <c r="K1186" s="9"/>
      <c r="L1186" s="9" t="s">
        <v>10491</v>
      </c>
      <c r="M1186" s="9" t="s">
        <v>312</v>
      </c>
      <c r="N1186" s="9"/>
      <c r="O1186" s="9" t="s">
        <v>313</v>
      </c>
      <c r="P1186" s="9" t="str">
        <f>HYPERLINK("https://ceds.ed.gov/cedselementdetails.aspx?termid=14249")</f>
        <v>https://ceds.ed.gov/cedselementdetails.aspx?termid=14249</v>
      </c>
      <c r="Q1186" s="9" t="str">
        <f>HYPERLINK("https://ceds.ed.gov/elementComment.aspx?elementName=Allergy Type &amp;elementID=14249", "Click here to submit comment")</f>
        <v>Click here to submit comment</v>
      </c>
    </row>
    <row r="1187" spans="1:17" ht="45" x14ac:dyDescent="0.25">
      <c r="A1187" s="9" t="s">
        <v>6811</v>
      </c>
      <c r="B1187" s="9" t="s">
        <v>6825</v>
      </c>
      <c r="C1187" s="9" t="s">
        <v>6750</v>
      </c>
      <c r="D1187" s="9" t="s">
        <v>6742</v>
      </c>
      <c r="E1187" s="9" t="s">
        <v>301</v>
      </c>
      <c r="F1187" s="9" t="s">
        <v>302</v>
      </c>
      <c r="G1187" s="9" t="s">
        <v>12</v>
      </c>
      <c r="H1187" s="9"/>
      <c r="I1187" s="9"/>
      <c r="J1187" s="9" t="s">
        <v>303</v>
      </c>
      <c r="K1187" s="9"/>
      <c r="L1187" s="9"/>
      <c r="M1187" s="9" t="s">
        <v>304</v>
      </c>
      <c r="N1187" s="9"/>
      <c r="O1187" s="9" t="s">
        <v>305</v>
      </c>
      <c r="P1187" s="9" t="str">
        <f>HYPERLINK("https://ceds.ed.gov/cedselementdetails.aspx?termid=14247")</f>
        <v>https://ceds.ed.gov/cedselementdetails.aspx?termid=14247</v>
      </c>
      <c r="Q1187" s="9" t="str">
        <f>HYPERLINK("https://ceds.ed.gov/elementComment.aspx?elementName=Allergy Reaction Description &amp;elementID=14247", "Click here to submit comment")</f>
        <v>Click here to submit comment</v>
      </c>
    </row>
    <row r="1188" spans="1:17" ht="45" x14ac:dyDescent="0.25">
      <c r="A1188" s="9" t="s">
        <v>6811</v>
      </c>
      <c r="B1188" s="9" t="s">
        <v>6825</v>
      </c>
      <c r="C1188" s="9" t="s">
        <v>6750</v>
      </c>
      <c r="D1188" s="9" t="s">
        <v>6742</v>
      </c>
      <c r="E1188" s="9" t="s">
        <v>306</v>
      </c>
      <c r="F1188" s="9" t="s">
        <v>307</v>
      </c>
      <c r="G1188" s="10" t="s">
        <v>6338</v>
      </c>
      <c r="H1188" s="9"/>
      <c r="I1188" s="9"/>
      <c r="J1188" s="9"/>
      <c r="K1188" s="9"/>
      <c r="L1188" s="9"/>
      <c r="M1188" s="9" t="s">
        <v>308</v>
      </c>
      <c r="N1188" s="9"/>
      <c r="O1188" s="9" t="s">
        <v>309</v>
      </c>
      <c r="P1188" s="9" t="str">
        <f>HYPERLINK("https://ceds.ed.gov/cedselementdetails.aspx?termid=14248")</f>
        <v>https://ceds.ed.gov/cedselementdetails.aspx?termid=14248</v>
      </c>
      <c r="Q1188" s="9" t="str">
        <f>HYPERLINK("https://ceds.ed.gov/elementComment.aspx?elementName=Allergy Severity &amp;elementID=14248", "Click here to submit comment")</f>
        <v>Click here to submit comment</v>
      </c>
    </row>
    <row r="1189" spans="1:17" ht="45" x14ac:dyDescent="0.25">
      <c r="A1189" s="9" t="s">
        <v>6811</v>
      </c>
      <c r="B1189" s="9" t="s">
        <v>6825</v>
      </c>
      <c r="C1189" s="9" t="s">
        <v>6750</v>
      </c>
      <c r="D1189" s="9" t="s">
        <v>6742</v>
      </c>
      <c r="E1189" s="9" t="s">
        <v>3085</v>
      </c>
      <c r="F1189" s="9" t="s">
        <v>3086</v>
      </c>
      <c r="G1189" s="9" t="s">
        <v>12</v>
      </c>
      <c r="H1189" s="9"/>
      <c r="I1189" s="9"/>
      <c r="J1189" s="9" t="s">
        <v>68</v>
      </c>
      <c r="K1189" s="9"/>
      <c r="L1189" s="9"/>
      <c r="M1189" s="9" t="s">
        <v>3087</v>
      </c>
      <c r="N1189" s="9"/>
      <c r="O1189" s="9" t="s">
        <v>3088</v>
      </c>
      <c r="P1189" s="9" t="str">
        <f>HYPERLINK("https://ceds.ed.gov/cedselementdetails.aspx?termid=14325")</f>
        <v>https://ceds.ed.gov/cedselementdetails.aspx?termid=14325</v>
      </c>
      <c r="Q1189" s="9" t="str">
        <f>HYPERLINK("https://ceds.ed.gov/elementComment.aspx?elementName=Health Screening Equipment Used &amp;elementID=14325", "Click here to submit comment")</f>
        <v>Click here to submit comment</v>
      </c>
    </row>
    <row r="1190" spans="1:17" ht="45" x14ac:dyDescent="0.25">
      <c r="A1190" s="9" t="s">
        <v>6811</v>
      </c>
      <c r="B1190" s="9" t="s">
        <v>6825</v>
      </c>
      <c r="C1190" s="9" t="s">
        <v>6750</v>
      </c>
      <c r="D1190" s="9" t="s">
        <v>6742</v>
      </c>
      <c r="E1190" s="9" t="s">
        <v>3089</v>
      </c>
      <c r="F1190" s="9" t="s">
        <v>3090</v>
      </c>
      <c r="G1190" s="9" t="s">
        <v>12</v>
      </c>
      <c r="H1190" s="9"/>
      <c r="I1190" s="9"/>
      <c r="J1190" s="9" t="s">
        <v>303</v>
      </c>
      <c r="K1190" s="9"/>
      <c r="L1190" s="9"/>
      <c r="M1190" s="9" t="s">
        <v>3091</v>
      </c>
      <c r="N1190" s="9"/>
      <c r="O1190" s="9" t="s">
        <v>3092</v>
      </c>
      <c r="P1190" s="9" t="str">
        <f>HYPERLINK("https://ceds.ed.gov/cedselementdetails.aspx?termid=14326")</f>
        <v>https://ceds.ed.gov/cedselementdetails.aspx?termid=14326</v>
      </c>
      <c r="Q1190" s="9" t="str">
        <f>HYPERLINK("https://ceds.ed.gov/elementComment.aspx?elementName=Health Screening Follow-up Recommendation &amp;elementID=14326", "Click here to submit comment")</f>
        <v>Click here to submit comment</v>
      </c>
    </row>
    <row r="1191" spans="1:17" ht="45" x14ac:dyDescent="0.25">
      <c r="A1191" s="9" t="s">
        <v>6811</v>
      </c>
      <c r="B1191" s="9" t="s">
        <v>6825</v>
      </c>
      <c r="C1191" s="9" t="s">
        <v>6754</v>
      </c>
      <c r="D1191" s="9" t="s">
        <v>6742</v>
      </c>
      <c r="E1191" s="9" t="s">
        <v>2226</v>
      </c>
      <c r="F1191" s="9" t="s">
        <v>2227</v>
      </c>
      <c r="G1191" s="9" t="s">
        <v>12</v>
      </c>
      <c r="H1191" s="9"/>
      <c r="I1191" s="9"/>
      <c r="J1191" s="9" t="s">
        <v>73</v>
      </c>
      <c r="K1191" s="9"/>
      <c r="L1191" s="9"/>
      <c r="M1191" s="9" t="s">
        <v>2228</v>
      </c>
      <c r="N1191" s="9"/>
      <c r="O1191" s="9" t="s">
        <v>2229</v>
      </c>
      <c r="P1191" s="9" t="str">
        <f>HYPERLINK("https://ceds.ed.gov/cedselementdetails.aspx?termid=13682")</f>
        <v>https://ceds.ed.gov/cedselementdetails.aspx?termid=13682</v>
      </c>
      <c r="Q1191" s="9" t="str">
        <f>HYPERLINK("https://ceds.ed.gov/elementComment.aspx?elementName=Dental Screening Date &amp;elementID=13682", "Click here to submit comment")</f>
        <v>Click here to submit comment</v>
      </c>
    </row>
    <row r="1192" spans="1:17" ht="135" x14ac:dyDescent="0.25">
      <c r="A1192" s="9" t="s">
        <v>6811</v>
      </c>
      <c r="B1192" s="9" t="s">
        <v>6825</v>
      </c>
      <c r="C1192" s="9" t="s">
        <v>6754</v>
      </c>
      <c r="D1192" s="9" t="s">
        <v>6742</v>
      </c>
      <c r="E1192" s="9" t="s">
        <v>2230</v>
      </c>
      <c r="F1192" s="9" t="s">
        <v>2231</v>
      </c>
      <c r="G1192" s="10" t="s">
        <v>6442</v>
      </c>
      <c r="H1192" s="9" t="s">
        <v>1714</v>
      </c>
      <c r="I1192" s="9"/>
      <c r="J1192" s="9"/>
      <c r="K1192" s="9"/>
      <c r="L1192" s="9"/>
      <c r="M1192" s="9" t="s">
        <v>2232</v>
      </c>
      <c r="N1192" s="9"/>
      <c r="O1192" s="9" t="s">
        <v>2233</v>
      </c>
      <c r="P1192" s="9" t="str">
        <f>HYPERLINK("https://ceds.ed.gov/cedselementdetails.aspx?termid=13310")</f>
        <v>https://ceds.ed.gov/cedselementdetails.aspx?termid=13310</v>
      </c>
      <c r="Q1192" s="9" t="str">
        <f>HYPERLINK("https://ceds.ed.gov/elementComment.aspx?elementName=Dental Screening Status &amp;elementID=13310", "Click here to submit comment")</f>
        <v>Click here to submit comment</v>
      </c>
    </row>
    <row r="1193" spans="1:17" ht="45" x14ac:dyDescent="0.25">
      <c r="A1193" s="9" t="s">
        <v>6811</v>
      </c>
      <c r="B1193" s="9" t="s">
        <v>6825</v>
      </c>
      <c r="C1193" s="9" t="s">
        <v>6753</v>
      </c>
      <c r="D1193" s="9" t="s">
        <v>6742</v>
      </c>
      <c r="E1193" s="9" t="s">
        <v>3093</v>
      </c>
      <c r="F1193" s="9" t="s">
        <v>3094</v>
      </c>
      <c r="G1193" s="9" t="s">
        <v>12</v>
      </c>
      <c r="H1193" s="9"/>
      <c r="I1193" s="9"/>
      <c r="J1193" s="9" t="s">
        <v>73</v>
      </c>
      <c r="K1193" s="9"/>
      <c r="L1193" s="9"/>
      <c r="M1193" s="9" t="s">
        <v>3095</v>
      </c>
      <c r="N1193" s="9"/>
      <c r="O1193" s="9" t="s">
        <v>3096</v>
      </c>
      <c r="P1193" s="9" t="str">
        <f>HYPERLINK("https://ceds.ed.gov/cedselementdetails.aspx?termid=13681")</f>
        <v>https://ceds.ed.gov/cedselementdetails.aspx?termid=13681</v>
      </c>
      <c r="Q1193" s="9" t="str">
        <f>HYPERLINK("https://ceds.ed.gov/elementComment.aspx?elementName=Hearing Screening Date &amp;elementID=13681", "Click here to submit comment")</f>
        <v>Click here to submit comment</v>
      </c>
    </row>
    <row r="1194" spans="1:17" ht="60" x14ac:dyDescent="0.25">
      <c r="A1194" s="9" t="s">
        <v>6811</v>
      </c>
      <c r="B1194" s="9" t="s">
        <v>6825</v>
      </c>
      <c r="C1194" s="9" t="s">
        <v>6753</v>
      </c>
      <c r="D1194" s="9" t="s">
        <v>6742</v>
      </c>
      <c r="E1194" s="9" t="s">
        <v>3097</v>
      </c>
      <c r="F1194" s="9" t="s">
        <v>3098</v>
      </c>
      <c r="G1194" s="10" t="s">
        <v>6530</v>
      </c>
      <c r="H1194" s="9" t="s">
        <v>1714</v>
      </c>
      <c r="I1194" s="9"/>
      <c r="J1194" s="9"/>
      <c r="K1194" s="9"/>
      <c r="L1194" s="9"/>
      <c r="M1194" s="9" t="s">
        <v>3099</v>
      </c>
      <c r="N1194" s="9"/>
      <c r="O1194" s="9" t="s">
        <v>3100</v>
      </c>
      <c r="P1194" s="9" t="str">
        <f>HYPERLINK("https://ceds.ed.gov/cedselementdetails.aspx?termid=13309")</f>
        <v>https://ceds.ed.gov/cedselementdetails.aspx?termid=13309</v>
      </c>
      <c r="Q1194" s="9" t="str">
        <f>HYPERLINK("https://ceds.ed.gov/elementComment.aspx?elementName=Hearing Screening Status &amp;elementID=13309", "Click here to submit comment")</f>
        <v>Click here to submit comment</v>
      </c>
    </row>
    <row r="1195" spans="1:17" ht="75" x14ac:dyDescent="0.25">
      <c r="A1195" s="9" t="s">
        <v>6811</v>
      </c>
      <c r="B1195" s="9" t="s">
        <v>6825</v>
      </c>
      <c r="C1195" s="9" t="s">
        <v>6751</v>
      </c>
      <c r="D1195" s="9" t="s">
        <v>6742</v>
      </c>
      <c r="E1195" s="9" t="s">
        <v>3235</v>
      </c>
      <c r="F1195" s="9" t="s">
        <v>3236</v>
      </c>
      <c r="G1195" s="9" t="s">
        <v>12</v>
      </c>
      <c r="H1195" s="9" t="s">
        <v>6229</v>
      </c>
      <c r="I1195" s="9"/>
      <c r="J1195" s="9" t="s">
        <v>73</v>
      </c>
      <c r="K1195" s="9"/>
      <c r="L1195" s="9"/>
      <c r="M1195" s="9" t="s">
        <v>3237</v>
      </c>
      <c r="N1195" s="9"/>
      <c r="O1195" s="9" t="s">
        <v>3238</v>
      </c>
      <c r="P1195" s="9" t="str">
        <f>HYPERLINK("https://ceds.ed.gov/cedselementdetails.aspx?termid=13306")</f>
        <v>https://ceds.ed.gov/cedselementdetails.aspx?termid=13306</v>
      </c>
      <c r="Q1195" s="9" t="str">
        <f>HYPERLINK("https://ceds.ed.gov/elementComment.aspx?elementName=Immunization Date &amp;elementID=13306", "Click here to submit comment")</f>
        <v>Click here to submit comment</v>
      </c>
    </row>
    <row r="1196" spans="1:17" ht="345" x14ac:dyDescent="0.25">
      <c r="A1196" s="9" t="s">
        <v>6811</v>
      </c>
      <c r="B1196" s="9" t="s">
        <v>6825</v>
      </c>
      <c r="C1196" s="9" t="s">
        <v>6751</v>
      </c>
      <c r="D1196" s="9" t="s">
        <v>6742</v>
      </c>
      <c r="E1196" s="9" t="s">
        <v>3247</v>
      </c>
      <c r="F1196" s="9" t="s">
        <v>3248</v>
      </c>
      <c r="G1196" s="10" t="s">
        <v>6544</v>
      </c>
      <c r="H1196" s="9"/>
      <c r="I1196" s="9"/>
      <c r="J1196" s="9"/>
      <c r="K1196" s="9"/>
      <c r="L1196" s="9"/>
      <c r="M1196" s="9" t="s">
        <v>3249</v>
      </c>
      <c r="N1196" s="9"/>
      <c r="O1196" s="9" t="s">
        <v>3250</v>
      </c>
      <c r="P1196" s="9" t="str">
        <f>HYPERLINK("https://ceds.ed.gov/cedselementdetails.aspx?termid=14214")</f>
        <v>https://ceds.ed.gov/cedselementdetails.aspx?termid=14214</v>
      </c>
      <c r="Q1196" s="9" t="str">
        <f>HYPERLINK("https://ceds.ed.gov/elementComment.aspx?elementName=Immunization Type &amp;elementID=14214", "Click here to submit comment")</f>
        <v>Click here to submit comment</v>
      </c>
    </row>
    <row r="1197" spans="1:17" ht="210" x14ac:dyDescent="0.25">
      <c r="A1197" s="9" t="s">
        <v>6811</v>
      </c>
      <c r="B1197" s="9" t="s">
        <v>6825</v>
      </c>
      <c r="C1197" s="9" t="s">
        <v>6755</v>
      </c>
      <c r="D1197" s="9" t="s">
        <v>6742</v>
      </c>
      <c r="E1197" s="9" t="s">
        <v>3496</v>
      </c>
      <c r="F1197" s="9" t="s">
        <v>3497</v>
      </c>
      <c r="G1197" s="10" t="s">
        <v>6441</v>
      </c>
      <c r="H1197" s="9" t="s">
        <v>2225</v>
      </c>
      <c r="I1197" s="9"/>
      <c r="J1197" s="9"/>
      <c r="K1197" s="9"/>
      <c r="L1197" s="9" t="s">
        <v>2222</v>
      </c>
      <c r="M1197" s="9" t="s">
        <v>3498</v>
      </c>
      <c r="N1197" s="9"/>
      <c r="O1197" s="9" t="s">
        <v>3499</v>
      </c>
      <c r="P1197" s="9" t="str">
        <f>HYPERLINK("https://ceds.ed.gov/cedselementdetails.aspx?termid=13334")</f>
        <v>https://ceds.ed.gov/cedselementdetails.aspx?termid=13334</v>
      </c>
      <c r="Q1197" s="9" t="str">
        <f>HYPERLINK("https://ceds.ed.gov/elementComment.aspx?elementName=Insurance Coverage &amp;elementID=13334", "Click here to submit comment")</f>
        <v>Click here to submit comment</v>
      </c>
    </row>
    <row r="1198" spans="1:17" ht="210" x14ac:dyDescent="0.25">
      <c r="A1198" s="9" t="s">
        <v>6811</v>
      </c>
      <c r="B1198" s="9" t="s">
        <v>6825</v>
      </c>
      <c r="C1198" s="9" t="s">
        <v>6755</v>
      </c>
      <c r="D1198" s="9" t="s">
        <v>6742</v>
      </c>
      <c r="E1198" s="9" t="s">
        <v>2220</v>
      </c>
      <c r="F1198" s="9" t="s">
        <v>2221</v>
      </c>
      <c r="G1198" s="10" t="s">
        <v>6441</v>
      </c>
      <c r="H1198" s="9" t="s">
        <v>2225</v>
      </c>
      <c r="I1198" s="9"/>
      <c r="J1198" s="9"/>
      <c r="K1198" s="9"/>
      <c r="L1198" s="9" t="s">
        <v>2222</v>
      </c>
      <c r="M1198" s="9" t="s">
        <v>2223</v>
      </c>
      <c r="N1198" s="9"/>
      <c r="O1198" s="9" t="s">
        <v>2224</v>
      </c>
      <c r="P1198" s="9" t="str">
        <f>HYPERLINK("https://ceds.ed.gov/cedselementdetails.aspx?termid=13335")</f>
        <v>https://ceds.ed.gov/cedselementdetails.aspx?termid=13335</v>
      </c>
      <c r="Q1198" s="9" t="str">
        <f>HYPERLINK("https://ceds.ed.gov/elementComment.aspx?elementName=Dental Insurance Coverage Type &amp;elementID=13335", "Click here to submit comment")</f>
        <v>Click here to submit comment</v>
      </c>
    </row>
    <row r="1199" spans="1:17" ht="45" x14ac:dyDescent="0.25">
      <c r="A1199" s="9" t="s">
        <v>6811</v>
      </c>
      <c r="B1199" s="9" t="s">
        <v>6825</v>
      </c>
      <c r="C1199" s="9" t="s">
        <v>6752</v>
      </c>
      <c r="D1199" s="9" t="s">
        <v>6742</v>
      </c>
      <c r="E1199" s="9" t="s">
        <v>6032</v>
      </c>
      <c r="F1199" s="9" t="s">
        <v>6033</v>
      </c>
      <c r="G1199" s="9" t="s">
        <v>12</v>
      </c>
      <c r="H1199" s="9"/>
      <c r="I1199" s="9"/>
      <c r="J1199" s="9" t="s">
        <v>73</v>
      </c>
      <c r="K1199" s="9"/>
      <c r="L1199" s="9"/>
      <c r="M1199" s="9" t="s">
        <v>6034</v>
      </c>
      <c r="N1199" s="9"/>
      <c r="O1199" s="9" t="s">
        <v>6035</v>
      </c>
      <c r="P1199" s="9" t="str">
        <f>HYPERLINK("https://ceds.ed.gov/cedselementdetails.aspx?termid=13680")</f>
        <v>https://ceds.ed.gov/cedselementdetails.aspx?termid=13680</v>
      </c>
      <c r="Q1199" s="9" t="str">
        <f>HYPERLINK("https://ceds.ed.gov/elementComment.aspx?elementName=Vision Screening Date &amp;elementID=13680", "Click here to submit comment")</f>
        <v>Click here to submit comment</v>
      </c>
    </row>
    <row r="1200" spans="1:17" ht="60" x14ac:dyDescent="0.25">
      <c r="A1200" s="9" t="s">
        <v>6811</v>
      </c>
      <c r="B1200" s="9" t="s">
        <v>6825</v>
      </c>
      <c r="C1200" s="9" t="s">
        <v>6752</v>
      </c>
      <c r="D1200" s="9" t="s">
        <v>6742</v>
      </c>
      <c r="E1200" s="9" t="s">
        <v>6036</v>
      </c>
      <c r="F1200" s="9" t="s">
        <v>6037</v>
      </c>
      <c r="G1200" s="10" t="s">
        <v>6530</v>
      </c>
      <c r="H1200" s="9" t="s">
        <v>1714</v>
      </c>
      <c r="I1200" s="9"/>
      <c r="J1200" s="9"/>
      <c r="K1200" s="9"/>
      <c r="L1200" s="9"/>
      <c r="M1200" s="9" t="s">
        <v>6038</v>
      </c>
      <c r="N1200" s="9"/>
      <c r="O1200" s="9" t="s">
        <v>6039</v>
      </c>
      <c r="P1200" s="9" t="str">
        <f>HYPERLINK("https://ceds.ed.gov/cedselementdetails.aspx?termid=13308")</f>
        <v>https://ceds.ed.gov/cedselementdetails.aspx?termid=13308</v>
      </c>
      <c r="Q1200" s="9" t="str">
        <f>HYPERLINK("https://ceds.ed.gov/elementComment.aspx?elementName=Vision Screening Status &amp;elementID=13308", "Click here to submit comment")</f>
        <v>Click here to submit comment</v>
      </c>
    </row>
    <row r="1201" spans="1:17" ht="105" x14ac:dyDescent="0.25">
      <c r="A1201" s="18" t="s">
        <v>6811</v>
      </c>
      <c r="B1201" s="18" t="s">
        <v>6825</v>
      </c>
      <c r="C1201" s="18" t="s">
        <v>6761</v>
      </c>
      <c r="D1201" s="18" t="s">
        <v>6742</v>
      </c>
      <c r="E1201" s="18" t="s">
        <v>4106</v>
      </c>
      <c r="F1201" s="18" t="s">
        <v>4107</v>
      </c>
      <c r="G1201" s="18" t="s">
        <v>12</v>
      </c>
      <c r="H1201" s="18" t="s">
        <v>6241</v>
      </c>
      <c r="I1201" s="18"/>
      <c r="J1201" s="18" t="s">
        <v>119</v>
      </c>
      <c r="K1201" s="18"/>
      <c r="L1201" s="9" t="s">
        <v>120</v>
      </c>
      <c r="M1201" s="18" t="s">
        <v>4108</v>
      </c>
      <c r="N1201" s="18" t="s">
        <v>4109</v>
      </c>
      <c r="O1201" s="18" t="s">
        <v>4110</v>
      </c>
      <c r="P1201" s="18" t="str">
        <f>HYPERLINK("https://ceds.ed.gov/cedselementdetails.aspx?termid=13153")</f>
        <v>https://ceds.ed.gov/cedselementdetails.aspx?termid=13153</v>
      </c>
      <c r="Q1201" s="18" t="str">
        <f>HYPERLINK("https://ceds.ed.gov/elementComment.aspx?elementName=Local Education Agency Identifier &amp;elementID=13153", "Click here to submit comment")</f>
        <v>Click here to submit comment</v>
      </c>
    </row>
    <row r="1202" spans="1:17" x14ac:dyDescent="0.25">
      <c r="A1202" s="18"/>
      <c r="B1202" s="18"/>
      <c r="C1202" s="18"/>
      <c r="D1202" s="18"/>
      <c r="E1202" s="18"/>
      <c r="F1202" s="18"/>
      <c r="G1202" s="18"/>
      <c r="H1202" s="18"/>
      <c r="I1202" s="18"/>
      <c r="J1202" s="18"/>
      <c r="K1202" s="18"/>
      <c r="L1202" s="9"/>
      <c r="M1202" s="18"/>
      <c r="N1202" s="18"/>
      <c r="O1202" s="18"/>
      <c r="P1202" s="18"/>
      <c r="Q1202" s="18"/>
    </row>
    <row r="1203" spans="1:17" ht="90" x14ac:dyDescent="0.25">
      <c r="A1203" s="18"/>
      <c r="B1203" s="18"/>
      <c r="C1203" s="18"/>
      <c r="D1203" s="18"/>
      <c r="E1203" s="18"/>
      <c r="F1203" s="18"/>
      <c r="G1203" s="18"/>
      <c r="H1203" s="18"/>
      <c r="I1203" s="18"/>
      <c r="J1203" s="18"/>
      <c r="K1203" s="18"/>
      <c r="L1203" s="9" t="s">
        <v>121</v>
      </c>
      <c r="M1203" s="18"/>
      <c r="N1203" s="18"/>
      <c r="O1203" s="18"/>
      <c r="P1203" s="18"/>
      <c r="Q1203" s="18"/>
    </row>
    <row r="1204" spans="1:17" ht="240" x14ac:dyDescent="0.25">
      <c r="A1204" s="9" t="s">
        <v>6811</v>
      </c>
      <c r="B1204" s="9" t="s">
        <v>6825</v>
      </c>
      <c r="C1204" s="9" t="s">
        <v>6761</v>
      </c>
      <c r="D1204" s="9" t="s">
        <v>6742</v>
      </c>
      <c r="E1204" s="9" t="s">
        <v>4101</v>
      </c>
      <c r="F1204" s="9" t="s">
        <v>4102</v>
      </c>
      <c r="G1204" s="10" t="s">
        <v>6605</v>
      </c>
      <c r="H1204" s="9" t="s">
        <v>6241</v>
      </c>
      <c r="I1204" s="9"/>
      <c r="J1204" s="9"/>
      <c r="K1204" s="9"/>
      <c r="L1204" s="9"/>
      <c r="M1204" s="9" t="s">
        <v>4103</v>
      </c>
      <c r="N1204" s="9" t="s">
        <v>4104</v>
      </c>
      <c r="O1204" s="9" t="s">
        <v>4105</v>
      </c>
      <c r="P1204" s="9" t="str">
        <f>HYPERLINK("https://ceds.ed.gov/cedselementdetails.aspx?termid=13159")</f>
        <v>https://ceds.ed.gov/cedselementdetails.aspx?termid=13159</v>
      </c>
      <c r="Q1204" s="9" t="str">
        <f>HYPERLINK("https://ceds.ed.gov/elementComment.aspx?elementName=Local Education Agency Identification System &amp;elementID=13159", "Click here to submit comment")</f>
        <v>Click here to submit comment</v>
      </c>
    </row>
    <row r="1205" spans="1:17" ht="105" x14ac:dyDescent="0.25">
      <c r="A1205" s="18" t="s">
        <v>6811</v>
      </c>
      <c r="B1205" s="18" t="s">
        <v>6825</v>
      </c>
      <c r="C1205" s="18" t="s">
        <v>6761</v>
      </c>
      <c r="D1205" s="18" t="s">
        <v>6742</v>
      </c>
      <c r="E1205" s="18" t="s">
        <v>5340</v>
      </c>
      <c r="F1205" s="18" t="s">
        <v>256</v>
      </c>
      <c r="G1205" s="18" t="s">
        <v>12</v>
      </c>
      <c r="H1205" s="18" t="s">
        <v>6273</v>
      </c>
      <c r="I1205" s="18"/>
      <c r="J1205" s="18" t="s">
        <v>119</v>
      </c>
      <c r="K1205" s="18"/>
      <c r="L1205" s="9" t="s">
        <v>120</v>
      </c>
      <c r="M1205" s="18" t="s">
        <v>5341</v>
      </c>
      <c r="N1205" s="18"/>
      <c r="O1205" s="18" t="s">
        <v>5342</v>
      </c>
      <c r="P1205" s="18" t="str">
        <f>HYPERLINK("https://ceds.ed.gov/cedselementdetails.aspx?termid=13155")</f>
        <v>https://ceds.ed.gov/cedselementdetails.aspx?termid=13155</v>
      </c>
      <c r="Q1205" s="18" t="str">
        <f>HYPERLINK("https://ceds.ed.gov/elementComment.aspx?elementName=School Identifier &amp;elementID=13155", "Click here to submit comment")</f>
        <v>Click here to submit comment</v>
      </c>
    </row>
    <row r="1206" spans="1:17" x14ac:dyDescent="0.25">
      <c r="A1206" s="18"/>
      <c r="B1206" s="18"/>
      <c r="C1206" s="18"/>
      <c r="D1206" s="18"/>
      <c r="E1206" s="18"/>
      <c r="F1206" s="18"/>
      <c r="G1206" s="18"/>
      <c r="H1206" s="18"/>
      <c r="I1206" s="18"/>
      <c r="J1206" s="18"/>
      <c r="K1206" s="18"/>
      <c r="L1206" s="9"/>
      <c r="M1206" s="18"/>
      <c r="N1206" s="18"/>
      <c r="O1206" s="18"/>
      <c r="P1206" s="18"/>
      <c r="Q1206" s="18"/>
    </row>
    <row r="1207" spans="1:17" ht="90" x14ac:dyDescent="0.25">
      <c r="A1207" s="18"/>
      <c r="B1207" s="18"/>
      <c r="C1207" s="18"/>
      <c r="D1207" s="18"/>
      <c r="E1207" s="18"/>
      <c r="F1207" s="18"/>
      <c r="G1207" s="18"/>
      <c r="H1207" s="18"/>
      <c r="I1207" s="18"/>
      <c r="J1207" s="18"/>
      <c r="K1207" s="18"/>
      <c r="L1207" s="9" t="s">
        <v>121</v>
      </c>
      <c r="M1207" s="18"/>
      <c r="N1207" s="18"/>
      <c r="O1207" s="18"/>
      <c r="P1207" s="18"/>
      <c r="Q1207" s="18"/>
    </row>
    <row r="1208" spans="1:17" ht="270" x14ac:dyDescent="0.25">
      <c r="A1208" s="9" t="s">
        <v>6811</v>
      </c>
      <c r="B1208" s="9" t="s">
        <v>6825</v>
      </c>
      <c r="C1208" s="9" t="s">
        <v>6761</v>
      </c>
      <c r="D1208" s="9" t="s">
        <v>6742</v>
      </c>
      <c r="E1208" s="9" t="s">
        <v>5337</v>
      </c>
      <c r="F1208" s="9" t="s">
        <v>252</v>
      </c>
      <c r="G1208" s="10" t="s">
        <v>6685</v>
      </c>
      <c r="H1208" s="9" t="s">
        <v>6273</v>
      </c>
      <c r="I1208" s="9"/>
      <c r="J1208" s="9"/>
      <c r="K1208" s="9"/>
      <c r="L1208" s="9"/>
      <c r="M1208" s="9" t="s">
        <v>5338</v>
      </c>
      <c r="N1208" s="9"/>
      <c r="O1208" s="9" t="s">
        <v>5339</v>
      </c>
      <c r="P1208" s="9" t="str">
        <f>HYPERLINK("https://ceds.ed.gov/cedselementdetails.aspx?termid=13161")</f>
        <v>https://ceds.ed.gov/cedselementdetails.aspx?termid=13161</v>
      </c>
      <c r="Q1208" s="9" t="str">
        <f>HYPERLINK("https://ceds.ed.gov/elementComment.aspx?elementName=School Identification System &amp;elementID=13161", "Click here to submit comment")</f>
        <v>Click here to submit comment</v>
      </c>
    </row>
    <row r="1209" spans="1:17" ht="240" x14ac:dyDescent="0.25">
      <c r="A1209" s="9" t="s">
        <v>6811</v>
      </c>
      <c r="B1209" s="9" t="s">
        <v>6825</v>
      </c>
      <c r="C1209" s="9" t="s">
        <v>6761</v>
      </c>
      <c r="D1209" s="9" t="s">
        <v>6742</v>
      </c>
      <c r="E1209" s="9" t="s">
        <v>4444</v>
      </c>
      <c r="F1209" s="9" t="s">
        <v>4445</v>
      </c>
      <c r="G1209" s="10" t="s">
        <v>11903</v>
      </c>
      <c r="H1209" s="9" t="s">
        <v>64</v>
      </c>
      <c r="I1209" s="9"/>
      <c r="J1209" s="9"/>
      <c r="K1209" s="9"/>
      <c r="L1209" s="9"/>
      <c r="M1209" s="9" t="s">
        <v>4446</v>
      </c>
      <c r="N1209" s="9"/>
      <c r="O1209" s="9" t="s">
        <v>4447</v>
      </c>
      <c r="P1209" s="9" t="str">
        <f>HYPERLINK("https://ceds.ed.gov/cedselementdetails.aspx?termid=13827")</f>
        <v>https://ceds.ed.gov/cedselementdetails.aspx?termid=13827</v>
      </c>
      <c r="Q1209" s="9" t="str">
        <f>HYPERLINK("https://ceds.ed.gov/elementComment.aspx?elementName=Organization Identification System &amp;elementID=13827", "Click here to submit comment")</f>
        <v>Click here to submit comment</v>
      </c>
    </row>
    <row r="1210" spans="1:17" ht="105" x14ac:dyDescent="0.25">
      <c r="A1210" s="18" t="s">
        <v>6811</v>
      </c>
      <c r="B1210" s="18" t="s">
        <v>6825</v>
      </c>
      <c r="C1210" s="18" t="s">
        <v>6761</v>
      </c>
      <c r="D1210" s="18" t="s">
        <v>6742</v>
      </c>
      <c r="E1210" s="18" t="s">
        <v>5154</v>
      </c>
      <c r="F1210" s="18" t="s">
        <v>5155</v>
      </c>
      <c r="G1210" s="18" t="s">
        <v>12</v>
      </c>
      <c r="H1210" s="18" t="s">
        <v>199</v>
      </c>
      <c r="I1210" s="18"/>
      <c r="J1210" s="18" t="s">
        <v>119</v>
      </c>
      <c r="K1210" s="18"/>
      <c r="L1210" s="9" t="s">
        <v>120</v>
      </c>
      <c r="M1210" s="18" t="s">
        <v>5156</v>
      </c>
      <c r="N1210" s="18"/>
      <c r="O1210" s="18" t="s">
        <v>5157</v>
      </c>
      <c r="P1210" s="18" t="str">
        <f>HYPERLINK("https://ceds.ed.gov/cedselementdetails.aspx?termid=13639")</f>
        <v>https://ceds.ed.gov/cedselementdetails.aspx?termid=13639</v>
      </c>
      <c r="Q1210" s="18" t="str">
        <f>HYPERLINK("https://ceds.ed.gov/elementComment.aspx?elementName=Responsible District Identifier &amp;elementID=13639", "Click here to submit comment")</f>
        <v>Click here to submit comment</v>
      </c>
    </row>
    <row r="1211" spans="1:17" x14ac:dyDescent="0.25">
      <c r="A1211" s="18"/>
      <c r="B1211" s="18"/>
      <c r="C1211" s="18"/>
      <c r="D1211" s="18"/>
      <c r="E1211" s="18"/>
      <c r="F1211" s="18"/>
      <c r="G1211" s="18"/>
      <c r="H1211" s="18"/>
      <c r="I1211" s="18"/>
      <c r="J1211" s="18"/>
      <c r="K1211" s="18"/>
      <c r="L1211" s="9"/>
      <c r="M1211" s="18"/>
      <c r="N1211" s="18"/>
      <c r="O1211" s="18"/>
      <c r="P1211" s="18"/>
      <c r="Q1211" s="18"/>
    </row>
    <row r="1212" spans="1:17" ht="90" x14ac:dyDescent="0.25">
      <c r="A1212" s="18"/>
      <c r="B1212" s="18"/>
      <c r="C1212" s="18"/>
      <c r="D1212" s="18"/>
      <c r="E1212" s="18"/>
      <c r="F1212" s="18"/>
      <c r="G1212" s="18"/>
      <c r="H1212" s="18"/>
      <c r="I1212" s="18"/>
      <c r="J1212" s="18"/>
      <c r="K1212" s="18"/>
      <c r="L1212" s="9" t="s">
        <v>121</v>
      </c>
      <c r="M1212" s="18"/>
      <c r="N1212" s="18"/>
      <c r="O1212" s="18"/>
      <c r="P1212" s="18"/>
      <c r="Q1212" s="18"/>
    </row>
    <row r="1213" spans="1:17" ht="120" x14ac:dyDescent="0.25">
      <c r="A1213" s="9" t="s">
        <v>6811</v>
      </c>
      <c r="B1213" s="9" t="s">
        <v>6825</v>
      </c>
      <c r="C1213" s="9" t="s">
        <v>6761</v>
      </c>
      <c r="D1213" s="9" t="s">
        <v>6742</v>
      </c>
      <c r="E1213" s="9" t="s">
        <v>5158</v>
      </c>
      <c r="F1213" s="9" t="s">
        <v>5159</v>
      </c>
      <c r="G1213" s="10" t="s">
        <v>6681</v>
      </c>
      <c r="H1213" s="9" t="s">
        <v>199</v>
      </c>
      <c r="I1213" s="9"/>
      <c r="J1213" s="9"/>
      <c r="K1213" s="9"/>
      <c r="L1213" s="9"/>
      <c r="M1213" s="9" t="s">
        <v>5160</v>
      </c>
      <c r="N1213" s="9"/>
      <c r="O1213" s="9" t="s">
        <v>5161</v>
      </c>
      <c r="P1213" s="9" t="str">
        <f>HYPERLINK("https://ceds.ed.gov/cedselementdetails.aspx?termid=13587")</f>
        <v>https://ceds.ed.gov/cedselementdetails.aspx?termid=13587</v>
      </c>
      <c r="Q1213" s="9" t="str">
        <f>HYPERLINK("https://ceds.ed.gov/elementComment.aspx?elementName=Responsible District Type &amp;elementID=13587", "Click here to submit comment")</f>
        <v>Click here to submit comment</v>
      </c>
    </row>
    <row r="1214" spans="1:17" ht="105" x14ac:dyDescent="0.25">
      <c r="A1214" s="18" t="s">
        <v>6811</v>
      </c>
      <c r="B1214" s="18" t="s">
        <v>6825</v>
      </c>
      <c r="C1214" s="18" t="s">
        <v>6761</v>
      </c>
      <c r="D1214" s="18" t="s">
        <v>6742</v>
      </c>
      <c r="E1214" s="18" t="s">
        <v>5172</v>
      </c>
      <c r="F1214" s="18" t="s">
        <v>5173</v>
      </c>
      <c r="G1214" s="18" t="s">
        <v>12</v>
      </c>
      <c r="H1214" s="18" t="s">
        <v>199</v>
      </c>
      <c r="I1214" s="18"/>
      <c r="J1214" s="18" t="s">
        <v>119</v>
      </c>
      <c r="K1214" s="18"/>
      <c r="L1214" s="9" t="s">
        <v>120</v>
      </c>
      <c r="M1214" s="18" t="s">
        <v>5174</v>
      </c>
      <c r="N1214" s="18"/>
      <c r="O1214" s="18" t="s">
        <v>5175</v>
      </c>
      <c r="P1214" s="18" t="str">
        <f>HYPERLINK("https://ceds.ed.gov/cedselementdetails.aspx?termid=13640")</f>
        <v>https://ceds.ed.gov/cedselementdetails.aspx?termid=13640</v>
      </c>
      <c r="Q1214" s="18" t="str">
        <f>HYPERLINK("https://ceds.ed.gov/elementComment.aspx?elementName=Responsible School Identifier &amp;elementID=13640", "Click here to submit comment")</f>
        <v>Click here to submit comment</v>
      </c>
    </row>
    <row r="1215" spans="1:17" x14ac:dyDescent="0.25">
      <c r="A1215" s="18"/>
      <c r="B1215" s="18"/>
      <c r="C1215" s="18"/>
      <c r="D1215" s="18"/>
      <c r="E1215" s="18"/>
      <c r="F1215" s="18"/>
      <c r="G1215" s="18"/>
      <c r="H1215" s="18"/>
      <c r="I1215" s="18"/>
      <c r="J1215" s="18"/>
      <c r="K1215" s="18"/>
      <c r="L1215" s="9"/>
      <c r="M1215" s="18"/>
      <c r="N1215" s="18"/>
      <c r="O1215" s="18"/>
      <c r="P1215" s="18"/>
      <c r="Q1215" s="18"/>
    </row>
    <row r="1216" spans="1:17" ht="90" x14ac:dyDescent="0.25">
      <c r="A1216" s="18"/>
      <c r="B1216" s="18"/>
      <c r="C1216" s="18"/>
      <c r="D1216" s="18"/>
      <c r="E1216" s="18"/>
      <c r="F1216" s="18"/>
      <c r="G1216" s="18"/>
      <c r="H1216" s="18"/>
      <c r="I1216" s="18"/>
      <c r="J1216" s="18"/>
      <c r="K1216" s="18"/>
      <c r="L1216" s="9" t="s">
        <v>121</v>
      </c>
      <c r="M1216" s="18"/>
      <c r="N1216" s="18"/>
      <c r="O1216" s="18"/>
      <c r="P1216" s="18"/>
      <c r="Q1216" s="18"/>
    </row>
    <row r="1217" spans="1:17" ht="120" x14ac:dyDescent="0.25">
      <c r="A1217" s="9" t="s">
        <v>6811</v>
      </c>
      <c r="B1217" s="9" t="s">
        <v>6825</v>
      </c>
      <c r="C1217" s="9" t="s">
        <v>6761</v>
      </c>
      <c r="D1217" s="9" t="s">
        <v>6742</v>
      </c>
      <c r="E1217" s="9" t="s">
        <v>5176</v>
      </c>
      <c r="F1217" s="9" t="s">
        <v>5177</v>
      </c>
      <c r="G1217" s="10" t="s">
        <v>6681</v>
      </c>
      <c r="H1217" s="9" t="s">
        <v>199</v>
      </c>
      <c r="I1217" s="9"/>
      <c r="J1217" s="9"/>
      <c r="K1217" s="9"/>
      <c r="L1217" s="9"/>
      <c r="M1217" s="9" t="s">
        <v>5178</v>
      </c>
      <c r="N1217" s="9"/>
      <c r="O1217" s="9" t="s">
        <v>5179</v>
      </c>
      <c r="P1217" s="9" t="str">
        <f>HYPERLINK("https://ceds.ed.gov/cedselementdetails.aspx?termid=13588")</f>
        <v>https://ceds.ed.gov/cedselementdetails.aspx?termid=13588</v>
      </c>
      <c r="Q1217" s="9" t="str">
        <f>HYPERLINK("https://ceds.ed.gov/elementComment.aspx?elementName=Responsible School Type &amp;elementID=13588", "Click here to submit comment")</f>
        <v>Click here to submit comment</v>
      </c>
    </row>
    <row r="1218" spans="1:17" ht="60" x14ac:dyDescent="0.25">
      <c r="A1218" s="18" t="s">
        <v>6811</v>
      </c>
      <c r="B1218" s="18" t="s">
        <v>6825</v>
      </c>
      <c r="C1218" s="18" t="s">
        <v>6761</v>
      </c>
      <c r="D1218" s="18" t="s">
        <v>6742</v>
      </c>
      <c r="E1218" s="18" t="s">
        <v>5162</v>
      </c>
      <c r="F1218" s="18" t="s">
        <v>5163</v>
      </c>
      <c r="G1218" s="18" t="s">
        <v>12</v>
      </c>
      <c r="H1218" s="18"/>
      <c r="I1218" s="18"/>
      <c r="J1218" s="18" t="s">
        <v>119</v>
      </c>
      <c r="K1218" s="18"/>
      <c r="L1218" s="9" t="s">
        <v>5164</v>
      </c>
      <c r="M1218" s="18" t="s">
        <v>5165</v>
      </c>
      <c r="N1218" s="18"/>
      <c r="O1218" s="18" t="s">
        <v>5166</v>
      </c>
      <c r="P1218" s="18" t="str">
        <f>HYPERLINK("https://ceds.ed.gov/cedselementdetails.aspx?termid=14438")</f>
        <v>https://ceds.ed.gov/cedselementdetails.aspx?termid=14438</v>
      </c>
      <c r="Q1218" s="18" t="str">
        <f>HYPERLINK("https://ceds.ed.gov/elementComment.aspx?elementName=Responsible Organization Identifier &amp;elementID=14438", "Click here to submit comment")</f>
        <v>Click here to submit comment</v>
      </c>
    </row>
    <row r="1219" spans="1:17" x14ac:dyDescent="0.25">
      <c r="A1219" s="18"/>
      <c r="B1219" s="18"/>
      <c r="C1219" s="18"/>
      <c r="D1219" s="18"/>
      <c r="E1219" s="18"/>
      <c r="F1219" s="18"/>
      <c r="G1219" s="18"/>
      <c r="H1219" s="18"/>
      <c r="I1219" s="18"/>
      <c r="J1219" s="18"/>
      <c r="K1219" s="18"/>
      <c r="L1219" s="9"/>
      <c r="M1219" s="18"/>
      <c r="N1219" s="18"/>
      <c r="O1219" s="18"/>
      <c r="P1219" s="18"/>
      <c r="Q1219" s="18"/>
    </row>
    <row r="1220" spans="1:17" ht="105" x14ac:dyDescent="0.25">
      <c r="A1220" s="18"/>
      <c r="B1220" s="18"/>
      <c r="C1220" s="18"/>
      <c r="D1220" s="18"/>
      <c r="E1220" s="18"/>
      <c r="F1220" s="18"/>
      <c r="G1220" s="18"/>
      <c r="H1220" s="18"/>
      <c r="I1220" s="18"/>
      <c r="J1220" s="18"/>
      <c r="K1220" s="18"/>
      <c r="L1220" s="9" t="s">
        <v>120</v>
      </c>
      <c r="M1220" s="18"/>
      <c r="N1220" s="18"/>
      <c r="O1220" s="18"/>
      <c r="P1220" s="18"/>
      <c r="Q1220" s="18"/>
    </row>
    <row r="1221" spans="1:17" x14ac:dyDescent="0.25">
      <c r="A1221" s="18"/>
      <c r="B1221" s="18"/>
      <c r="C1221" s="18"/>
      <c r="D1221" s="18"/>
      <c r="E1221" s="18"/>
      <c r="F1221" s="18"/>
      <c r="G1221" s="18"/>
      <c r="H1221" s="18"/>
      <c r="I1221" s="18"/>
      <c r="J1221" s="18"/>
      <c r="K1221" s="18"/>
      <c r="L1221" s="9"/>
      <c r="M1221" s="18"/>
      <c r="N1221" s="18"/>
      <c r="O1221" s="18"/>
      <c r="P1221" s="18"/>
      <c r="Q1221" s="18"/>
    </row>
    <row r="1222" spans="1:17" ht="90" x14ac:dyDescent="0.25">
      <c r="A1222" s="18"/>
      <c r="B1222" s="18"/>
      <c r="C1222" s="18"/>
      <c r="D1222" s="18"/>
      <c r="E1222" s="18"/>
      <c r="F1222" s="18"/>
      <c r="G1222" s="18"/>
      <c r="H1222" s="18"/>
      <c r="I1222" s="18"/>
      <c r="J1222" s="18"/>
      <c r="K1222" s="18"/>
      <c r="L1222" s="9" t="s">
        <v>121</v>
      </c>
      <c r="M1222" s="18"/>
      <c r="N1222" s="18"/>
      <c r="O1222" s="18"/>
      <c r="P1222" s="18"/>
      <c r="Q1222" s="18"/>
    </row>
    <row r="1223" spans="1:17" ht="120" x14ac:dyDescent="0.25">
      <c r="A1223" s="9" t="s">
        <v>6811</v>
      </c>
      <c r="B1223" s="9" t="s">
        <v>6825</v>
      </c>
      <c r="C1223" s="9" t="s">
        <v>6761</v>
      </c>
      <c r="D1223" s="9" t="s">
        <v>6742</v>
      </c>
      <c r="E1223" s="9" t="s">
        <v>5168</v>
      </c>
      <c r="F1223" s="9" t="s">
        <v>5169</v>
      </c>
      <c r="G1223" s="10" t="s">
        <v>6681</v>
      </c>
      <c r="H1223" s="9"/>
      <c r="I1223" s="9"/>
      <c r="J1223" s="9"/>
      <c r="K1223" s="9"/>
      <c r="L1223" s="9" t="s">
        <v>5164</v>
      </c>
      <c r="M1223" s="9" t="s">
        <v>5170</v>
      </c>
      <c r="N1223" s="9"/>
      <c r="O1223" s="9" t="s">
        <v>5171</v>
      </c>
      <c r="P1223" s="9" t="str">
        <f>HYPERLINK("https://ceds.ed.gov/cedselementdetails.aspx?termid=14439")</f>
        <v>https://ceds.ed.gov/cedselementdetails.aspx?termid=14439</v>
      </c>
      <c r="Q1223" s="9" t="str">
        <f>HYPERLINK("https://ceds.ed.gov/elementComment.aspx?elementName=Responsible Organization Type &amp;elementID=14439", "Click here to submit comment")</f>
        <v>Click here to submit comment</v>
      </c>
    </row>
    <row r="1224" spans="1:17" ht="105" x14ac:dyDescent="0.25">
      <c r="A1224" s="9" t="s">
        <v>6811</v>
      </c>
      <c r="B1224" s="9" t="s">
        <v>6825</v>
      </c>
      <c r="C1224" s="9" t="s">
        <v>6761</v>
      </c>
      <c r="D1224" s="9" t="s">
        <v>6742</v>
      </c>
      <c r="E1224" s="9" t="s">
        <v>3581</v>
      </c>
      <c r="F1224" s="9" t="s">
        <v>3582</v>
      </c>
      <c r="G1224" s="10" t="s">
        <v>6572</v>
      </c>
      <c r="H1224" s="9"/>
      <c r="I1224" s="9"/>
      <c r="J1224" s="9"/>
      <c r="K1224" s="9"/>
      <c r="L1224" s="9"/>
      <c r="M1224" s="9" t="s">
        <v>3583</v>
      </c>
      <c r="N1224" s="9"/>
      <c r="O1224" s="9" t="s">
        <v>3584</v>
      </c>
      <c r="P1224" s="9" t="str">
        <f>HYPERLINK("https://ceds.ed.gov/cedselementdetails.aspx?termid=13690")</f>
        <v>https://ceds.ed.gov/cedselementdetails.aspx?termid=13690</v>
      </c>
      <c r="Q1224" s="9" t="str">
        <f>HYPERLINK("https://ceds.ed.gov/elementComment.aspx?elementName=Kindergarten Program Participation Type &amp;elementID=13690", "Click here to submit comment")</f>
        <v>Click here to submit comment</v>
      </c>
    </row>
    <row r="1225" spans="1:17" ht="90" x14ac:dyDescent="0.25">
      <c r="A1225" s="9" t="s">
        <v>6811</v>
      </c>
      <c r="B1225" s="9" t="s">
        <v>6825</v>
      </c>
      <c r="C1225" s="9" t="s">
        <v>6761</v>
      </c>
      <c r="D1225" s="9" t="s">
        <v>6742</v>
      </c>
      <c r="E1225" s="9" t="s">
        <v>3000</v>
      </c>
      <c r="F1225" s="9" t="s">
        <v>3001</v>
      </c>
      <c r="G1225" s="9" t="s">
        <v>6213</v>
      </c>
      <c r="H1225" s="9" t="s">
        <v>6109</v>
      </c>
      <c r="I1225" s="9"/>
      <c r="J1225" s="9"/>
      <c r="K1225" s="9"/>
      <c r="L1225" s="9"/>
      <c r="M1225" s="9" t="s">
        <v>3002</v>
      </c>
      <c r="N1225" s="9"/>
      <c r="O1225" s="9" t="s">
        <v>3003</v>
      </c>
      <c r="P1225" s="9" t="str">
        <f>HYPERLINK("https://ceds.ed.gov/cedselementdetails.aspx?termid=13122")</f>
        <v>https://ceds.ed.gov/cedselementdetails.aspx?termid=13122</v>
      </c>
      <c r="Q1225" s="9" t="str">
        <f>HYPERLINK("https://ceds.ed.gov/elementComment.aspx?elementName=Gifted and Talented Indicator &amp;elementID=13122", "Click here to submit comment")</f>
        <v>Click here to submit comment</v>
      </c>
    </row>
    <row r="1226" spans="1:17" ht="75" x14ac:dyDescent="0.25">
      <c r="A1226" s="9" t="s">
        <v>6811</v>
      </c>
      <c r="B1226" s="9" t="s">
        <v>6825</v>
      </c>
      <c r="C1226" s="9" t="s">
        <v>6761</v>
      </c>
      <c r="D1226" s="9" t="s">
        <v>6742</v>
      </c>
      <c r="E1226" s="9" t="s">
        <v>2695</v>
      </c>
      <c r="F1226" s="9" t="s">
        <v>2696</v>
      </c>
      <c r="G1226" s="10" t="s">
        <v>6493</v>
      </c>
      <c r="H1226" s="9" t="s">
        <v>199</v>
      </c>
      <c r="I1226" s="9"/>
      <c r="J1226" s="9"/>
      <c r="K1226" s="9"/>
      <c r="L1226" s="9"/>
      <c r="M1226" s="9" t="s">
        <v>2697</v>
      </c>
      <c r="N1226" s="9"/>
      <c r="O1226" s="9" t="s">
        <v>2698</v>
      </c>
      <c r="P1226" s="9" t="str">
        <f>HYPERLINK("https://ceds.ed.gov/cedselementdetails.aspx?termid=13094")</f>
        <v>https://ceds.ed.gov/cedselementdetails.aspx?termid=13094</v>
      </c>
      <c r="Q1226" s="9" t="str">
        <f>HYPERLINK("https://ceds.ed.gov/elementComment.aspx?elementName=Enrollment Status &amp;elementID=13094", "Click here to submit comment")</f>
        <v>Click here to submit comment</v>
      </c>
    </row>
    <row r="1227" spans="1:17" ht="195" x14ac:dyDescent="0.25">
      <c r="A1227" s="9" t="s">
        <v>6811</v>
      </c>
      <c r="B1227" s="9" t="s">
        <v>6825</v>
      </c>
      <c r="C1227" s="9" t="s">
        <v>6761</v>
      </c>
      <c r="D1227" s="9" t="s">
        <v>6742</v>
      </c>
      <c r="E1227" s="9" t="s">
        <v>2682</v>
      </c>
      <c r="F1227" s="9" t="s">
        <v>2683</v>
      </c>
      <c r="G1227" s="9" t="s">
        <v>12</v>
      </c>
      <c r="H1227" s="9" t="s">
        <v>6202</v>
      </c>
      <c r="I1227" s="9"/>
      <c r="J1227" s="9" t="s">
        <v>73</v>
      </c>
      <c r="K1227" s="9"/>
      <c r="L1227" s="9"/>
      <c r="M1227" s="9" t="s">
        <v>2684</v>
      </c>
      <c r="N1227" s="9"/>
      <c r="O1227" s="9" t="s">
        <v>2685</v>
      </c>
      <c r="P1227" s="9" t="str">
        <f>HYPERLINK("https://ceds.ed.gov/cedselementdetails.aspx?termid=13097")</f>
        <v>https://ceds.ed.gov/cedselementdetails.aspx?termid=13097</v>
      </c>
      <c r="Q1227" s="9" t="str">
        <f>HYPERLINK("https://ceds.ed.gov/elementComment.aspx?elementName=Enrollment Entry Date &amp;elementID=13097", "Click here to submit comment")</f>
        <v>Click here to submit comment</v>
      </c>
    </row>
    <row r="1228" spans="1:17" ht="330" x14ac:dyDescent="0.25">
      <c r="A1228" s="9" t="s">
        <v>6811</v>
      </c>
      <c r="B1228" s="9" t="s">
        <v>6825</v>
      </c>
      <c r="C1228" s="9" t="s">
        <v>6761</v>
      </c>
      <c r="D1228" s="9" t="s">
        <v>6742</v>
      </c>
      <c r="E1228" s="9" t="s">
        <v>2703</v>
      </c>
      <c r="F1228" s="9" t="s">
        <v>2704</v>
      </c>
      <c r="G1228" s="10" t="s">
        <v>6494</v>
      </c>
      <c r="H1228" s="9" t="s">
        <v>6155</v>
      </c>
      <c r="I1228" s="9"/>
      <c r="J1228" s="9"/>
      <c r="K1228" s="9"/>
      <c r="L1228" s="9"/>
      <c r="M1228" s="9" t="s">
        <v>2705</v>
      </c>
      <c r="N1228" s="9"/>
      <c r="O1228" s="9" t="s">
        <v>2706</v>
      </c>
      <c r="P1228" s="9" t="str">
        <f>HYPERLINK("https://ceds.ed.gov/cedselementdetails.aspx?termid=13100")</f>
        <v>https://ceds.ed.gov/cedselementdetails.aspx?termid=13100</v>
      </c>
      <c r="Q1228" s="9" t="str">
        <f>HYPERLINK("https://ceds.ed.gov/elementComment.aspx?elementName=Entry Grade Level &amp;elementID=13100", "Click here to submit comment")</f>
        <v>Click here to submit comment</v>
      </c>
    </row>
    <row r="1229" spans="1:17" ht="409.5" x14ac:dyDescent="0.25">
      <c r="A1229" s="9" t="s">
        <v>6811</v>
      </c>
      <c r="B1229" s="9" t="s">
        <v>6825</v>
      </c>
      <c r="C1229" s="9" t="s">
        <v>6761</v>
      </c>
      <c r="D1229" s="9" t="s">
        <v>6742</v>
      </c>
      <c r="E1229" s="9" t="s">
        <v>2707</v>
      </c>
      <c r="F1229" s="9" t="s">
        <v>2708</v>
      </c>
      <c r="G1229" s="10" t="s">
        <v>6495</v>
      </c>
      <c r="H1229" s="9" t="s">
        <v>6109</v>
      </c>
      <c r="I1229" s="9"/>
      <c r="J1229" s="9"/>
      <c r="K1229" s="9"/>
      <c r="L1229" s="9"/>
      <c r="M1229" s="9" t="s">
        <v>2709</v>
      </c>
      <c r="N1229" s="9"/>
      <c r="O1229" s="9" t="s">
        <v>2710</v>
      </c>
      <c r="P1229" s="9" t="str">
        <f>HYPERLINK("https://ceds.ed.gov/cedselementdetails.aspx?termid=13099")</f>
        <v>https://ceds.ed.gov/cedselementdetails.aspx?termid=13099</v>
      </c>
      <c r="Q1229" s="9" t="str">
        <f>HYPERLINK("https://ceds.ed.gov/elementComment.aspx?elementName=Entry Type &amp;elementID=13099", "Click here to submit comment")</f>
        <v>Click here to submit comment</v>
      </c>
    </row>
    <row r="1230" spans="1:17" ht="60" x14ac:dyDescent="0.25">
      <c r="A1230" s="9" t="s">
        <v>6811</v>
      </c>
      <c r="B1230" s="9" t="s">
        <v>6825</v>
      </c>
      <c r="C1230" s="9" t="s">
        <v>6761</v>
      </c>
      <c r="D1230" s="9" t="s">
        <v>6742</v>
      </c>
      <c r="E1230" s="9" t="s">
        <v>2686</v>
      </c>
      <c r="F1230" s="9" t="s">
        <v>2687</v>
      </c>
      <c r="G1230" s="9" t="s">
        <v>12</v>
      </c>
      <c r="H1230" s="9" t="s">
        <v>25</v>
      </c>
      <c r="I1230" s="9"/>
      <c r="J1230" s="9" t="s">
        <v>73</v>
      </c>
      <c r="K1230" s="9"/>
      <c r="L1230" s="9"/>
      <c r="M1230" s="9" t="s">
        <v>2688</v>
      </c>
      <c r="N1230" s="9"/>
      <c r="O1230" s="9" t="s">
        <v>2689</v>
      </c>
      <c r="P1230" s="9" t="str">
        <f>HYPERLINK("https://ceds.ed.gov/cedselementdetails.aspx?termid=13107")</f>
        <v>https://ceds.ed.gov/cedselementdetails.aspx?termid=13107</v>
      </c>
      <c r="Q1230" s="9" t="str">
        <f>HYPERLINK("https://ceds.ed.gov/elementComment.aspx?elementName=Enrollment Exit Date &amp;elementID=13107", "Click here to submit comment")</f>
        <v>Click here to submit comment</v>
      </c>
    </row>
    <row r="1231" spans="1:17" ht="330" x14ac:dyDescent="0.25">
      <c r="A1231" s="9" t="s">
        <v>6811</v>
      </c>
      <c r="B1231" s="9" t="s">
        <v>6825</v>
      </c>
      <c r="C1231" s="9" t="s">
        <v>6761</v>
      </c>
      <c r="D1231" s="9" t="s">
        <v>6742</v>
      </c>
      <c r="E1231" s="9" t="s">
        <v>2711</v>
      </c>
      <c r="F1231" s="9" t="s">
        <v>2712</v>
      </c>
      <c r="G1231" s="10" t="s">
        <v>6494</v>
      </c>
      <c r="H1231" s="9"/>
      <c r="I1231" s="9"/>
      <c r="J1231" s="9"/>
      <c r="K1231" s="9"/>
      <c r="L1231" s="9"/>
      <c r="M1231" s="9" t="s">
        <v>2713</v>
      </c>
      <c r="N1231" s="9"/>
      <c r="O1231" s="9" t="s">
        <v>2714</v>
      </c>
      <c r="P1231" s="9" t="str">
        <f>HYPERLINK("https://ceds.ed.gov/cedselementdetails.aspx?termid=14177")</f>
        <v>https://ceds.ed.gov/cedselementdetails.aspx?termid=14177</v>
      </c>
      <c r="Q1231" s="9" t="str">
        <f>HYPERLINK("https://ceds.ed.gov/elementComment.aspx?elementName=Exit Grade Level &amp;elementID=14177", "Click here to submit comment")</f>
        <v>Click here to submit comment</v>
      </c>
    </row>
    <row r="1232" spans="1:17" ht="409.5" x14ac:dyDescent="0.25">
      <c r="A1232" s="9" t="s">
        <v>6811</v>
      </c>
      <c r="B1232" s="9" t="s">
        <v>6825</v>
      </c>
      <c r="C1232" s="9" t="s">
        <v>6761</v>
      </c>
      <c r="D1232" s="9" t="s">
        <v>6742</v>
      </c>
      <c r="E1232" s="9" t="s">
        <v>2719</v>
      </c>
      <c r="F1232" s="9" t="s">
        <v>2720</v>
      </c>
      <c r="G1232" s="10" t="s">
        <v>6497</v>
      </c>
      <c r="H1232" s="9" t="s">
        <v>6207</v>
      </c>
      <c r="I1232" s="9"/>
      <c r="J1232" s="9"/>
      <c r="K1232" s="9"/>
      <c r="L1232" s="9"/>
      <c r="M1232" s="9" t="s">
        <v>2721</v>
      </c>
      <c r="N1232" s="9"/>
      <c r="O1232" s="9" t="s">
        <v>2722</v>
      </c>
      <c r="P1232" s="9" t="str">
        <f>HYPERLINK("https://ceds.ed.gov/cedselementdetails.aspx?termid=13110")</f>
        <v>https://ceds.ed.gov/cedselementdetails.aspx?termid=13110</v>
      </c>
      <c r="Q1232" s="9" t="str">
        <f>HYPERLINK("https://ceds.ed.gov/elementComment.aspx?elementName=Exit or Withdrawal Type &amp;elementID=13110", "Click here to submit comment")</f>
        <v>Click here to submit comment</v>
      </c>
    </row>
    <row r="1233" spans="1:17" ht="60" x14ac:dyDescent="0.25">
      <c r="A1233" s="9" t="s">
        <v>6811</v>
      </c>
      <c r="B1233" s="9" t="s">
        <v>6825</v>
      </c>
      <c r="C1233" s="9" t="s">
        <v>6761</v>
      </c>
      <c r="D1233" s="9" t="s">
        <v>6742</v>
      </c>
      <c r="E1233" s="9" t="s">
        <v>2715</v>
      </c>
      <c r="F1233" s="9" t="s">
        <v>2716</v>
      </c>
      <c r="G1233" s="10" t="s">
        <v>6496</v>
      </c>
      <c r="H1233" s="9" t="s">
        <v>2053</v>
      </c>
      <c r="I1233" s="9"/>
      <c r="J1233" s="9"/>
      <c r="K1233" s="9"/>
      <c r="L1233" s="9"/>
      <c r="M1233" s="9" t="s">
        <v>2717</v>
      </c>
      <c r="N1233" s="9"/>
      <c r="O1233" s="9" t="s">
        <v>2718</v>
      </c>
      <c r="P1233" s="9" t="str">
        <f>HYPERLINK("https://ceds.ed.gov/cedselementdetails.aspx?termid=13108")</f>
        <v>https://ceds.ed.gov/cedselementdetails.aspx?termid=13108</v>
      </c>
      <c r="Q1233" s="9" t="str">
        <f>HYPERLINK("https://ceds.ed.gov/elementComment.aspx?elementName=Exit or Withdrawal Status &amp;elementID=13108", "Click here to submit comment")</f>
        <v>Click here to submit comment</v>
      </c>
    </row>
    <row r="1234" spans="1:17" ht="60" x14ac:dyDescent="0.25">
      <c r="A1234" s="9" t="s">
        <v>6811</v>
      </c>
      <c r="B1234" s="9" t="s">
        <v>6825</v>
      </c>
      <c r="C1234" s="9" t="s">
        <v>6761</v>
      </c>
      <c r="D1234" s="9" t="s">
        <v>6742</v>
      </c>
      <c r="E1234" s="9" t="s">
        <v>1816</v>
      </c>
      <c r="F1234" s="9" t="s">
        <v>1817</v>
      </c>
      <c r="G1234" s="9" t="s">
        <v>12</v>
      </c>
      <c r="H1234" s="9" t="s">
        <v>6161</v>
      </c>
      <c r="I1234" s="9"/>
      <c r="J1234" s="9" t="s">
        <v>1813</v>
      </c>
      <c r="K1234" s="9"/>
      <c r="L1234" s="9"/>
      <c r="M1234" s="9" t="s">
        <v>1818</v>
      </c>
      <c r="N1234" s="9"/>
      <c r="O1234" s="9" t="s">
        <v>1819</v>
      </c>
      <c r="P1234" s="9" t="str">
        <f>HYPERLINK("https://ceds.ed.gov/cedselementdetails.aspx?termid=13046")</f>
        <v>https://ceds.ed.gov/cedselementdetails.aspx?termid=13046</v>
      </c>
      <c r="Q1234" s="9" t="str">
        <f>HYPERLINK("https://ceds.ed.gov/elementComment.aspx?elementName=Cohort Year &amp;elementID=13046", "Click here to submit comment")</f>
        <v>Click here to submit comment</v>
      </c>
    </row>
    <row r="1235" spans="1:17" ht="45" x14ac:dyDescent="0.25">
      <c r="A1235" s="9" t="s">
        <v>6811</v>
      </c>
      <c r="B1235" s="9" t="s">
        <v>6825</v>
      </c>
      <c r="C1235" s="9" t="s">
        <v>6761</v>
      </c>
      <c r="D1235" s="9" t="s">
        <v>6742</v>
      </c>
      <c r="E1235" s="9" t="s">
        <v>1811</v>
      </c>
      <c r="F1235" s="9" t="s">
        <v>1812</v>
      </c>
      <c r="G1235" s="9" t="s">
        <v>12</v>
      </c>
      <c r="H1235" s="9" t="s">
        <v>6169</v>
      </c>
      <c r="I1235" s="9"/>
      <c r="J1235" s="9" t="s">
        <v>1813</v>
      </c>
      <c r="K1235" s="9"/>
      <c r="L1235" s="9"/>
      <c r="M1235" s="9" t="s">
        <v>1814</v>
      </c>
      <c r="N1235" s="9"/>
      <c r="O1235" s="9" t="s">
        <v>1815</v>
      </c>
      <c r="P1235" s="9" t="str">
        <f>HYPERLINK("https://ceds.ed.gov/cedselementdetails.aspx?termid=13577")</f>
        <v>https://ceds.ed.gov/cedselementdetails.aspx?termid=13577</v>
      </c>
      <c r="Q1235" s="9" t="str">
        <f>HYPERLINK("https://ceds.ed.gov/elementComment.aspx?elementName=Cohort Graduation Year &amp;elementID=13577", "Click here to submit comment")</f>
        <v>Click here to submit comment</v>
      </c>
    </row>
    <row r="1236" spans="1:17" ht="60" x14ac:dyDescent="0.25">
      <c r="A1236" s="9" t="s">
        <v>6811</v>
      </c>
      <c r="B1236" s="9" t="s">
        <v>6825</v>
      </c>
      <c r="C1236" s="9" t="s">
        <v>6761</v>
      </c>
      <c r="D1236" s="9" t="s">
        <v>6742</v>
      </c>
      <c r="E1236" s="9" t="s">
        <v>2990</v>
      </c>
      <c r="F1236" s="9" t="s">
        <v>2991</v>
      </c>
      <c r="G1236" s="9" t="s">
        <v>6106</v>
      </c>
      <c r="H1236" s="9" t="s">
        <v>4</v>
      </c>
      <c r="I1236" s="9"/>
      <c r="J1236" s="9"/>
      <c r="K1236" s="9"/>
      <c r="L1236" s="9"/>
      <c r="M1236" s="9" t="s">
        <v>2992</v>
      </c>
      <c r="N1236" s="9"/>
      <c r="O1236" s="9" t="s">
        <v>2993</v>
      </c>
      <c r="P1236" s="9" t="str">
        <f>HYPERLINK("https://ceds.ed.gov/cedselementdetails.aspx?termid=13120")</f>
        <v>https://ceds.ed.gov/cedselementdetails.aspx?termid=13120</v>
      </c>
      <c r="Q1236" s="9" t="str">
        <f>HYPERLINK("https://ceds.ed.gov/elementComment.aspx?elementName=GED Preparation Program Participation Status &amp;elementID=13120", "Click here to submit comment")</f>
        <v>Click here to submit comment</v>
      </c>
    </row>
    <row r="1237" spans="1:17" ht="45" x14ac:dyDescent="0.25">
      <c r="A1237" s="9" t="s">
        <v>6811</v>
      </c>
      <c r="B1237" s="9" t="s">
        <v>6825</v>
      </c>
      <c r="C1237" s="9" t="s">
        <v>6761</v>
      </c>
      <c r="D1237" s="9" t="s">
        <v>6742</v>
      </c>
      <c r="E1237" s="9" t="s">
        <v>2333</v>
      </c>
      <c r="F1237" s="9" t="s">
        <v>2334</v>
      </c>
      <c r="G1237" s="9" t="s">
        <v>6106</v>
      </c>
      <c r="H1237" s="9"/>
      <c r="I1237" s="9"/>
      <c r="J1237" s="9"/>
      <c r="K1237" s="9"/>
      <c r="L1237" s="9"/>
      <c r="M1237" s="9" t="s">
        <v>2336</v>
      </c>
      <c r="N1237" s="9"/>
      <c r="O1237" s="9" t="s">
        <v>2337</v>
      </c>
      <c r="P1237" s="9" t="str">
        <f>HYPERLINK("https://ceds.ed.gov/cedselementdetails.aspx?termid=13603")</f>
        <v>https://ceds.ed.gov/cedselementdetails.aspx?termid=13603</v>
      </c>
      <c r="Q1237" s="9" t="str">
        <f>HYPERLINK("https://ceds.ed.gov/elementComment.aspx?elementName=Displaced Student Status &amp;elementID=13603", "Click here to submit comment")</f>
        <v>Click here to submit comment</v>
      </c>
    </row>
    <row r="1238" spans="1:17" ht="135" x14ac:dyDescent="0.25">
      <c r="A1238" s="9" t="s">
        <v>6811</v>
      </c>
      <c r="B1238" s="9" t="s">
        <v>6825</v>
      </c>
      <c r="C1238" s="9" t="s">
        <v>6761</v>
      </c>
      <c r="D1238" s="9" t="s">
        <v>6742</v>
      </c>
      <c r="E1238" s="9" t="s">
        <v>5981</v>
      </c>
      <c r="F1238" s="9" t="s">
        <v>5982</v>
      </c>
      <c r="G1238" s="9" t="s">
        <v>6106</v>
      </c>
      <c r="H1238" s="9" t="s">
        <v>199</v>
      </c>
      <c r="I1238" s="9"/>
      <c r="J1238" s="9"/>
      <c r="K1238" s="9" t="s">
        <v>11767</v>
      </c>
      <c r="L1238" s="11" t="s">
        <v>11768</v>
      </c>
      <c r="M1238" s="9" t="s">
        <v>5983</v>
      </c>
      <c r="N1238" s="9"/>
      <c r="O1238" s="9" t="s">
        <v>5984</v>
      </c>
      <c r="P1238" s="9" t="str">
        <f>HYPERLINK("https://ceds.ed.gov/cedselementdetails.aspx?termid=13561")</f>
        <v>https://ceds.ed.gov/cedselementdetails.aspx?termid=13561</v>
      </c>
      <c r="Q1238" s="9" t="str">
        <f>HYPERLINK("https://ceds.ed.gov/elementComment.aspx?elementName=Truant Status &amp;elementID=13561", "Click here to submit comment")</f>
        <v>Click here to submit comment</v>
      </c>
    </row>
    <row r="1239" spans="1:17" ht="75" x14ac:dyDescent="0.25">
      <c r="A1239" s="9" t="s">
        <v>6811</v>
      </c>
      <c r="B1239" s="9" t="s">
        <v>6825</v>
      </c>
      <c r="C1239" s="9" t="s">
        <v>6761</v>
      </c>
      <c r="D1239" s="9" t="s">
        <v>6742</v>
      </c>
      <c r="E1239" s="9" t="s">
        <v>2273</v>
      </c>
      <c r="F1239" s="9" t="s">
        <v>2274</v>
      </c>
      <c r="G1239" s="10" t="s">
        <v>6447</v>
      </c>
      <c r="H1239" s="9" t="s">
        <v>6188</v>
      </c>
      <c r="I1239" s="9"/>
      <c r="J1239" s="9"/>
      <c r="K1239" s="9"/>
      <c r="L1239" s="9"/>
      <c r="M1239" s="9" t="s">
        <v>2275</v>
      </c>
      <c r="N1239" s="9"/>
      <c r="O1239" s="9" t="s">
        <v>2276</v>
      </c>
      <c r="P1239" s="9" t="str">
        <f>HYPERLINK("https://ceds.ed.gov/cedselementdetails.aspx?termid=14569")</f>
        <v>https://ceds.ed.gov/cedselementdetails.aspx?termid=14569</v>
      </c>
      <c r="Q1239" s="9" t="str">
        <f>HYPERLINK("https://ceds.ed.gov/elementComment.aspx?elementName=Directory Information Block Status &amp;elementID=14569", "Click here to submit comment")</f>
        <v>Click here to submit comment</v>
      </c>
    </row>
    <row r="1240" spans="1:17" ht="409.5" x14ac:dyDescent="0.25">
      <c r="A1240" s="9" t="s">
        <v>6811</v>
      </c>
      <c r="B1240" s="9" t="s">
        <v>6825</v>
      </c>
      <c r="C1240" s="9" t="s">
        <v>6761</v>
      </c>
      <c r="D1240" s="9" t="s">
        <v>6742</v>
      </c>
      <c r="E1240" s="9" t="s">
        <v>4905</v>
      </c>
      <c r="F1240" s="9" t="s">
        <v>4906</v>
      </c>
      <c r="G1240" s="10" t="s">
        <v>6663</v>
      </c>
      <c r="H1240" s="9"/>
      <c r="I1240" s="9"/>
      <c r="J1240" s="9"/>
      <c r="K1240" s="9"/>
      <c r="L1240" s="9"/>
      <c r="M1240" s="9" t="s">
        <v>4907</v>
      </c>
      <c r="N1240" s="9"/>
      <c r="O1240" s="9" t="s">
        <v>4908</v>
      </c>
      <c r="P1240" s="9" t="str">
        <f>HYPERLINK("https://ceds.ed.gov/cedselementdetails.aspx?termid=14210")</f>
        <v>https://ceds.ed.gov/cedselementdetails.aspx?termid=14210</v>
      </c>
      <c r="Q1240" s="9" t="str">
        <f>HYPERLINK("https://ceds.ed.gov/elementComment.aspx?elementName=Program Gifted Eligibility Criteria &amp;elementID=14210", "Click here to submit comment")</f>
        <v>Click here to submit comment</v>
      </c>
    </row>
    <row r="1241" spans="1:17" ht="90" x14ac:dyDescent="0.25">
      <c r="A1241" s="9" t="s">
        <v>6811</v>
      </c>
      <c r="B1241" s="9" t="s">
        <v>6825</v>
      </c>
      <c r="C1241" s="9" t="s">
        <v>6761</v>
      </c>
      <c r="D1241" s="9" t="s">
        <v>6746</v>
      </c>
      <c r="E1241" s="9" t="s">
        <v>11749</v>
      </c>
      <c r="F1241" s="9" t="s">
        <v>11750</v>
      </c>
      <c r="G1241" s="10" t="s">
        <v>11909</v>
      </c>
      <c r="H1241" s="9"/>
      <c r="I1241" s="9" t="s">
        <v>1457</v>
      </c>
      <c r="J1241" s="9"/>
      <c r="K1241" s="9"/>
      <c r="L1241" s="9"/>
      <c r="M1241" s="9" t="s">
        <v>11752</v>
      </c>
      <c r="N1241" s="9"/>
      <c r="O1241" s="9" t="s">
        <v>11753</v>
      </c>
      <c r="P1241" s="9" t="str">
        <f>HYPERLINK("https://ceds.ed.gov/cedselementdetails.aspx?termid=14843")</f>
        <v>https://ceds.ed.gov/cedselementdetails.aspx?termid=14843</v>
      </c>
      <c r="Q1241" s="9" t="str">
        <f>HYPERLINK("https://ceds.ed.gov/elementComment.aspx?elementName=Student Enrollment Access Type &amp;elementID=14843", "Click here to submit comment")</f>
        <v>Click here to submit comment</v>
      </c>
    </row>
    <row r="1242" spans="1:17" ht="105" x14ac:dyDescent="0.25">
      <c r="A1242" s="18" t="s">
        <v>6811</v>
      </c>
      <c r="B1242" s="18" t="s">
        <v>6825</v>
      </c>
      <c r="C1242" s="18" t="s">
        <v>6826</v>
      </c>
      <c r="D1242" s="18" t="s">
        <v>6742</v>
      </c>
      <c r="E1242" s="18" t="s">
        <v>117</v>
      </c>
      <c r="F1242" s="18" t="s">
        <v>118</v>
      </c>
      <c r="G1242" s="18" t="s">
        <v>12</v>
      </c>
      <c r="H1242" s="18" t="s">
        <v>6109</v>
      </c>
      <c r="I1242" s="18"/>
      <c r="J1242" s="18" t="s">
        <v>119</v>
      </c>
      <c r="K1242" s="18"/>
      <c r="L1242" s="9" t="s">
        <v>120</v>
      </c>
      <c r="M1242" s="18" t="s">
        <v>122</v>
      </c>
      <c r="N1242" s="18"/>
      <c r="O1242" s="18" t="s">
        <v>123</v>
      </c>
      <c r="P1242" s="18" t="str">
        <f>HYPERLINK("https://ceds.ed.gov/cedselementdetails.aspx?termid=13006")</f>
        <v>https://ceds.ed.gov/cedselementdetails.aspx?termid=13006</v>
      </c>
      <c r="Q1242" s="18" t="str">
        <f>HYPERLINK("https://ceds.ed.gov/elementComment.aspx?elementName=Activity Identifier &amp;elementID=13006", "Click here to submit comment")</f>
        <v>Click here to submit comment</v>
      </c>
    </row>
    <row r="1243" spans="1:17" x14ac:dyDescent="0.25">
      <c r="A1243" s="18"/>
      <c r="B1243" s="18"/>
      <c r="C1243" s="18"/>
      <c r="D1243" s="18"/>
      <c r="E1243" s="18"/>
      <c r="F1243" s="18"/>
      <c r="G1243" s="18"/>
      <c r="H1243" s="18"/>
      <c r="I1243" s="18"/>
      <c r="J1243" s="18"/>
      <c r="K1243" s="18"/>
      <c r="L1243" s="9"/>
      <c r="M1243" s="18"/>
      <c r="N1243" s="18"/>
      <c r="O1243" s="18"/>
      <c r="P1243" s="18"/>
      <c r="Q1243" s="18"/>
    </row>
    <row r="1244" spans="1:17" ht="90" x14ac:dyDescent="0.25">
      <c r="A1244" s="18"/>
      <c r="B1244" s="18"/>
      <c r="C1244" s="18"/>
      <c r="D1244" s="18"/>
      <c r="E1244" s="18"/>
      <c r="F1244" s="18"/>
      <c r="G1244" s="18"/>
      <c r="H1244" s="18"/>
      <c r="I1244" s="18"/>
      <c r="J1244" s="18"/>
      <c r="K1244" s="18"/>
      <c r="L1244" s="9" t="s">
        <v>121</v>
      </c>
      <c r="M1244" s="18"/>
      <c r="N1244" s="18"/>
      <c r="O1244" s="18"/>
      <c r="P1244" s="18"/>
      <c r="Q1244" s="18"/>
    </row>
    <row r="1245" spans="1:17" ht="90" x14ac:dyDescent="0.25">
      <c r="A1245" s="9" t="s">
        <v>6811</v>
      </c>
      <c r="B1245" s="9" t="s">
        <v>6825</v>
      </c>
      <c r="C1245" s="9" t="s">
        <v>6826</v>
      </c>
      <c r="D1245" s="9" t="s">
        <v>6742</v>
      </c>
      <c r="E1245" s="9" t="s">
        <v>141</v>
      </c>
      <c r="F1245" s="9" t="s">
        <v>142</v>
      </c>
      <c r="G1245" s="9" t="s">
        <v>12</v>
      </c>
      <c r="H1245" s="9" t="s">
        <v>6109</v>
      </c>
      <c r="I1245" s="9"/>
      <c r="J1245" s="9" t="s">
        <v>92</v>
      </c>
      <c r="K1245" s="9"/>
      <c r="L1245" s="9"/>
      <c r="M1245" s="9" t="s">
        <v>143</v>
      </c>
      <c r="N1245" s="9"/>
      <c r="O1245" s="9" t="s">
        <v>144</v>
      </c>
      <c r="P1245" s="9" t="str">
        <f>HYPERLINK("https://ceds.ed.gov/cedselementdetails.aspx?termid=13009")</f>
        <v>https://ceds.ed.gov/cedselementdetails.aspx?termid=13009</v>
      </c>
      <c r="Q1245" s="9" t="str">
        <f>HYPERLINK("https://ceds.ed.gov/elementComment.aspx?elementName=Activity Title &amp;elementID=13009", "Click here to submit comment")</f>
        <v>Click here to submit comment</v>
      </c>
    </row>
    <row r="1246" spans="1:17" ht="90" x14ac:dyDescent="0.25">
      <c r="A1246" s="9" t="s">
        <v>6811</v>
      </c>
      <c r="B1246" s="9" t="s">
        <v>6825</v>
      </c>
      <c r="C1246" s="9" t="s">
        <v>6826</v>
      </c>
      <c r="D1246" s="9" t="s">
        <v>6742</v>
      </c>
      <c r="E1246" s="9" t="s">
        <v>113</v>
      </c>
      <c r="F1246" s="9" t="s">
        <v>114</v>
      </c>
      <c r="G1246" s="9" t="s">
        <v>12</v>
      </c>
      <c r="H1246" s="9"/>
      <c r="I1246" s="9"/>
      <c r="J1246" s="9" t="s">
        <v>68</v>
      </c>
      <c r="K1246" s="9"/>
      <c r="L1246" s="9"/>
      <c r="M1246" s="9" t="s">
        <v>115</v>
      </c>
      <c r="N1246" s="9"/>
      <c r="O1246" s="9" t="s">
        <v>116</v>
      </c>
      <c r="P1246" s="9" t="str">
        <f>HYPERLINK("https://ceds.ed.gov/cedselementdetails.aspx?termid=14505")</f>
        <v>https://ceds.ed.gov/cedselementdetails.aspx?termid=14505</v>
      </c>
      <c r="Q1246" s="9" t="str">
        <f>HYPERLINK("https://ceds.ed.gov/elementComment.aspx?elementName=Activity Description &amp;elementID=14505", "Click here to submit comment")</f>
        <v>Click here to submit comment</v>
      </c>
    </row>
    <row r="1247" spans="1:17" ht="90" x14ac:dyDescent="0.25">
      <c r="A1247" s="9" t="s">
        <v>6811</v>
      </c>
      <c r="B1247" s="9" t="s">
        <v>6825</v>
      </c>
      <c r="C1247" s="9" t="s">
        <v>6826</v>
      </c>
      <c r="D1247" s="9" t="s">
        <v>6742</v>
      </c>
      <c r="E1247" s="9" t="s">
        <v>124</v>
      </c>
      <c r="F1247" s="9" t="s">
        <v>125</v>
      </c>
      <c r="G1247" s="9" t="s">
        <v>12</v>
      </c>
      <c r="H1247" s="9" t="s">
        <v>6109</v>
      </c>
      <c r="I1247" s="9"/>
      <c r="J1247" s="9" t="s">
        <v>73</v>
      </c>
      <c r="K1247" s="9"/>
      <c r="L1247" s="9"/>
      <c r="M1247" s="9" t="s">
        <v>126</v>
      </c>
      <c r="N1247" s="9"/>
      <c r="O1247" s="9" t="s">
        <v>127</v>
      </c>
      <c r="P1247" s="9" t="str">
        <f>HYPERLINK("https://ceds.ed.gov/cedselementdetails.aspx?termid=13007")</f>
        <v>https://ceds.ed.gov/cedselementdetails.aspx?termid=13007</v>
      </c>
      <c r="Q1247" s="9" t="str">
        <f>HYPERLINK("https://ceds.ed.gov/elementComment.aspx?elementName=Activity Involvement Begin Date &amp;elementID=13007", "Click here to submit comment")</f>
        <v>Click here to submit comment</v>
      </c>
    </row>
    <row r="1248" spans="1:17" ht="90" x14ac:dyDescent="0.25">
      <c r="A1248" s="9" t="s">
        <v>6811</v>
      </c>
      <c r="B1248" s="9" t="s">
        <v>6825</v>
      </c>
      <c r="C1248" s="9" t="s">
        <v>6826</v>
      </c>
      <c r="D1248" s="9" t="s">
        <v>6742</v>
      </c>
      <c r="E1248" s="9" t="s">
        <v>128</v>
      </c>
      <c r="F1248" s="9" t="s">
        <v>129</v>
      </c>
      <c r="G1248" s="9" t="s">
        <v>12</v>
      </c>
      <c r="H1248" s="9" t="s">
        <v>6109</v>
      </c>
      <c r="I1248" s="9"/>
      <c r="J1248" s="9" t="s">
        <v>73</v>
      </c>
      <c r="K1248" s="9"/>
      <c r="L1248" s="9"/>
      <c r="M1248" s="9" t="s">
        <v>130</v>
      </c>
      <c r="N1248" s="9"/>
      <c r="O1248" s="9" t="s">
        <v>131</v>
      </c>
      <c r="P1248" s="9" t="str">
        <f>HYPERLINK("https://ceds.ed.gov/cedselementdetails.aspx?termid=13008")</f>
        <v>https://ceds.ed.gov/cedselementdetails.aspx?termid=13008</v>
      </c>
      <c r="Q1248" s="9" t="str">
        <f>HYPERLINK("https://ceds.ed.gov/elementComment.aspx?elementName=Activity Involvement End Date &amp;elementID=13008", "Click here to submit comment")</f>
        <v>Click here to submit comment</v>
      </c>
    </row>
    <row r="1249" spans="1:17" ht="90" x14ac:dyDescent="0.25">
      <c r="A1249" s="9" t="s">
        <v>6811</v>
      </c>
      <c r="B1249" s="9" t="s">
        <v>6825</v>
      </c>
      <c r="C1249" s="9" t="s">
        <v>6826</v>
      </c>
      <c r="D1249" s="9" t="s">
        <v>6742</v>
      </c>
      <c r="E1249" s="9" t="s">
        <v>132</v>
      </c>
      <c r="F1249" s="9" t="s">
        <v>133</v>
      </c>
      <c r="G1249" s="9" t="s">
        <v>12</v>
      </c>
      <c r="H1249" s="9"/>
      <c r="I1249" s="9"/>
      <c r="J1249" s="9" t="s">
        <v>134</v>
      </c>
      <c r="K1249" s="9"/>
      <c r="L1249" s="9"/>
      <c r="M1249" s="9" t="s">
        <v>135</v>
      </c>
      <c r="N1249" s="9"/>
      <c r="O1249" s="9" t="s">
        <v>136</v>
      </c>
      <c r="P1249" s="9" t="str">
        <f>HYPERLINK("https://ceds.ed.gov/cedselementdetails.aspx?termid=14502")</f>
        <v>https://ceds.ed.gov/cedselementdetails.aspx?termid=14502</v>
      </c>
      <c r="Q1249" s="9" t="str">
        <f>HYPERLINK("https://ceds.ed.gov/elementComment.aspx?elementName=Activity Time Involved &amp;elementID=14502", "Click here to submit comment")</f>
        <v>Click here to submit comment</v>
      </c>
    </row>
    <row r="1250" spans="1:17" ht="105" x14ac:dyDescent="0.25">
      <c r="A1250" s="9" t="s">
        <v>6811</v>
      </c>
      <c r="B1250" s="9" t="s">
        <v>6825</v>
      </c>
      <c r="C1250" s="9" t="s">
        <v>6826</v>
      </c>
      <c r="D1250" s="9" t="s">
        <v>6742</v>
      </c>
      <c r="E1250" s="9" t="s">
        <v>137</v>
      </c>
      <c r="F1250" s="9" t="s">
        <v>138</v>
      </c>
      <c r="G1250" s="10" t="s">
        <v>6317</v>
      </c>
      <c r="H1250" s="9"/>
      <c r="I1250" s="9"/>
      <c r="J1250" s="9"/>
      <c r="K1250" s="9"/>
      <c r="L1250" s="9"/>
      <c r="M1250" s="9" t="s">
        <v>139</v>
      </c>
      <c r="N1250" s="9"/>
      <c r="O1250" s="9" t="s">
        <v>140</v>
      </c>
      <c r="P1250" s="9" t="str">
        <f>HYPERLINK("https://ceds.ed.gov/cedselementdetails.aspx?termid=14503")</f>
        <v>https://ceds.ed.gov/cedselementdetails.aspx?termid=14503</v>
      </c>
      <c r="Q1250" s="9" t="str">
        <f>HYPERLINK("https://ceds.ed.gov/elementComment.aspx?elementName=Activity Time Measurement Type &amp;elementID=14503", "Click here to submit comment")</f>
        <v>Click here to submit comment</v>
      </c>
    </row>
    <row r="1251" spans="1:17" ht="255" x14ac:dyDescent="0.25">
      <c r="A1251" s="9" t="s">
        <v>6811</v>
      </c>
      <c r="B1251" s="9" t="s">
        <v>6825</v>
      </c>
      <c r="C1251" s="9" t="s">
        <v>6830</v>
      </c>
      <c r="D1251" s="9" t="s">
        <v>6742</v>
      </c>
      <c r="E1251" s="9" t="s">
        <v>4377</v>
      </c>
      <c r="F1251" s="9" t="s">
        <v>4378</v>
      </c>
      <c r="G1251" s="9" t="s">
        <v>12</v>
      </c>
      <c r="H1251" s="9" t="s">
        <v>6249</v>
      </c>
      <c r="I1251" s="9"/>
      <c r="J1251" s="9" t="s">
        <v>1513</v>
      </c>
      <c r="K1251" s="9"/>
      <c r="L1251" s="9" t="s">
        <v>4379</v>
      </c>
      <c r="M1251" s="9" t="s">
        <v>4380</v>
      </c>
      <c r="N1251" s="9"/>
      <c r="O1251" s="9" t="s">
        <v>4381</v>
      </c>
      <c r="P1251" s="9" t="str">
        <f>HYPERLINK("https://ceds.ed.gov/cedselementdetails.aspx?termid=13202")</f>
        <v>https://ceds.ed.gov/cedselementdetails.aspx?termid=13202</v>
      </c>
      <c r="Q1251" s="9" t="str">
        <f>HYPERLINK("https://ceds.ed.gov/elementComment.aspx?elementName=Number of Days in Attendance &amp;elementID=13202", "Click here to submit comment")</f>
        <v>Click here to submit comment</v>
      </c>
    </row>
    <row r="1252" spans="1:17" ht="120" x14ac:dyDescent="0.25">
      <c r="A1252" s="9" t="s">
        <v>6811</v>
      </c>
      <c r="B1252" s="9" t="s">
        <v>6825</v>
      </c>
      <c r="C1252" s="9" t="s">
        <v>6830</v>
      </c>
      <c r="D1252" s="9" t="s">
        <v>6742</v>
      </c>
      <c r="E1252" s="9" t="s">
        <v>4369</v>
      </c>
      <c r="F1252" s="9" t="s">
        <v>4370</v>
      </c>
      <c r="G1252" s="9" t="s">
        <v>12</v>
      </c>
      <c r="H1252" s="9" t="s">
        <v>6247</v>
      </c>
      <c r="I1252" s="9"/>
      <c r="J1252" s="9" t="s">
        <v>1513</v>
      </c>
      <c r="K1252" s="9"/>
      <c r="L1252" s="9"/>
      <c r="M1252" s="9" t="s">
        <v>4371</v>
      </c>
      <c r="N1252" s="9"/>
      <c r="O1252" s="9" t="s">
        <v>4372</v>
      </c>
      <c r="P1252" s="9" t="str">
        <f>HYPERLINK("https://ceds.ed.gov/cedselementdetails.aspx?termid=13201")</f>
        <v>https://ceds.ed.gov/cedselementdetails.aspx?termid=13201</v>
      </c>
      <c r="Q1252" s="9" t="str">
        <f>HYPERLINK("https://ceds.ed.gov/elementComment.aspx?elementName=Number of Days Absent &amp;elementID=13201", "Click here to submit comment")</f>
        <v>Click here to submit comment</v>
      </c>
    </row>
    <row r="1253" spans="1:17" ht="120" x14ac:dyDescent="0.25">
      <c r="A1253" s="9" t="s">
        <v>6811</v>
      </c>
      <c r="B1253" s="9" t="s">
        <v>6825</v>
      </c>
      <c r="C1253" s="9" t="s">
        <v>6830</v>
      </c>
      <c r="D1253" s="9" t="s">
        <v>6742</v>
      </c>
      <c r="E1253" s="9" t="s">
        <v>5712</v>
      </c>
      <c r="F1253" s="9" t="s">
        <v>5713</v>
      </c>
      <c r="G1253" s="9" t="s">
        <v>12</v>
      </c>
      <c r="H1253" s="9" t="s">
        <v>199</v>
      </c>
      <c r="I1253" s="9"/>
      <c r="J1253" s="9" t="s">
        <v>11746</v>
      </c>
      <c r="K1253" s="9"/>
      <c r="L1253" s="9"/>
      <c r="M1253" s="9" t="s">
        <v>5714</v>
      </c>
      <c r="N1253" s="9"/>
      <c r="O1253" s="9" t="s">
        <v>5715</v>
      </c>
      <c r="P1253" s="9" t="str">
        <f>HYPERLINK("https://ceds.ed.gov/cedselementdetails.aspx?termid=13271")</f>
        <v>https://ceds.ed.gov/cedselementdetails.aspx?termid=13271</v>
      </c>
      <c r="Q1253" s="9" t="str">
        <f>HYPERLINK("https://ceds.ed.gov/elementComment.aspx?elementName=Student Attendance Rate &amp;elementID=13271", "Click here to submit comment")</f>
        <v>Click here to submit comment</v>
      </c>
    </row>
    <row r="1254" spans="1:17" ht="180" x14ac:dyDescent="0.25">
      <c r="A1254" s="9" t="s">
        <v>6811</v>
      </c>
      <c r="B1254" s="9" t="s">
        <v>6825</v>
      </c>
      <c r="C1254" s="9" t="s">
        <v>6830</v>
      </c>
      <c r="D1254" s="9" t="s">
        <v>6742</v>
      </c>
      <c r="E1254" s="9" t="s">
        <v>4689</v>
      </c>
      <c r="F1254" s="9" t="s">
        <v>4690</v>
      </c>
      <c r="G1254" s="10" t="s">
        <v>6647</v>
      </c>
      <c r="H1254" s="9"/>
      <c r="I1254" s="9" t="s">
        <v>91</v>
      </c>
      <c r="J1254" s="9"/>
      <c r="K1254" s="9"/>
      <c r="L1254" s="9"/>
      <c r="M1254" s="9" t="s">
        <v>4691</v>
      </c>
      <c r="N1254" s="9"/>
      <c r="O1254" s="9" t="s">
        <v>4692</v>
      </c>
      <c r="P1254" s="9" t="str">
        <f>HYPERLINK("https://ceds.ed.gov/cedselementdetails.aspx?termid=13593")</f>
        <v>https://ceds.ed.gov/cedselementdetails.aspx?termid=13593</v>
      </c>
      <c r="Q1254" s="9" t="str">
        <f>HYPERLINK("https://ceds.ed.gov/elementComment.aspx?elementName=Present Attendance Category &amp;elementID=13593", "Click here to submit comment")</f>
        <v>Click here to submit comment</v>
      </c>
    </row>
    <row r="1255" spans="1:17" ht="300" x14ac:dyDescent="0.25">
      <c r="A1255" s="9" t="s">
        <v>6811</v>
      </c>
      <c r="B1255" s="9" t="s">
        <v>6825</v>
      </c>
      <c r="C1255" s="9" t="s">
        <v>6830</v>
      </c>
      <c r="D1255" s="9" t="s">
        <v>6742</v>
      </c>
      <c r="E1255" s="9" t="s">
        <v>5</v>
      </c>
      <c r="F1255" s="9" t="s">
        <v>6</v>
      </c>
      <c r="G1255" s="10" t="s">
        <v>11783</v>
      </c>
      <c r="H1255" s="9"/>
      <c r="I1255" s="9" t="s">
        <v>91</v>
      </c>
      <c r="J1255" s="9"/>
      <c r="K1255" s="9"/>
      <c r="L1255" s="9"/>
      <c r="M1255" s="9" t="s">
        <v>8</v>
      </c>
      <c r="N1255" s="9"/>
      <c r="O1255" s="9" t="s">
        <v>9</v>
      </c>
      <c r="P1255" s="9" t="str">
        <f>HYPERLINK("https://ceds.ed.gov/cedselementdetails.aspx?termid=13592")</f>
        <v>https://ceds.ed.gov/cedselementdetails.aspx?termid=13592</v>
      </c>
      <c r="Q1255" s="9" t="str">
        <f>HYPERLINK("https://ceds.ed.gov/elementComment.aspx?elementName=Absent Attendance Category &amp;elementID=13592", "Click here to submit comment")</f>
        <v>Click here to submit comment</v>
      </c>
    </row>
    <row r="1256" spans="1:17" ht="120" x14ac:dyDescent="0.25">
      <c r="A1256" s="9" t="s">
        <v>6811</v>
      </c>
      <c r="B1256" s="9" t="s">
        <v>6825</v>
      </c>
      <c r="C1256" s="9" t="s">
        <v>6830</v>
      </c>
      <c r="D1256" s="9" t="s">
        <v>6742</v>
      </c>
      <c r="E1256" s="9" t="s">
        <v>1460</v>
      </c>
      <c r="F1256" s="9" t="s">
        <v>1461</v>
      </c>
      <c r="G1256" s="10" t="s">
        <v>6389</v>
      </c>
      <c r="H1256" s="9"/>
      <c r="I1256" s="9"/>
      <c r="J1256" s="9"/>
      <c r="K1256" s="9"/>
      <c r="L1256" s="9"/>
      <c r="M1256" s="9" t="s">
        <v>1462</v>
      </c>
      <c r="N1256" s="9"/>
      <c r="O1256" s="9" t="s">
        <v>1463</v>
      </c>
      <c r="P1256" s="9" t="str">
        <f>HYPERLINK("https://ceds.ed.gov/cedselementdetails.aspx?termid=13594")</f>
        <v>https://ceds.ed.gov/cedselementdetails.aspx?termid=13594</v>
      </c>
      <c r="Q1256" s="9" t="str">
        <f>HYPERLINK("https://ceds.ed.gov/elementComment.aspx?elementName=Attendance Event Type &amp;elementID=13594", "Click here to submit comment")</f>
        <v>Click here to submit comment</v>
      </c>
    </row>
    <row r="1257" spans="1:17" ht="45" x14ac:dyDescent="0.25">
      <c r="A1257" s="9" t="s">
        <v>6811</v>
      </c>
      <c r="B1257" s="9" t="s">
        <v>6825</v>
      </c>
      <c r="C1257" s="9" t="s">
        <v>6830</v>
      </c>
      <c r="D1257" s="9" t="s">
        <v>6742</v>
      </c>
      <c r="E1257" s="9" t="s">
        <v>1455</v>
      </c>
      <c r="F1257" s="9" t="s">
        <v>1456</v>
      </c>
      <c r="G1257" s="9" t="s">
        <v>12</v>
      </c>
      <c r="H1257" s="9"/>
      <c r="I1257" s="9"/>
      <c r="J1257" s="9" t="s">
        <v>73</v>
      </c>
      <c r="K1257" s="9"/>
      <c r="L1257" s="9"/>
      <c r="M1257" s="9" t="s">
        <v>1458</v>
      </c>
      <c r="N1257" s="9"/>
      <c r="O1257" s="9" t="s">
        <v>1459</v>
      </c>
      <c r="P1257" s="9" t="str">
        <f>HYPERLINK("https://ceds.ed.gov/cedselementdetails.aspx?termid=14630")</f>
        <v>https://ceds.ed.gov/cedselementdetails.aspx?termid=14630</v>
      </c>
      <c r="Q1257" s="9" t="str">
        <f>HYPERLINK("https://ceds.ed.gov/elementComment.aspx?elementName=Attendance Event Date &amp;elementID=14630", "Click here to submit comment")</f>
        <v>Click here to submit comment</v>
      </c>
    </row>
    <row r="1258" spans="1:17" ht="105" x14ac:dyDescent="0.25">
      <c r="A1258" s="9" t="s">
        <v>6811</v>
      </c>
      <c r="B1258" s="9" t="s">
        <v>6825</v>
      </c>
      <c r="C1258" s="9" t="s">
        <v>6830</v>
      </c>
      <c r="D1258" s="9" t="s">
        <v>6742</v>
      </c>
      <c r="E1258" s="9" t="s">
        <v>1464</v>
      </c>
      <c r="F1258" s="9" t="s">
        <v>1465</v>
      </c>
      <c r="G1258" s="10" t="s">
        <v>6390</v>
      </c>
      <c r="H1258" s="9"/>
      <c r="I1258" s="9"/>
      <c r="J1258" s="9"/>
      <c r="K1258" s="9"/>
      <c r="L1258" s="9"/>
      <c r="M1258" s="9" t="s">
        <v>1466</v>
      </c>
      <c r="N1258" s="9"/>
      <c r="O1258" s="9" t="s">
        <v>1467</v>
      </c>
      <c r="P1258" s="9" t="str">
        <f>HYPERLINK("https://ceds.ed.gov/cedselementdetails.aspx?termid=13076")</f>
        <v>https://ceds.ed.gov/cedselementdetails.aspx?termid=13076</v>
      </c>
      <c r="Q1258" s="9" t="str">
        <f>HYPERLINK("https://ceds.ed.gov/elementComment.aspx?elementName=Attendance Status &amp;elementID=13076", "Click here to submit comment")</f>
        <v>Click here to submit comment</v>
      </c>
    </row>
    <row r="1259" spans="1:17" ht="105" x14ac:dyDescent="0.25">
      <c r="A1259" s="18" t="s">
        <v>6811</v>
      </c>
      <c r="B1259" s="18" t="s">
        <v>6825</v>
      </c>
      <c r="C1259" s="18" t="s">
        <v>6827</v>
      </c>
      <c r="D1259" s="18" t="s">
        <v>6742</v>
      </c>
      <c r="E1259" s="18" t="s">
        <v>1982</v>
      </c>
      <c r="F1259" s="18" t="s">
        <v>1983</v>
      </c>
      <c r="G1259" s="18" t="s">
        <v>12</v>
      </c>
      <c r="H1259" s="18" t="s">
        <v>6176</v>
      </c>
      <c r="I1259" s="18"/>
      <c r="J1259" s="18" t="s">
        <v>119</v>
      </c>
      <c r="K1259" s="18"/>
      <c r="L1259" s="9" t="s">
        <v>120</v>
      </c>
      <c r="M1259" s="18" t="s">
        <v>1984</v>
      </c>
      <c r="N1259" s="18"/>
      <c r="O1259" s="18" t="s">
        <v>1985</v>
      </c>
      <c r="P1259" s="18" t="str">
        <f>HYPERLINK("https://ceds.ed.gov/cedselementdetails.aspx?termid=13055")</f>
        <v>https://ceds.ed.gov/cedselementdetails.aspx?termid=13055</v>
      </c>
      <c r="Q1259" s="18" t="str">
        <f>HYPERLINK("https://ceds.ed.gov/elementComment.aspx?elementName=Course Identifier &amp;elementID=13055", "Click here to submit comment")</f>
        <v>Click here to submit comment</v>
      </c>
    </row>
    <row r="1260" spans="1:17" x14ac:dyDescent="0.25">
      <c r="A1260" s="18"/>
      <c r="B1260" s="18"/>
      <c r="C1260" s="18"/>
      <c r="D1260" s="18"/>
      <c r="E1260" s="18"/>
      <c r="F1260" s="18"/>
      <c r="G1260" s="18"/>
      <c r="H1260" s="18"/>
      <c r="I1260" s="18"/>
      <c r="J1260" s="18"/>
      <c r="K1260" s="18"/>
      <c r="L1260" s="9"/>
      <c r="M1260" s="18"/>
      <c r="N1260" s="18"/>
      <c r="O1260" s="18"/>
      <c r="P1260" s="18"/>
      <c r="Q1260" s="18"/>
    </row>
    <row r="1261" spans="1:17" ht="90" x14ac:dyDescent="0.25">
      <c r="A1261" s="18"/>
      <c r="B1261" s="18"/>
      <c r="C1261" s="18"/>
      <c r="D1261" s="18"/>
      <c r="E1261" s="18"/>
      <c r="F1261" s="18"/>
      <c r="G1261" s="18"/>
      <c r="H1261" s="18"/>
      <c r="I1261" s="18"/>
      <c r="J1261" s="18"/>
      <c r="K1261" s="18"/>
      <c r="L1261" s="9" t="s">
        <v>121</v>
      </c>
      <c r="M1261" s="18"/>
      <c r="N1261" s="18"/>
      <c r="O1261" s="18"/>
      <c r="P1261" s="18"/>
      <c r="Q1261" s="18"/>
    </row>
    <row r="1262" spans="1:17" ht="195" x14ac:dyDescent="0.25">
      <c r="A1262" s="9" t="s">
        <v>6811</v>
      </c>
      <c r="B1262" s="9" t="s">
        <v>6825</v>
      </c>
      <c r="C1262" s="9" t="s">
        <v>6827</v>
      </c>
      <c r="D1262" s="9" t="s">
        <v>6742</v>
      </c>
      <c r="E1262" s="9" t="s">
        <v>1933</v>
      </c>
      <c r="F1262" s="9" t="s">
        <v>1934</v>
      </c>
      <c r="G1262" s="10" t="s">
        <v>6421</v>
      </c>
      <c r="H1262" s="9" t="s">
        <v>6150</v>
      </c>
      <c r="I1262" s="9"/>
      <c r="J1262" s="9"/>
      <c r="K1262" s="9"/>
      <c r="L1262" s="9"/>
      <c r="M1262" s="9" t="s">
        <v>1935</v>
      </c>
      <c r="N1262" s="9"/>
      <c r="O1262" s="9" t="s">
        <v>1936</v>
      </c>
      <c r="P1262" s="9" t="str">
        <f>HYPERLINK("https://ceds.ed.gov/cedselementdetails.aspx?termid=13056")</f>
        <v>https://ceds.ed.gov/cedselementdetails.aspx?termid=13056</v>
      </c>
      <c r="Q1262" s="9" t="str">
        <f>HYPERLINK("https://ceds.ed.gov/elementComment.aspx?elementName=Course Code System &amp;elementID=13056", "Click here to submit comment")</f>
        <v>Click here to submit comment</v>
      </c>
    </row>
    <row r="1263" spans="1:17" ht="225" x14ac:dyDescent="0.25">
      <c r="A1263" s="9" t="s">
        <v>6811</v>
      </c>
      <c r="B1263" s="9" t="s">
        <v>6825</v>
      </c>
      <c r="C1263" s="9" t="s">
        <v>6827</v>
      </c>
      <c r="D1263" s="9" t="s">
        <v>6742</v>
      </c>
      <c r="E1263" s="9" t="s">
        <v>2091</v>
      </c>
      <c r="F1263" s="9" t="s">
        <v>2092</v>
      </c>
      <c r="G1263" s="9" t="s">
        <v>12</v>
      </c>
      <c r="H1263" s="9" t="s">
        <v>6150</v>
      </c>
      <c r="I1263" s="9"/>
      <c r="J1263" s="9" t="s">
        <v>92</v>
      </c>
      <c r="K1263" s="9"/>
      <c r="L1263" s="9"/>
      <c r="M1263" s="9" t="s">
        <v>2093</v>
      </c>
      <c r="N1263" s="9"/>
      <c r="O1263" s="9" t="s">
        <v>2094</v>
      </c>
      <c r="P1263" s="9" t="str">
        <f>HYPERLINK("https://ceds.ed.gov/cedselementdetails.aspx?termid=13067")</f>
        <v>https://ceds.ed.gov/cedselementdetails.aspx?termid=13067</v>
      </c>
      <c r="Q1263" s="9" t="str">
        <f>HYPERLINK("https://ceds.ed.gov/elementComment.aspx?elementName=Course Title &amp;elementID=13067", "Click here to submit comment")</f>
        <v>Click here to submit comment</v>
      </c>
    </row>
    <row r="1264" spans="1:17" ht="330" x14ac:dyDescent="0.25">
      <c r="A1264" s="9" t="s">
        <v>6811</v>
      </c>
      <c r="B1264" s="9" t="s">
        <v>6825</v>
      </c>
      <c r="C1264" s="9" t="s">
        <v>6827</v>
      </c>
      <c r="D1264" s="9" t="s">
        <v>6742</v>
      </c>
      <c r="E1264" s="9" t="s">
        <v>3012</v>
      </c>
      <c r="F1264" s="9" t="s">
        <v>3013</v>
      </c>
      <c r="G1264" s="10" t="s">
        <v>6494</v>
      </c>
      <c r="H1264" s="9" t="s">
        <v>6109</v>
      </c>
      <c r="I1264" s="9"/>
      <c r="J1264" s="9"/>
      <c r="K1264" s="9"/>
      <c r="L1264" s="9"/>
      <c r="M1264" s="9" t="s">
        <v>3014</v>
      </c>
      <c r="N1264" s="9"/>
      <c r="O1264" s="9" t="s">
        <v>3015</v>
      </c>
      <c r="P1264" s="9" t="str">
        <f>HYPERLINK("https://ceds.ed.gov/cedselementdetails.aspx?termid=13125")</f>
        <v>https://ceds.ed.gov/cedselementdetails.aspx?termid=13125</v>
      </c>
      <c r="Q1264" s="9" t="str">
        <f>HYPERLINK("https://ceds.ed.gov/elementComment.aspx?elementName=Grade Level When Course Taken &amp;elementID=13125", "Click here to submit comment")</f>
        <v>Click here to submit comment</v>
      </c>
    </row>
    <row r="1265" spans="1:17" ht="210" x14ac:dyDescent="0.25">
      <c r="A1265" s="9" t="s">
        <v>6811</v>
      </c>
      <c r="B1265" s="9" t="s">
        <v>6825</v>
      </c>
      <c r="C1265" s="9" t="s">
        <v>6827</v>
      </c>
      <c r="D1265" s="9" t="s">
        <v>6742</v>
      </c>
      <c r="E1265" s="9" t="s">
        <v>2027</v>
      </c>
      <c r="F1265" s="9" t="s">
        <v>2028</v>
      </c>
      <c r="G1265" s="10" t="s">
        <v>6430</v>
      </c>
      <c r="H1265" s="9" t="s">
        <v>6109</v>
      </c>
      <c r="I1265" s="9"/>
      <c r="J1265" s="9"/>
      <c r="K1265" s="9"/>
      <c r="L1265" s="9"/>
      <c r="M1265" s="9" t="s">
        <v>2029</v>
      </c>
      <c r="N1265" s="9"/>
      <c r="O1265" s="9" t="s">
        <v>2030</v>
      </c>
      <c r="P1265" s="9" t="str">
        <f>HYPERLINK("https://ceds.ed.gov/cedselementdetails.aspx?termid=13065")</f>
        <v>https://ceds.ed.gov/cedselementdetails.aspx?termid=13065</v>
      </c>
      <c r="Q1265" s="9" t="str">
        <f>HYPERLINK("https://ceds.ed.gov/elementComment.aspx?elementName=Course Repeat Code &amp;elementID=13065", "Click here to submit comment")</f>
        <v>Click here to submit comment</v>
      </c>
    </row>
    <row r="1266" spans="1:17" ht="90" x14ac:dyDescent="0.25">
      <c r="A1266" s="9" t="s">
        <v>6811</v>
      </c>
      <c r="B1266" s="9" t="s">
        <v>6825</v>
      </c>
      <c r="C1266" s="9" t="s">
        <v>6827</v>
      </c>
      <c r="D1266" s="9" t="s">
        <v>6742</v>
      </c>
      <c r="E1266" s="9" t="s">
        <v>4361</v>
      </c>
      <c r="F1266" s="9" t="s">
        <v>4362</v>
      </c>
      <c r="G1266" s="9" t="s">
        <v>12</v>
      </c>
      <c r="H1266" s="9" t="s">
        <v>6109</v>
      </c>
      <c r="I1266" s="9"/>
      <c r="J1266" s="9" t="s">
        <v>1513</v>
      </c>
      <c r="K1266" s="9"/>
      <c r="L1266" s="9"/>
      <c r="M1266" s="9" t="s">
        <v>4363</v>
      </c>
      <c r="N1266" s="9"/>
      <c r="O1266" s="9" t="s">
        <v>4364</v>
      </c>
      <c r="P1266" s="9" t="str">
        <f>HYPERLINK("https://ceds.ed.gov/cedselementdetails.aspx?termid=13199")</f>
        <v>https://ceds.ed.gov/cedselementdetails.aspx?termid=13199</v>
      </c>
      <c r="Q1266" s="9" t="str">
        <f>HYPERLINK("https://ceds.ed.gov/elementComment.aspx?elementName=Number of Credits Attempted &amp;elementID=13199", "Click here to submit comment")</f>
        <v>Click here to submit comment</v>
      </c>
    </row>
    <row r="1267" spans="1:17" ht="120" x14ac:dyDescent="0.25">
      <c r="A1267" s="9" t="s">
        <v>6811</v>
      </c>
      <c r="B1267" s="9" t="s">
        <v>6825</v>
      </c>
      <c r="C1267" s="9" t="s">
        <v>6827</v>
      </c>
      <c r="D1267" s="9" t="s">
        <v>6742</v>
      </c>
      <c r="E1267" s="9" t="s">
        <v>4365</v>
      </c>
      <c r="F1267" s="9" t="s">
        <v>4366</v>
      </c>
      <c r="G1267" s="9" t="s">
        <v>12</v>
      </c>
      <c r="H1267" s="9" t="s">
        <v>6241</v>
      </c>
      <c r="I1267" s="9"/>
      <c r="J1267" s="9" t="s">
        <v>1513</v>
      </c>
      <c r="K1267" s="9"/>
      <c r="L1267" s="9"/>
      <c r="M1267" s="9" t="s">
        <v>4367</v>
      </c>
      <c r="N1267" s="9"/>
      <c r="O1267" s="9" t="s">
        <v>4368</v>
      </c>
      <c r="P1267" s="9" t="str">
        <f>HYPERLINK("https://ceds.ed.gov/cedselementdetails.aspx?termid=13200")</f>
        <v>https://ceds.ed.gov/cedselementdetails.aspx?termid=13200</v>
      </c>
      <c r="Q1267" s="9" t="str">
        <f>HYPERLINK("https://ceds.ed.gov/elementComment.aspx?elementName=Number of Credits Earned &amp;elementID=13200", "Click here to submit comment")</f>
        <v>Click here to submit comment</v>
      </c>
    </row>
    <row r="1268" spans="1:17" ht="105" x14ac:dyDescent="0.25">
      <c r="A1268" s="9" t="s">
        <v>6811</v>
      </c>
      <c r="B1268" s="9" t="s">
        <v>6825</v>
      </c>
      <c r="C1268" s="9" t="s">
        <v>6827</v>
      </c>
      <c r="D1268" s="9" t="s">
        <v>6742</v>
      </c>
      <c r="E1268" s="9" t="s">
        <v>2121</v>
      </c>
      <c r="F1268" s="9" t="s">
        <v>2122</v>
      </c>
      <c r="G1268" s="9" t="s">
        <v>12</v>
      </c>
      <c r="H1268" s="9" t="s">
        <v>6109</v>
      </c>
      <c r="I1268" s="9"/>
      <c r="J1268" s="9" t="s">
        <v>1513</v>
      </c>
      <c r="K1268" s="9"/>
      <c r="L1268" s="9"/>
      <c r="M1268" s="9" t="s">
        <v>2123</v>
      </c>
      <c r="N1268" s="9"/>
      <c r="O1268" s="9" t="s">
        <v>2124</v>
      </c>
      <c r="P1268" s="9" t="str">
        <f>HYPERLINK("https://ceds.ed.gov/cedselementdetails.aspx?termid=13073")</f>
        <v>https://ceds.ed.gov/cedselementdetails.aspx?termid=13073</v>
      </c>
      <c r="Q1268" s="9" t="str">
        <f>HYPERLINK("https://ceds.ed.gov/elementComment.aspx?elementName=Credits Attempted Cumulative &amp;elementID=13073", "Click here to submit comment")</f>
        <v>Click here to submit comment</v>
      </c>
    </row>
    <row r="1269" spans="1:17" ht="105" x14ac:dyDescent="0.25">
      <c r="A1269" s="9" t="s">
        <v>6811</v>
      </c>
      <c r="B1269" s="9" t="s">
        <v>6825</v>
      </c>
      <c r="C1269" s="9" t="s">
        <v>6827</v>
      </c>
      <c r="D1269" s="9" t="s">
        <v>6742</v>
      </c>
      <c r="E1269" s="9" t="s">
        <v>2125</v>
      </c>
      <c r="F1269" s="9" t="s">
        <v>2126</v>
      </c>
      <c r="G1269" s="9" t="s">
        <v>12</v>
      </c>
      <c r="H1269" s="9" t="s">
        <v>6109</v>
      </c>
      <c r="I1269" s="9"/>
      <c r="J1269" s="9" t="s">
        <v>1513</v>
      </c>
      <c r="K1269" s="9"/>
      <c r="L1269" s="9"/>
      <c r="M1269" s="9" t="s">
        <v>2127</v>
      </c>
      <c r="N1269" s="9"/>
      <c r="O1269" s="9" t="s">
        <v>2128</v>
      </c>
      <c r="P1269" s="9" t="str">
        <f>HYPERLINK("https://ceds.ed.gov/cedselementdetails.aspx?termid=13074")</f>
        <v>https://ceds.ed.gov/cedselementdetails.aspx?termid=13074</v>
      </c>
      <c r="Q1269" s="9" t="str">
        <f>HYPERLINK("https://ceds.ed.gov/elementComment.aspx?elementName=Credits Earned Cumulative &amp;elementID=13074", "Click here to submit comment")</f>
        <v>Click here to submit comment</v>
      </c>
    </row>
    <row r="1270" spans="1:17" ht="90" x14ac:dyDescent="0.25">
      <c r="A1270" s="9" t="s">
        <v>6811</v>
      </c>
      <c r="B1270" s="9" t="s">
        <v>6825</v>
      </c>
      <c r="C1270" s="9" t="s">
        <v>6827</v>
      </c>
      <c r="D1270" s="9" t="s">
        <v>6742</v>
      </c>
      <c r="E1270" s="9" t="s">
        <v>5716</v>
      </c>
      <c r="F1270" s="9" t="s">
        <v>5717</v>
      </c>
      <c r="G1270" s="9" t="s">
        <v>12</v>
      </c>
      <c r="H1270" s="9" t="s">
        <v>6109</v>
      </c>
      <c r="I1270" s="9"/>
      <c r="J1270" s="9" t="s">
        <v>1900</v>
      </c>
      <c r="K1270" s="9"/>
      <c r="L1270" s="9"/>
      <c r="M1270" s="9" t="s">
        <v>5718</v>
      </c>
      <c r="N1270" s="9"/>
      <c r="O1270" s="9" t="s">
        <v>5719</v>
      </c>
      <c r="P1270" s="9" t="str">
        <f>HYPERLINK("https://ceds.ed.gov/cedselementdetails.aspx?termid=13124")</f>
        <v>https://ceds.ed.gov/cedselementdetails.aspx?termid=13124</v>
      </c>
      <c r="Q1270" s="9" t="str">
        <f>HYPERLINK("https://ceds.ed.gov/elementComment.aspx?elementName=Student Course Section Grade Earned &amp;elementID=13124", "Click here to submit comment")</f>
        <v>Click here to submit comment</v>
      </c>
    </row>
    <row r="1271" spans="1:17" ht="360" x14ac:dyDescent="0.25">
      <c r="A1271" s="9" t="s">
        <v>6811</v>
      </c>
      <c r="B1271" s="9" t="s">
        <v>6825</v>
      </c>
      <c r="C1271" s="9" t="s">
        <v>6827</v>
      </c>
      <c r="D1271" s="9" t="s">
        <v>6742</v>
      </c>
      <c r="E1271" s="9" t="s">
        <v>11089</v>
      </c>
      <c r="F1271" s="9" t="s">
        <v>2119</v>
      </c>
      <c r="G1271" s="10" t="s">
        <v>11847</v>
      </c>
      <c r="H1271" s="9" t="s">
        <v>6109</v>
      </c>
      <c r="I1271" s="9"/>
      <c r="J1271" s="9"/>
      <c r="K1271" s="9"/>
      <c r="L1271" s="9"/>
      <c r="M1271" s="9" t="s">
        <v>2120</v>
      </c>
      <c r="N1271" s="9"/>
      <c r="O1271" s="9" t="s">
        <v>11091</v>
      </c>
      <c r="P1271" s="9" t="str">
        <f>HYPERLINK("https://ceds.ed.gov/cedselementdetails.aspx?termid=13072")</f>
        <v>https://ceds.ed.gov/cedselementdetails.aspx?termid=13072</v>
      </c>
      <c r="Q1271" s="9" t="str">
        <f>HYPERLINK("https://ceds.ed.gov/elementComment.aspx?elementName=Credit Unit Type &amp;elementID=13072", "Click here to submit comment")</f>
        <v>Click here to submit comment</v>
      </c>
    </row>
    <row r="1272" spans="1:17" ht="135" x14ac:dyDescent="0.25">
      <c r="A1272" s="9" t="s">
        <v>6811</v>
      </c>
      <c r="B1272" s="9" t="s">
        <v>6825</v>
      </c>
      <c r="C1272" s="9" t="s">
        <v>6827</v>
      </c>
      <c r="D1272" s="9" t="s">
        <v>6742</v>
      </c>
      <c r="E1272" s="9" t="s">
        <v>3047</v>
      </c>
      <c r="F1272" s="9" t="s">
        <v>3048</v>
      </c>
      <c r="G1272" s="9" t="s">
        <v>12</v>
      </c>
      <c r="H1272" s="9"/>
      <c r="I1272" s="9"/>
      <c r="J1272" s="9" t="s">
        <v>762</v>
      </c>
      <c r="K1272" s="9"/>
      <c r="L1272" s="9" t="s">
        <v>3049</v>
      </c>
      <c r="M1272" s="9" t="s">
        <v>3050</v>
      </c>
      <c r="N1272" s="9"/>
      <c r="O1272" s="9" t="s">
        <v>3051</v>
      </c>
      <c r="P1272" s="9" t="str">
        <f>HYPERLINK("https://ceds.ed.gov/cedselementdetails.aspx?termid=13609")</f>
        <v>https://ceds.ed.gov/cedselementdetails.aspx?termid=13609</v>
      </c>
      <c r="Q1272" s="9" t="str">
        <f>HYPERLINK("https://ceds.ed.gov/elementComment.aspx?elementName=Grade Value Qualifier &amp;elementID=13609", "Click here to submit comment")</f>
        <v>Click here to submit comment</v>
      </c>
    </row>
    <row r="1273" spans="1:17" ht="75" x14ac:dyDescent="0.25">
      <c r="A1273" s="9" t="s">
        <v>6811</v>
      </c>
      <c r="B1273" s="9" t="s">
        <v>6825</v>
      </c>
      <c r="C1273" s="9" t="s">
        <v>6827</v>
      </c>
      <c r="D1273" s="9" t="s">
        <v>6742</v>
      </c>
      <c r="E1273" s="9" t="s">
        <v>5841</v>
      </c>
      <c r="F1273" s="9" t="s">
        <v>5842</v>
      </c>
      <c r="G1273" s="10" t="s">
        <v>6716</v>
      </c>
      <c r="H1273" s="9" t="s">
        <v>199</v>
      </c>
      <c r="I1273" s="9"/>
      <c r="J1273" s="9"/>
      <c r="K1273" s="9"/>
      <c r="L1273" s="9"/>
      <c r="M1273" s="9" t="s">
        <v>5843</v>
      </c>
      <c r="N1273" s="9"/>
      <c r="O1273" s="9" t="s">
        <v>5844</v>
      </c>
      <c r="P1273" s="9" t="str">
        <f>HYPERLINK("https://ceds.ed.gov/cedselementdetails.aspx?termid=13558")</f>
        <v>https://ceds.ed.gov/cedselementdetails.aspx?termid=13558</v>
      </c>
      <c r="Q1273" s="9" t="str">
        <f>HYPERLINK("https://ceds.ed.gov/elementComment.aspx?elementName=Technology Literacy Status in 8th Grade &amp;elementID=13558", "Click here to submit comment")</f>
        <v>Click here to submit comment</v>
      </c>
    </row>
    <row r="1274" spans="1:17" ht="105" x14ac:dyDescent="0.25">
      <c r="A1274" s="9" t="s">
        <v>6811</v>
      </c>
      <c r="B1274" s="9" t="s">
        <v>6825</v>
      </c>
      <c r="C1274" s="9" t="s">
        <v>6827</v>
      </c>
      <c r="D1274" s="9" t="s">
        <v>6742</v>
      </c>
      <c r="E1274" s="9" t="s">
        <v>3043</v>
      </c>
      <c r="F1274" s="9" t="s">
        <v>3044</v>
      </c>
      <c r="G1274" s="9" t="s">
        <v>12</v>
      </c>
      <c r="H1274" s="9" t="s">
        <v>6109</v>
      </c>
      <c r="I1274" s="9"/>
      <c r="J1274" s="9" t="s">
        <v>1513</v>
      </c>
      <c r="K1274" s="9"/>
      <c r="L1274" s="9"/>
      <c r="M1274" s="9" t="s">
        <v>3045</v>
      </c>
      <c r="N1274" s="9"/>
      <c r="O1274" s="9" t="s">
        <v>3046</v>
      </c>
      <c r="P1274" s="9" t="str">
        <f>HYPERLINK("https://ceds.ed.gov/cedselementdetails.aspx?termid=13130")</f>
        <v>https://ceds.ed.gov/cedselementdetails.aspx?termid=13130</v>
      </c>
      <c r="Q1274" s="9" t="str">
        <f>HYPERLINK("https://ceds.ed.gov/elementComment.aspx?elementName=Grade Points Earned Cumulative &amp;elementID=13130", "Click here to submit comment")</f>
        <v>Click here to submit comment</v>
      </c>
    </row>
    <row r="1275" spans="1:17" ht="180" x14ac:dyDescent="0.25">
      <c r="A1275" s="9" t="s">
        <v>6811</v>
      </c>
      <c r="B1275" s="9" t="s">
        <v>6825</v>
      </c>
      <c r="C1275" s="9" t="s">
        <v>6827</v>
      </c>
      <c r="D1275" s="9" t="s">
        <v>6742</v>
      </c>
      <c r="E1275" s="9" t="s">
        <v>3021</v>
      </c>
      <c r="F1275" s="9" t="s">
        <v>3022</v>
      </c>
      <c r="G1275" s="9" t="s">
        <v>12</v>
      </c>
      <c r="H1275" s="9" t="s">
        <v>6217</v>
      </c>
      <c r="I1275" s="9"/>
      <c r="J1275" s="9" t="s">
        <v>3018</v>
      </c>
      <c r="K1275" s="9"/>
      <c r="L1275" s="9" t="s">
        <v>3023</v>
      </c>
      <c r="M1275" s="9" t="s">
        <v>3024</v>
      </c>
      <c r="N1275" s="9" t="s">
        <v>3025</v>
      </c>
      <c r="O1275" s="9" t="s">
        <v>3026</v>
      </c>
      <c r="P1275" s="9" t="str">
        <f>HYPERLINK("https://ceds.ed.gov/cedselementdetails.aspx?termid=13128")</f>
        <v>https://ceds.ed.gov/cedselementdetails.aspx?termid=13128</v>
      </c>
      <c r="Q1275" s="9" t="str">
        <f>HYPERLINK("https://ceds.ed.gov/elementComment.aspx?elementName=Grade Point Average Cumulative &amp;elementID=13128", "Click here to submit comment")</f>
        <v>Click here to submit comment</v>
      </c>
    </row>
    <row r="1276" spans="1:17" ht="90" x14ac:dyDescent="0.25">
      <c r="A1276" s="9" t="s">
        <v>6811</v>
      </c>
      <c r="B1276" s="9" t="s">
        <v>6825</v>
      </c>
      <c r="C1276" s="9" t="s">
        <v>6827</v>
      </c>
      <c r="D1276" s="9" t="s">
        <v>6742</v>
      </c>
      <c r="E1276" s="9" t="s">
        <v>3033</v>
      </c>
      <c r="F1276" s="9" t="s">
        <v>3034</v>
      </c>
      <c r="G1276" s="9" t="s">
        <v>12</v>
      </c>
      <c r="H1276" s="9" t="s">
        <v>6109</v>
      </c>
      <c r="I1276" s="9"/>
      <c r="J1276" s="9" t="s">
        <v>3018</v>
      </c>
      <c r="K1276" s="9"/>
      <c r="L1276" s="9"/>
      <c r="M1276" s="9" t="s">
        <v>3035</v>
      </c>
      <c r="N1276" s="9" t="s">
        <v>3036</v>
      </c>
      <c r="O1276" s="9" t="s">
        <v>3037</v>
      </c>
      <c r="P1276" s="9" t="str">
        <f>HYPERLINK("https://ceds.ed.gov/cedselementdetails.aspx?termid=13129")</f>
        <v>https://ceds.ed.gov/cedselementdetails.aspx?termid=13129</v>
      </c>
      <c r="Q1276" s="9" t="str">
        <f>HYPERLINK("https://ceds.ed.gov/elementComment.aspx?elementName=Grade Point Average Given Session &amp;elementID=13129", "Click here to submit comment")</f>
        <v>Click here to submit comment</v>
      </c>
    </row>
    <row r="1277" spans="1:17" ht="120" x14ac:dyDescent="0.25">
      <c r="A1277" s="9" t="s">
        <v>6811</v>
      </c>
      <c r="B1277" s="9" t="s">
        <v>6825</v>
      </c>
      <c r="C1277" s="9" t="s">
        <v>6827</v>
      </c>
      <c r="D1277" s="9" t="s">
        <v>6742</v>
      </c>
      <c r="E1277" s="9" t="s">
        <v>3123</v>
      </c>
      <c r="F1277" s="9" t="s">
        <v>3124</v>
      </c>
      <c r="G1277" s="9" t="s">
        <v>12</v>
      </c>
      <c r="H1277" s="9" t="s">
        <v>6222</v>
      </c>
      <c r="I1277" s="9"/>
      <c r="J1277" s="9" t="s">
        <v>10489</v>
      </c>
      <c r="K1277" s="9"/>
      <c r="L1277" s="9"/>
      <c r="M1277" s="9" t="s">
        <v>3125</v>
      </c>
      <c r="N1277" s="9"/>
      <c r="O1277" s="9" t="s">
        <v>3126</v>
      </c>
      <c r="P1277" s="9" t="str">
        <f>HYPERLINK("https://ceds.ed.gov/cedselementdetails.aspx?termid=13041")</f>
        <v>https://ceds.ed.gov/cedselementdetails.aspx?termid=13041</v>
      </c>
      <c r="Q1277" s="9" t="str">
        <f>HYPERLINK("https://ceds.ed.gov/elementComment.aspx?elementName=High School Student Class Rank &amp;elementID=13041", "Click here to submit comment")</f>
        <v>Click here to submit comment</v>
      </c>
    </row>
    <row r="1278" spans="1:17" ht="90" x14ac:dyDescent="0.25">
      <c r="A1278" s="9" t="s">
        <v>6811</v>
      </c>
      <c r="B1278" s="9" t="s">
        <v>6825</v>
      </c>
      <c r="C1278" s="9" t="s">
        <v>6827</v>
      </c>
      <c r="D1278" s="9" t="s">
        <v>6742</v>
      </c>
      <c r="E1278" s="9" t="s">
        <v>1773</v>
      </c>
      <c r="F1278" s="9" t="s">
        <v>1774</v>
      </c>
      <c r="G1278" s="9" t="s">
        <v>12</v>
      </c>
      <c r="H1278" s="9" t="s">
        <v>6109</v>
      </c>
      <c r="I1278" s="9"/>
      <c r="J1278" s="9" t="s">
        <v>1775</v>
      </c>
      <c r="K1278" s="9"/>
      <c r="L1278" s="9"/>
      <c r="M1278" s="9" t="s">
        <v>1776</v>
      </c>
      <c r="N1278" s="9"/>
      <c r="O1278" s="9" t="s">
        <v>1777</v>
      </c>
      <c r="P1278" s="9" t="str">
        <f>HYPERLINK("https://ceds.ed.gov/cedselementdetails.aspx?termid=13042")</f>
        <v>https://ceds.ed.gov/cedselementdetails.aspx?termid=13042</v>
      </c>
      <c r="Q1278" s="9" t="str">
        <f>HYPERLINK("https://ceds.ed.gov/elementComment.aspx?elementName=Class Ranking Date &amp;elementID=13042", "Click here to submit comment")</f>
        <v>Click here to submit comment</v>
      </c>
    </row>
    <row r="1279" spans="1:17" ht="120" x14ac:dyDescent="0.25">
      <c r="A1279" s="9" t="s">
        <v>6811</v>
      </c>
      <c r="B1279" s="9" t="s">
        <v>6825</v>
      </c>
      <c r="C1279" s="9" t="s">
        <v>6827</v>
      </c>
      <c r="D1279" s="9" t="s">
        <v>6742</v>
      </c>
      <c r="E1279" s="9" t="s">
        <v>5497</v>
      </c>
      <c r="F1279" s="9" t="s">
        <v>5498</v>
      </c>
      <c r="G1279" s="9" t="s">
        <v>12</v>
      </c>
      <c r="H1279" s="9" t="s">
        <v>6222</v>
      </c>
      <c r="I1279" s="9"/>
      <c r="J1279" s="9" t="s">
        <v>10489</v>
      </c>
      <c r="K1279" s="9"/>
      <c r="L1279" s="9"/>
      <c r="M1279" s="9" t="s">
        <v>5499</v>
      </c>
      <c r="N1279" s="9"/>
      <c r="O1279" s="9" t="s">
        <v>5500</v>
      </c>
      <c r="P1279" s="9" t="str">
        <f>HYPERLINK("https://ceds.ed.gov/cedselementdetails.aspx?termid=13294")</f>
        <v>https://ceds.ed.gov/cedselementdetails.aspx?termid=13294</v>
      </c>
      <c r="Q1279" s="9" t="str">
        <f>HYPERLINK("https://ceds.ed.gov/elementComment.aspx?elementName=Size of High School Graduating Class &amp;elementID=13294", "Click here to submit comment")</f>
        <v>Click here to submit comment</v>
      </c>
    </row>
    <row r="1280" spans="1:17" ht="90" x14ac:dyDescent="0.25">
      <c r="A1280" s="9" t="s">
        <v>6811</v>
      </c>
      <c r="B1280" s="9" t="s">
        <v>6825</v>
      </c>
      <c r="C1280" s="9" t="s">
        <v>6827</v>
      </c>
      <c r="D1280" s="9" t="s">
        <v>6742</v>
      </c>
      <c r="E1280" s="9" t="s">
        <v>4977</v>
      </c>
      <c r="F1280" s="9" t="s">
        <v>4978</v>
      </c>
      <c r="G1280" s="9" t="s">
        <v>12</v>
      </c>
      <c r="H1280" s="9" t="s">
        <v>6109</v>
      </c>
      <c r="I1280" s="9"/>
      <c r="J1280" s="9" t="s">
        <v>2270</v>
      </c>
      <c r="K1280" s="9"/>
      <c r="L1280" s="9"/>
      <c r="M1280" s="9" t="s">
        <v>4979</v>
      </c>
      <c r="N1280" s="9"/>
      <c r="O1280" s="9" t="s">
        <v>4980</v>
      </c>
      <c r="P1280" s="9" t="str">
        <f>HYPERLINK("https://ceds.ed.gov/cedselementdetails.aspx?termid=13226")</f>
        <v>https://ceds.ed.gov/cedselementdetails.aspx?termid=13226</v>
      </c>
      <c r="Q1280" s="9" t="str">
        <f>HYPERLINK("https://ceds.ed.gov/elementComment.aspx?elementName=Projected Graduation Date &amp;elementID=13226", "Click here to submit comment")</f>
        <v>Click here to submit comment</v>
      </c>
    </row>
    <row r="1281" spans="1:17" ht="345" x14ac:dyDescent="0.25">
      <c r="A1281" s="9" t="s">
        <v>6811</v>
      </c>
      <c r="B1281" s="9" t="s">
        <v>6825</v>
      </c>
      <c r="C1281" s="9" t="s">
        <v>6827</v>
      </c>
      <c r="D1281" s="9" t="s">
        <v>6742</v>
      </c>
      <c r="E1281" s="9" t="s">
        <v>26</v>
      </c>
      <c r="F1281" s="9" t="s">
        <v>27</v>
      </c>
      <c r="G1281" s="10" t="s">
        <v>6312</v>
      </c>
      <c r="H1281" s="9" t="s">
        <v>6109</v>
      </c>
      <c r="I1281" s="9"/>
      <c r="J1281" s="9"/>
      <c r="K1281" s="9"/>
      <c r="L1281" s="9"/>
      <c r="M1281" s="9" t="s">
        <v>29</v>
      </c>
      <c r="N1281" s="9"/>
      <c r="O1281" s="9" t="s">
        <v>30</v>
      </c>
      <c r="P1281" s="9" t="str">
        <f>HYPERLINK("https://ceds.ed.gov/cedselementdetails.aspx?termid=13004")</f>
        <v>https://ceds.ed.gov/cedselementdetails.aspx?termid=13004</v>
      </c>
      <c r="Q1281" s="9" t="str">
        <f>HYPERLINK("https://ceds.ed.gov/elementComment.aspx?elementName=Academic Honors Type &amp;elementID=13004", "Click here to submit comment")</f>
        <v>Click here to submit comment</v>
      </c>
    </row>
    <row r="1282" spans="1:17" ht="90" x14ac:dyDescent="0.25">
      <c r="A1282" s="9" t="s">
        <v>6811</v>
      </c>
      <c r="B1282" s="9" t="s">
        <v>6825</v>
      </c>
      <c r="C1282" s="9" t="s">
        <v>6827</v>
      </c>
      <c r="D1282" s="9" t="s">
        <v>6742</v>
      </c>
      <c r="E1282" s="9" t="s">
        <v>3166</v>
      </c>
      <c r="F1282" s="9" t="s">
        <v>3167</v>
      </c>
      <c r="G1282" s="9" t="s">
        <v>12</v>
      </c>
      <c r="H1282" s="9" t="s">
        <v>6109</v>
      </c>
      <c r="I1282" s="9"/>
      <c r="J1282" s="9" t="s">
        <v>22</v>
      </c>
      <c r="K1282" s="9"/>
      <c r="L1282" s="9"/>
      <c r="M1282" s="9" t="s">
        <v>3168</v>
      </c>
      <c r="N1282" s="9"/>
      <c r="O1282" s="9" t="s">
        <v>3169</v>
      </c>
      <c r="P1282" s="9" t="str">
        <f>HYPERLINK("https://ceds.ed.gov/cedselementdetails.aspx?termid=13150")</f>
        <v>https://ceds.ed.gov/cedselementdetails.aspx?termid=13150</v>
      </c>
      <c r="Q1282" s="9" t="str">
        <f>HYPERLINK("https://ceds.ed.gov/elementComment.aspx?elementName=Honors Description &amp;elementID=13150", "Click here to submit comment")</f>
        <v>Click here to submit comment</v>
      </c>
    </row>
    <row r="1283" spans="1:17" ht="90" x14ac:dyDescent="0.25">
      <c r="A1283" s="9" t="s">
        <v>6811</v>
      </c>
      <c r="B1283" s="9" t="s">
        <v>6825</v>
      </c>
      <c r="C1283" s="9" t="s">
        <v>6827</v>
      </c>
      <c r="D1283" s="9" t="s">
        <v>6742</v>
      </c>
      <c r="E1283" s="9" t="s">
        <v>1596</v>
      </c>
      <c r="F1283" s="9" t="s">
        <v>1597</v>
      </c>
      <c r="G1283" s="9" t="s">
        <v>6106</v>
      </c>
      <c r="H1283" s="9" t="s">
        <v>6109</v>
      </c>
      <c r="I1283" s="9"/>
      <c r="J1283" s="9"/>
      <c r="K1283" s="9"/>
      <c r="L1283" s="9"/>
      <c r="M1283" s="9" t="s">
        <v>1598</v>
      </c>
      <c r="N1283" s="9" t="s">
        <v>1599</v>
      </c>
      <c r="O1283" s="9" t="s">
        <v>1600</v>
      </c>
      <c r="P1283" s="9" t="str">
        <f>HYPERLINK("https://ceds.ed.gov/cedselementdetails.aspx?termid=13036")</f>
        <v>https://ceds.ed.gov/cedselementdetails.aspx?termid=13036</v>
      </c>
      <c r="Q1283" s="9" t="str">
        <f>HYPERLINK("https://ceds.ed.gov/elementComment.aspx?elementName=Career and Technical Education Completer &amp;elementID=13036", "Click here to submit comment")</f>
        <v>Click here to submit comment</v>
      </c>
    </row>
    <row r="1284" spans="1:17" ht="210" x14ac:dyDescent="0.25">
      <c r="A1284" s="9" t="s">
        <v>6811</v>
      </c>
      <c r="B1284" s="9" t="s">
        <v>6825</v>
      </c>
      <c r="C1284" s="9" t="s">
        <v>6827</v>
      </c>
      <c r="D1284" s="9" t="s">
        <v>6742</v>
      </c>
      <c r="E1284" s="9" t="s">
        <v>5093</v>
      </c>
      <c r="F1284" s="9" t="s">
        <v>5094</v>
      </c>
      <c r="G1284" s="10" t="s">
        <v>6677</v>
      </c>
      <c r="H1284" s="9" t="s">
        <v>6109</v>
      </c>
      <c r="I1284" s="9"/>
      <c r="J1284" s="9"/>
      <c r="K1284" s="9"/>
      <c r="L1284" s="9"/>
      <c r="M1284" s="9" t="s">
        <v>5095</v>
      </c>
      <c r="N1284" s="9"/>
      <c r="O1284" s="9" t="s">
        <v>5096</v>
      </c>
      <c r="P1284" s="9" t="str">
        <f>HYPERLINK("https://ceds.ed.gov/cedselementdetails.aspx?termid=13229")</f>
        <v>https://ceds.ed.gov/cedselementdetails.aspx?termid=13229</v>
      </c>
      <c r="Q1284" s="9" t="str">
        <f>HYPERLINK("https://ceds.ed.gov/elementComment.aspx?elementName=Recognition for Participation or Performance in an Activity &amp;elementID=13229", "Click here to submit comment")</f>
        <v>Click here to submit comment</v>
      </c>
    </row>
    <row r="1285" spans="1:17" ht="45" x14ac:dyDescent="0.25">
      <c r="A1285" s="9" t="s">
        <v>6811</v>
      </c>
      <c r="B1285" s="9" t="s">
        <v>6825</v>
      </c>
      <c r="C1285" s="9" t="s">
        <v>6827</v>
      </c>
      <c r="D1285" s="9" t="s">
        <v>6742</v>
      </c>
      <c r="E1285" s="9" t="s">
        <v>2674</v>
      </c>
      <c r="F1285" s="9" t="s">
        <v>2675</v>
      </c>
      <c r="G1285" s="10" t="s">
        <v>6492</v>
      </c>
      <c r="H1285" s="9" t="s">
        <v>4</v>
      </c>
      <c r="I1285" s="9"/>
      <c r="J1285" s="9"/>
      <c r="K1285" s="9"/>
      <c r="L1285" s="9"/>
      <c r="M1285" s="9" t="s">
        <v>2676</v>
      </c>
      <c r="N1285" s="9"/>
      <c r="O1285" s="9" t="s">
        <v>2677</v>
      </c>
      <c r="P1285" s="9" t="str">
        <f>HYPERLINK("https://ceds.ed.gov/cedselementdetails.aspx?termid=13093")</f>
        <v>https://ceds.ed.gov/cedselementdetails.aspx?termid=13093</v>
      </c>
      <c r="Q1285" s="9" t="str">
        <f>HYPERLINK("https://ceds.ed.gov/elementComment.aspx?elementName=End of Term Status &amp;elementID=13093", "Click here to submit comment")</f>
        <v>Click here to submit comment</v>
      </c>
    </row>
    <row r="1286" spans="1:17" ht="150" x14ac:dyDescent="0.25">
      <c r="A1286" s="9" t="s">
        <v>6811</v>
      </c>
      <c r="B1286" s="9" t="s">
        <v>6825</v>
      </c>
      <c r="C1286" s="9" t="s">
        <v>6827</v>
      </c>
      <c r="D1286" s="9" t="s">
        <v>6742</v>
      </c>
      <c r="E1286" s="9" t="s">
        <v>4981</v>
      </c>
      <c r="F1286" s="9" t="s">
        <v>4982</v>
      </c>
      <c r="G1286" s="10" t="s">
        <v>6667</v>
      </c>
      <c r="H1286" s="9"/>
      <c r="I1286" s="9"/>
      <c r="J1286" s="9"/>
      <c r="K1286" s="9"/>
      <c r="L1286" s="9"/>
      <c r="M1286" s="9" t="s">
        <v>4983</v>
      </c>
      <c r="N1286" s="9"/>
      <c r="O1286" s="9" t="s">
        <v>4984</v>
      </c>
      <c r="P1286" s="9" t="str">
        <f>HYPERLINK("https://ceds.ed.gov/cedselementdetails.aspx?termid=13521")</f>
        <v>https://ceds.ed.gov/cedselementdetails.aspx?termid=13521</v>
      </c>
      <c r="Q1286" s="9" t="str">
        <f>HYPERLINK("https://ceds.ed.gov/elementComment.aspx?elementName=Promotion Reason &amp;elementID=13521", "Click here to submit comment")</f>
        <v>Click here to submit comment</v>
      </c>
    </row>
    <row r="1287" spans="1:17" ht="165" x14ac:dyDescent="0.25">
      <c r="A1287" s="9" t="s">
        <v>6811</v>
      </c>
      <c r="B1287" s="9" t="s">
        <v>6825</v>
      </c>
      <c r="C1287" s="9" t="s">
        <v>6827</v>
      </c>
      <c r="D1287" s="9" t="s">
        <v>6742</v>
      </c>
      <c r="E1287" s="9" t="s">
        <v>4345</v>
      </c>
      <c r="F1287" s="9" t="s">
        <v>4346</v>
      </c>
      <c r="G1287" s="10" t="s">
        <v>6626</v>
      </c>
      <c r="H1287" s="9"/>
      <c r="I1287" s="9"/>
      <c r="J1287" s="9"/>
      <c r="K1287" s="9"/>
      <c r="L1287" s="9"/>
      <c r="M1287" s="9" t="s">
        <v>4347</v>
      </c>
      <c r="N1287" s="9"/>
      <c r="O1287" s="9" t="s">
        <v>4348</v>
      </c>
      <c r="P1287" s="9" t="str">
        <f>HYPERLINK("https://ceds.ed.gov/cedselementdetails.aspx?termid=13522")</f>
        <v>https://ceds.ed.gov/cedselementdetails.aspx?termid=13522</v>
      </c>
      <c r="Q1287" s="9" t="str">
        <f>HYPERLINK("https://ceds.ed.gov/elementComment.aspx?elementName=Nonpromotion Reason &amp;elementID=13522", "Click here to submit comment")</f>
        <v>Click here to submit comment</v>
      </c>
    </row>
    <row r="1288" spans="1:17" ht="240" x14ac:dyDescent="0.25">
      <c r="A1288" s="9" t="s">
        <v>6811</v>
      </c>
      <c r="B1288" s="9" t="s">
        <v>6825</v>
      </c>
      <c r="C1288" s="9" t="s">
        <v>6827</v>
      </c>
      <c r="D1288" s="9" t="s">
        <v>6742</v>
      </c>
      <c r="E1288" s="9" t="s">
        <v>4079</v>
      </c>
      <c r="F1288" s="9" t="s">
        <v>4080</v>
      </c>
      <c r="G1288" s="10" t="s">
        <v>6603</v>
      </c>
      <c r="H1288" s="9" t="s">
        <v>188</v>
      </c>
      <c r="I1288" s="9"/>
      <c r="J1288" s="9"/>
      <c r="K1288" s="9"/>
      <c r="L1288" s="9"/>
      <c r="M1288" s="9" t="s">
        <v>4081</v>
      </c>
      <c r="N1288" s="9"/>
      <c r="O1288" s="9" t="s">
        <v>4082</v>
      </c>
      <c r="P1288" s="9" t="str">
        <f>HYPERLINK("https://ceds.ed.gov/cedselementdetails.aspx?termid=13456")</f>
        <v>https://ceds.ed.gov/cedselementdetails.aspx?termid=13456</v>
      </c>
      <c r="Q1288" s="9" t="str">
        <f>HYPERLINK("https://ceds.ed.gov/elementComment.aspx?elementName=Literacy Assessment Administered Type &amp;elementID=13456", "Click here to submit comment")</f>
        <v>Click here to submit comment</v>
      </c>
    </row>
    <row r="1289" spans="1:17" ht="45" x14ac:dyDescent="0.25">
      <c r="A1289" s="9" t="s">
        <v>6811</v>
      </c>
      <c r="B1289" s="9" t="s">
        <v>6825</v>
      </c>
      <c r="C1289" s="9" t="s">
        <v>6827</v>
      </c>
      <c r="D1289" s="9" t="s">
        <v>6742</v>
      </c>
      <c r="E1289" s="9" t="s">
        <v>4091</v>
      </c>
      <c r="F1289" s="9" t="s">
        <v>4092</v>
      </c>
      <c r="G1289" s="9" t="s">
        <v>6106</v>
      </c>
      <c r="H1289" s="9" t="s">
        <v>188</v>
      </c>
      <c r="I1289" s="9"/>
      <c r="J1289" s="9"/>
      <c r="K1289" s="9"/>
      <c r="L1289" s="9"/>
      <c r="M1289" s="9" t="s">
        <v>4093</v>
      </c>
      <c r="N1289" s="9"/>
      <c r="O1289" s="9" t="s">
        <v>4094</v>
      </c>
      <c r="P1289" s="9" t="str">
        <f>HYPERLINK("https://ceds.ed.gov/cedselementdetails.aspx?termid=13459")</f>
        <v>https://ceds.ed.gov/cedselementdetails.aspx?termid=13459</v>
      </c>
      <c r="Q1289" s="9" t="str">
        <f>HYPERLINK("https://ceds.ed.gov/elementComment.aspx?elementName=Literacy Pre Test Status &amp;elementID=13459", "Click here to submit comment")</f>
        <v>Click here to submit comment</v>
      </c>
    </row>
    <row r="1290" spans="1:17" ht="45" x14ac:dyDescent="0.25">
      <c r="A1290" s="9" t="s">
        <v>6811</v>
      </c>
      <c r="B1290" s="9" t="s">
        <v>6825</v>
      </c>
      <c r="C1290" s="9" t="s">
        <v>6827</v>
      </c>
      <c r="D1290" s="9" t="s">
        <v>6742</v>
      </c>
      <c r="E1290" s="9" t="s">
        <v>4087</v>
      </c>
      <c r="F1290" s="9" t="s">
        <v>4088</v>
      </c>
      <c r="G1290" s="9" t="s">
        <v>6106</v>
      </c>
      <c r="H1290" s="9" t="s">
        <v>188</v>
      </c>
      <c r="I1290" s="9"/>
      <c r="J1290" s="9"/>
      <c r="K1290" s="9"/>
      <c r="L1290" s="9"/>
      <c r="M1290" s="9" t="s">
        <v>4089</v>
      </c>
      <c r="N1290" s="9"/>
      <c r="O1290" s="9" t="s">
        <v>4090</v>
      </c>
      <c r="P1290" s="9" t="str">
        <f>HYPERLINK("https://ceds.ed.gov/cedselementdetails.aspx?termid=13458")</f>
        <v>https://ceds.ed.gov/cedselementdetails.aspx?termid=13458</v>
      </c>
      <c r="Q1290" s="9" t="str">
        <f>HYPERLINK("https://ceds.ed.gov/elementComment.aspx?elementName=Literacy Post Test Status &amp;elementID=13458", "Click here to submit comment")</f>
        <v>Click here to submit comment</v>
      </c>
    </row>
    <row r="1291" spans="1:17" ht="60" x14ac:dyDescent="0.25">
      <c r="A1291" s="9" t="s">
        <v>6811</v>
      </c>
      <c r="B1291" s="9" t="s">
        <v>6825</v>
      </c>
      <c r="C1291" s="9" t="s">
        <v>6827</v>
      </c>
      <c r="D1291" s="9" t="s">
        <v>6742</v>
      </c>
      <c r="E1291" s="9" t="s">
        <v>4083</v>
      </c>
      <c r="F1291" s="9" t="s">
        <v>4084</v>
      </c>
      <c r="G1291" s="9" t="s">
        <v>6106</v>
      </c>
      <c r="H1291" s="9" t="s">
        <v>188</v>
      </c>
      <c r="I1291" s="9"/>
      <c r="J1291" s="9"/>
      <c r="K1291" s="9"/>
      <c r="L1291" s="9"/>
      <c r="M1291" s="9" t="s">
        <v>4085</v>
      </c>
      <c r="N1291" s="9"/>
      <c r="O1291" s="9" t="s">
        <v>4086</v>
      </c>
      <c r="P1291" s="9" t="str">
        <f>HYPERLINK("https://ceds.ed.gov/cedselementdetails.aspx?termid=13457")</f>
        <v>https://ceds.ed.gov/cedselementdetails.aspx?termid=13457</v>
      </c>
      <c r="Q1291" s="9" t="str">
        <f>HYPERLINK("https://ceds.ed.gov/elementComment.aspx?elementName=Literacy Goal Met Status &amp;elementID=13457", "Click here to submit comment")</f>
        <v>Click here to submit comment</v>
      </c>
    </row>
    <row r="1292" spans="1:17" ht="75" x14ac:dyDescent="0.25">
      <c r="A1292" s="9" t="s">
        <v>6811</v>
      </c>
      <c r="B1292" s="9" t="s">
        <v>6825</v>
      </c>
      <c r="C1292" s="9" t="s">
        <v>6827</v>
      </c>
      <c r="D1292" s="9" t="s">
        <v>6742</v>
      </c>
      <c r="E1292" s="9" t="s">
        <v>4632</v>
      </c>
      <c r="F1292" s="9" t="s">
        <v>4633</v>
      </c>
      <c r="G1292" s="10" t="s">
        <v>6330</v>
      </c>
      <c r="H1292" s="9" t="s">
        <v>199</v>
      </c>
      <c r="I1292" s="9"/>
      <c r="J1292" s="9"/>
      <c r="K1292" s="9"/>
      <c r="L1292" s="9"/>
      <c r="M1292" s="9" t="s">
        <v>4634</v>
      </c>
      <c r="N1292" s="9"/>
      <c r="O1292" s="9" t="s">
        <v>4635</v>
      </c>
      <c r="P1292" s="9" t="str">
        <f>HYPERLINK("https://ceds.ed.gov/cedselementdetails.aspx?termid=13579")</f>
        <v>https://ceds.ed.gov/cedselementdetails.aspx?termid=13579</v>
      </c>
      <c r="Q1292" s="9" t="str">
        <f>HYPERLINK("https://ceds.ed.gov/elementComment.aspx?elementName=Postsecondary Enrollment Action &amp;elementID=13579", "Click here to submit comment")</f>
        <v>Click here to submit comment</v>
      </c>
    </row>
    <row r="1293" spans="1:17" ht="45" x14ac:dyDescent="0.25">
      <c r="A1293" s="9" t="s">
        <v>6811</v>
      </c>
      <c r="B1293" s="9" t="s">
        <v>6825</v>
      </c>
      <c r="C1293" s="9" t="s">
        <v>6827</v>
      </c>
      <c r="D1293" s="9" t="s">
        <v>6742</v>
      </c>
      <c r="E1293" s="9" t="s">
        <v>1802</v>
      </c>
      <c r="F1293" s="9" t="s">
        <v>1803</v>
      </c>
      <c r="G1293" s="9" t="s">
        <v>12</v>
      </c>
      <c r="H1293" s="9"/>
      <c r="I1293" s="9"/>
      <c r="J1293" s="9" t="s">
        <v>87</v>
      </c>
      <c r="K1293" s="9"/>
      <c r="L1293" s="9"/>
      <c r="M1293" s="9" t="s">
        <v>1804</v>
      </c>
      <c r="N1293" s="9"/>
      <c r="O1293" s="9" t="s">
        <v>1805</v>
      </c>
      <c r="P1293" s="9" t="str">
        <f>HYPERLINK("https://ceds.ed.gov/cedselementdetails.aspx?termid=13687")</f>
        <v>https://ceds.ed.gov/cedselementdetails.aspx?termid=13687</v>
      </c>
      <c r="Q1293" s="9" t="str">
        <f>HYPERLINK("https://ceds.ed.gov/elementComment.aspx?elementName=Cohort Description &amp;elementID=13687", "Click here to submit comment")</f>
        <v>Click here to submit comment</v>
      </c>
    </row>
    <row r="1294" spans="1:17" ht="45" x14ac:dyDescent="0.25">
      <c r="A1294" s="9" t="s">
        <v>6811</v>
      </c>
      <c r="B1294" s="9" t="s">
        <v>6825</v>
      </c>
      <c r="C1294" s="9" t="s">
        <v>6827</v>
      </c>
      <c r="D1294" s="9" t="s">
        <v>6742</v>
      </c>
      <c r="E1294" s="9" t="s">
        <v>3068</v>
      </c>
      <c r="F1294" s="9" t="s">
        <v>3069</v>
      </c>
      <c r="G1294" s="9" t="s">
        <v>12</v>
      </c>
      <c r="H1294" s="9"/>
      <c r="I1294" s="9"/>
      <c r="J1294" s="9" t="s">
        <v>1813</v>
      </c>
      <c r="K1294" s="9"/>
      <c r="L1294" s="9"/>
      <c r="M1294" s="9" t="s">
        <v>3070</v>
      </c>
      <c r="N1294" s="9"/>
      <c r="O1294" s="9" t="s">
        <v>3071</v>
      </c>
      <c r="P1294" s="9" t="str">
        <f>HYPERLINK("https://ceds.ed.gov/cedselementdetails.aspx?termid=13132")</f>
        <v>https://ceds.ed.gov/cedselementdetails.aspx?termid=13132</v>
      </c>
      <c r="Q1294" s="9" t="str">
        <f>HYPERLINK("https://ceds.ed.gov/elementComment.aspx?elementName=Graduation Rate Survey Cohort Year &amp;elementID=13132", "Click here to submit comment")</f>
        <v>Click here to submit comment</v>
      </c>
    </row>
    <row r="1295" spans="1:17" ht="75" x14ac:dyDescent="0.25">
      <c r="A1295" s="9" t="s">
        <v>6811</v>
      </c>
      <c r="B1295" s="9" t="s">
        <v>6825</v>
      </c>
      <c r="C1295" s="9" t="s">
        <v>6827</v>
      </c>
      <c r="D1295" s="9" t="s">
        <v>6742</v>
      </c>
      <c r="E1295" s="9" t="s">
        <v>3072</v>
      </c>
      <c r="F1295" s="9" t="s">
        <v>3073</v>
      </c>
      <c r="G1295" s="9" t="s">
        <v>6106</v>
      </c>
      <c r="H1295" s="9" t="s">
        <v>3076</v>
      </c>
      <c r="I1295" s="9"/>
      <c r="J1295" s="9"/>
      <c r="K1295" s="9"/>
      <c r="L1295" s="9"/>
      <c r="M1295" s="9" t="s">
        <v>3074</v>
      </c>
      <c r="N1295" s="9"/>
      <c r="O1295" s="9" t="s">
        <v>3075</v>
      </c>
      <c r="P1295" s="9" t="str">
        <f>HYPERLINK("https://ceds.ed.gov/cedselementdetails.aspx?termid=13133")</f>
        <v>https://ceds.ed.gov/cedselementdetails.aspx?termid=13133</v>
      </c>
      <c r="Q1295" s="9" t="str">
        <f>HYPERLINK("https://ceds.ed.gov/elementComment.aspx?elementName=Graduation Rate Survey Indicator &amp;elementID=13133", "Click here to submit comment")</f>
        <v>Click here to submit comment</v>
      </c>
    </row>
    <row r="1296" spans="1:17" ht="75" x14ac:dyDescent="0.25">
      <c r="A1296" s="9" t="s">
        <v>6811</v>
      </c>
      <c r="B1296" s="9" t="s">
        <v>6825</v>
      </c>
      <c r="C1296" s="9" t="s">
        <v>6827</v>
      </c>
      <c r="D1296" s="9" t="s">
        <v>6742</v>
      </c>
      <c r="E1296" s="9" t="s">
        <v>4668</v>
      </c>
      <c r="F1296" s="9" t="s">
        <v>4669</v>
      </c>
      <c r="G1296" s="10" t="s">
        <v>6643</v>
      </c>
      <c r="H1296" s="9" t="s">
        <v>6142</v>
      </c>
      <c r="I1296" s="9"/>
      <c r="J1296" s="9"/>
      <c r="K1296" s="9"/>
      <c r="L1296" s="9"/>
      <c r="M1296" s="9" t="s">
        <v>4670</v>
      </c>
      <c r="N1296" s="9"/>
      <c r="O1296" s="9" t="s">
        <v>4671</v>
      </c>
      <c r="P1296" s="9" t="str">
        <f>HYPERLINK("https://ceds.ed.gov/cedselementdetails.aspx?termid=13563")</f>
        <v>https://ceds.ed.gov/cedselementdetails.aspx?termid=13563</v>
      </c>
      <c r="Q1296" s="9" t="str">
        <f>HYPERLINK("https://ceds.ed.gov/elementComment.aspx?elementName=Pre and Post Test Indicator &amp;elementID=13563", "Click here to submit comment")</f>
        <v>Click here to submit comment</v>
      </c>
    </row>
    <row r="1297" spans="1:17" ht="45" x14ac:dyDescent="0.25">
      <c r="A1297" s="9" t="s">
        <v>6811</v>
      </c>
      <c r="B1297" s="9" t="s">
        <v>6825</v>
      </c>
      <c r="C1297" s="9" t="s">
        <v>6827</v>
      </c>
      <c r="D1297" s="9" t="s">
        <v>6742</v>
      </c>
      <c r="E1297" s="9" t="s">
        <v>4884</v>
      </c>
      <c r="F1297" s="9" t="s">
        <v>4885</v>
      </c>
      <c r="G1297" s="10" t="s">
        <v>6661</v>
      </c>
      <c r="H1297" s="9" t="s">
        <v>199</v>
      </c>
      <c r="I1297" s="9"/>
      <c r="J1297" s="9"/>
      <c r="K1297" s="9"/>
      <c r="L1297" s="9"/>
      <c r="M1297" s="9" t="s">
        <v>4886</v>
      </c>
      <c r="N1297" s="9"/>
      <c r="O1297" s="9" t="s">
        <v>4887</v>
      </c>
      <c r="P1297" s="9" t="str">
        <f>HYPERLINK("https://ceds.ed.gov/cedselementdetails.aspx?termid=13565")</f>
        <v>https://ceds.ed.gov/cedselementdetails.aspx?termid=13565</v>
      </c>
      <c r="Q1297" s="9" t="str">
        <f>HYPERLINK("https://ceds.ed.gov/elementComment.aspx?elementName=Proficiency Status &amp;elementID=13565", "Click here to submit comment")</f>
        <v>Click here to submit comment</v>
      </c>
    </row>
    <row r="1298" spans="1:17" ht="165" x14ac:dyDescent="0.25">
      <c r="A1298" s="9" t="s">
        <v>6811</v>
      </c>
      <c r="B1298" s="9" t="s">
        <v>6825</v>
      </c>
      <c r="C1298" s="9" t="s">
        <v>6827</v>
      </c>
      <c r="D1298" s="9" t="s">
        <v>6742</v>
      </c>
      <c r="E1298" s="9" t="s">
        <v>4973</v>
      </c>
      <c r="F1298" s="9" t="s">
        <v>4974</v>
      </c>
      <c r="G1298" s="10" t="s">
        <v>6666</v>
      </c>
      <c r="H1298" s="9" t="s">
        <v>199</v>
      </c>
      <c r="I1298" s="9"/>
      <c r="J1298" s="9"/>
      <c r="K1298" s="9"/>
      <c r="L1298" s="9"/>
      <c r="M1298" s="9" t="s">
        <v>4975</v>
      </c>
      <c r="N1298" s="9"/>
      <c r="O1298" s="9" t="s">
        <v>4976</v>
      </c>
      <c r="P1298" s="9" t="str">
        <f>HYPERLINK("https://ceds.ed.gov/cedselementdetails.aspx?termid=13553")</f>
        <v>https://ceds.ed.gov/cedselementdetails.aspx?termid=13553</v>
      </c>
      <c r="Q1298" s="9" t="str">
        <f>HYPERLINK("https://ceds.ed.gov/elementComment.aspx?elementName=Progress Level &amp;elementID=13553", "Click here to submit comment")</f>
        <v>Click here to submit comment</v>
      </c>
    </row>
    <row r="1299" spans="1:17" ht="45" x14ac:dyDescent="0.25">
      <c r="A1299" s="9" t="s">
        <v>6811</v>
      </c>
      <c r="B1299" s="9" t="s">
        <v>6825</v>
      </c>
      <c r="C1299" s="9" t="s">
        <v>6827</v>
      </c>
      <c r="D1299" s="9" t="s">
        <v>6742</v>
      </c>
      <c r="E1299" s="9" t="s">
        <v>1632</v>
      </c>
      <c r="F1299" s="9" t="s">
        <v>1633</v>
      </c>
      <c r="G1299" s="9" t="s">
        <v>12</v>
      </c>
      <c r="H1299" s="9"/>
      <c r="I1299" s="9"/>
      <c r="J1299" s="9" t="s">
        <v>73</v>
      </c>
      <c r="K1299" s="9"/>
      <c r="L1299" s="9"/>
      <c r="M1299" s="9" t="s">
        <v>1634</v>
      </c>
      <c r="N1299" s="9"/>
      <c r="O1299" s="9" t="s">
        <v>1635</v>
      </c>
      <c r="P1299" s="9" t="str">
        <f>HYPERLINK("https://ceds.ed.gov/cedselementdetails.aspx?termid=14255")</f>
        <v>https://ceds.ed.gov/cedselementdetails.aspx?termid=14255</v>
      </c>
      <c r="Q1299" s="9" t="str">
        <f>HYPERLINK("https://ceds.ed.gov/elementComment.aspx?elementName=Career Education Plan Date &amp;elementID=14255", "Click here to submit comment")</f>
        <v>Click here to submit comment</v>
      </c>
    </row>
    <row r="1300" spans="1:17" ht="75" x14ac:dyDescent="0.25">
      <c r="A1300" s="9" t="s">
        <v>6811</v>
      </c>
      <c r="B1300" s="9" t="s">
        <v>6825</v>
      </c>
      <c r="C1300" s="9" t="s">
        <v>6827</v>
      </c>
      <c r="D1300" s="9" t="s">
        <v>6742</v>
      </c>
      <c r="E1300" s="9" t="s">
        <v>1636</v>
      </c>
      <c r="F1300" s="9" t="s">
        <v>1637</v>
      </c>
      <c r="G1300" s="10" t="s">
        <v>6397</v>
      </c>
      <c r="H1300" s="9"/>
      <c r="I1300" s="9"/>
      <c r="J1300" s="9"/>
      <c r="K1300" s="9"/>
      <c r="L1300" s="9"/>
      <c r="M1300" s="9" t="s">
        <v>1638</v>
      </c>
      <c r="N1300" s="9"/>
      <c r="O1300" s="9" t="s">
        <v>1639</v>
      </c>
      <c r="P1300" s="9" t="str">
        <f>HYPERLINK("https://ceds.ed.gov/cedselementdetails.aspx?termid=14256")</f>
        <v>https://ceds.ed.gov/cedselementdetails.aspx?termid=14256</v>
      </c>
      <c r="Q1300" s="9" t="str">
        <f>HYPERLINK("https://ceds.ed.gov/elementComment.aspx?elementName=Career Education Plan Type &amp;elementID=14256", "Click here to submit comment")</f>
        <v>Click here to submit comment</v>
      </c>
    </row>
    <row r="1301" spans="1:17" ht="45" x14ac:dyDescent="0.25">
      <c r="A1301" s="9" t="s">
        <v>6811</v>
      </c>
      <c r="B1301" s="9" t="s">
        <v>6825</v>
      </c>
      <c r="C1301" s="9" t="s">
        <v>6827</v>
      </c>
      <c r="D1301" s="9" t="s">
        <v>6742</v>
      </c>
      <c r="E1301" s="9" t="s">
        <v>1951</v>
      </c>
      <c r="F1301" s="9" t="s">
        <v>1952</v>
      </c>
      <c r="G1301" s="9" t="s">
        <v>12</v>
      </c>
      <c r="H1301" s="9"/>
      <c r="I1301" s="9"/>
      <c r="J1301" s="9" t="s">
        <v>92</v>
      </c>
      <c r="K1301" s="9"/>
      <c r="L1301" s="9"/>
      <c r="M1301" s="9" t="s">
        <v>1953</v>
      </c>
      <c r="N1301" s="9"/>
      <c r="O1301" s="9" t="s">
        <v>1954</v>
      </c>
      <c r="P1301" s="9" t="str">
        <f>HYPERLINK("https://ceds.ed.gov/cedselementdetails.aspx?termid=14525")</f>
        <v>https://ceds.ed.gov/cedselementdetails.aspx?termid=14525</v>
      </c>
      <c r="Q1301" s="9" t="str">
        <f>HYPERLINK("https://ceds.ed.gov/elementComment.aspx?elementName=Course Department Name &amp;elementID=14525", "Click here to submit comment")</f>
        <v>Click here to submit comment</v>
      </c>
    </row>
    <row r="1302" spans="1:17" ht="45" x14ac:dyDescent="0.25">
      <c r="A1302" s="9" t="s">
        <v>6811</v>
      </c>
      <c r="B1302" s="9" t="s">
        <v>6825</v>
      </c>
      <c r="C1302" s="9" t="s">
        <v>6827</v>
      </c>
      <c r="D1302" s="9" t="s">
        <v>6742</v>
      </c>
      <c r="E1302" s="9" t="s">
        <v>5720</v>
      </c>
      <c r="F1302" s="9" t="s">
        <v>5721</v>
      </c>
      <c r="G1302" s="9" t="s">
        <v>12</v>
      </c>
      <c r="H1302" s="9"/>
      <c r="I1302" s="9"/>
      <c r="J1302" s="9" t="s">
        <v>68</v>
      </c>
      <c r="K1302" s="9"/>
      <c r="L1302" s="9"/>
      <c r="M1302" s="9" t="s">
        <v>5722</v>
      </c>
      <c r="N1302" s="9"/>
      <c r="O1302" s="9" t="s">
        <v>5723</v>
      </c>
      <c r="P1302" s="9" t="str">
        <f>HYPERLINK("https://ceds.ed.gov/cedselementdetails.aspx?termid=14552")</f>
        <v>https://ceds.ed.gov/cedselementdetails.aspx?termid=14552</v>
      </c>
      <c r="Q1302" s="9" t="str">
        <f>HYPERLINK("https://ceds.ed.gov/elementComment.aspx?elementName=Student Course Section Grade Narrative &amp;elementID=14552", "Click here to submit comment")</f>
        <v>Click here to submit comment</v>
      </c>
    </row>
    <row r="1303" spans="1:17" ht="90" x14ac:dyDescent="0.25">
      <c r="A1303" s="9" t="s">
        <v>6811</v>
      </c>
      <c r="B1303" s="9" t="s">
        <v>6825</v>
      </c>
      <c r="C1303" s="9" t="s">
        <v>6828</v>
      </c>
      <c r="D1303" s="9" t="s">
        <v>6742</v>
      </c>
      <c r="E1303" s="9" t="s">
        <v>141</v>
      </c>
      <c r="F1303" s="9" t="s">
        <v>142</v>
      </c>
      <c r="G1303" s="9" t="s">
        <v>12</v>
      </c>
      <c r="H1303" s="9" t="s">
        <v>6109</v>
      </c>
      <c r="I1303" s="9"/>
      <c r="J1303" s="9" t="s">
        <v>92</v>
      </c>
      <c r="K1303" s="9"/>
      <c r="L1303" s="9"/>
      <c r="M1303" s="9" t="s">
        <v>143</v>
      </c>
      <c r="N1303" s="9"/>
      <c r="O1303" s="9" t="s">
        <v>144</v>
      </c>
      <c r="P1303" s="9" t="str">
        <f>HYPERLINK("https://ceds.ed.gov/cedselementdetails.aspx?termid=13009")</f>
        <v>https://ceds.ed.gov/cedselementdetails.aspx?termid=13009</v>
      </c>
      <c r="Q1303" s="9" t="str">
        <f>HYPERLINK("https://ceds.ed.gov/elementComment.aspx?elementName=Activity Title &amp;elementID=13009", "Click here to submit comment")</f>
        <v>Click here to submit comment</v>
      </c>
    </row>
    <row r="1304" spans="1:17" ht="105" x14ac:dyDescent="0.25">
      <c r="A1304" s="18" t="s">
        <v>6811</v>
      </c>
      <c r="B1304" s="18" t="s">
        <v>6825</v>
      </c>
      <c r="C1304" s="18" t="s">
        <v>6828</v>
      </c>
      <c r="D1304" s="18" t="s">
        <v>6742</v>
      </c>
      <c r="E1304" s="18" t="s">
        <v>117</v>
      </c>
      <c r="F1304" s="18" t="s">
        <v>118</v>
      </c>
      <c r="G1304" s="18" t="s">
        <v>12</v>
      </c>
      <c r="H1304" s="18" t="s">
        <v>6109</v>
      </c>
      <c r="I1304" s="18"/>
      <c r="J1304" s="18" t="s">
        <v>119</v>
      </c>
      <c r="K1304" s="18"/>
      <c r="L1304" s="9" t="s">
        <v>120</v>
      </c>
      <c r="M1304" s="18" t="s">
        <v>122</v>
      </c>
      <c r="N1304" s="18"/>
      <c r="O1304" s="18" t="s">
        <v>123</v>
      </c>
      <c r="P1304" s="18" t="str">
        <f>HYPERLINK("https://ceds.ed.gov/cedselementdetails.aspx?termid=13006")</f>
        <v>https://ceds.ed.gov/cedselementdetails.aspx?termid=13006</v>
      </c>
      <c r="Q1304" s="18" t="str">
        <f>HYPERLINK("https://ceds.ed.gov/elementComment.aspx?elementName=Activity Identifier &amp;elementID=13006", "Click here to submit comment")</f>
        <v>Click here to submit comment</v>
      </c>
    </row>
    <row r="1305" spans="1:17" x14ac:dyDescent="0.25">
      <c r="A1305" s="18"/>
      <c r="B1305" s="18"/>
      <c r="C1305" s="18"/>
      <c r="D1305" s="18"/>
      <c r="E1305" s="18"/>
      <c r="F1305" s="18"/>
      <c r="G1305" s="18"/>
      <c r="H1305" s="18"/>
      <c r="I1305" s="18"/>
      <c r="J1305" s="18"/>
      <c r="K1305" s="18"/>
      <c r="L1305" s="9"/>
      <c r="M1305" s="18"/>
      <c r="N1305" s="18"/>
      <c r="O1305" s="18"/>
      <c r="P1305" s="18"/>
      <c r="Q1305" s="18"/>
    </row>
    <row r="1306" spans="1:17" ht="90" x14ac:dyDescent="0.25">
      <c r="A1306" s="18"/>
      <c r="B1306" s="18"/>
      <c r="C1306" s="18"/>
      <c r="D1306" s="18"/>
      <c r="E1306" s="18"/>
      <c r="F1306" s="18"/>
      <c r="G1306" s="18"/>
      <c r="H1306" s="18"/>
      <c r="I1306" s="18"/>
      <c r="J1306" s="18"/>
      <c r="K1306" s="18"/>
      <c r="L1306" s="9" t="s">
        <v>121</v>
      </c>
      <c r="M1306" s="18"/>
      <c r="N1306" s="18"/>
      <c r="O1306" s="18"/>
      <c r="P1306" s="18"/>
      <c r="Q1306" s="18"/>
    </row>
    <row r="1307" spans="1:17" ht="90" x14ac:dyDescent="0.25">
      <c r="A1307" s="9" t="s">
        <v>6811</v>
      </c>
      <c r="B1307" s="9" t="s">
        <v>6825</v>
      </c>
      <c r="C1307" s="9" t="s">
        <v>6828</v>
      </c>
      <c r="D1307" s="9" t="s">
        <v>6742</v>
      </c>
      <c r="E1307" s="9" t="s">
        <v>113</v>
      </c>
      <c r="F1307" s="9" t="s">
        <v>114</v>
      </c>
      <c r="G1307" s="9" t="s">
        <v>12</v>
      </c>
      <c r="H1307" s="9"/>
      <c r="I1307" s="9"/>
      <c r="J1307" s="9" t="s">
        <v>68</v>
      </c>
      <c r="K1307" s="9"/>
      <c r="L1307" s="9"/>
      <c r="M1307" s="9" t="s">
        <v>115</v>
      </c>
      <c r="N1307" s="9"/>
      <c r="O1307" s="9" t="s">
        <v>116</v>
      </c>
      <c r="P1307" s="9" t="str">
        <f>HYPERLINK("https://ceds.ed.gov/cedselementdetails.aspx?termid=14505")</f>
        <v>https://ceds.ed.gov/cedselementdetails.aspx?termid=14505</v>
      </c>
      <c r="Q1307" s="9" t="str">
        <f>HYPERLINK("https://ceds.ed.gov/elementComment.aspx?elementName=Activity Description &amp;elementID=14505", "Click here to submit comment")</f>
        <v>Click here to submit comment</v>
      </c>
    </row>
    <row r="1308" spans="1:17" ht="90" x14ac:dyDescent="0.25">
      <c r="A1308" s="9" t="s">
        <v>6811</v>
      </c>
      <c r="B1308" s="9" t="s">
        <v>6825</v>
      </c>
      <c r="C1308" s="9" t="s">
        <v>6828</v>
      </c>
      <c r="D1308" s="9" t="s">
        <v>6742</v>
      </c>
      <c r="E1308" s="9" t="s">
        <v>124</v>
      </c>
      <c r="F1308" s="9" t="s">
        <v>125</v>
      </c>
      <c r="G1308" s="9" t="s">
        <v>12</v>
      </c>
      <c r="H1308" s="9" t="s">
        <v>6109</v>
      </c>
      <c r="I1308" s="9"/>
      <c r="J1308" s="9" t="s">
        <v>73</v>
      </c>
      <c r="K1308" s="9"/>
      <c r="L1308" s="9"/>
      <c r="M1308" s="9" t="s">
        <v>126</v>
      </c>
      <c r="N1308" s="9"/>
      <c r="O1308" s="9" t="s">
        <v>127</v>
      </c>
      <c r="P1308" s="9" t="str">
        <f>HYPERLINK("https://ceds.ed.gov/cedselementdetails.aspx?termid=13007")</f>
        <v>https://ceds.ed.gov/cedselementdetails.aspx?termid=13007</v>
      </c>
      <c r="Q1308" s="9" t="str">
        <f>HYPERLINK("https://ceds.ed.gov/elementComment.aspx?elementName=Activity Involvement Begin Date &amp;elementID=13007", "Click here to submit comment")</f>
        <v>Click here to submit comment</v>
      </c>
    </row>
    <row r="1309" spans="1:17" ht="90" x14ac:dyDescent="0.25">
      <c r="A1309" s="9" t="s">
        <v>6811</v>
      </c>
      <c r="B1309" s="9" t="s">
        <v>6825</v>
      </c>
      <c r="C1309" s="9" t="s">
        <v>6828</v>
      </c>
      <c r="D1309" s="9" t="s">
        <v>6742</v>
      </c>
      <c r="E1309" s="9" t="s">
        <v>128</v>
      </c>
      <c r="F1309" s="9" t="s">
        <v>129</v>
      </c>
      <c r="G1309" s="9" t="s">
        <v>12</v>
      </c>
      <c r="H1309" s="9" t="s">
        <v>6109</v>
      </c>
      <c r="I1309" s="9"/>
      <c r="J1309" s="9" t="s">
        <v>73</v>
      </c>
      <c r="K1309" s="9"/>
      <c r="L1309" s="9"/>
      <c r="M1309" s="9" t="s">
        <v>130</v>
      </c>
      <c r="N1309" s="9"/>
      <c r="O1309" s="9" t="s">
        <v>131</v>
      </c>
      <c r="P1309" s="9" t="str">
        <f>HYPERLINK("https://ceds.ed.gov/cedselementdetails.aspx?termid=13008")</f>
        <v>https://ceds.ed.gov/cedselementdetails.aspx?termid=13008</v>
      </c>
      <c r="Q1309" s="9" t="str">
        <f>HYPERLINK("https://ceds.ed.gov/elementComment.aspx?elementName=Activity Involvement End Date &amp;elementID=13008", "Click here to submit comment")</f>
        <v>Click here to submit comment</v>
      </c>
    </row>
    <row r="1310" spans="1:17" ht="90" x14ac:dyDescent="0.25">
      <c r="A1310" s="9" t="s">
        <v>6811</v>
      </c>
      <c r="B1310" s="9" t="s">
        <v>6825</v>
      </c>
      <c r="C1310" s="9" t="s">
        <v>6828</v>
      </c>
      <c r="D1310" s="9" t="s">
        <v>6742</v>
      </c>
      <c r="E1310" s="9" t="s">
        <v>132</v>
      </c>
      <c r="F1310" s="9" t="s">
        <v>133</v>
      </c>
      <c r="G1310" s="9" t="s">
        <v>12</v>
      </c>
      <c r="H1310" s="9"/>
      <c r="I1310" s="9"/>
      <c r="J1310" s="9" t="s">
        <v>134</v>
      </c>
      <c r="K1310" s="9"/>
      <c r="L1310" s="9"/>
      <c r="M1310" s="9" t="s">
        <v>135</v>
      </c>
      <c r="N1310" s="9"/>
      <c r="O1310" s="9" t="s">
        <v>136</v>
      </c>
      <c r="P1310" s="9" t="str">
        <f>HYPERLINK("https://ceds.ed.gov/cedselementdetails.aspx?termid=14502")</f>
        <v>https://ceds.ed.gov/cedselementdetails.aspx?termid=14502</v>
      </c>
      <c r="Q1310" s="9" t="str">
        <f>HYPERLINK("https://ceds.ed.gov/elementComment.aspx?elementName=Activity Time Involved &amp;elementID=14502", "Click here to submit comment")</f>
        <v>Click here to submit comment</v>
      </c>
    </row>
    <row r="1311" spans="1:17" ht="105" x14ac:dyDescent="0.25">
      <c r="A1311" s="9" t="s">
        <v>6811</v>
      </c>
      <c r="B1311" s="9" t="s">
        <v>6825</v>
      </c>
      <c r="C1311" s="9" t="s">
        <v>6828</v>
      </c>
      <c r="D1311" s="9" t="s">
        <v>6742</v>
      </c>
      <c r="E1311" s="9" t="s">
        <v>137</v>
      </c>
      <c r="F1311" s="9" t="s">
        <v>138</v>
      </c>
      <c r="G1311" s="10" t="s">
        <v>6317</v>
      </c>
      <c r="H1311" s="9"/>
      <c r="I1311" s="9"/>
      <c r="J1311" s="9"/>
      <c r="K1311" s="9"/>
      <c r="L1311" s="9"/>
      <c r="M1311" s="9" t="s">
        <v>139</v>
      </c>
      <c r="N1311" s="9"/>
      <c r="O1311" s="9" t="s">
        <v>140</v>
      </c>
      <c r="P1311" s="9" t="str">
        <f>HYPERLINK("https://ceds.ed.gov/cedselementdetails.aspx?termid=14503")</f>
        <v>https://ceds.ed.gov/cedselementdetails.aspx?termid=14503</v>
      </c>
      <c r="Q1311" s="9" t="str">
        <f>HYPERLINK("https://ceds.ed.gov/elementComment.aspx?elementName=Activity Time Measurement Type &amp;elementID=14503", "Click here to submit comment")</f>
        <v>Click here to submit comment</v>
      </c>
    </row>
    <row r="1312" spans="1:17" ht="135" x14ac:dyDescent="0.25">
      <c r="A1312" s="9" t="s">
        <v>6811</v>
      </c>
      <c r="B1312" s="9" t="s">
        <v>6825</v>
      </c>
      <c r="C1312" s="9" t="s">
        <v>6829</v>
      </c>
      <c r="D1312" s="9" t="s">
        <v>6742</v>
      </c>
      <c r="E1312" s="9" t="s">
        <v>2268</v>
      </c>
      <c r="F1312" s="9" t="s">
        <v>2269</v>
      </c>
      <c r="G1312" s="9" t="s">
        <v>12</v>
      </c>
      <c r="H1312" s="9" t="s">
        <v>6186</v>
      </c>
      <c r="I1312" s="9"/>
      <c r="J1312" s="9" t="s">
        <v>2270</v>
      </c>
      <c r="K1312" s="9"/>
      <c r="L1312" s="9"/>
      <c r="M1312" s="9" t="s">
        <v>2271</v>
      </c>
      <c r="N1312" s="9"/>
      <c r="O1312" s="9" t="s">
        <v>2272</v>
      </c>
      <c r="P1312" s="9" t="str">
        <f>HYPERLINK("https://ceds.ed.gov/cedselementdetails.aspx?termid=13081")</f>
        <v>https://ceds.ed.gov/cedselementdetails.aspx?termid=13081</v>
      </c>
      <c r="Q1312" s="9" t="str">
        <f>HYPERLINK("https://ceds.ed.gov/elementComment.aspx?elementName=Diploma or Credential Award Date &amp;elementID=13081", "Click here to submit comment")</f>
        <v>Click here to submit comment</v>
      </c>
    </row>
    <row r="1313" spans="1:17" ht="285" x14ac:dyDescent="0.25">
      <c r="A1313" s="9" t="s">
        <v>6811</v>
      </c>
      <c r="B1313" s="9" t="s">
        <v>6825</v>
      </c>
      <c r="C1313" s="9" t="s">
        <v>6829</v>
      </c>
      <c r="D1313" s="9" t="s">
        <v>6742</v>
      </c>
      <c r="E1313" s="9" t="s">
        <v>3109</v>
      </c>
      <c r="F1313" s="9" t="s">
        <v>3110</v>
      </c>
      <c r="G1313" s="10" t="s">
        <v>6532</v>
      </c>
      <c r="H1313" s="9" t="s">
        <v>6220</v>
      </c>
      <c r="I1313" s="9"/>
      <c r="J1313" s="9"/>
      <c r="K1313" s="9"/>
      <c r="L1313" s="9"/>
      <c r="M1313" s="9" t="s">
        <v>3111</v>
      </c>
      <c r="N1313" s="9"/>
      <c r="O1313" s="9" t="s">
        <v>3112</v>
      </c>
      <c r="P1313" s="9" t="str">
        <f>HYPERLINK("https://ceds.ed.gov/cedselementdetails.aspx?termid=13138")</f>
        <v>https://ceds.ed.gov/cedselementdetails.aspx?termid=13138</v>
      </c>
      <c r="Q1313" s="9" t="str">
        <f>HYPERLINK("https://ceds.ed.gov/elementComment.aspx?elementName=High School Diploma Type &amp;elementID=13138", "Click here to submit comment")</f>
        <v>Click here to submit comment</v>
      </c>
    </row>
    <row r="1314" spans="1:17" ht="105" x14ac:dyDescent="0.25">
      <c r="A1314" s="9" t="s">
        <v>6811</v>
      </c>
      <c r="B1314" s="9" t="s">
        <v>6825</v>
      </c>
      <c r="C1314" s="9" t="s">
        <v>6829</v>
      </c>
      <c r="D1314" s="9" t="s">
        <v>6742</v>
      </c>
      <c r="E1314" s="9" t="s">
        <v>3105</v>
      </c>
      <c r="F1314" s="9" t="s">
        <v>3106</v>
      </c>
      <c r="G1314" s="10" t="s">
        <v>6531</v>
      </c>
      <c r="H1314" s="9"/>
      <c r="I1314" s="9"/>
      <c r="J1314" s="9"/>
      <c r="K1314" s="9"/>
      <c r="L1314" s="9"/>
      <c r="M1314" s="9" t="s">
        <v>3107</v>
      </c>
      <c r="N1314" s="9"/>
      <c r="O1314" s="9" t="s">
        <v>3108</v>
      </c>
      <c r="P1314" s="9" t="str">
        <f>HYPERLINK("https://ceds.ed.gov/cedselementdetails.aspx?termid=13689")</f>
        <v>https://ceds.ed.gov/cedselementdetails.aspx?termid=13689</v>
      </c>
      <c r="Q1314" s="9" t="str">
        <f>HYPERLINK("https://ceds.ed.gov/elementComment.aspx?elementName=High School Diploma Distinction Type &amp;elementID=13689", "Click here to submit comment")</f>
        <v>Click here to submit comment</v>
      </c>
    </row>
    <row r="1315" spans="1:17" ht="60" x14ac:dyDescent="0.25">
      <c r="A1315" s="9" t="s">
        <v>6811</v>
      </c>
      <c r="B1315" s="9" t="s">
        <v>6825</v>
      </c>
      <c r="C1315" s="9" t="s">
        <v>6829</v>
      </c>
      <c r="D1315" s="9" t="s">
        <v>6742</v>
      </c>
      <c r="E1315" s="9" t="s">
        <v>10</v>
      </c>
      <c r="F1315" s="9" t="s">
        <v>11</v>
      </c>
      <c r="G1315" s="9" t="s">
        <v>12</v>
      </c>
      <c r="H1315" s="9" t="s">
        <v>6107</v>
      </c>
      <c r="I1315" s="9"/>
      <c r="J1315" s="9" t="s">
        <v>13</v>
      </c>
      <c r="K1315" s="9"/>
      <c r="L1315" s="9"/>
      <c r="M1315" s="9" t="s">
        <v>14</v>
      </c>
      <c r="N1315" s="9"/>
      <c r="O1315" s="9" t="s">
        <v>15</v>
      </c>
      <c r="P1315" s="9" t="str">
        <f>HYPERLINK("https://ceds.ed.gov/cedselementdetails.aspx?termid=13001")</f>
        <v>https://ceds.ed.gov/cedselementdetails.aspx?termid=13001</v>
      </c>
      <c r="Q1315" s="9" t="str">
        <f>HYPERLINK("https://ceds.ed.gov/elementComment.aspx?elementName=Academic Award Date &amp;elementID=13001", "Click here to submit comment")</f>
        <v>Click here to submit comment</v>
      </c>
    </row>
    <row r="1316" spans="1:17" ht="285" x14ac:dyDescent="0.25">
      <c r="A1316" s="9" t="s">
        <v>6811</v>
      </c>
      <c r="B1316" s="9" t="s">
        <v>6825</v>
      </c>
      <c r="C1316" s="9" t="s">
        <v>6829</v>
      </c>
      <c r="D1316" s="9" t="s">
        <v>6742</v>
      </c>
      <c r="E1316" s="9" t="s">
        <v>16</v>
      </c>
      <c r="F1316" s="9" t="s">
        <v>17</v>
      </c>
      <c r="G1316" s="10" t="s">
        <v>6311</v>
      </c>
      <c r="H1316" s="9" t="s">
        <v>6108</v>
      </c>
      <c r="I1316" s="9"/>
      <c r="J1316" s="9"/>
      <c r="K1316" s="9"/>
      <c r="L1316" s="9"/>
      <c r="M1316" s="9" t="s">
        <v>18</v>
      </c>
      <c r="N1316" s="9"/>
      <c r="O1316" s="9" t="s">
        <v>19</v>
      </c>
      <c r="P1316" s="9" t="str">
        <f>HYPERLINK("https://ceds.ed.gov/cedselementdetails.aspx?termid=13002")</f>
        <v>https://ceds.ed.gov/cedselementdetails.aspx?termid=13002</v>
      </c>
      <c r="Q1316" s="9" t="str">
        <f>HYPERLINK("https://ceds.ed.gov/elementComment.aspx?elementName=Academic Award Level Conferred &amp;elementID=13002", "Click here to submit comment")</f>
        <v>Click here to submit comment</v>
      </c>
    </row>
    <row r="1317" spans="1:17" ht="45" x14ac:dyDescent="0.25">
      <c r="A1317" s="9" t="s">
        <v>6811</v>
      </c>
      <c r="B1317" s="9" t="s">
        <v>6825</v>
      </c>
      <c r="C1317" s="9" t="s">
        <v>6829</v>
      </c>
      <c r="D1317" s="9" t="s">
        <v>6742</v>
      </c>
      <c r="E1317" s="9" t="s">
        <v>20</v>
      </c>
      <c r="F1317" s="9" t="s">
        <v>21</v>
      </c>
      <c r="G1317" s="9" t="s">
        <v>12</v>
      </c>
      <c r="H1317" s="9" t="s">
        <v>25</v>
      </c>
      <c r="I1317" s="9"/>
      <c r="J1317" s="9" t="s">
        <v>22</v>
      </c>
      <c r="K1317" s="9"/>
      <c r="L1317" s="9"/>
      <c r="M1317" s="9" t="s">
        <v>23</v>
      </c>
      <c r="N1317" s="9"/>
      <c r="O1317" s="9" t="s">
        <v>24</v>
      </c>
      <c r="P1317" s="9" t="str">
        <f>HYPERLINK("https://ceds.ed.gov/cedselementdetails.aspx?termid=13003")</f>
        <v>https://ceds.ed.gov/cedselementdetails.aspx?termid=13003</v>
      </c>
      <c r="Q1317" s="9" t="str">
        <f>HYPERLINK("https://ceds.ed.gov/elementComment.aspx?elementName=Academic Award Title &amp;elementID=13003", "Click here to submit comment")</f>
        <v>Click here to submit comment</v>
      </c>
    </row>
    <row r="1318" spans="1:17" ht="270" x14ac:dyDescent="0.25">
      <c r="A1318" s="9" t="s">
        <v>6811</v>
      </c>
      <c r="B1318" s="9" t="s">
        <v>6825</v>
      </c>
      <c r="C1318" s="9" t="s">
        <v>6829</v>
      </c>
      <c r="D1318" s="9" t="s">
        <v>6742</v>
      </c>
      <c r="E1318" s="9" t="s">
        <v>2115</v>
      </c>
      <c r="F1318" s="9" t="s">
        <v>2116</v>
      </c>
      <c r="G1318" s="10" t="s">
        <v>6437</v>
      </c>
      <c r="H1318" s="9"/>
      <c r="I1318" s="9"/>
      <c r="J1318" s="9"/>
      <c r="K1318" s="9"/>
      <c r="L1318" s="9"/>
      <c r="M1318" s="9" t="s">
        <v>2117</v>
      </c>
      <c r="N1318" s="9"/>
      <c r="O1318" s="9" t="s">
        <v>2118</v>
      </c>
      <c r="P1318" s="9" t="str">
        <f>HYPERLINK("https://ceds.ed.gov/cedselementdetails.aspx?termid=14283")</f>
        <v>https://ceds.ed.gov/cedselementdetails.aspx?termid=14283</v>
      </c>
      <c r="Q1318" s="9" t="str">
        <f>HYPERLINK("https://ceds.ed.gov/elementComment.aspx?elementName=Credit Hours Applied Other Program &amp;elementID=14283", "Click here to submit comment")</f>
        <v>Click here to submit comment</v>
      </c>
    </row>
    <row r="1319" spans="1:17" ht="195" x14ac:dyDescent="0.25">
      <c r="A1319" s="9" t="s">
        <v>6811</v>
      </c>
      <c r="B1319" s="9" t="s">
        <v>6825</v>
      </c>
      <c r="C1319" s="9" t="s">
        <v>6829</v>
      </c>
      <c r="D1319" s="9" t="s">
        <v>6742</v>
      </c>
      <c r="E1319" s="9" t="s">
        <v>4880</v>
      </c>
      <c r="F1319" s="9" t="s">
        <v>4881</v>
      </c>
      <c r="G1319" s="10" t="s">
        <v>6660</v>
      </c>
      <c r="H1319" s="9"/>
      <c r="I1319" s="9"/>
      <c r="J1319" s="9"/>
      <c r="K1319" s="9"/>
      <c r="L1319" s="9"/>
      <c r="M1319" s="9" t="s">
        <v>4882</v>
      </c>
      <c r="N1319" s="9"/>
      <c r="O1319" s="9" t="s">
        <v>4883</v>
      </c>
      <c r="P1319" s="9" t="str">
        <f>HYPERLINK("https://ceds.ed.gov/cedselementdetails.aspx?termid=13780")</f>
        <v>https://ceds.ed.gov/cedselementdetails.aspx?termid=13780</v>
      </c>
      <c r="Q1319" s="9" t="str">
        <f>HYPERLINK("https://ceds.ed.gov/elementComment.aspx?elementName=Professional or Technical Credential Conferred &amp;elementID=13780", "Click here to submit comment")</f>
        <v>Click here to submit comment</v>
      </c>
    </row>
    <row r="1320" spans="1:17" ht="105" x14ac:dyDescent="0.25">
      <c r="A1320" s="18" t="s">
        <v>6811</v>
      </c>
      <c r="B1320" s="18" t="s">
        <v>6825</v>
      </c>
      <c r="C1320" s="18" t="s">
        <v>6829</v>
      </c>
      <c r="D1320" s="18" t="s">
        <v>6742</v>
      </c>
      <c r="E1320" s="18" t="s">
        <v>4913</v>
      </c>
      <c r="F1320" s="18" t="s">
        <v>4914</v>
      </c>
      <c r="G1320" s="18" t="s">
        <v>12</v>
      </c>
      <c r="H1320" s="18" t="s">
        <v>1963</v>
      </c>
      <c r="I1320" s="18"/>
      <c r="J1320" s="18" t="s">
        <v>119</v>
      </c>
      <c r="K1320" s="18"/>
      <c r="L1320" s="9" t="s">
        <v>120</v>
      </c>
      <c r="M1320" s="18" t="s">
        <v>4915</v>
      </c>
      <c r="N1320" s="18"/>
      <c r="O1320" s="18" t="s">
        <v>4916</v>
      </c>
      <c r="P1320" s="18" t="str">
        <f>HYPERLINK("https://ceds.ed.gov/cedselementdetails.aspx?termid=13618")</f>
        <v>https://ceds.ed.gov/cedselementdetails.aspx?termid=13618</v>
      </c>
      <c r="Q1320" s="18" t="str">
        <f>HYPERLINK("https://ceds.ed.gov/elementComment.aspx?elementName=Program Identifier &amp;elementID=13618", "Click here to submit comment")</f>
        <v>Click here to submit comment</v>
      </c>
    </row>
    <row r="1321" spans="1:17" x14ac:dyDescent="0.25">
      <c r="A1321" s="18"/>
      <c r="B1321" s="18"/>
      <c r="C1321" s="18"/>
      <c r="D1321" s="18"/>
      <c r="E1321" s="18"/>
      <c r="F1321" s="18"/>
      <c r="G1321" s="18"/>
      <c r="H1321" s="18"/>
      <c r="I1321" s="18"/>
      <c r="J1321" s="18"/>
      <c r="K1321" s="18"/>
      <c r="L1321" s="9"/>
      <c r="M1321" s="18"/>
      <c r="N1321" s="18"/>
      <c r="O1321" s="18"/>
      <c r="P1321" s="18"/>
      <c r="Q1321" s="18"/>
    </row>
    <row r="1322" spans="1:17" ht="90" x14ac:dyDescent="0.25">
      <c r="A1322" s="18"/>
      <c r="B1322" s="18"/>
      <c r="C1322" s="18"/>
      <c r="D1322" s="18"/>
      <c r="E1322" s="18"/>
      <c r="F1322" s="18"/>
      <c r="G1322" s="18"/>
      <c r="H1322" s="18"/>
      <c r="I1322" s="18"/>
      <c r="J1322" s="18"/>
      <c r="K1322" s="18"/>
      <c r="L1322" s="9" t="s">
        <v>121</v>
      </c>
      <c r="M1322" s="18"/>
      <c r="N1322" s="18"/>
      <c r="O1322" s="18"/>
      <c r="P1322" s="18"/>
      <c r="Q1322" s="18"/>
    </row>
    <row r="1323" spans="1:17" ht="60" x14ac:dyDescent="0.25">
      <c r="A1323" s="9" t="s">
        <v>6811</v>
      </c>
      <c r="B1323" s="9" t="s">
        <v>6825</v>
      </c>
      <c r="C1323" s="9" t="s">
        <v>6831</v>
      </c>
      <c r="D1323" s="9" t="s">
        <v>6742</v>
      </c>
      <c r="E1323" s="9" t="s">
        <v>4936</v>
      </c>
      <c r="F1323" s="9" t="s">
        <v>4937</v>
      </c>
      <c r="G1323" s="9" t="s">
        <v>12</v>
      </c>
      <c r="H1323" s="9" t="s">
        <v>6267</v>
      </c>
      <c r="I1323" s="9"/>
      <c r="J1323" s="9" t="s">
        <v>73</v>
      </c>
      <c r="K1323" s="9"/>
      <c r="L1323" s="9"/>
      <c r="M1323" s="9" t="s">
        <v>4938</v>
      </c>
      <c r="N1323" s="9"/>
      <c r="O1323" s="9" t="s">
        <v>4939</v>
      </c>
      <c r="P1323" s="9" t="str">
        <f>HYPERLINK("https://ceds.ed.gov/cedselementdetails.aspx?termid=13583")</f>
        <v>https://ceds.ed.gov/cedselementdetails.aspx?termid=13583</v>
      </c>
      <c r="Q1323" s="9" t="str">
        <f>HYPERLINK("https://ceds.ed.gov/elementComment.aspx?elementName=Program Participation Start Date &amp;elementID=13583", "Click here to submit comment")</f>
        <v>Click here to submit comment</v>
      </c>
    </row>
    <row r="1324" spans="1:17" ht="45" x14ac:dyDescent="0.25">
      <c r="A1324" s="9" t="s">
        <v>6811</v>
      </c>
      <c r="B1324" s="9" t="s">
        <v>6825</v>
      </c>
      <c r="C1324" s="9" t="s">
        <v>6831</v>
      </c>
      <c r="D1324" s="9" t="s">
        <v>6742</v>
      </c>
      <c r="E1324" s="9" t="s">
        <v>4933</v>
      </c>
      <c r="F1324" s="9" t="s">
        <v>1641</v>
      </c>
      <c r="G1324" s="9" t="s">
        <v>12</v>
      </c>
      <c r="H1324" s="9" t="s">
        <v>6266</v>
      </c>
      <c r="I1324" s="9"/>
      <c r="J1324" s="9" t="s">
        <v>73</v>
      </c>
      <c r="K1324" s="9"/>
      <c r="L1324" s="9"/>
      <c r="M1324" s="9" t="s">
        <v>4934</v>
      </c>
      <c r="N1324" s="9"/>
      <c r="O1324" s="9" t="s">
        <v>4935</v>
      </c>
      <c r="P1324" s="9" t="str">
        <f>HYPERLINK("https://ceds.ed.gov/cedselementdetails.aspx?termid=13584")</f>
        <v>https://ceds.ed.gov/cedselementdetails.aspx?termid=13584</v>
      </c>
      <c r="Q1324" s="9" t="str">
        <f>HYPERLINK("https://ceds.ed.gov/elementComment.aspx?elementName=Program Participation Exit Date &amp;elementID=13584", "Click here to submit comment")</f>
        <v>Click here to submit comment</v>
      </c>
    </row>
    <row r="1325" spans="1:17" ht="45" x14ac:dyDescent="0.25">
      <c r="A1325" s="9" t="s">
        <v>6811</v>
      </c>
      <c r="B1325" s="9" t="s">
        <v>6825</v>
      </c>
      <c r="C1325" s="9" t="s">
        <v>6831</v>
      </c>
      <c r="D1325" s="9" t="s">
        <v>6742</v>
      </c>
      <c r="E1325" s="9" t="s">
        <v>1632</v>
      </c>
      <c r="F1325" s="9" t="s">
        <v>1633</v>
      </c>
      <c r="G1325" s="9" t="s">
        <v>12</v>
      </c>
      <c r="H1325" s="9"/>
      <c r="I1325" s="9"/>
      <c r="J1325" s="9" t="s">
        <v>73</v>
      </c>
      <c r="K1325" s="9"/>
      <c r="L1325" s="9"/>
      <c r="M1325" s="9" t="s">
        <v>1634</v>
      </c>
      <c r="N1325" s="9"/>
      <c r="O1325" s="9" t="s">
        <v>1635</v>
      </c>
      <c r="P1325" s="9" t="str">
        <f>HYPERLINK("https://ceds.ed.gov/cedselementdetails.aspx?termid=14255")</f>
        <v>https://ceds.ed.gov/cedselementdetails.aspx?termid=14255</v>
      </c>
      <c r="Q1325" s="9" t="str">
        <f>HYPERLINK("https://ceds.ed.gov/elementComment.aspx?elementName=Career Education Plan Date &amp;elementID=14255", "Click here to submit comment")</f>
        <v>Click here to submit comment</v>
      </c>
    </row>
    <row r="1326" spans="1:17" ht="75" x14ac:dyDescent="0.25">
      <c r="A1326" s="9" t="s">
        <v>6811</v>
      </c>
      <c r="B1326" s="9" t="s">
        <v>6825</v>
      </c>
      <c r="C1326" s="9" t="s">
        <v>6831</v>
      </c>
      <c r="D1326" s="9" t="s">
        <v>6742</v>
      </c>
      <c r="E1326" s="9" t="s">
        <v>1636</v>
      </c>
      <c r="F1326" s="9" t="s">
        <v>1637</v>
      </c>
      <c r="G1326" s="10" t="s">
        <v>6397</v>
      </c>
      <c r="H1326" s="9"/>
      <c r="I1326" s="9"/>
      <c r="J1326" s="9"/>
      <c r="K1326" s="9"/>
      <c r="L1326" s="9"/>
      <c r="M1326" s="9" t="s">
        <v>1638</v>
      </c>
      <c r="N1326" s="9"/>
      <c r="O1326" s="9" t="s">
        <v>1639</v>
      </c>
      <c r="P1326" s="9" t="str">
        <f>HYPERLINK("https://ceds.ed.gov/cedselementdetails.aspx?termid=14256")</f>
        <v>https://ceds.ed.gov/cedselementdetails.aspx?termid=14256</v>
      </c>
      <c r="Q1326" s="9" t="str">
        <f>HYPERLINK("https://ceds.ed.gov/elementComment.aspx?elementName=Career Education Plan Type &amp;elementID=14256", "Click here to submit comment")</f>
        <v>Click here to submit comment</v>
      </c>
    </row>
    <row r="1327" spans="1:17" ht="45" x14ac:dyDescent="0.25">
      <c r="A1327" s="9" t="s">
        <v>6811</v>
      </c>
      <c r="B1327" s="9" t="s">
        <v>6825</v>
      </c>
      <c r="C1327" s="9" t="s">
        <v>6831</v>
      </c>
      <c r="D1327" s="9" t="s">
        <v>6742</v>
      </c>
      <c r="E1327" s="9" t="s">
        <v>11686</v>
      </c>
      <c r="F1327" s="9" t="s">
        <v>4909</v>
      </c>
      <c r="G1327" s="9" t="s">
        <v>6106</v>
      </c>
      <c r="H1327" s="9" t="s">
        <v>64</v>
      </c>
      <c r="I1327" s="9"/>
      <c r="J1327" s="9"/>
      <c r="K1327" s="9"/>
      <c r="L1327" s="9"/>
      <c r="M1327" s="9" t="s">
        <v>4911</v>
      </c>
      <c r="N1327" s="9"/>
      <c r="O1327" s="9" t="s">
        <v>4912</v>
      </c>
      <c r="P1327" s="9" t="str">
        <f>HYPERLINK("https://ceds.ed.gov/cedselementdetails.aspx?termid=13851")</f>
        <v>https://ceds.ed.gov/cedselementdetails.aspx?termid=13851</v>
      </c>
      <c r="Q1327" s="9" t="str">
        <f>HYPERLINK("https://ceds.ed.gov/elementComment.aspx?elementName=Program Health Safety Checklist Use Status &amp;elementID=13851", "Click here to submit comment")</f>
        <v>Click here to submit comment</v>
      </c>
    </row>
    <row r="1328" spans="1:17" ht="105" x14ac:dyDescent="0.25">
      <c r="A1328" s="9" t="s">
        <v>6811</v>
      </c>
      <c r="B1328" s="9" t="s">
        <v>6825</v>
      </c>
      <c r="C1328" s="9" t="s">
        <v>6831</v>
      </c>
      <c r="D1328" s="9" t="s">
        <v>6742</v>
      </c>
      <c r="E1328" s="9" t="s">
        <v>1601</v>
      </c>
      <c r="F1328" s="9" t="s">
        <v>1602</v>
      </c>
      <c r="G1328" s="9" t="s">
        <v>6106</v>
      </c>
      <c r="H1328" s="9" t="s">
        <v>6155</v>
      </c>
      <c r="I1328" s="9"/>
      <c r="J1328" s="9"/>
      <c r="K1328" s="9"/>
      <c r="L1328" s="9"/>
      <c r="M1328" s="9" t="s">
        <v>1603</v>
      </c>
      <c r="N1328" s="9" t="s">
        <v>1604</v>
      </c>
      <c r="O1328" s="9" t="s">
        <v>1605</v>
      </c>
      <c r="P1328" s="9" t="str">
        <f>HYPERLINK("https://ceds.ed.gov/cedselementdetails.aspx?termid=13037")</f>
        <v>https://ceds.ed.gov/cedselementdetails.aspx?termid=13037</v>
      </c>
      <c r="Q1328" s="9" t="str">
        <f>HYPERLINK("https://ceds.ed.gov/elementComment.aspx?elementName=Career and Technical Education Concentrator &amp;elementID=13037", "Click here to submit comment")</f>
        <v>Click here to submit comment</v>
      </c>
    </row>
    <row r="1329" spans="1:17" ht="75" x14ac:dyDescent="0.25">
      <c r="A1329" s="9" t="s">
        <v>6811</v>
      </c>
      <c r="B1329" s="9" t="s">
        <v>6825</v>
      </c>
      <c r="C1329" s="9" t="s">
        <v>6831</v>
      </c>
      <c r="D1329" s="9" t="s">
        <v>6742</v>
      </c>
      <c r="E1329" s="9" t="s">
        <v>1622</v>
      </c>
      <c r="F1329" s="9" t="s">
        <v>1623</v>
      </c>
      <c r="G1329" s="9" t="s">
        <v>6106</v>
      </c>
      <c r="H1329" s="9" t="s">
        <v>199</v>
      </c>
      <c r="I1329" s="9"/>
      <c r="J1329" s="9"/>
      <c r="K1329" s="9"/>
      <c r="L1329" s="9"/>
      <c r="M1329" s="9" t="s">
        <v>1624</v>
      </c>
      <c r="N1329" s="9" t="s">
        <v>1625</v>
      </c>
      <c r="O1329" s="9" t="s">
        <v>1626</v>
      </c>
      <c r="P1329" s="9" t="str">
        <f>HYPERLINK("https://ceds.ed.gov/cedselementdetails.aspx?termid=13585")</f>
        <v>https://ceds.ed.gov/cedselementdetails.aspx?termid=13585</v>
      </c>
      <c r="Q1329" s="9" t="str">
        <f>HYPERLINK("https://ceds.ed.gov/elementComment.aspx?elementName=Career and Technical Education Participant &amp;elementID=13585", "Click here to submit comment")</f>
        <v>Click here to submit comment</v>
      </c>
    </row>
    <row r="1330" spans="1:17" ht="90" x14ac:dyDescent="0.25">
      <c r="A1330" s="9" t="s">
        <v>6811</v>
      </c>
      <c r="B1330" s="9" t="s">
        <v>6825</v>
      </c>
      <c r="C1330" s="9" t="s">
        <v>6831</v>
      </c>
      <c r="D1330" s="9" t="s">
        <v>6742</v>
      </c>
      <c r="E1330" s="9" t="s">
        <v>1596</v>
      </c>
      <c r="F1330" s="9" t="s">
        <v>1597</v>
      </c>
      <c r="G1330" s="9" t="s">
        <v>6106</v>
      </c>
      <c r="H1330" s="9" t="s">
        <v>6109</v>
      </c>
      <c r="I1330" s="9"/>
      <c r="J1330" s="9"/>
      <c r="K1330" s="9"/>
      <c r="L1330" s="9"/>
      <c r="M1330" s="9" t="s">
        <v>1598</v>
      </c>
      <c r="N1330" s="9" t="s">
        <v>1599</v>
      </c>
      <c r="O1330" s="9" t="s">
        <v>1600</v>
      </c>
      <c r="P1330" s="9" t="str">
        <f>HYPERLINK("https://ceds.ed.gov/cedselementdetails.aspx?termid=13036")</f>
        <v>https://ceds.ed.gov/cedselementdetails.aspx?termid=13036</v>
      </c>
      <c r="Q1330" s="9" t="str">
        <f>HYPERLINK("https://ceds.ed.gov/elementComment.aspx?elementName=Career and Technical Education Completer &amp;elementID=13036", "Click here to submit comment")</f>
        <v>Click here to submit comment</v>
      </c>
    </row>
    <row r="1331" spans="1:17" ht="270" x14ac:dyDescent="0.25">
      <c r="A1331" s="9" t="s">
        <v>6811</v>
      </c>
      <c r="B1331" s="9" t="s">
        <v>6825</v>
      </c>
      <c r="C1331" s="9" t="s">
        <v>6831</v>
      </c>
      <c r="D1331" s="9" t="s">
        <v>6742</v>
      </c>
      <c r="E1331" s="9" t="s">
        <v>1657</v>
      </c>
      <c r="F1331" s="9" t="s">
        <v>1658</v>
      </c>
      <c r="G1331" s="9" t="s">
        <v>6106</v>
      </c>
      <c r="H1331" s="9" t="s">
        <v>199</v>
      </c>
      <c r="I1331" s="9"/>
      <c r="J1331" s="9"/>
      <c r="K1331" s="9"/>
      <c r="L1331" s="9"/>
      <c r="M1331" s="9" t="s">
        <v>1659</v>
      </c>
      <c r="N1331" s="9" t="s">
        <v>1660</v>
      </c>
      <c r="O1331" s="9" t="s">
        <v>1661</v>
      </c>
      <c r="P1331" s="9" t="str">
        <f>HYPERLINK("https://ceds.ed.gov/cedselementdetails.aspx?termid=13084")</f>
        <v>https://ceds.ed.gov/cedselementdetails.aspx?termid=13084</v>
      </c>
      <c r="Q1331" s="9" t="str">
        <f>HYPERLINK("https://ceds.ed.gov/elementComment.aspx?elementName=Career-Technical-Adult Education Displaced Homemaker Indicator &amp;elementID=13084", "Click here to submit comment")</f>
        <v>Click here to submit comment</v>
      </c>
    </row>
    <row r="1332" spans="1:17" ht="105" x14ac:dyDescent="0.25">
      <c r="A1332" s="9" t="s">
        <v>6811</v>
      </c>
      <c r="B1332" s="9" t="s">
        <v>6825</v>
      </c>
      <c r="C1332" s="9" t="s">
        <v>6831</v>
      </c>
      <c r="D1332" s="9" t="s">
        <v>6742</v>
      </c>
      <c r="E1332" s="9" t="s">
        <v>12220</v>
      </c>
      <c r="F1332" s="9" t="s">
        <v>5485</v>
      </c>
      <c r="G1332" s="9" t="s">
        <v>6106</v>
      </c>
      <c r="H1332" s="9" t="s">
        <v>6169</v>
      </c>
      <c r="I1332" s="9"/>
      <c r="J1332" s="9"/>
      <c r="K1332" s="9"/>
      <c r="L1332" s="9"/>
      <c r="M1332" s="9" t="s">
        <v>5486</v>
      </c>
      <c r="N1332" s="9"/>
      <c r="O1332" s="9" t="s">
        <v>5487</v>
      </c>
      <c r="P1332" s="9" t="str">
        <f>HYPERLINK("https://ceds.ed.gov/cedselementdetails.aspx?termid=13573")</f>
        <v>https://ceds.ed.gov/cedselementdetails.aspx?termid=13573</v>
      </c>
      <c r="Q1332" s="9" t="str">
        <f>HYPERLINK("https://ceds.ed.gov/elementComment.aspx?elementName=Single Parent or Single Pregnant Woman Status &amp;elementID=13573", "Click here to submit comment")</f>
        <v>Click here to submit comment</v>
      </c>
    </row>
    <row r="1333" spans="1:17" ht="90" x14ac:dyDescent="0.25">
      <c r="A1333" s="9" t="s">
        <v>6811</v>
      </c>
      <c r="B1333" s="9" t="s">
        <v>6825</v>
      </c>
      <c r="C1333" s="9" t="s">
        <v>6831</v>
      </c>
      <c r="D1333" s="9" t="s">
        <v>6742</v>
      </c>
      <c r="E1333" s="9" t="s">
        <v>1652</v>
      </c>
      <c r="F1333" s="9" t="s">
        <v>1653</v>
      </c>
      <c r="G1333" s="10" t="s">
        <v>6398</v>
      </c>
      <c r="H1333" s="9" t="s">
        <v>199</v>
      </c>
      <c r="I1333" s="9"/>
      <c r="J1333" s="9"/>
      <c r="K1333" s="9"/>
      <c r="L1333" s="9"/>
      <c r="M1333" s="9" t="s">
        <v>1654</v>
      </c>
      <c r="N1333" s="9" t="s">
        <v>1655</v>
      </c>
      <c r="O1333" s="9" t="s">
        <v>1656</v>
      </c>
      <c r="P1333" s="9" t="str">
        <f>HYPERLINK("https://ceds.ed.gov/cedselementdetails.aspx?termid=13581")</f>
        <v>https://ceds.ed.gov/cedselementdetails.aspx?termid=13581</v>
      </c>
      <c r="Q1333" s="9" t="str">
        <f>HYPERLINK("https://ceds.ed.gov/elementComment.aspx?elementName=Career Technical Education Nontraditional Gender Status &amp;elementID=13581", "Click here to submit comment")</f>
        <v>Click here to submit comment</v>
      </c>
    </row>
    <row r="1334" spans="1:17" ht="90" x14ac:dyDescent="0.25">
      <c r="A1334" s="9" t="s">
        <v>6811</v>
      </c>
      <c r="B1334" s="9" t="s">
        <v>6825</v>
      </c>
      <c r="C1334" s="9" t="s">
        <v>6831</v>
      </c>
      <c r="D1334" s="9" t="s">
        <v>6742</v>
      </c>
      <c r="E1334" s="9" t="s">
        <v>1617</v>
      </c>
      <c r="F1334" s="9" t="s">
        <v>1618</v>
      </c>
      <c r="G1334" s="9" t="s">
        <v>6106</v>
      </c>
      <c r="H1334" s="9" t="s">
        <v>199</v>
      </c>
      <c r="I1334" s="9"/>
      <c r="J1334" s="9"/>
      <c r="K1334" s="9"/>
      <c r="L1334" s="9"/>
      <c r="M1334" s="9" t="s">
        <v>1619</v>
      </c>
      <c r="N1334" s="9" t="s">
        <v>1620</v>
      </c>
      <c r="O1334" s="9" t="s">
        <v>1621</v>
      </c>
      <c r="P1334" s="9" t="str">
        <f>HYPERLINK("https://ceds.ed.gov/cedselementdetails.aspx?termid=13586")</f>
        <v>https://ceds.ed.gov/cedselementdetails.aspx?termid=13586</v>
      </c>
      <c r="Q1334" s="9" t="str">
        <f>HYPERLINK("https://ceds.ed.gov/elementComment.aspx?elementName=Career and Technical Education Nontraditional Completion &amp;elementID=13586", "Click here to submit comment")</f>
        <v>Click here to submit comment</v>
      </c>
    </row>
    <row r="1335" spans="1:17" ht="45" x14ac:dyDescent="0.25">
      <c r="A1335" s="9" t="s">
        <v>6811</v>
      </c>
      <c r="B1335" s="9" t="s">
        <v>6825</v>
      </c>
      <c r="C1335" s="9" t="s">
        <v>6831</v>
      </c>
      <c r="D1335" s="9" t="s">
        <v>6742</v>
      </c>
      <c r="E1335" s="9" t="s">
        <v>1648</v>
      </c>
      <c r="F1335" s="9" t="s">
        <v>1649</v>
      </c>
      <c r="G1335" s="9" t="s">
        <v>12</v>
      </c>
      <c r="H1335" s="9"/>
      <c r="I1335" s="9"/>
      <c r="J1335" s="9" t="s">
        <v>73</v>
      </c>
      <c r="K1335" s="9"/>
      <c r="L1335" s="9"/>
      <c r="M1335" s="9" t="s">
        <v>1650</v>
      </c>
      <c r="N1335" s="9"/>
      <c r="O1335" s="9" t="s">
        <v>1651</v>
      </c>
      <c r="P1335" s="9" t="str">
        <f>HYPERLINK("https://ceds.ed.gov/cedselementdetails.aspx?termid=14563")</f>
        <v>https://ceds.ed.gov/cedselementdetails.aspx?termid=14563</v>
      </c>
      <c r="Q1335" s="9" t="str">
        <f>HYPERLINK("https://ceds.ed.gov/elementComment.aspx?elementName=Career Pathways Program Participation Start Date &amp;elementID=14563", "Click here to submit comment")</f>
        <v>Click here to submit comment</v>
      </c>
    </row>
    <row r="1336" spans="1:17" ht="45" x14ac:dyDescent="0.25">
      <c r="A1336" s="9" t="s">
        <v>6811</v>
      </c>
      <c r="B1336" s="9" t="s">
        <v>6825</v>
      </c>
      <c r="C1336" s="9" t="s">
        <v>6831</v>
      </c>
      <c r="D1336" s="9" t="s">
        <v>6742</v>
      </c>
      <c r="E1336" s="9" t="s">
        <v>1640</v>
      </c>
      <c r="F1336" s="9" t="s">
        <v>1641</v>
      </c>
      <c r="G1336" s="9" t="s">
        <v>12</v>
      </c>
      <c r="H1336" s="9"/>
      <c r="I1336" s="9"/>
      <c r="J1336" s="9" t="s">
        <v>73</v>
      </c>
      <c r="K1336" s="9"/>
      <c r="L1336" s="9"/>
      <c r="M1336" s="9" t="s">
        <v>1642</v>
      </c>
      <c r="N1336" s="9"/>
      <c r="O1336" s="9" t="s">
        <v>1643</v>
      </c>
      <c r="P1336" s="9" t="str">
        <f>HYPERLINK("https://ceds.ed.gov/cedselementdetails.aspx?termid=14562")</f>
        <v>https://ceds.ed.gov/cedselementdetails.aspx?termid=14562</v>
      </c>
      <c r="Q1336" s="9" t="str">
        <f>HYPERLINK("https://ceds.ed.gov/elementComment.aspx?elementName=Career Pathways Program Participation Exit Date &amp;elementID=14562", "Click here to submit comment")</f>
        <v>Click here to submit comment</v>
      </c>
    </row>
    <row r="1337" spans="1:17" ht="75" x14ac:dyDescent="0.25">
      <c r="A1337" s="9" t="s">
        <v>6811</v>
      </c>
      <c r="B1337" s="9" t="s">
        <v>6825</v>
      </c>
      <c r="C1337" s="9" t="s">
        <v>6831</v>
      </c>
      <c r="D1337" s="9" t="s">
        <v>6742</v>
      </c>
      <c r="E1337" s="9" t="s">
        <v>1644</v>
      </c>
      <c r="F1337" s="9" t="s">
        <v>1645</v>
      </c>
      <c r="G1337" s="9" t="s">
        <v>6106</v>
      </c>
      <c r="H1337" s="9"/>
      <c r="I1337" s="9"/>
      <c r="J1337" s="9"/>
      <c r="K1337" s="9"/>
      <c r="L1337" s="9"/>
      <c r="M1337" s="9" t="s">
        <v>1646</v>
      </c>
      <c r="N1337" s="9"/>
      <c r="O1337" s="9" t="s">
        <v>1647</v>
      </c>
      <c r="P1337" s="9" t="str">
        <f>HYPERLINK("https://ceds.ed.gov/cedselementdetails.aspx?termid=14257")</f>
        <v>https://ceds.ed.gov/cedselementdetails.aspx?termid=14257</v>
      </c>
      <c r="Q1337" s="9" t="str">
        <f>HYPERLINK("https://ceds.ed.gov/elementComment.aspx?elementName=Career Pathways Program Participation Indicator &amp;elementID=14257", "Click here to submit comment")</f>
        <v>Click here to submit comment</v>
      </c>
    </row>
    <row r="1338" spans="1:17" ht="60" x14ac:dyDescent="0.25">
      <c r="A1338" s="9" t="s">
        <v>6811</v>
      </c>
      <c r="B1338" s="9" t="s">
        <v>6825</v>
      </c>
      <c r="C1338" s="9" t="s">
        <v>6770</v>
      </c>
      <c r="D1338" s="9" t="s">
        <v>6742</v>
      </c>
      <c r="E1338" s="9" t="s">
        <v>1516</v>
      </c>
      <c r="F1338" s="9" t="s">
        <v>1517</v>
      </c>
      <c r="G1338" s="9" t="s">
        <v>6106</v>
      </c>
      <c r="H1338" s="9" t="s">
        <v>4</v>
      </c>
      <c r="I1338" s="9"/>
      <c r="J1338" s="9"/>
      <c r="K1338" s="9"/>
      <c r="L1338" s="9"/>
      <c r="M1338" s="9" t="s">
        <v>1518</v>
      </c>
      <c r="N1338" s="9"/>
      <c r="O1338" s="9" t="s">
        <v>1519</v>
      </c>
      <c r="P1338" s="9" t="str">
        <f>HYPERLINK("https://ceds.ed.gov/cedselementdetails.aspx?termid=13031")</f>
        <v>https://ceds.ed.gov/cedselementdetails.aspx?termid=13031</v>
      </c>
      <c r="Q1338" s="9" t="str">
        <f>HYPERLINK("https://ceds.ed.gov/elementComment.aspx?elementName=Awaiting Initial IDEA Evaluation Status &amp;elementID=13031", "Click here to submit comment")</f>
        <v>Click here to submit comment</v>
      </c>
    </row>
    <row r="1339" spans="1:17" ht="285" x14ac:dyDescent="0.25">
      <c r="A1339" s="9" t="s">
        <v>6811</v>
      </c>
      <c r="B1339" s="9" t="s">
        <v>6825</v>
      </c>
      <c r="C1339" s="9" t="s">
        <v>6770</v>
      </c>
      <c r="D1339" s="9" t="s">
        <v>6742</v>
      </c>
      <c r="E1339" s="9" t="s">
        <v>3199</v>
      </c>
      <c r="F1339" s="9" t="s">
        <v>3200</v>
      </c>
      <c r="G1339" s="9" t="s">
        <v>6106</v>
      </c>
      <c r="H1339" s="9" t="s">
        <v>6228</v>
      </c>
      <c r="I1339" s="9"/>
      <c r="J1339" s="9"/>
      <c r="K1339" s="9"/>
      <c r="L1339" s="9"/>
      <c r="M1339" s="9" t="s">
        <v>3201</v>
      </c>
      <c r="N1339" s="9"/>
      <c r="O1339" s="9" t="s">
        <v>3202</v>
      </c>
      <c r="P1339" s="9" t="str">
        <f>HYPERLINK("https://ceds.ed.gov/cedselementdetails.aspx?termid=13151")</f>
        <v>https://ceds.ed.gov/cedselementdetails.aspx?termid=13151</v>
      </c>
      <c r="Q1339" s="9" t="str">
        <f>HYPERLINK("https://ceds.ed.gov/elementComment.aspx?elementName=IDEA Indicator &amp;elementID=13151", "Click here to submit comment")</f>
        <v>Click here to submit comment</v>
      </c>
    </row>
    <row r="1340" spans="1:17" ht="45" x14ac:dyDescent="0.25">
      <c r="A1340" s="9" t="s">
        <v>6811</v>
      </c>
      <c r="B1340" s="9" t="s">
        <v>6825</v>
      </c>
      <c r="C1340" s="9" t="s">
        <v>6770</v>
      </c>
      <c r="D1340" s="9" t="s">
        <v>6742</v>
      </c>
      <c r="E1340" s="9" t="s">
        <v>2291</v>
      </c>
      <c r="F1340" s="9" t="s">
        <v>2292</v>
      </c>
      <c r="G1340" s="9" t="s">
        <v>6106</v>
      </c>
      <c r="H1340" s="9" t="s">
        <v>199</v>
      </c>
      <c r="I1340" s="9"/>
      <c r="J1340" s="9"/>
      <c r="K1340" s="9"/>
      <c r="L1340" s="9"/>
      <c r="M1340" s="9" t="s">
        <v>2293</v>
      </c>
      <c r="N1340" s="9"/>
      <c r="O1340" s="9" t="s">
        <v>2294</v>
      </c>
      <c r="P1340" s="9" t="str">
        <f>HYPERLINK("https://ceds.ed.gov/cedselementdetails.aspx?termid=13569")</f>
        <v>https://ceds.ed.gov/cedselementdetails.aspx?termid=13569</v>
      </c>
      <c r="Q1340" s="9" t="str">
        <f>HYPERLINK("https://ceds.ed.gov/elementComment.aspx?elementName=Disability Status &amp;elementID=13569", "Click here to submit comment")</f>
        <v>Click here to submit comment</v>
      </c>
    </row>
    <row r="1341" spans="1:17" ht="90" x14ac:dyDescent="0.25">
      <c r="A1341" s="9" t="s">
        <v>6811</v>
      </c>
      <c r="B1341" s="9" t="s">
        <v>6825</v>
      </c>
      <c r="C1341" s="9" t="s">
        <v>6770</v>
      </c>
      <c r="D1341" s="9" t="s">
        <v>6742</v>
      </c>
      <c r="E1341" s="9" t="s">
        <v>5392</v>
      </c>
      <c r="F1341" s="9" t="s">
        <v>5393</v>
      </c>
      <c r="G1341" s="9" t="s">
        <v>6106</v>
      </c>
      <c r="H1341" s="9" t="s">
        <v>6228</v>
      </c>
      <c r="I1341" s="9"/>
      <c r="J1341" s="9"/>
      <c r="K1341" s="9"/>
      <c r="L1341" s="9"/>
      <c r="M1341" s="9" t="s">
        <v>5394</v>
      </c>
      <c r="N1341" s="9"/>
      <c r="O1341" s="9" t="s">
        <v>5395</v>
      </c>
      <c r="P1341" s="9" t="str">
        <f>HYPERLINK("https://ceds.ed.gov/cedselementdetails.aspx?termid=13249")</f>
        <v>https://ceds.ed.gov/cedselementdetails.aspx?termid=13249</v>
      </c>
      <c r="Q1341" s="9" t="str">
        <f>HYPERLINK("https://ceds.ed.gov/elementComment.aspx?elementName=Section 504 Status &amp;elementID=13249", "Click here to submit comment")</f>
        <v>Click here to submit comment</v>
      </c>
    </row>
    <row r="1342" spans="1:17" ht="210" x14ac:dyDescent="0.25">
      <c r="A1342" s="9" t="s">
        <v>6811</v>
      </c>
      <c r="B1342" s="9" t="s">
        <v>6825</v>
      </c>
      <c r="C1342" s="9" t="s">
        <v>6770</v>
      </c>
      <c r="D1342" s="9" t="s">
        <v>6742</v>
      </c>
      <c r="E1342" s="9" t="s">
        <v>4705</v>
      </c>
      <c r="F1342" s="9" t="s">
        <v>4706</v>
      </c>
      <c r="G1342" s="10" t="s">
        <v>6648</v>
      </c>
      <c r="H1342" s="9" t="s">
        <v>6259</v>
      </c>
      <c r="I1342" s="9"/>
      <c r="J1342" s="9"/>
      <c r="K1342" s="9"/>
      <c r="L1342" s="9" t="s">
        <v>11683</v>
      </c>
      <c r="M1342" s="9" t="s">
        <v>4707</v>
      </c>
      <c r="N1342" s="9"/>
      <c r="O1342" s="9" t="s">
        <v>4708</v>
      </c>
      <c r="P1342" s="9" t="str">
        <f>HYPERLINK("https://ceds.ed.gov/cedselementdetails.aspx?termid=13218")</f>
        <v>https://ceds.ed.gov/cedselementdetails.aspx?termid=13218</v>
      </c>
      <c r="Q1342" s="9" t="str">
        <f>HYPERLINK("https://ceds.ed.gov/elementComment.aspx?elementName=Primary Disability Type &amp;elementID=13218", "Click here to submit comment")</f>
        <v>Click here to submit comment</v>
      </c>
    </row>
    <row r="1343" spans="1:17" ht="255" x14ac:dyDescent="0.25">
      <c r="A1343" s="9" t="s">
        <v>6811</v>
      </c>
      <c r="B1343" s="9" t="s">
        <v>6825</v>
      </c>
      <c r="C1343" s="9" t="s">
        <v>6770</v>
      </c>
      <c r="D1343" s="9" t="s">
        <v>6742</v>
      </c>
      <c r="E1343" s="9" t="s">
        <v>2282</v>
      </c>
      <c r="F1343" s="9" t="s">
        <v>2283</v>
      </c>
      <c r="G1343" s="10" t="s">
        <v>6449</v>
      </c>
      <c r="H1343" s="9"/>
      <c r="I1343" s="9"/>
      <c r="J1343" s="9"/>
      <c r="K1343" s="9"/>
      <c r="L1343" s="9" t="s">
        <v>2284</v>
      </c>
      <c r="M1343" s="9" t="s">
        <v>2285</v>
      </c>
      <c r="N1343" s="9"/>
      <c r="O1343" s="9" t="s">
        <v>2286</v>
      </c>
      <c r="P1343" s="9" t="str">
        <f>HYPERLINK("https://ceds.ed.gov/cedselementdetails.aspx?termid=14286")</f>
        <v>https://ceds.ed.gov/cedselementdetails.aspx?termid=14286</v>
      </c>
      <c r="Q1343" s="9" t="str">
        <f>HYPERLINK("https://ceds.ed.gov/elementComment.aspx?elementName=Disability Condition Type &amp;elementID=14286", "Click here to submit comment")</f>
        <v>Click here to submit comment</v>
      </c>
    </row>
    <row r="1344" spans="1:17" ht="180" x14ac:dyDescent="0.25">
      <c r="A1344" s="9" t="s">
        <v>6811</v>
      </c>
      <c r="B1344" s="9" t="s">
        <v>6825</v>
      </c>
      <c r="C1344" s="9" t="s">
        <v>6770</v>
      </c>
      <c r="D1344" s="9" t="s">
        <v>6742</v>
      </c>
      <c r="E1344" s="9" t="s">
        <v>2287</v>
      </c>
      <c r="F1344" s="9" t="s">
        <v>2288</v>
      </c>
      <c r="G1344" s="10" t="s">
        <v>6450</v>
      </c>
      <c r="H1344" s="9"/>
      <c r="I1344" s="9"/>
      <c r="J1344" s="9"/>
      <c r="K1344" s="9"/>
      <c r="L1344" s="9" t="s">
        <v>2284</v>
      </c>
      <c r="M1344" s="9" t="s">
        <v>2289</v>
      </c>
      <c r="N1344" s="9"/>
      <c r="O1344" s="9" t="s">
        <v>2290</v>
      </c>
      <c r="P1344" s="9" t="str">
        <f>HYPERLINK("https://ceds.ed.gov/cedselementdetails.aspx?termid=14287")</f>
        <v>https://ceds.ed.gov/cedselementdetails.aspx?termid=14287</v>
      </c>
      <c r="Q1344" s="9" t="str">
        <f>HYPERLINK("https://ceds.ed.gov/elementComment.aspx?elementName=Disability Determination Source Type &amp;elementID=14287", "Click here to submit comment")</f>
        <v>Click here to submit comment</v>
      </c>
    </row>
    <row r="1345" spans="1:17" ht="195" x14ac:dyDescent="0.25">
      <c r="A1345" s="9" t="s">
        <v>6811</v>
      </c>
      <c r="B1345" s="9" t="s">
        <v>6825</v>
      </c>
      <c r="C1345" s="9" t="s">
        <v>6770</v>
      </c>
      <c r="D1345" s="9" t="s">
        <v>6742</v>
      </c>
      <c r="E1345" s="9" t="s">
        <v>3190</v>
      </c>
      <c r="F1345" s="9" t="s">
        <v>3191</v>
      </c>
      <c r="G1345" s="10" t="s">
        <v>6539</v>
      </c>
      <c r="H1345" s="9" t="s">
        <v>199</v>
      </c>
      <c r="I1345" s="9"/>
      <c r="J1345" s="9"/>
      <c r="K1345" s="9"/>
      <c r="L1345" s="9"/>
      <c r="M1345" s="9" t="s">
        <v>3192</v>
      </c>
      <c r="N1345" s="9"/>
      <c r="O1345" s="9" t="s">
        <v>3193</v>
      </c>
      <c r="P1345" s="9" t="str">
        <f>HYPERLINK("https://ceds.ed.gov/cedselementdetails.aspx?termid=13526")</f>
        <v>https://ceds.ed.gov/cedselementdetails.aspx?termid=13526</v>
      </c>
      <c r="Q1345" s="9" t="str">
        <f>HYPERLINK("https://ceds.ed.gov/elementComment.aspx?elementName=IDEA Educational Environment for School Age &amp;elementID=13526", "Click here to submit comment")</f>
        <v>Click here to submit comment</v>
      </c>
    </row>
    <row r="1346" spans="1:17" ht="90" x14ac:dyDescent="0.25">
      <c r="A1346" s="9" t="s">
        <v>6811</v>
      </c>
      <c r="B1346" s="9" t="s">
        <v>6825</v>
      </c>
      <c r="C1346" s="9" t="s">
        <v>6841</v>
      </c>
      <c r="D1346" s="9" t="s">
        <v>6742</v>
      </c>
      <c r="E1346" s="9" t="s">
        <v>5528</v>
      </c>
      <c r="F1346" s="9" t="s">
        <v>5529</v>
      </c>
      <c r="G1346" s="9" t="s">
        <v>12</v>
      </c>
      <c r="H1346" s="9"/>
      <c r="I1346" s="9"/>
      <c r="J1346" s="9" t="s">
        <v>11380</v>
      </c>
      <c r="K1346" s="9"/>
      <c r="L1346" s="9"/>
      <c r="M1346" s="9" t="s">
        <v>5530</v>
      </c>
      <c r="N1346" s="9" t="s">
        <v>5531</v>
      </c>
      <c r="O1346" s="9" t="s">
        <v>5532</v>
      </c>
      <c r="P1346" s="9" t="str">
        <f>HYPERLINK("https://ceds.ed.gov/cedselementdetails.aspx?termid=14208")</f>
        <v>https://ceds.ed.gov/cedselementdetails.aspx?termid=14208</v>
      </c>
      <c r="Q1346" s="9" t="str">
        <f>HYPERLINK("https://ceds.ed.gov/elementComment.aspx?elementName=Special Education Full Time Equivalency &amp;elementID=14208", "Click here to submit comment")</f>
        <v>Click here to submit comment</v>
      </c>
    </row>
    <row r="1347" spans="1:17" ht="60" x14ac:dyDescent="0.25">
      <c r="A1347" s="9" t="s">
        <v>6811</v>
      </c>
      <c r="B1347" s="9" t="s">
        <v>6825</v>
      </c>
      <c r="C1347" s="9" t="s">
        <v>6841</v>
      </c>
      <c r="D1347" s="9" t="s">
        <v>6742</v>
      </c>
      <c r="E1347" s="9" t="s">
        <v>4936</v>
      </c>
      <c r="F1347" s="9" t="s">
        <v>4937</v>
      </c>
      <c r="G1347" s="9" t="s">
        <v>12</v>
      </c>
      <c r="H1347" s="9" t="s">
        <v>6267</v>
      </c>
      <c r="I1347" s="9"/>
      <c r="J1347" s="9" t="s">
        <v>73</v>
      </c>
      <c r="K1347" s="9"/>
      <c r="L1347" s="9"/>
      <c r="M1347" s="9" t="s">
        <v>4938</v>
      </c>
      <c r="N1347" s="9"/>
      <c r="O1347" s="9" t="s">
        <v>4939</v>
      </c>
      <c r="P1347" s="9" t="str">
        <f>HYPERLINK("https://ceds.ed.gov/cedselementdetails.aspx?termid=13583")</f>
        <v>https://ceds.ed.gov/cedselementdetails.aspx?termid=13583</v>
      </c>
      <c r="Q1347" s="9" t="str">
        <f>HYPERLINK("https://ceds.ed.gov/elementComment.aspx?elementName=Program Participation Start Date &amp;elementID=13583", "Click here to submit comment")</f>
        <v>Click here to submit comment</v>
      </c>
    </row>
    <row r="1348" spans="1:17" ht="45" x14ac:dyDescent="0.25">
      <c r="A1348" s="9" t="s">
        <v>6811</v>
      </c>
      <c r="B1348" s="9" t="s">
        <v>6825</v>
      </c>
      <c r="C1348" s="9" t="s">
        <v>6841</v>
      </c>
      <c r="D1348" s="9" t="s">
        <v>6742</v>
      </c>
      <c r="E1348" s="9" t="s">
        <v>4933</v>
      </c>
      <c r="F1348" s="9" t="s">
        <v>1641</v>
      </c>
      <c r="G1348" s="9" t="s">
        <v>12</v>
      </c>
      <c r="H1348" s="9" t="s">
        <v>6266</v>
      </c>
      <c r="I1348" s="9"/>
      <c r="J1348" s="9" t="s">
        <v>73</v>
      </c>
      <c r="K1348" s="9"/>
      <c r="L1348" s="9"/>
      <c r="M1348" s="9" t="s">
        <v>4934</v>
      </c>
      <c r="N1348" s="9"/>
      <c r="O1348" s="9" t="s">
        <v>4935</v>
      </c>
      <c r="P1348" s="9" t="str">
        <f>HYPERLINK("https://ceds.ed.gov/cedselementdetails.aspx?termid=13584")</f>
        <v>https://ceds.ed.gov/cedselementdetails.aspx?termid=13584</v>
      </c>
      <c r="Q1348" s="9" t="str">
        <f>HYPERLINK("https://ceds.ed.gov/elementComment.aspx?elementName=Program Participation Exit Date &amp;elementID=13584", "Click here to submit comment")</f>
        <v>Click here to submit comment</v>
      </c>
    </row>
    <row r="1349" spans="1:17" ht="409.5" x14ac:dyDescent="0.25">
      <c r="A1349" s="9" t="s">
        <v>6811</v>
      </c>
      <c r="B1349" s="9" t="s">
        <v>6825</v>
      </c>
      <c r="C1349" s="9" t="s">
        <v>6841</v>
      </c>
      <c r="D1349" s="9" t="s">
        <v>6742</v>
      </c>
      <c r="E1349" s="9" t="s">
        <v>5524</v>
      </c>
      <c r="F1349" s="9" t="s">
        <v>5525</v>
      </c>
      <c r="G1349" s="10" t="s">
        <v>6698</v>
      </c>
      <c r="H1349" s="9" t="s">
        <v>199</v>
      </c>
      <c r="I1349" s="9"/>
      <c r="J1349" s="9"/>
      <c r="K1349" s="9"/>
      <c r="L1349" s="9"/>
      <c r="M1349" s="9" t="s">
        <v>5526</v>
      </c>
      <c r="N1349" s="9"/>
      <c r="O1349" s="9" t="s">
        <v>5527</v>
      </c>
      <c r="P1349" s="9" t="str">
        <f>HYPERLINK("https://ceds.ed.gov/cedselementdetails.aspx?termid=13260")</f>
        <v>https://ceds.ed.gov/cedselementdetails.aspx?termid=13260</v>
      </c>
      <c r="Q1349" s="9" t="str">
        <f>HYPERLINK("https://ceds.ed.gov/elementComment.aspx?elementName=Special Education Exit Reason &amp;elementID=13260", "Click here to submit comment")</f>
        <v>Click here to submit comment</v>
      </c>
    </row>
    <row r="1350" spans="1:17" ht="45" x14ac:dyDescent="0.25">
      <c r="A1350" s="9" t="s">
        <v>6811</v>
      </c>
      <c r="B1350" s="9" t="s">
        <v>6825</v>
      </c>
      <c r="C1350" s="9" t="s">
        <v>6841</v>
      </c>
      <c r="D1350" s="9" t="s">
        <v>6742</v>
      </c>
      <c r="E1350" s="9" t="s">
        <v>5541</v>
      </c>
      <c r="F1350" s="9" t="s">
        <v>5542</v>
      </c>
      <c r="G1350" s="9" t="s">
        <v>12</v>
      </c>
      <c r="H1350" s="9" t="s">
        <v>199</v>
      </c>
      <c r="I1350" s="9"/>
      <c r="J1350" s="9" t="s">
        <v>73</v>
      </c>
      <c r="K1350" s="9"/>
      <c r="L1350" s="9"/>
      <c r="M1350" s="9" t="s">
        <v>5544</v>
      </c>
      <c r="N1350" s="9"/>
      <c r="O1350" s="9" t="s">
        <v>5545</v>
      </c>
      <c r="P1350" s="9" t="str">
        <f>HYPERLINK("https://ceds.ed.gov/cedselementdetails.aspx?termid=13263")</f>
        <v>https://ceds.ed.gov/cedselementdetails.aspx?termid=13263</v>
      </c>
      <c r="Q1350" s="9" t="str">
        <f>HYPERLINK("https://ceds.ed.gov/elementComment.aspx?elementName=Special Education Services Exit Date &amp;elementID=13263", "Click here to submit comment")</f>
        <v>Click here to submit comment</v>
      </c>
    </row>
    <row r="1351" spans="1:17" ht="120" x14ac:dyDescent="0.25">
      <c r="A1351" s="9" t="s">
        <v>6811</v>
      </c>
      <c r="B1351" s="9" t="s">
        <v>6825</v>
      </c>
      <c r="C1351" s="9" t="s">
        <v>6842</v>
      </c>
      <c r="D1351" s="9" t="s">
        <v>6742</v>
      </c>
      <c r="E1351" s="9" t="s">
        <v>5874</v>
      </c>
      <c r="F1351" s="9" t="s">
        <v>5875</v>
      </c>
      <c r="G1351" s="10" t="s">
        <v>6718</v>
      </c>
      <c r="H1351" s="9" t="s">
        <v>6109</v>
      </c>
      <c r="I1351" s="9"/>
      <c r="J1351" s="9"/>
      <c r="K1351" s="9"/>
      <c r="L1351" s="9"/>
      <c r="M1351" s="9" t="s">
        <v>5876</v>
      </c>
      <c r="N1351" s="9"/>
      <c r="O1351" s="9" t="s">
        <v>5877</v>
      </c>
      <c r="P1351" s="9" t="str">
        <f>HYPERLINK("https://ceds.ed.gov/cedselementdetails.aspx?termid=13281")</f>
        <v>https://ceds.ed.gov/cedselementdetails.aspx?termid=13281</v>
      </c>
      <c r="Q1351" s="9" t="str">
        <f>HYPERLINK("https://ceds.ed.gov/elementComment.aspx?elementName=Title I Indicator &amp;elementID=13281", "Click here to submit comment")</f>
        <v>Click here to submit comment</v>
      </c>
    </row>
    <row r="1352" spans="1:17" ht="60" x14ac:dyDescent="0.25">
      <c r="A1352" s="9" t="s">
        <v>6811</v>
      </c>
      <c r="B1352" s="9" t="s">
        <v>6825</v>
      </c>
      <c r="C1352" s="9" t="s">
        <v>6842</v>
      </c>
      <c r="D1352" s="9" t="s">
        <v>6742</v>
      </c>
      <c r="E1352" s="9" t="s">
        <v>4936</v>
      </c>
      <c r="F1352" s="9" t="s">
        <v>4937</v>
      </c>
      <c r="G1352" s="9" t="s">
        <v>12</v>
      </c>
      <c r="H1352" s="9" t="s">
        <v>6267</v>
      </c>
      <c r="I1352" s="9"/>
      <c r="J1352" s="9" t="s">
        <v>73</v>
      </c>
      <c r="K1352" s="9"/>
      <c r="L1352" s="9"/>
      <c r="M1352" s="9" t="s">
        <v>4938</v>
      </c>
      <c r="N1352" s="9"/>
      <c r="O1352" s="9" t="s">
        <v>4939</v>
      </c>
      <c r="P1352" s="9" t="str">
        <f>HYPERLINK("https://ceds.ed.gov/cedselementdetails.aspx?termid=13583")</f>
        <v>https://ceds.ed.gov/cedselementdetails.aspx?termid=13583</v>
      </c>
      <c r="Q1352" s="9" t="str">
        <f>HYPERLINK("https://ceds.ed.gov/elementComment.aspx?elementName=Program Participation Start Date &amp;elementID=13583", "Click here to submit comment")</f>
        <v>Click here to submit comment</v>
      </c>
    </row>
    <row r="1353" spans="1:17" ht="45" x14ac:dyDescent="0.25">
      <c r="A1353" s="9" t="s">
        <v>6811</v>
      </c>
      <c r="B1353" s="9" t="s">
        <v>6825</v>
      </c>
      <c r="C1353" s="9" t="s">
        <v>6842</v>
      </c>
      <c r="D1353" s="9" t="s">
        <v>6742</v>
      </c>
      <c r="E1353" s="9" t="s">
        <v>4933</v>
      </c>
      <c r="F1353" s="9" t="s">
        <v>1641</v>
      </c>
      <c r="G1353" s="9" t="s">
        <v>12</v>
      </c>
      <c r="H1353" s="9" t="s">
        <v>6266</v>
      </c>
      <c r="I1353" s="9"/>
      <c r="J1353" s="9" t="s">
        <v>73</v>
      </c>
      <c r="K1353" s="9"/>
      <c r="L1353" s="9"/>
      <c r="M1353" s="9" t="s">
        <v>4934</v>
      </c>
      <c r="N1353" s="9"/>
      <c r="O1353" s="9" t="s">
        <v>4935</v>
      </c>
      <c r="P1353" s="9" t="str">
        <f>HYPERLINK("https://ceds.ed.gov/cedselementdetails.aspx?termid=13584")</f>
        <v>https://ceds.ed.gov/cedselementdetails.aspx?termid=13584</v>
      </c>
      <c r="Q1353" s="9" t="str">
        <f>HYPERLINK("https://ceds.ed.gov/elementComment.aspx?elementName=Program Participation Exit Date &amp;elementID=13584", "Click here to submit comment")</f>
        <v>Click here to submit comment</v>
      </c>
    </row>
    <row r="1354" spans="1:17" ht="105" x14ac:dyDescent="0.25">
      <c r="A1354" s="9" t="s">
        <v>6811</v>
      </c>
      <c r="B1354" s="9" t="s">
        <v>6825</v>
      </c>
      <c r="C1354" s="9" t="s">
        <v>6842</v>
      </c>
      <c r="D1354" s="9" t="s">
        <v>6742</v>
      </c>
      <c r="E1354" s="9" t="s">
        <v>5294</v>
      </c>
      <c r="F1354" s="9" t="s">
        <v>5295</v>
      </c>
      <c r="G1354" s="9" t="s">
        <v>6106</v>
      </c>
      <c r="H1354" s="9" t="s">
        <v>199</v>
      </c>
      <c r="I1354" s="9"/>
      <c r="J1354" s="9"/>
      <c r="K1354" s="9"/>
      <c r="L1354" s="9"/>
      <c r="M1354" s="9" t="s">
        <v>5297</v>
      </c>
      <c r="N1354" s="9"/>
      <c r="O1354" s="9" t="s">
        <v>5298</v>
      </c>
      <c r="P1354" s="9" t="str">
        <f>HYPERLINK("https://ceds.ed.gov/cedselementdetails.aspx?termid=13235")</f>
        <v>https://ceds.ed.gov/cedselementdetails.aspx?termid=13235</v>
      </c>
      <c r="Q1354" s="9" t="str">
        <f>HYPERLINK("https://ceds.ed.gov/elementComment.aspx?elementName=School Choice Applied for Transfer Status &amp;elementID=13235", "Click here to submit comment")</f>
        <v>Click here to submit comment</v>
      </c>
    </row>
    <row r="1355" spans="1:17" ht="165" x14ac:dyDescent="0.25">
      <c r="A1355" s="9" t="s">
        <v>6811</v>
      </c>
      <c r="B1355" s="9" t="s">
        <v>6825</v>
      </c>
      <c r="C1355" s="9" t="s">
        <v>6842</v>
      </c>
      <c r="D1355" s="9" t="s">
        <v>6742</v>
      </c>
      <c r="E1355" s="9" t="s">
        <v>5299</v>
      </c>
      <c r="F1355" s="9" t="s">
        <v>5300</v>
      </c>
      <c r="G1355" s="9" t="s">
        <v>6106</v>
      </c>
      <c r="H1355" s="9" t="s">
        <v>199</v>
      </c>
      <c r="I1355" s="9"/>
      <c r="J1355" s="9"/>
      <c r="K1355" s="9"/>
      <c r="L1355" s="9" t="s">
        <v>5301</v>
      </c>
      <c r="M1355" s="9" t="s">
        <v>5302</v>
      </c>
      <c r="N1355" s="9"/>
      <c r="O1355" s="9" t="s">
        <v>5303</v>
      </c>
      <c r="P1355" s="9" t="str">
        <f>HYPERLINK("https://ceds.ed.gov/cedselementdetails.aspx?termid=13236")</f>
        <v>https://ceds.ed.gov/cedselementdetails.aspx?termid=13236</v>
      </c>
      <c r="Q1355" s="9" t="str">
        <f>HYPERLINK("https://ceds.ed.gov/elementComment.aspx?elementName=School Choice Eligible for Transfer Status &amp;elementID=13236", "Click here to submit comment")</f>
        <v>Click here to submit comment</v>
      </c>
    </row>
    <row r="1356" spans="1:17" ht="90" x14ac:dyDescent="0.25">
      <c r="A1356" s="9" t="s">
        <v>6811</v>
      </c>
      <c r="B1356" s="9" t="s">
        <v>6825</v>
      </c>
      <c r="C1356" s="9" t="s">
        <v>6842</v>
      </c>
      <c r="D1356" s="9" t="s">
        <v>6742</v>
      </c>
      <c r="E1356" s="9" t="s">
        <v>5304</v>
      </c>
      <c r="F1356" s="9" t="s">
        <v>5305</v>
      </c>
      <c r="G1356" s="9" t="s">
        <v>6106</v>
      </c>
      <c r="H1356" s="9" t="s">
        <v>6109</v>
      </c>
      <c r="I1356" s="9"/>
      <c r="J1356" s="9"/>
      <c r="K1356" s="9"/>
      <c r="L1356" s="9"/>
      <c r="M1356" s="9" t="s">
        <v>5306</v>
      </c>
      <c r="N1356" s="9"/>
      <c r="O1356" s="9" t="s">
        <v>5307</v>
      </c>
      <c r="P1356" s="9" t="str">
        <f>HYPERLINK("https://ceds.ed.gov/cedselementdetails.aspx?termid=13237")</f>
        <v>https://ceds.ed.gov/cedselementdetails.aspx?termid=13237</v>
      </c>
      <c r="Q1356" s="9" t="str">
        <f>HYPERLINK("https://ceds.ed.gov/elementComment.aspx?elementName=School Choice Transfer Status &amp;elementID=13237", "Click here to submit comment")</f>
        <v>Click here to submit comment</v>
      </c>
    </row>
    <row r="1357" spans="1:17" ht="90" x14ac:dyDescent="0.25">
      <c r="A1357" s="9" t="s">
        <v>6811</v>
      </c>
      <c r="B1357" s="9" t="s">
        <v>6825</v>
      </c>
      <c r="C1357" s="9" t="s">
        <v>6842</v>
      </c>
      <c r="D1357" s="9" t="s">
        <v>6742</v>
      </c>
      <c r="E1357" s="9" t="s">
        <v>5894</v>
      </c>
      <c r="F1357" s="9" t="s">
        <v>5895</v>
      </c>
      <c r="G1357" s="9" t="s">
        <v>6106</v>
      </c>
      <c r="H1357" s="9" t="s">
        <v>199</v>
      </c>
      <c r="I1357" s="9"/>
      <c r="J1357" s="9"/>
      <c r="K1357" s="9"/>
      <c r="L1357" s="9"/>
      <c r="M1357" s="9" t="s">
        <v>5896</v>
      </c>
      <c r="N1357" s="9"/>
      <c r="O1357" s="9" t="s">
        <v>5897</v>
      </c>
      <c r="P1357" s="9" t="str">
        <f>HYPERLINK("https://ceds.ed.gov/cedselementdetails.aspx?termid=13286")</f>
        <v>https://ceds.ed.gov/cedselementdetails.aspx?termid=13286</v>
      </c>
      <c r="Q1357" s="9" t="str">
        <f>HYPERLINK("https://ceds.ed.gov/elementComment.aspx?elementName=Title I School Supplemental Services Applied Status &amp;elementID=13286", "Click here to submit comment")</f>
        <v>Click here to submit comment</v>
      </c>
    </row>
    <row r="1358" spans="1:17" ht="75" x14ac:dyDescent="0.25">
      <c r="A1358" s="9" t="s">
        <v>6811</v>
      </c>
      <c r="B1358" s="9" t="s">
        <v>6825</v>
      </c>
      <c r="C1358" s="9" t="s">
        <v>6842</v>
      </c>
      <c r="D1358" s="9" t="s">
        <v>6742</v>
      </c>
      <c r="E1358" s="9" t="s">
        <v>5898</v>
      </c>
      <c r="F1358" s="9" t="s">
        <v>5899</v>
      </c>
      <c r="G1358" s="9" t="s">
        <v>6106</v>
      </c>
      <c r="H1358" s="9" t="s">
        <v>199</v>
      </c>
      <c r="I1358" s="9"/>
      <c r="J1358" s="9"/>
      <c r="K1358" s="9"/>
      <c r="L1358" s="9"/>
      <c r="M1358" s="9" t="s">
        <v>5900</v>
      </c>
      <c r="N1358" s="9"/>
      <c r="O1358" s="9" t="s">
        <v>5901</v>
      </c>
      <c r="P1358" s="9" t="str">
        <f>HYPERLINK("https://ceds.ed.gov/cedselementdetails.aspx?termid=13287")</f>
        <v>https://ceds.ed.gov/cedselementdetails.aspx?termid=13287</v>
      </c>
      <c r="Q1358" s="9" t="str">
        <f>HYPERLINK("https://ceds.ed.gov/elementComment.aspx?elementName=Title I School Supplemental Services Eligible Status &amp;elementID=13287", "Click here to submit comment")</f>
        <v>Click here to submit comment</v>
      </c>
    </row>
    <row r="1359" spans="1:17" ht="75" x14ac:dyDescent="0.25">
      <c r="A1359" s="9" t="s">
        <v>6811</v>
      </c>
      <c r="B1359" s="9" t="s">
        <v>6825</v>
      </c>
      <c r="C1359" s="9" t="s">
        <v>6842</v>
      </c>
      <c r="D1359" s="9" t="s">
        <v>6742</v>
      </c>
      <c r="E1359" s="9" t="s">
        <v>5902</v>
      </c>
      <c r="F1359" s="9" t="s">
        <v>5903</v>
      </c>
      <c r="G1359" s="9" t="s">
        <v>6106</v>
      </c>
      <c r="H1359" s="9" t="s">
        <v>199</v>
      </c>
      <c r="I1359" s="9"/>
      <c r="J1359" s="9"/>
      <c r="K1359" s="9"/>
      <c r="L1359" s="9"/>
      <c r="M1359" s="9" t="s">
        <v>5904</v>
      </c>
      <c r="N1359" s="9"/>
      <c r="O1359" s="9" t="s">
        <v>5905</v>
      </c>
      <c r="P1359" s="9" t="str">
        <f>HYPERLINK("https://ceds.ed.gov/cedselementdetails.aspx?termid=13288")</f>
        <v>https://ceds.ed.gov/cedselementdetails.aspx?termid=13288</v>
      </c>
      <c r="Q1359" s="9" t="str">
        <f>HYPERLINK("https://ceds.ed.gov/elementComment.aspx?elementName=Title I School Supplemental Services Received Status &amp;elementID=13288", "Click here to submit comment")</f>
        <v>Click here to submit comment</v>
      </c>
    </row>
    <row r="1360" spans="1:17" ht="60" x14ac:dyDescent="0.25">
      <c r="A1360" s="9" t="s">
        <v>6811</v>
      </c>
      <c r="B1360" s="9" t="s">
        <v>6825</v>
      </c>
      <c r="C1360" s="9" t="s">
        <v>6842</v>
      </c>
      <c r="D1360" s="9" t="s">
        <v>6742</v>
      </c>
      <c r="E1360" s="9" t="s">
        <v>5906</v>
      </c>
      <c r="F1360" s="9" t="s">
        <v>5907</v>
      </c>
      <c r="G1360" s="9" t="s">
        <v>6106</v>
      </c>
      <c r="H1360" s="9" t="s">
        <v>199</v>
      </c>
      <c r="I1360" s="9"/>
      <c r="J1360" s="9"/>
      <c r="K1360" s="9"/>
      <c r="L1360" s="9"/>
      <c r="M1360" s="9" t="s">
        <v>5908</v>
      </c>
      <c r="N1360" s="9"/>
      <c r="O1360" s="9" t="s">
        <v>5909</v>
      </c>
      <c r="P1360" s="9" t="str">
        <f>HYPERLINK("https://ceds.ed.gov/cedselementdetails.aspx?termid=13541")</f>
        <v>https://ceds.ed.gov/cedselementdetails.aspx?termid=13541</v>
      </c>
      <c r="Q1360" s="9" t="str">
        <f>HYPERLINK("https://ceds.ed.gov/elementComment.aspx?elementName=Title I Schoolwide Program Participation &amp;elementID=13541", "Click here to submit comment")</f>
        <v>Click here to submit comment</v>
      </c>
    </row>
    <row r="1361" spans="1:17" ht="75" x14ac:dyDescent="0.25">
      <c r="A1361" s="9" t="s">
        <v>6811</v>
      </c>
      <c r="B1361" s="9" t="s">
        <v>6825</v>
      </c>
      <c r="C1361" s="9" t="s">
        <v>6842</v>
      </c>
      <c r="D1361" s="9" t="s">
        <v>6742</v>
      </c>
      <c r="E1361" s="9" t="s">
        <v>5914</v>
      </c>
      <c r="F1361" s="9" t="s">
        <v>5915</v>
      </c>
      <c r="G1361" s="9" t="s">
        <v>6106</v>
      </c>
      <c r="H1361" s="9" t="s">
        <v>199</v>
      </c>
      <c r="I1361" s="9"/>
      <c r="J1361" s="9"/>
      <c r="K1361" s="9"/>
      <c r="L1361" s="9"/>
      <c r="M1361" s="9" t="s">
        <v>5916</v>
      </c>
      <c r="N1361" s="9"/>
      <c r="O1361" s="9" t="s">
        <v>5917</v>
      </c>
      <c r="P1361" s="9" t="str">
        <f>HYPERLINK("https://ceds.ed.gov/cedselementdetails.aspx?termid=13542")</f>
        <v>https://ceds.ed.gov/cedselementdetails.aspx?termid=13542</v>
      </c>
      <c r="Q1361" s="9" t="str">
        <f>HYPERLINK("https://ceds.ed.gov/elementComment.aspx?elementName=Title I Targeted Assistance Participation &amp;elementID=13542", "Click here to submit comment")</f>
        <v>Click here to submit comment</v>
      </c>
    </row>
    <row r="1362" spans="1:17" ht="270" x14ac:dyDescent="0.25">
      <c r="A1362" s="9" t="s">
        <v>6811</v>
      </c>
      <c r="B1362" s="9" t="s">
        <v>6825</v>
      </c>
      <c r="C1362" s="9" t="s">
        <v>6766</v>
      </c>
      <c r="D1362" s="9" t="s">
        <v>6742</v>
      </c>
      <c r="E1362" s="9" t="s">
        <v>3416</v>
      </c>
      <c r="F1362" s="9" t="s">
        <v>3417</v>
      </c>
      <c r="G1362" s="10" t="s">
        <v>11889</v>
      </c>
      <c r="H1362" s="9" t="s">
        <v>6124</v>
      </c>
      <c r="I1362" s="9" t="s">
        <v>91</v>
      </c>
      <c r="J1362" s="9"/>
      <c r="K1362" s="9"/>
      <c r="L1362" s="9"/>
      <c r="M1362" s="9" t="s">
        <v>3418</v>
      </c>
      <c r="N1362" s="9"/>
      <c r="O1362" s="9" t="s">
        <v>3419</v>
      </c>
      <c r="P1362" s="9" t="str">
        <f>HYPERLINK("https://ceds.ed.gov/cedselementdetails.aspx?termid=13320")</f>
        <v>https://ceds.ed.gov/cedselementdetails.aspx?termid=13320</v>
      </c>
      <c r="Q1362" s="9" t="str">
        <f>HYPERLINK("https://ceds.ed.gov/elementComment.aspx?elementName=Individualized Program Type &amp;elementID=13320", "Click here to submit comment")</f>
        <v>Click here to submit comment</v>
      </c>
    </row>
    <row r="1363" spans="1:17" ht="120" x14ac:dyDescent="0.25">
      <c r="A1363" s="9" t="s">
        <v>6811</v>
      </c>
      <c r="B1363" s="9" t="s">
        <v>6825</v>
      </c>
      <c r="C1363" s="9" t="s">
        <v>6766</v>
      </c>
      <c r="D1363" s="9" t="s">
        <v>6742</v>
      </c>
      <c r="E1363" s="9" t="s">
        <v>11535</v>
      </c>
      <c r="F1363" s="9" t="s">
        <v>3360</v>
      </c>
      <c r="G1363" s="10" t="s">
        <v>6555</v>
      </c>
      <c r="H1363" s="9"/>
      <c r="I1363" s="9"/>
      <c r="J1363" s="9"/>
      <c r="K1363" s="9"/>
      <c r="L1363" s="9"/>
      <c r="M1363" s="9" t="s">
        <v>3361</v>
      </c>
      <c r="N1363" s="9"/>
      <c r="O1363" s="9" t="s">
        <v>3362</v>
      </c>
      <c r="P1363" s="9" t="str">
        <f>HYPERLINK("https://ceds.ed.gov/cedselementdetails.aspx?termid=14196")</f>
        <v>https://ceds.ed.gov/cedselementdetails.aspx?termid=14196</v>
      </c>
      <c r="Q1363" s="9" t="str">
        <f>HYPERLINK("https://ceds.ed.gov/elementComment.aspx?elementName=Individualized Program Service Plan Date Type &amp;elementID=14196", "Click here to submit comment")</f>
        <v>Click here to submit comment</v>
      </c>
    </row>
    <row r="1364" spans="1:17" ht="255" x14ac:dyDescent="0.25">
      <c r="A1364" s="9" t="s">
        <v>6811</v>
      </c>
      <c r="B1364" s="9" t="s">
        <v>6825</v>
      </c>
      <c r="C1364" s="9" t="s">
        <v>6766</v>
      </c>
      <c r="D1364" s="9" t="s">
        <v>6742</v>
      </c>
      <c r="E1364" s="9" t="s">
        <v>3186</v>
      </c>
      <c r="F1364" s="9" t="s">
        <v>3187</v>
      </c>
      <c r="G1364" s="10" t="s">
        <v>6538</v>
      </c>
      <c r="H1364" s="9" t="s">
        <v>199</v>
      </c>
      <c r="I1364" s="9"/>
      <c r="J1364" s="9"/>
      <c r="K1364" s="9"/>
      <c r="L1364" s="9"/>
      <c r="M1364" s="9" t="s">
        <v>3188</v>
      </c>
      <c r="N1364" s="9"/>
      <c r="O1364" s="9" t="s">
        <v>3189</v>
      </c>
      <c r="P1364" s="9" t="str">
        <f>HYPERLINK("https://ceds.ed.gov/cedselementdetails.aspx?termid=13550")</f>
        <v>https://ceds.ed.gov/cedselementdetails.aspx?termid=13550</v>
      </c>
      <c r="Q1364" s="9" t="str">
        <f>HYPERLINK("https://ceds.ed.gov/elementComment.aspx?elementName=IDEA Educational Environment for Early Childhood &amp;elementID=13550", "Click here to submit comment")</f>
        <v>Click here to submit comment</v>
      </c>
    </row>
    <row r="1365" spans="1:17" ht="195" x14ac:dyDescent="0.25">
      <c r="A1365" s="9" t="s">
        <v>6811</v>
      </c>
      <c r="B1365" s="9" t="s">
        <v>6825</v>
      </c>
      <c r="C1365" s="9" t="s">
        <v>6766</v>
      </c>
      <c r="D1365" s="9" t="s">
        <v>6742</v>
      </c>
      <c r="E1365" s="9" t="s">
        <v>3190</v>
      </c>
      <c r="F1365" s="9" t="s">
        <v>3191</v>
      </c>
      <c r="G1365" s="10" t="s">
        <v>6539</v>
      </c>
      <c r="H1365" s="9" t="s">
        <v>199</v>
      </c>
      <c r="I1365" s="9"/>
      <c r="J1365" s="9"/>
      <c r="K1365" s="9"/>
      <c r="L1365" s="9"/>
      <c r="M1365" s="9" t="s">
        <v>3192</v>
      </c>
      <c r="N1365" s="9"/>
      <c r="O1365" s="9" t="s">
        <v>3193</v>
      </c>
      <c r="P1365" s="9" t="str">
        <f>HYPERLINK("https://ceds.ed.gov/cedselementdetails.aspx?termid=13526")</f>
        <v>https://ceds.ed.gov/cedselementdetails.aspx?termid=13526</v>
      </c>
      <c r="Q1365" s="9" t="str">
        <f>HYPERLINK("https://ceds.ed.gov/elementComment.aspx?elementName=IDEA Educational Environment for School Age &amp;elementID=13526", "Click here to submit comment")</f>
        <v>Click here to submit comment</v>
      </c>
    </row>
    <row r="1366" spans="1:17" ht="135" x14ac:dyDescent="0.25">
      <c r="A1366" s="9" t="s">
        <v>6811</v>
      </c>
      <c r="B1366" s="9" t="s">
        <v>6825</v>
      </c>
      <c r="C1366" s="9" t="s">
        <v>6766</v>
      </c>
      <c r="D1366" s="9" t="s">
        <v>6742</v>
      </c>
      <c r="E1366" s="9" t="s">
        <v>11504</v>
      </c>
      <c r="F1366" s="9" t="s">
        <v>11505</v>
      </c>
      <c r="G1366" s="9" t="s">
        <v>12</v>
      </c>
      <c r="H1366" s="9"/>
      <c r="I1366" s="9"/>
      <c r="J1366" s="9" t="s">
        <v>303</v>
      </c>
      <c r="K1366" s="9"/>
      <c r="L1366" s="9"/>
      <c r="M1366" s="9" t="s">
        <v>11507</v>
      </c>
      <c r="N1366" s="9"/>
      <c r="O1366" s="9" t="s">
        <v>11508</v>
      </c>
      <c r="P1366" s="9" t="str">
        <f>HYPERLINK("https://ceds.ed.gov/cedselementdetails.aspx?termid=14663")</f>
        <v>https://ceds.ed.gov/cedselementdetails.aspx?termid=14663</v>
      </c>
      <c r="Q1366" s="9" t="str">
        <f>HYPERLINK("https://ceds.ed.gov/elementComment.aspx?elementName=IEP Transfer of Rights Statement &amp;elementID=14663", "Click here to submit comment")</f>
        <v>Click here to submit comment</v>
      </c>
    </row>
    <row r="1367" spans="1:17" ht="45" x14ac:dyDescent="0.25">
      <c r="A1367" s="9" t="s">
        <v>6811</v>
      </c>
      <c r="B1367" s="9" t="s">
        <v>6825</v>
      </c>
      <c r="C1367" s="9" t="s">
        <v>6766</v>
      </c>
      <c r="D1367" s="9" t="s">
        <v>6742</v>
      </c>
      <c r="E1367" s="9" t="s">
        <v>3345</v>
      </c>
      <c r="F1367" s="9" t="s">
        <v>11510</v>
      </c>
      <c r="G1367" s="9" t="s">
        <v>6106</v>
      </c>
      <c r="H1367" s="9"/>
      <c r="I1367" s="9"/>
      <c r="J1367" s="9"/>
      <c r="K1367" s="9"/>
      <c r="L1367" s="9"/>
      <c r="M1367" s="9" t="s">
        <v>3346</v>
      </c>
      <c r="N1367" s="9"/>
      <c r="O1367" s="9" t="s">
        <v>3347</v>
      </c>
      <c r="P1367" s="9" t="str">
        <f>HYPERLINK("https://ceds.ed.gov/cedselementdetails.aspx?termid=14615")</f>
        <v>https://ceds.ed.gov/cedselementdetails.aspx?termid=14615</v>
      </c>
      <c r="Q1367" s="9" t="str">
        <f>HYPERLINK("https://ceds.ed.gov/elementComment.aspx?elementName=Inclusive Setting Indicator &amp;elementID=14615", "Click here to submit comment")</f>
        <v>Click here to submit comment</v>
      </c>
    </row>
    <row r="1368" spans="1:17" ht="45" x14ac:dyDescent="0.25">
      <c r="A1368" s="9" t="s">
        <v>6811</v>
      </c>
      <c r="B1368" s="9" t="s">
        <v>6825</v>
      </c>
      <c r="C1368" s="9" t="s">
        <v>6766</v>
      </c>
      <c r="D1368" s="9" t="s">
        <v>6742</v>
      </c>
      <c r="E1368" s="9" t="s">
        <v>3356</v>
      </c>
      <c r="F1368" s="9" t="s">
        <v>3357</v>
      </c>
      <c r="G1368" s="9" t="s">
        <v>12</v>
      </c>
      <c r="H1368" s="9"/>
      <c r="I1368" s="9"/>
      <c r="J1368" s="9" t="s">
        <v>73</v>
      </c>
      <c r="K1368" s="9"/>
      <c r="L1368" s="9"/>
      <c r="M1368" s="9" t="s">
        <v>3358</v>
      </c>
      <c r="N1368" s="9"/>
      <c r="O1368" s="9" t="s">
        <v>3359</v>
      </c>
      <c r="P1368" s="9" t="str">
        <f>HYPERLINK("https://ceds.ed.gov/cedselementdetails.aspx?termid=14197")</f>
        <v>https://ceds.ed.gov/cedselementdetails.aspx?termid=14197</v>
      </c>
      <c r="Q1368" s="9" t="str">
        <f>HYPERLINK("https://ceds.ed.gov/elementComment.aspx?elementName=Individualized Program Date &amp;elementID=14197", "Click here to submit comment")</f>
        <v>Click here to submit comment</v>
      </c>
    </row>
    <row r="1369" spans="1:17" ht="45" x14ac:dyDescent="0.25">
      <c r="A1369" s="9" t="s">
        <v>6811</v>
      </c>
      <c r="B1369" s="9" t="s">
        <v>6825</v>
      </c>
      <c r="C1369" s="9" t="s">
        <v>6766</v>
      </c>
      <c r="D1369" s="9" t="s">
        <v>6742</v>
      </c>
      <c r="E1369" s="9" t="s">
        <v>3388</v>
      </c>
      <c r="F1369" s="9" t="s">
        <v>3389</v>
      </c>
      <c r="G1369" s="9" t="s">
        <v>12</v>
      </c>
      <c r="H1369" s="9"/>
      <c r="I1369" s="9"/>
      <c r="J1369" s="9" t="s">
        <v>73</v>
      </c>
      <c r="K1369" s="9"/>
      <c r="L1369" s="9"/>
      <c r="M1369" s="9" t="s">
        <v>3390</v>
      </c>
      <c r="N1369" s="9"/>
      <c r="O1369" s="9" t="s">
        <v>3391</v>
      </c>
      <c r="P1369" s="9" t="str">
        <f>HYPERLINK("https://ceds.ed.gov/cedselementdetails.aspx?termid=14201")</f>
        <v>https://ceds.ed.gov/cedselementdetails.aspx?termid=14201</v>
      </c>
      <c r="Q1369" s="9" t="str">
        <f>HYPERLINK("https://ceds.ed.gov/elementComment.aspx?elementName=Individualized Program Service Plan Date &amp;elementID=14201", "Click here to submit comment")</f>
        <v>Click here to submit comment</v>
      </c>
    </row>
    <row r="1370" spans="1:17" ht="45" x14ac:dyDescent="0.25">
      <c r="A1370" s="9" t="s">
        <v>6811</v>
      </c>
      <c r="B1370" s="9" t="s">
        <v>6825</v>
      </c>
      <c r="C1370" s="9" t="s">
        <v>6766</v>
      </c>
      <c r="D1370" s="9" t="s">
        <v>6742</v>
      </c>
      <c r="E1370" s="9" t="s">
        <v>11536</v>
      </c>
      <c r="F1370" s="9" t="s">
        <v>11537</v>
      </c>
      <c r="G1370" s="9" t="s">
        <v>12</v>
      </c>
      <c r="H1370" s="9"/>
      <c r="I1370" s="9"/>
      <c r="J1370" s="9" t="s">
        <v>73</v>
      </c>
      <c r="K1370" s="9"/>
      <c r="L1370" s="9"/>
      <c r="M1370" s="9" t="s">
        <v>11538</v>
      </c>
      <c r="N1370" s="9"/>
      <c r="O1370" s="9" t="s">
        <v>11539</v>
      </c>
      <c r="P1370" s="9" t="str">
        <f>HYPERLINK("https://ceds.ed.gov/cedselementdetails.aspx?termid=14664")</f>
        <v>https://ceds.ed.gov/cedselementdetails.aspx?termid=14664</v>
      </c>
      <c r="Q1370" s="9" t="str">
        <f>HYPERLINK("https://ceds.ed.gov/elementComment.aspx?elementName=Individualized Program Service Plan End Date &amp;elementID=14664", "Click here to submit comment")</f>
        <v>Click here to submit comment</v>
      </c>
    </row>
    <row r="1371" spans="1:17" ht="45" x14ac:dyDescent="0.25">
      <c r="A1371" s="9" t="s">
        <v>6811</v>
      </c>
      <c r="B1371" s="9" t="s">
        <v>6825</v>
      </c>
      <c r="C1371" s="9" t="s">
        <v>6766</v>
      </c>
      <c r="D1371" s="9" t="s">
        <v>6742</v>
      </c>
      <c r="E1371" s="9" t="s">
        <v>11540</v>
      </c>
      <c r="F1371" s="9" t="s">
        <v>11541</v>
      </c>
      <c r="G1371" s="9" t="s">
        <v>12</v>
      </c>
      <c r="H1371" s="9"/>
      <c r="I1371" s="9"/>
      <c r="J1371" s="9" t="s">
        <v>73</v>
      </c>
      <c r="K1371" s="9"/>
      <c r="L1371" s="9"/>
      <c r="M1371" s="9" t="s">
        <v>11542</v>
      </c>
      <c r="N1371" s="9"/>
      <c r="O1371" s="9" t="s">
        <v>11543</v>
      </c>
      <c r="P1371" s="9" t="str">
        <f>HYPERLINK("https://ceds.ed.gov/cedselementdetails.aspx?termid=14665")</f>
        <v>https://ceds.ed.gov/cedselementdetails.aspx?termid=14665</v>
      </c>
      <c r="Q1371" s="9" t="str">
        <f>HYPERLINK("https://ceds.ed.gov/elementComment.aspx?elementName=Individualized Program Service Plan Meeting Date &amp;elementID=14665", "Click here to submit comment")</f>
        <v>Click here to submit comment</v>
      </c>
    </row>
    <row r="1372" spans="1:17" ht="45" x14ac:dyDescent="0.25">
      <c r="A1372" s="9" t="s">
        <v>6811</v>
      </c>
      <c r="B1372" s="9" t="s">
        <v>6825</v>
      </c>
      <c r="C1372" s="9" t="s">
        <v>6766</v>
      </c>
      <c r="D1372" s="9" t="s">
        <v>6742</v>
      </c>
      <c r="E1372" s="9" t="s">
        <v>3400</v>
      </c>
      <c r="F1372" s="9" t="s">
        <v>3401</v>
      </c>
      <c r="G1372" s="9" t="s">
        <v>12</v>
      </c>
      <c r="H1372" s="9"/>
      <c r="I1372" s="9"/>
      <c r="J1372" s="9" t="s">
        <v>73</v>
      </c>
      <c r="K1372" s="9"/>
      <c r="L1372" s="9"/>
      <c r="M1372" s="9" t="s">
        <v>3402</v>
      </c>
      <c r="N1372" s="9"/>
      <c r="O1372" s="9" t="s">
        <v>3403</v>
      </c>
      <c r="P1372" s="9" t="str">
        <f>HYPERLINK("https://ceds.ed.gov/cedselementdetails.aspx?termid=14207")</f>
        <v>https://ceds.ed.gov/cedselementdetails.aspx?termid=14207</v>
      </c>
      <c r="Q1372" s="9" t="str">
        <f>HYPERLINK("https://ceds.ed.gov/elementComment.aspx?elementName=Individualized Program Service Plan Reevaluation Date &amp;elementID=14207", "Click here to submit comment")</f>
        <v>Click here to submit comment</v>
      </c>
    </row>
    <row r="1373" spans="1:17" ht="255" x14ac:dyDescent="0.25">
      <c r="A1373" s="9" t="s">
        <v>6811</v>
      </c>
      <c r="B1373" s="9" t="s">
        <v>6825</v>
      </c>
      <c r="C1373" s="9" t="s">
        <v>6766</v>
      </c>
      <c r="D1373" s="9" t="s">
        <v>6742</v>
      </c>
      <c r="E1373" s="9" t="s">
        <v>3392</v>
      </c>
      <c r="F1373" s="9" t="s">
        <v>3393</v>
      </c>
      <c r="G1373" s="10" t="s">
        <v>6558</v>
      </c>
      <c r="H1373" s="9"/>
      <c r="I1373" s="9"/>
      <c r="J1373" s="9"/>
      <c r="K1373" s="9"/>
      <c r="L1373" s="9"/>
      <c r="M1373" s="9" t="s">
        <v>3394</v>
      </c>
      <c r="N1373" s="9"/>
      <c r="O1373" s="9" t="s">
        <v>3395</v>
      </c>
      <c r="P1373" s="9" t="str">
        <f>HYPERLINK("https://ceds.ed.gov/cedselementdetails.aspx?termid=14202")</f>
        <v>https://ceds.ed.gov/cedselementdetails.aspx?termid=14202</v>
      </c>
      <c r="Q1373" s="9" t="str">
        <f>HYPERLINK("https://ceds.ed.gov/elementComment.aspx?elementName=Individualized Program Service Plan Meeting Location &amp;elementID=14202", "Click here to submit comment")</f>
        <v>Click here to submit comment</v>
      </c>
    </row>
    <row r="1374" spans="1:17" ht="45" x14ac:dyDescent="0.25">
      <c r="A1374" s="9" t="s">
        <v>6811</v>
      </c>
      <c r="B1374" s="9" t="s">
        <v>6825</v>
      </c>
      <c r="C1374" s="9" t="s">
        <v>6766</v>
      </c>
      <c r="D1374" s="9" t="s">
        <v>6742</v>
      </c>
      <c r="E1374" s="9" t="s">
        <v>3396</v>
      </c>
      <c r="F1374" s="9" t="s">
        <v>3397</v>
      </c>
      <c r="G1374" s="9" t="s">
        <v>12</v>
      </c>
      <c r="H1374" s="9"/>
      <c r="I1374" s="9"/>
      <c r="J1374" s="9" t="s">
        <v>303</v>
      </c>
      <c r="K1374" s="9"/>
      <c r="L1374" s="9"/>
      <c r="M1374" s="9" t="s">
        <v>3398</v>
      </c>
      <c r="N1374" s="9"/>
      <c r="O1374" s="9" t="s">
        <v>3399</v>
      </c>
      <c r="P1374" s="9" t="str">
        <f>HYPERLINK("https://ceds.ed.gov/cedselementdetails.aspx?termid=14203")</f>
        <v>https://ceds.ed.gov/cedselementdetails.aspx?termid=14203</v>
      </c>
      <c r="Q1374" s="9" t="str">
        <f>HYPERLINK("https://ceds.ed.gov/elementComment.aspx?elementName=Individualized Program Service Plan Meeting Participants &amp;elementID=14203", "Click here to submit comment")</f>
        <v>Click here to submit comment</v>
      </c>
    </row>
    <row r="1375" spans="1:17" ht="45" x14ac:dyDescent="0.25">
      <c r="A1375" s="9" t="s">
        <v>6811</v>
      </c>
      <c r="B1375" s="9" t="s">
        <v>6825</v>
      </c>
      <c r="C1375" s="9" t="s">
        <v>6766</v>
      </c>
      <c r="D1375" s="9" t="s">
        <v>6742</v>
      </c>
      <c r="E1375" s="9" t="s">
        <v>3408</v>
      </c>
      <c r="F1375" s="9" t="s">
        <v>3409</v>
      </c>
      <c r="G1375" s="9" t="s">
        <v>12</v>
      </c>
      <c r="H1375" s="9"/>
      <c r="I1375" s="9"/>
      <c r="J1375" s="9" t="s">
        <v>303</v>
      </c>
      <c r="K1375" s="9"/>
      <c r="L1375" s="9"/>
      <c r="M1375" s="9" t="s">
        <v>3410</v>
      </c>
      <c r="N1375" s="9"/>
      <c r="O1375" s="9" t="s">
        <v>3411</v>
      </c>
      <c r="P1375" s="9" t="str">
        <f>HYPERLINK("https://ceds.ed.gov/cedselementdetails.aspx?termid=14204")</f>
        <v>https://ceds.ed.gov/cedselementdetails.aspx?termid=14204</v>
      </c>
      <c r="Q1375" s="9" t="str">
        <f>HYPERLINK("https://ceds.ed.gov/elementComment.aspx?elementName=Individualized Program Service Plan Signed By &amp;elementID=14204", "Click here to submit comment")</f>
        <v>Click here to submit comment</v>
      </c>
    </row>
    <row r="1376" spans="1:17" ht="45" x14ac:dyDescent="0.25">
      <c r="A1376" s="9" t="s">
        <v>6811</v>
      </c>
      <c r="B1376" s="9" t="s">
        <v>6825</v>
      </c>
      <c r="C1376" s="9" t="s">
        <v>6766</v>
      </c>
      <c r="D1376" s="9" t="s">
        <v>6742</v>
      </c>
      <c r="E1376" s="9" t="s">
        <v>3404</v>
      </c>
      <c r="F1376" s="9" t="s">
        <v>3405</v>
      </c>
      <c r="G1376" s="9" t="s">
        <v>12</v>
      </c>
      <c r="H1376" s="9"/>
      <c r="I1376" s="9"/>
      <c r="J1376" s="9" t="s">
        <v>73</v>
      </c>
      <c r="K1376" s="9"/>
      <c r="L1376" s="9"/>
      <c r="M1376" s="9" t="s">
        <v>3406</v>
      </c>
      <c r="N1376" s="9"/>
      <c r="O1376" s="9" t="s">
        <v>3407</v>
      </c>
      <c r="P1376" s="9" t="str">
        <f>HYPERLINK("https://ceds.ed.gov/cedselementdetails.aspx?termid=14205")</f>
        <v>https://ceds.ed.gov/cedselementdetails.aspx?termid=14205</v>
      </c>
      <c r="Q1376" s="9" t="str">
        <f>HYPERLINK("https://ceds.ed.gov/elementComment.aspx?elementName=Individualized Program Service Plan Signature Date &amp;elementID=14205", "Click here to submit comment")</f>
        <v>Click here to submit comment</v>
      </c>
    </row>
    <row r="1377" spans="1:17" ht="105" x14ac:dyDescent="0.25">
      <c r="A1377" s="9" t="s">
        <v>6811</v>
      </c>
      <c r="B1377" s="9" t="s">
        <v>6825</v>
      </c>
      <c r="C1377" s="9" t="s">
        <v>6766</v>
      </c>
      <c r="D1377" s="9" t="s">
        <v>6742</v>
      </c>
      <c r="E1377" s="9" t="s">
        <v>11553</v>
      </c>
      <c r="F1377" s="9" t="s">
        <v>11554</v>
      </c>
      <c r="G1377" s="10" t="s">
        <v>11887</v>
      </c>
      <c r="H1377" s="9"/>
      <c r="I1377" s="9"/>
      <c r="J1377" s="9"/>
      <c r="K1377" s="9"/>
      <c r="L1377" s="9"/>
      <c r="M1377" s="9" t="s">
        <v>11555</v>
      </c>
      <c r="N1377" s="9"/>
      <c r="O1377" s="9" t="s">
        <v>11556</v>
      </c>
      <c r="P1377" s="9" t="str">
        <f>HYPERLINK("https://ceds.ed.gov/cedselementdetails.aspx?termid=14662")</f>
        <v>https://ceds.ed.gov/cedselementdetails.aspx?termid=14662</v>
      </c>
      <c r="Q1377" s="9" t="str">
        <f>HYPERLINK("https://ceds.ed.gov/elementComment.aspx?elementName=Individualized Program Service Plan Progress Report Schedule &amp;elementID=14662", "Click here to submit comment")</f>
        <v>Click here to submit comment</v>
      </c>
    </row>
    <row r="1378" spans="1:17" ht="90" x14ac:dyDescent="0.25">
      <c r="A1378" s="9" t="s">
        <v>6811</v>
      </c>
      <c r="B1378" s="9" t="s">
        <v>6825</v>
      </c>
      <c r="C1378" s="9" t="s">
        <v>6766</v>
      </c>
      <c r="D1378" s="9" t="s">
        <v>6742</v>
      </c>
      <c r="E1378" s="9" t="s">
        <v>11557</v>
      </c>
      <c r="F1378" s="9" t="s">
        <v>11558</v>
      </c>
      <c r="G1378" s="10" t="s">
        <v>11888</v>
      </c>
      <c r="H1378" s="9"/>
      <c r="I1378" s="9"/>
      <c r="J1378" s="9"/>
      <c r="K1378" s="9"/>
      <c r="L1378" s="9"/>
      <c r="M1378" s="9" t="s">
        <v>11560</v>
      </c>
      <c r="N1378" s="9"/>
      <c r="O1378" s="9" t="s">
        <v>11561</v>
      </c>
      <c r="P1378" s="9" t="str">
        <f>HYPERLINK("https://ceds.ed.gov/cedselementdetails.aspx?termid=14682")</f>
        <v>https://ceds.ed.gov/cedselementdetails.aspx?termid=14682</v>
      </c>
      <c r="Q1378" s="9" t="str">
        <f>HYPERLINK("https://ceds.ed.gov/elementComment.aspx?elementName=Individualized Program Service Plan Progress Report Type &amp;elementID=14682", "Click here to submit comment")</f>
        <v>Click here to submit comment</v>
      </c>
    </row>
    <row r="1379" spans="1:17" ht="60" x14ac:dyDescent="0.25">
      <c r="A1379" s="9" t="s">
        <v>6811</v>
      </c>
      <c r="B1379" s="9" t="s">
        <v>6825</v>
      </c>
      <c r="C1379" s="9" t="s">
        <v>6766</v>
      </c>
      <c r="D1379" s="9" t="s">
        <v>6742</v>
      </c>
      <c r="E1379" s="9" t="s">
        <v>3367</v>
      </c>
      <c r="F1379" s="9" t="s">
        <v>3368</v>
      </c>
      <c r="G1379" s="9" t="s">
        <v>12</v>
      </c>
      <c r="H1379" s="9"/>
      <c r="I1379" s="9"/>
      <c r="J1379" s="9" t="s">
        <v>10489</v>
      </c>
      <c r="K1379" s="9"/>
      <c r="L1379" s="9"/>
      <c r="M1379" s="9" t="s">
        <v>3369</v>
      </c>
      <c r="N1379" s="9"/>
      <c r="O1379" s="9" t="s">
        <v>3370</v>
      </c>
      <c r="P1379" s="9" t="str">
        <f>HYPERLINK("https://ceds.ed.gov/cedselementdetails.aspx?termid=14198")</f>
        <v>https://ceds.ed.gov/cedselementdetails.aspx?termid=14198</v>
      </c>
      <c r="Q1379" s="9" t="str">
        <f>HYPERLINK("https://ceds.ed.gov/elementComment.aspx?elementName=Individualized Program NonInclusion Minutes Per Week &amp;elementID=14198", "Click here to submit comment")</f>
        <v>Click here to submit comment</v>
      </c>
    </row>
    <row r="1380" spans="1:17" ht="60" x14ac:dyDescent="0.25">
      <c r="A1380" s="9" t="s">
        <v>6811</v>
      </c>
      <c r="B1380" s="9" t="s">
        <v>6825</v>
      </c>
      <c r="C1380" s="9" t="s">
        <v>6766</v>
      </c>
      <c r="D1380" s="9" t="s">
        <v>6742</v>
      </c>
      <c r="E1380" s="9" t="s">
        <v>3363</v>
      </c>
      <c r="F1380" s="9" t="s">
        <v>3364</v>
      </c>
      <c r="G1380" s="9" t="s">
        <v>12</v>
      </c>
      <c r="H1380" s="9"/>
      <c r="I1380" s="9"/>
      <c r="J1380" s="9" t="s">
        <v>10489</v>
      </c>
      <c r="K1380" s="9"/>
      <c r="L1380" s="9"/>
      <c r="M1380" s="9" t="s">
        <v>3365</v>
      </c>
      <c r="N1380" s="9"/>
      <c r="O1380" s="9" t="s">
        <v>3366</v>
      </c>
      <c r="P1380" s="9" t="str">
        <f>HYPERLINK("https://ceds.ed.gov/cedselementdetails.aspx?termid=14199")</f>
        <v>https://ceds.ed.gov/cedselementdetails.aspx?termid=14199</v>
      </c>
      <c r="Q1380" s="9" t="str">
        <f>HYPERLINK("https://ceds.ed.gov/elementComment.aspx?elementName=Individualized Program Inclusion Minutes Per Week &amp;elementID=14199", "Click here to submit comment")</f>
        <v>Click here to submit comment</v>
      </c>
    </row>
    <row r="1381" spans="1:17" ht="75" x14ac:dyDescent="0.25">
      <c r="A1381" s="9" t="s">
        <v>6811</v>
      </c>
      <c r="B1381" s="9" t="s">
        <v>6825</v>
      </c>
      <c r="C1381" s="9" t="s">
        <v>6766</v>
      </c>
      <c r="D1381" s="9" t="s">
        <v>6742</v>
      </c>
      <c r="E1381" s="9" t="s">
        <v>3412</v>
      </c>
      <c r="F1381" s="9" t="s">
        <v>3413</v>
      </c>
      <c r="G1381" s="10" t="s">
        <v>6559</v>
      </c>
      <c r="H1381" s="9"/>
      <c r="I1381" s="9"/>
      <c r="J1381" s="9"/>
      <c r="K1381" s="9"/>
      <c r="L1381" s="9"/>
      <c r="M1381" s="9" t="s">
        <v>3414</v>
      </c>
      <c r="N1381" s="9"/>
      <c r="O1381" s="9" t="s">
        <v>3415</v>
      </c>
      <c r="P1381" s="9" t="str">
        <f>HYPERLINK("https://ceds.ed.gov/cedselementdetails.aspx?termid=14200")</f>
        <v>https://ceds.ed.gov/cedselementdetails.aspx?termid=14200</v>
      </c>
      <c r="Q1381" s="9" t="str">
        <f>HYPERLINK("https://ceds.ed.gov/elementComment.aspx?elementName=Individualized Program Transition Plan Type &amp;elementID=14200", "Click here to submit comment")</f>
        <v>Click here to submit comment</v>
      </c>
    </row>
    <row r="1382" spans="1:17" ht="409.5" x14ac:dyDescent="0.25">
      <c r="A1382" s="9" t="s">
        <v>6811</v>
      </c>
      <c r="B1382" s="9" t="s">
        <v>6825</v>
      </c>
      <c r="C1382" s="9" t="s">
        <v>6766</v>
      </c>
      <c r="D1382" s="9" t="s">
        <v>6742</v>
      </c>
      <c r="E1382" s="9" t="s">
        <v>5740</v>
      </c>
      <c r="F1382" s="9" t="s">
        <v>5741</v>
      </c>
      <c r="G1382" s="10" t="s">
        <v>6708</v>
      </c>
      <c r="H1382" s="9"/>
      <c r="I1382" s="9"/>
      <c r="J1382" s="9"/>
      <c r="K1382" s="9"/>
      <c r="L1382" s="9"/>
      <c r="M1382" s="9" t="s">
        <v>5742</v>
      </c>
      <c r="N1382" s="9"/>
      <c r="O1382" s="9" t="s">
        <v>5743</v>
      </c>
      <c r="P1382" s="9" t="str">
        <f>HYPERLINK("https://ceds.ed.gov/cedselementdetails.aspx?termid=13273")</f>
        <v>https://ceds.ed.gov/cedselementdetails.aspx?termid=13273</v>
      </c>
      <c r="Q1382" s="9" t="str">
        <f>HYPERLINK("https://ceds.ed.gov/elementComment.aspx?elementName=Student Support Service Type &amp;elementID=13273", "Click here to submit comment")</f>
        <v>Click here to submit comment</v>
      </c>
    </row>
    <row r="1383" spans="1:17" ht="45" x14ac:dyDescent="0.25">
      <c r="A1383" s="9" t="s">
        <v>6811</v>
      </c>
      <c r="B1383" s="9" t="s">
        <v>6825</v>
      </c>
      <c r="C1383" s="9" t="s">
        <v>6766</v>
      </c>
      <c r="D1383" s="9" t="s">
        <v>6742</v>
      </c>
      <c r="E1383" s="9" t="s">
        <v>1632</v>
      </c>
      <c r="F1383" s="9" t="s">
        <v>1633</v>
      </c>
      <c r="G1383" s="9" t="s">
        <v>12</v>
      </c>
      <c r="H1383" s="9"/>
      <c r="I1383" s="9"/>
      <c r="J1383" s="9" t="s">
        <v>73</v>
      </c>
      <c r="K1383" s="9"/>
      <c r="L1383" s="9"/>
      <c r="M1383" s="9" t="s">
        <v>1634</v>
      </c>
      <c r="N1383" s="9"/>
      <c r="O1383" s="9" t="s">
        <v>1635</v>
      </c>
      <c r="P1383" s="9" t="str">
        <f>HYPERLINK("https://ceds.ed.gov/cedselementdetails.aspx?termid=14255")</f>
        <v>https://ceds.ed.gov/cedselementdetails.aspx?termid=14255</v>
      </c>
      <c r="Q1383" s="9" t="str">
        <f>HYPERLINK("https://ceds.ed.gov/elementComment.aspx?elementName=Career Education Plan Date &amp;elementID=14255", "Click here to submit comment")</f>
        <v>Click here to submit comment</v>
      </c>
    </row>
    <row r="1384" spans="1:17" ht="75" x14ac:dyDescent="0.25">
      <c r="A1384" s="9" t="s">
        <v>6811</v>
      </c>
      <c r="B1384" s="9" t="s">
        <v>6825</v>
      </c>
      <c r="C1384" s="9" t="s">
        <v>6766</v>
      </c>
      <c r="D1384" s="9" t="s">
        <v>6742</v>
      </c>
      <c r="E1384" s="9" t="s">
        <v>1636</v>
      </c>
      <c r="F1384" s="9" t="s">
        <v>1637</v>
      </c>
      <c r="G1384" s="10" t="s">
        <v>6397</v>
      </c>
      <c r="H1384" s="9"/>
      <c r="I1384" s="9"/>
      <c r="J1384" s="9"/>
      <c r="K1384" s="9"/>
      <c r="L1384" s="9"/>
      <c r="M1384" s="9" t="s">
        <v>1638</v>
      </c>
      <c r="N1384" s="9"/>
      <c r="O1384" s="9" t="s">
        <v>1639</v>
      </c>
      <c r="P1384" s="9" t="str">
        <f>HYPERLINK("https://ceds.ed.gov/cedselementdetails.aspx?termid=14256")</f>
        <v>https://ceds.ed.gov/cedselementdetails.aspx?termid=14256</v>
      </c>
      <c r="Q1384" s="9" t="str">
        <f>HYPERLINK("https://ceds.ed.gov/elementComment.aspx?elementName=Career Education Plan Type &amp;elementID=14256", "Click here to submit comment")</f>
        <v>Click here to submit comment</v>
      </c>
    </row>
    <row r="1385" spans="1:17" ht="45" x14ac:dyDescent="0.25">
      <c r="A1385" s="9" t="s">
        <v>6811</v>
      </c>
      <c r="B1385" s="9" t="s">
        <v>6825</v>
      </c>
      <c r="C1385" s="9" t="s">
        <v>11913</v>
      </c>
      <c r="D1385" s="9" t="s">
        <v>6742</v>
      </c>
      <c r="E1385" s="9" t="s">
        <v>12209</v>
      </c>
      <c r="F1385" s="9" t="s">
        <v>10918</v>
      </c>
      <c r="G1385" s="9" t="s">
        <v>12</v>
      </c>
      <c r="H1385" s="9"/>
      <c r="I1385" s="9"/>
      <c r="J1385" s="9" t="s">
        <v>73</v>
      </c>
      <c r="K1385" s="9"/>
      <c r="L1385" s="9"/>
      <c r="M1385" s="9" t="s">
        <v>10920</v>
      </c>
      <c r="N1385" s="9"/>
      <c r="O1385" s="9" t="s">
        <v>10921</v>
      </c>
      <c r="P1385" s="9" t="str">
        <f>HYPERLINK("https://ceds.ed.gov/cedselementdetails.aspx?termid=14708")</f>
        <v>https://ceds.ed.gov/cedselementdetails.aspx?termid=14708</v>
      </c>
      <c r="Q1385" s="9" t="str">
        <f>HYPERLINK("https://ceds.ed.gov/elementComment.aspx?elementName=Consent to Evaluation Date &amp;elementID=14708", "Click here to submit comment")</f>
        <v>Click here to submit comment</v>
      </c>
    </row>
    <row r="1386" spans="1:17" ht="45" x14ac:dyDescent="0.25">
      <c r="A1386" s="9" t="s">
        <v>6811</v>
      </c>
      <c r="B1386" s="9" t="s">
        <v>6825</v>
      </c>
      <c r="C1386" s="9" t="s">
        <v>11913</v>
      </c>
      <c r="D1386" s="9" t="s">
        <v>6742</v>
      </c>
      <c r="E1386" s="9" t="s">
        <v>12210</v>
      </c>
      <c r="F1386" s="9" t="s">
        <v>10922</v>
      </c>
      <c r="G1386" s="9" t="s">
        <v>6106</v>
      </c>
      <c r="H1386" s="9"/>
      <c r="I1386" s="9"/>
      <c r="J1386" s="9"/>
      <c r="K1386" s="9"/>
      <c r="L1386" s="9"/>
      <c r="M1386" s="9" t="s">
        <v>10923</v>
      </c>
      <c r="N1386" s="9"/>
      <c r="O1386" s="9" t="s">
        <v>10924</v>
      </c>
      <c r="P1386" s="9" t="str">
        <f>HYPERLINK("https://ceds.ed.gov/cedselementdetails.aspx?termid=14707")</f>
        <v>https://ceds.ed.gov/cedselementdetails.aspx?termid=14707</v>
      </c>
      <c r="Q1386" s="9" t="str">
        <f>HYPERLINK("https://ceds.ed.gov/elementComment.aspx?elementName=Consent to Evaluation Indicator &amp;elementID=14707", "Click here to submit comment")</f>
        <v>Click here to submit comment</v>
      </c>
    </row>
    <row r="1387" spans="1:17" ht="105" x14ac:dyDescent="0.25">
      <c r="A1387" s="18" t="s">
        <v>6811</v>
      </c>
      <c r="B1387" s="18" t="s">
        <v>6825</v>
      </c>
      <c r="C1387" s="18" t="s">
        <v>11913</v>
      </c>
      <c r="D1387" s="18" t="s">
        <v>6742</v>
      </c>
      <c r="E1387" s="18" t="s">
        <v>4587</v>
      </c>
      <c r="F1387" s="18" t="s">
        <v>4588</v>
      </c>
      <c r="G1387" s="18" t="s">
        <v>12</v>
      </c>
      <c r="H1387" s="18"/>
      <c r="I1387" s="18"/>
      <c r="J1387" s="18" t="s">
        <v>119</v>
      </c>
      <c r="K1387" s="18"/>
      <c r="L1387" s="9" t="s">
        <v>120</v>
      </c>
      <c r="M1387" s="18" t="s">
        <v>4589</v>
      </c>
      <c r="N1387" s="18"/>
      <c r="O1387" s="18" t="s">
        <v>4590</v>
      </c>
      <c r="P1387" s="18" t="str">
        <f>HYPERLINK("https://ceds.ed.gov/cedselementdetails.aspx?termid=14551")</f>
        <v>https://ceds.ed.gov/cedselementdetails.aspx?termid=14551</v>
      </c>
      <c r="Q1387" s="18" t="str">
        <f>HYPERLINK("https://ceds.ed.gov/elementComment.aspx?elementName=Person Identifier &amp;elementID=14551", "Click here to submit comment")</f>
        <v>Click here to submit comment</v>
      </c>
    </row>
    <row r="1388" spans="1:17" x14ac:dyDescent="0.25">
      <c r="A1388" s="18"/>
      <c r="B1388" s="18"/>
      <c r="C1388" s="18"/>
      <c r="D1388" s="18"/>
      <c r="E1388" s="18"/>
      <c r="F1388" s="18"/>
      <c r="G1388" s="18"/>
      <c r="H1388" s="18"/>
      <c r="I1388" s="18"/>
      <c r="J1388" s="18"/>
      <c r="K1388" s="18"/>
      <c r="L1388" s="9"/>
      <c r="M1388" s="18"/>
      <c r="N1388" s="18"/>
      <c r="O1388" s="18"/>
      <c r="P1388" s="18"/>
      <c r="Q1388" s="18"/>
    </row>
    <row r="1389" spans="1:17" ht="90" x14ac:dyDescent="0.25">
      <c r="A1389" s="18"/>
      <c r="B1389" s="18"/>
      <c r="C1389" s="18"/>
      <c r="D1389" s="18"/>
      <c r="E1389" s="18"/>
      <c r="F1389" s="18"/>
      <c r="G1389" s="18"/>
      <c r="H1389" s="18"/>
      <c r="I1389" s="18"/>
      <c r="J1389" s="18"/>
      <c r="K1389" s="18"/>
      <c r="L1389" s="9" t="s">
        <v>121</v>
      </c>
      <c r="M1389" s="18"/>
      <c r="N1389" s="18"/>
      <c r="O1389" s="18"/>
      <c r="P1389" s="18"/>
      <c r="Q1389" s="18"/>
    </row>
    <row r="1390" spans="1:17" ht="375" x14ac:dyDescent="0.25">
      <c r="A1390" s="9" t="s">
        <v>6811</v>
      </c>
      <c r="B1390" s="9" t="s">
        <v>6825</v>
      </c>
      <c r="C1390" s="9" t="s">
        <v>11913</v>
      </c>
      <c r="D1390" s="9" t="s">
        <v>6742</v>
      </c>
      <c r="E1390" s="9" t="s">
        <v>4583</v>
      </c>
      <c r="F1390" s="9" t="s">
        <v>4584</v>
      </c>
      <c r="G1390" s="10" t="s">
        <v>6635</v>
      </c>
      <c r="H1390" s="9"/>
      <c r="I1390" s="9"/>
      <c r="J1390" s="9"/>
      <c r="K1390" s="9"/>
      <c r="L1390" s="9"/>
      <c r="M1390" s="9" t="s">
        <v>4585</v>
      </c>
      <c r="N1390" s="9"/>
      <c r="O1390" s="9" t="s">
        <v>4586</v>
      </c>
      <c r="P1390" s="9" t="str">
        <f>HYPERLINK("https://ceds.ed.gov/cedselementdetails.aspx?termid=14550")</f>
        <v>https://ceds.ed.gov/cedselementdetails.aspx?termid=14550</v>
      </c>
      <c r="Q1390" s="9" t="str">
        <f>HYPERLINK("https://ceds.ed.gov/elementComment.aspx?elementName=Person Identification System &amp;elementID=14550", "Click here to submit comment")</f>
        <v>Click here to submit comment</v>
      </c>
    </row>
    <row r="1391" spans="1:17" ht="45" x14ac:dyDescent="0.25">
      <c r="A1391" s="9" t="s">
        <v>6811</v>
      </c>
      <c r="B1391" s="9" t="s">
        <v>6825</v>
      </c>
      <c r="C1391" s="9" t="s">
        <v>11914</v>
      </c>
      <c r="D1391" s="9" t="s">
        <v>6742</v>
      </c>
      <c r="E1391" s="9" t="s">
        <v>2291</v>
      </c>
      <c r="F1391" s="9" t="s">
        <v>2292</v>
      </c>
      <c r="G1391" s="9" t="s">
        <v>6106</v>
      </c>
      <c r="H1391" s="9" t="s">
        <v>199</v>
      </c>
      <c r="I1391" s="9"/>
      <c r="J1391" s="9"/>
      <c r="K1391" s="9"/>
      <c r="L1391" s="9"/>
      <c r="M1391" s="9" t="s">
        <v>2293</v>
      </c>
      <c r="N1391" s="9"/>
      <c r="O1391" s="9" t="s">
        <v>2294</v>
      </c>
      <c r="P1391" s="9" t="str">
        <f>HYPERLINK("https://ceds.ed.gov/cedselementdetails.aspx?termid=13569")</f>
        <v>https://ceds.ed.gov/cedselementdetails.aspx?termid=13569</v>
      </c>
      <c r="Q1391" s="9" t="str">
        <f>HYPERLINK("https://ceds.ed.gov/elementComment.aspx?elementName=Disability Status &amp;elementID=13569", "Click here to submit comment")</f>
        <v>Click here to submit comment</v>
      </c>
    </row>
    <row r="1392" spans="1:17" ht="90" x14ac:dyDescent="0.25">
      <c r="A1392" s="9" t="s">
        <v>6811</v>
      </c>
      <c r="B1392" s="9" t="s">
        <v>6825</v>
      </c>
      <c r="C1392" s="9" t="s">
        <v>11914</v>
      </c>
      <c r="D1392" s="9" t="s">
        <v>6742</v>
      </c>
      <c r="E1392" s="9" t="s">
        <v>5392</v>
      </c>
      <c r="F1392" s="9" t="s">
        <v>5393</v>
      </c>
      <c r="G1392" s="9" t="s">
        <v>6106</v>
      </c>
      <c r="H1392" s="9" t="s">
        <v>6228</v>
      </c>
      <c r="I1392" s="9"/>
      <c r="J1392" s="9"/>
      <c r="K1392" s="9"/>
      <c r="L1392" s="9"/>
      <c r="M1392" s="9" t="s">
        <v>5394</v>
      </c>
      <c r="N1392" s="9"/>
      <c r="O1392" s="9" t="s">
        <v>5395</v>
      </c>
      <c r="P1392" s="9" t="str">
        <f>HYPERLINK("https://ceds.ed.gov/cedselementdetails.aspx?termid=13249")</f>
        <v>https://ceds.ed.gov/cedselementdetails.aspx?termid=13249</v>
      </c>
      <c r="Q1392" s="9" t="str">
        <f>HYPERLINK("https://ceds.ed.gov/elementComment.aspx?elementName=Section 504 Status &amp;elementID=13249", "Click here to submit comment")</f>
        <v>Click here to submit comment</v>
      </c>
    </row>
    <row r="1393" spans="1:17" ht="210" x14ac:dyDescent="0.25">
      <c r="A1393" s="9" t="s">
        <v>6811</v>
      </c>
      <c r="B1393" s="9" t="s">
        <v>6825</v>
      </c>
      <c r="C1393" s="9" t="s">
        <v>11914</v>
      </c>
      <c r="D1393" s="9" t="s">
        <v>6742</v>
      </c>
      <c r="E1393" s="9" t="s">
        <v>4705</v>
      </c>
      <c r="F1393" s="9" t="s">
        <v>4706</v>
      </c>
      <c r="G1393" s="10" t="s">
        <v>6648</v>
      </c>
      <c r="H1393" s="9" t="s">
        <v>6259</v>
      </c>
      <c r="I1393" s="9"/>
      <c r="J1393" s="9"/>
      <c r="K1393" s="9"/>
      <c r="L1393" s="9" t="s">
        <v>11683</v>
      </c>
      <c r="M1393" s="9" t="s">
        <v>4707</v>
      </c>
      <c r="N1393" s="9"/>
      <c r="O1393" s="9" t="s">
        <v>4708</v>
      </c>
      <c r="P1393" s="9" t="str">
        <f>HYPERLINK("https://ceds.ed.gov/cedselementdetails.aspx?termid=13218")</f>
        <v>https://ceds.ed.gov/cedselementdetails.aspx?termid=13218</v>
      </c>
      <c r="Q1393" s="9" t="str">
        <f>HYPERLINK("https://ceds.ed.gov/elementComment.aspx?elementName=Primary Disability Type &amp;elementID=13218", "Click here to submit comment")</f>
        <v>Click here to submit comment</v>
      </c>
    </row>
    <row r="1394" spans="1:17" ht="285" x14ac:dyDescent="0.25">
      <c r="A1394" s="9" t="s">
        <v>6811</v>
      </c>
      <c r="B1394" s="9" t="s">
        <v>6825</v>
      </c>
      <c r="C1394" s="9" t="s">
        <v>11914</v>
      </c>
      <c r="D1394" s="9" t="s">
        <v>6742</v>
      </c>
      <c r="E1394" s="9" t="s">
        <v>3199</v>
      </c>
      <c r="F1394" s="9" t="s">
        <v>3200</v>
      </c>
      <c r="G1394" s="9" t="s">
        <v>6106</v>
      </c>
      <c r="H1394" s="9" t="s">
        <v>6228</v>
      </c>
      <c r="I1394" s="9"/>
      <c r="J1394" s="9"/>
      <c r="K1394" s="9"/>
      <c r="L1394" s="9"/>
      <c r="M1394" s="9" t="s">
        <v>3201</v>
      </c>
      <c r="N1394" s="9"/>
      <c r="O1394" s="9" t="s">
        <v>3202</v>
      </c>
      <c r="P1394" s="9" t="str">
        <f>HYPERLINK("https://ceds.ed.gov/cedselementdetails.aspx?termid=13151")</f>
        <v>https://ceds.ed.gov/cedselementdetails.aspx?termid=13151</v>
      </c>
      <c r="Q1394" s="9" t="str">
        <f>HYPERLINK("https://ceds.ed.gov/elementComment.aspx?elementName=IDEA Indicator &amp;elementID=13151", "Click here to submit comment")</f>
        <v>Click here to submit comment</v>
      </c>
    </row>
    <row r="1395" spans="1:17" ht="375" x14ac:dyDescent="0.25">
      <c r="A1395" s="9" t="s">
        <v>6811</v>
      </c>
      <c r="B1395" s="9" t="s">
        <v>6825</v>
      </c>
      <c r="C1395" s="9" t="s">
        <v>11914</v>
      </c>
      <c r="D1395" s="9" t="s">
        <v>6742</v>
      </c>
      <c r="E1395" s="9" t="s">
        <v>11432</v>
      </c>
      <c r="F1395" s="9" t="s">
        <v>11433</v>
      </c>
      <c r="G1395" s="10" t="s">
        <v>11882</v>
      </c>
      <c r="H1395" s="9"/>
      <c r="I1395" s="9"/>
      <c r="J1395" s="9"/>
      <c r="K1395" s="9"/>
      <c r="L1395" s="9" t="s">
        <v>11435</v>
      </c>
      <c r="M1395" s="9" t="s">
        <v>11436</v>
      </c>
      <c r="N1395" s="9"/>
      <c r="O1395" s="9" t="s">
        <v>11437</v>
      </c>
      <c r="P1395" s="9" t="str">
        <f>HYPERLINK("https://ceds.ed.gov/cedselementdetails.aspx?termid=14714")</f>
        <v>https://ceds.ed.gov/cedselementdetails.aspx?termid=14714</v>
      </c>
      <c r="Q1395" s="9" t="str">
        <f>HYPERLINK("https://ceds.ed.gov/elementComment.aspx?elementName=IDEA Disability Type &amp;elementID=14714", "Click here to submit comment")</f>
        <v>Click here to submit comment</v>
      </c>
    </row>
    <row r="1396" spans="1:17" ht="60" x14ac:dyDescent="0.25">
      <c r="A1396" s="9" t="s">
        <v>6811</v>
      </c>
      <c r="B1396" s="9" t="s">
        <v>6825</v>
      </c>
      <c r="C1396" s="9" t="s">
        <v>11914</v>
      </c>
      <c r="D1396" s="9" t="s">
        <v>6746</v>
      </c>
      <c r="E1396" s="9" t="s">
        <v>11727</v>
      </c>
      <c r="F1396" s="9" t="s">
        <v>11728</v>
      </c>
      <c r="G1396" s="9" t="s">
        <v>6106</v>
      </c>
      <c r="H1396" s="9"/>
      <c r="I1396" s="9" t="s">
        <v>1457</v>
      </c>
      <c r="J1396" s="9"/>
      <c r="K1396" s="9"/>
      <c r="L1396" s="9"/>
      <c r="M1396" s="9" t="s">
        <v>11730</v>
      </c>
      <c r="N1396" s="9"/>
      <c r="O1396" s="9" t="s">
        <v>11731</v>
      </c>
      <c r="P1396" s="9" t="str">
        <f>HYPERLINK("https://ceds.ed.gov/cedselementdetails.aspx?termid=14746")</f>
        <v>https://ceds.ed.gov/cedselementdetails.aspx?termid=14746</v>
      </c>
      <c r="Q1396" s="9" t="str">
        <f>HYPERLINK("https://ceds.ed.gov/elementComment.aspx?elementName=Significant Cognitive Disability Indicator &amp;elementID=14746", "Click here to submit comment")</f>
        <v>Click here to submit comment</v>
      </c>
    </row>
    <row r="1397" spans="1:17" ht="45" x14ac:dyDescent="0.25">
      <c r="A1397" s="9" t="s">
        <v>6811</v>
      </c>
      <c r="B1397" s="9" t="s">
        <v>6825</v>
      </c>
      <c r="C1397" s="9" t="s">
        <v>11915</v>
      </c>
      <c r="D1397" s="9" t="s">
        <v>6742</v>
      </c>
      <c r="E1397" s="9" t="s">
        <v>11128</v>
      </c>
      <c r="F1397" s="9" t="s">
        <v>11129</v>
      </c>
      <c r="G1397" s="9" t="s">
        <v>12</v>
      </c>
      <c r="H1397" s="9"/>
      <c r="I1397" s="9"/>
      <c r="J1397" s="9" t="s">
        <v>73</v>
      </c>
      <c r="K1397" s="9"/>
      <c r="L1397" s="9"/>
      <c r="M1397" s="9" t="s">
        <v>11131</v>
      </c>
      <c r="N1397" s="9"/>
      <c r="O1397" s="9" t="s">
        <v>11132</v>
      </c>
      <c r="P1397" s="9" t="str">
        <f>HYPERLINK("https://ceds.ed.gov/cedselementdetails.aspx?termid=14712")</f>
        <v>https://ceds.ed.gov/cedselementdetails.aspx?termid=14712</v>
      </c>
      <c r="Q1397" s="9" t="str">
        <f>HYPERLINK("https://ceds.ed.gov/elementComment.aspx?elementName=Eligibility Evaluation Date &amp;elementID=14712", "Click here to submit comment")</f>
        <v>Click here to submit comment</v>
      </c>
    </row>
    <row r="1398" spans="1:17" ht="45" x14ac:dyDescent="0.25">
      <c r="A1398" s="9" t="s">
        <v>6811</v>
      </c>
      <c r="B1398" s="9" t="s">
        <v>6825</v>
      </c>
      <c r="C1398" s="9" t="s">
        <v>11915</v>
      </c>
      <c r="D1398" s="9" t="s">
        <v>6742</v>
      </c>
      <c r="E1398" s="9" t="s">
        <v>11133</v>
      </c>
      <c r="F1398" s="9" t="s">
        <v>11134</v>
      </c>
      <c r="G1398" s="9" t="s">
        <v>12</v>
      </c>
      <c r="H1398" s="9"/>
      <c r="I1398" s="9"/>
      <c r="J1398" s="9" t="s">
        <v>303</v>
      </c>
      <c r="K1398" s="9"/>
      <c r="L1398" s="9"/>
      <c r="M1398" s="9" t="s">
        <v>11135</v>
      </c>
      <c r="N1398" s="9"/>
      <c r="O1398" s="9" t="s">
        <v>11136</v>
      </c>
      <c r="P1398" s="9" t="str">
        <f>HYPERLINK("https://ceds.ed.gov/cedselementdetails.aspx?termid=14711")</f>
        <v>https://ceds.ed.gov/cedselementdetails.aspx?termid=14711</v>
      </c>
      <c r="Q1398" s="9" t="str">
        <f>HYPERLINK("https://ceds.ed.gov/elementComment.aspx?elementName=Eligibility Evaluation Description &amp;elementID=14711", "Click here to submit comment")</f>
        <v>Click here to submit comment</v>
      </c>
    </row>
    <row r="1399" spans="1:17" ht="45" x14ac:dyDescent="0.25">
      <c r="A1399" s="9" t="s">
        <v>6811</v>
      </c>
      <c r="B1399" s="9" t="s">
        <v>6825</v>
      </c>
      <c r="C1399" s="9" t="s">
        <v>11915</v>
      </c>
      <c r="D1399" s="9" t="s">
        <v>6742</v>
      </c>
      <c r="E1399" s="9" t="s">
        <v>11137</v>
      </c>
      <c r="F1399" s="9" t="s">
        <v>11138</v>
      </c>
      <c r="G1399" s="9" t="s">
        <v>12</v>
      </c>
      <c r="H1399" s="9"/>
      <c r="I1399" s="9"/>
      <c r="J1399" s="9" t="s">
        <v>303</v>
      </c>
      <c r="K1399" s="9"/>
      <c r="L1399" s="9"/>
      <c r="M1399" s="9" t="s">
        <v>11139</v>
      </c>
      <c r="N1399" s="9"/>
      <c r="O1399" s="9" t="s">
        <v>11140</v>
      </c>
      <c r="P1399" s="9" t="str">
        <f>HYPERLINK("https://ceds.ed.gov/cedselementdetails.aspx?termid=14713")</f>
        <v>https://ceds.ed.gov/cedselementdetails.aspx?termid=14713</v>
      </c>
      <c r="Q1399" s="9" t="str">
        <f>HYPERLINK("https://ceds.ed.gov/elementComment.aspx?elementName=Eligibility Parent Observations Explanation &amp;elementID=14713", "Click here to submit comment")</f>
        <v>Click here to submit comment</v>
      </c>
    </row>
    <row r="1400" spans="1:17" ht="300" x14ac:dyDescent="0.25">
      <c r="A1400" s="9" t="s">
        <v>6811</v>
      </c>
      <c r="B1400" s="9" t="s">
        <v>6825</v>
      </c>
      <c r="C1400" s="9" t="s">
        <v>11915</v>
      </c>
      <c r="D1400" s="9" t="s">
        <v>6742</v>
      </c>
      <c r="E1400" s="9" t="s">
        <v>11440</v>
      </c>
      <c r="F1400" s="9" t="s">
        <v>11441</v>
      </c>
      <c r="G1400" s="10" t="s">
        <v>11883</v>
      </c>
      <c r="H1400" s="9"/>
      <c r="I1400" s="9"/>
      <c r="J1400" s="9"/>
      <c r="K1400" s="9"/>
      <c r="L1400" s="9"/>
      <c r="M1400" s="9" t="s">
        <v>11442</v>
      </c>
      <c r="N1400" s="9"/>
      <c r="O1400" s="9" t="s">
        <v>11443</v>
      </c>
      <c r="P1400" s="9" t="str">
        <f>HYPERLINK("https://ceds.ed.gov/cedselementdetails.aspx?termid=14710")</f>
        <v>https://ceds.ed.gov/cedselementdetails.aspx?termid=14710</v>
      </c>
      <c r="Q1400" s="9" t="str">
        <f>HYPERLINK("https://ceds.ed.gov/elementComment.aspx?elementName=IDEA Eligibility Evaluation Category &amp;elementID=14710", "Click here to submit comment")</f>
        <v>Click here to submit comment</v>
      </c>
    </row>
    <row r="1401" spans="1:17" ht="45" x14ac:dyDescent="0.25">
      <c r="A1401" s="9" t="s">
        <v>6811</v>
      </c>
      <c r="B1401" s="9" t="s">
        <v>6825</v>
      </c>
      <c r="C1401" s="9" t="s">
        <v>11915</v>
      </c>
      <c r="D1401" s="9" t="s">
        <v>6742</v>
      </c>
      <c r="E1401" s="9" t="s">
        <v>11467</v>
      </c>
      <c r="F1401" s="9" t="s">
        <v>11468</v>
      </c>
      <c r="G1401" s="10" t="s">
        <v>11885</v>
      </c>
      <c r="H1401" s="9"/>
      <c r="I1401" s="9"/>
      <c r="J1401" s="9"/>
      <c r="K1401" s="9"/>
      <c r="L1401" s="9"/>
      <c r="M1401" s="9" t="s">
        <v>11469</v>
      </c>
      <c r="N1401" s="9"/>
      <c r="O1401" s="9" t="s">
        <v>11470</v>
      </c>
      <c r="P1401" s="9" t="str">
        <f>HYPERLINK("https://ceds.ed.gov/cedselementdetails.aspx?termid=14709")</f>
        <v>https://ceds.ed.gov/cedselementdetails.aspx?termid=14709</v>
      </c>
      <c r="Q1401" s="9" t="str">
        <f>HYPERLINK("https://ceds.ed.gov/elementComment.aspx?elementName=IEP Eligibility Evaluation Type &amp;elementID=14709", "Click here to submit comment")</f>
        <v>Click here to submit comment</v>
      </c>
    </row>
    <row r="1402" spans="1:17" ht="45" x14ac:dyDescent="0.25">
      <c r="A1402" s="9" t="s">
        <v>6811</v>
      </c>
      <c r="B1402" s="9" t="s">
        <v>6825</v>
      </c>
      <c r="C1402" s="9" t="s">
        <v>11916</v>
      </c>
      <c r="D1402" s="9" t="s">
        <v>6742</v>
      </c>
      <c r="E1402" s="9" t="s">
        <v>5101</v>
      </c>
      <c r="F1402" s="9" t="s">
        <v>5102</v>
      </c>
      <c r="G1402" s="9" t="s">
        <v>12</v>
      </c>
      <c r="H1402" s="9"/>
      <c r="I1402" s="9"/>
      <c r="J1402" s="9" t="s">
        <v>73</v>
      </c>
      <c r="K1402" s="9"/>
      <c r="L1402" s="9"/>
      <c r="M1402" s="9" t="s">
        <v>5104</v>
      </c>
      <c r="N1402" s="9"/>
      <c r="O1402" s="9" t="s">
        <v>5105</v>
      </c>
      <c r="P1402" s="9" t="str">
        <f>HYPERLINK("https://ceds.ed.gov/cedselementdetails.aspx?termid=14453")</f>
        <v>https://ceds.ed.gov/cedselementdetails.aspx?termid=14453</v>
      </c>
      <c r="Q1402" s="9" t="str">
        <f>HYPERLINK("https://ceds.ed.gov/elementComment.aspx?elementName=Referral Date &amp;elementID=14453", "Click here to submit comment")</f>
        <v>Click here to submit comment</v>
      </c>
    </row>
    <row r="1403" spans="1:17" ht="45" x14ac:dyDescent="0.25">
      <c r="A1403" s="9" t="s">
        <v>6811</v>
      </c>
      <c r="B1403" s="9" t="s">
        <v>6825</v>
      </c>
      <c r="C1403" s="9" t="s">
        <v>11916</v>
      </c>
      <c r="D1403" s="9" t="s">
        <v>6742</v>
      </c>
      <c r="E1403" s="9" t="s">
        <v>5114</v>
      </c>
      <c r="F1403" s="9" t="s">
        <v>5115</v>
      </c>
      <c r="G1403" s="9" t="s">
        <v>12</v>
      </c>
      <c r="H1403" s="9"/>
      <c r="I1403" s="9"/>
      <c r="J1403" s="9" t="s">
        <v>303</v>
      </c>
      <c r="K1403" s="9"/>
      <c r="L1403" s="9"/>
      <c r="M1403" s="9" t="s">
        <v>5116</v>
      </c>
      <c r="N1403" s="9"/>
      <c r="O1403" s="9" t="s">
        <v>5117</v>
      </c>
      <c r="P1403" s="9" t="str">
        <f>HYPERLINK("https://ceds.ed.gov/cedselementdetails.aspx?termid=14455")</f>
        <v>https://ceds.ed.gov/cedselementdetails.aspx?termid=14455</v>
      </c>
      <c r="Q1403" s="9" t="str">
        <f>HYPERLINK("https://ceds.ed.gov/elementComment.aspx?elementName=Referral Reason &amp;elementID=14455", "Click here to submit comment")</f>
        <v>Click here to submit comment</v>
      </c>
    </row>
    <row r="1404" spans="1:17" ht="45" x14ac:dyDescent="0.25">
      <c r="A1404" s="9" t="s">
        <v>6811</v>
      </c>
      <c r="B1404" s="9" t="s">
        <v>6825</v>
      </c>
      <c r="C1404" s="9" t="s">
        <v>11916</v>
      </c>
      <c r="D1404" s="9" t="s">
        <v>6742</v>
      </c>
      <c r="E1404" s="9" t="s">
        <v>5118</v>
      </c>
      <c r="F1404" s="9" t="s">
        <v>11698</v>
      </c>
      <c r="G1404" s="9" t="s">
        <v>12</v>
      </c>
      <c r="H1404" s="9"/>
      <c r="I1404" s="9"/>
      <c r="J1404" s="9" t="s">
        <v>92</v>
      </c>
      <c r="K1404" s="9"/>
      <c r="L1404" s="9"/>
      <c r="M1404" s="9" t="s">
        <v>5119</v>
      </c>
      <c r="N1404" s="9"/>
      <c r="O1404" s="9" t="s">
        <v>5120</v>
      </c>
      <c r="P1404" s="9" t="str">
        <f>HYPERLINK("https://ceds.ed.gov/cedselementdetails.aspx?termid=14456")</f>
        <v>https://ceds.ed.gov/cedselementdetails.aspx?termid=14456</v>
      </c>
      <c r="Q1404" s="9" t="str">
        <f>HYPERLINK("https://ceds.ed.gov/elementComment.aspx?elementName=Referral Source &amp;elementID=14456", "Click here to submit comment")</f>
        <v>Click here to submit comment</v>
      </c>
    </row>
    <row r="1405" spans="1:17" ht="255" x14ac:dyDescent="0.25">
      <c r="A1405" s="9" t="s">
        <v>6811</v>
      </c>
      <c r="B1405" s="9" t="s">
        <v>6825</v>
      </c>
      <c r="C1405" s="9" t="s">
        <v>11917</v>
      </c>
      <c r="D1405" s="9" t="s">
        <v>6742</v>
      </c>
      <c r="E1405" s="9" t="s">
        <v>3186</v>
      </c>
      <c r="F1405" s="9" t="s">
        <v>3187</v>
      </c>
      <c r="G1405" s="10" t="s">
        <v>6538</v>
      </c>
      <c r="H1405" s="9" t="s">
        <v>199</v>
      </c>
      <c r="I1405" s="9"/>
      <c r="J1405" s="9"/>
      <c r="K1405" s="9"/>
      <c r="L1405" s="9"/>
      <c r="M1405" s="9" t="s">
        <v>3188</v>
      </c>
      <c r="N1405" s="9"/>
      <c r="O1405" s="9" t="s">
        <v>3189</v>
      </c>
      <c r="P1405" s="9" t="str">
        <f>HYPERLINK("https://ceds.ed.gov/cedselementdetails.aspx?termid=13550")</f>
        <v>https://ceds.ed.gov/cedselementdetails.aspx?termid=13550</v>
      </c>
      <c r="Q1405" s="9" t="str">
        <f>HYPERLINK("https://ceds.ed.gov/elementComment.aspx?elementName=IDEA Educational Environment for Early Childhood &amp;elementID=13550", "Click here to submit comment")</f>
        <v>Click here to submit comment</v>
      </c>
    </row>
    <row r="1406" spans="1:17" ht="195" x14ac:dyDescent="0.25">
      <c r="A1406" s="9" t="s">
        <v>6811</v>
      </c>
      <c r="B1406" s="9" t="s">
        <v>6825</v>
      </c>
      <c r="C1406" s="9" t="s">
        <v>11917</v>
      </c>
      <c r="D1406" s="9" t="s">
        <v>6742</v>
      </c>
      <c r="E1406" s="9" t="s">
        <v>3190</v>
      </c>
      <c r="F1406" s="9" t="s">
        <v>3191</v>
      </c>
      <c r="G1406" s="10" t="s">
        <v>6539</v>
      </c>
      <c r="H1406" s="9" t="s">
        <v>199</v>
      </c>
      <c r="I1406" s="9"/>
      <c r="J1406" s="9"/>
      <c r="K1406" s="9"/>
      <c r="L1406" s="9"/>
      <c r="M1406" s="9" t="s">
        <v>3192</v>
      </c>
      <c r="N1406" s="9"/>
      <c r="O1406" s="9" t="s">
        <v>3193</v>
      </c>
      <c r="P1406" s="9" t="str">
        <f>HYPERLINK("https://ceds.ed.gov/cedselementdetails.aspx?termid=13526")</f>
        <v>https://ceds.ed.gov/cedselementdetails.aspx?termid=13526</v>
      </c>
      <c r="Q1406" s="9" t="str">
        <f>HYPERLINK("https://ceds.ed.gov/elementComment.aspx?elementName=IDEA Educational Environment for School Age &amp;elementID=13526", "Click here to submit comment")</f>
        <v>Click here to submit comment</v>
      </c>
    </row>
    <row r="1407" spans="1:17" ht="120" x14ac:dyDescent="0.25">
      <c r="A1407" s="9" t="s">
        <v>6811</v>
      </c>
      <c r="B1407" s="9" t="s">
        <v>6825</v>
      </c>
      <c r="C1407" s="9" t="s">
        <v>11917</v>
      </c>
      <c r="D1407" s="9" t="s">
        <v>6742</v>
      </c>
      <c r="E1407" s="9" t="s">
        <v>11445</v>
      </c>
      <c r="F1407" s="9" t="s">
        <v>11446</v>
      </c>
      <c r="G1407" s="9" t="s">
        <v>12</v>
      </c>
      <c r="H1407" s="9"/>
      <c r="I1407" s="9"/>
      <c r="J1407" s="9" t="s">
        <v>303</v>
      </c>
      <c r="K1407" s="9"/>
      <c r="L1407" s="9"/>
      <c r="M1407" s="9" t="s">
        <v>11448</v>
      </c>
      <c r="N1407" s="9"/>
      <c r="O1407" s="9" t="s">
        <v>11449</v>
      </c>
      <c r="P1407" s="9" t="str">
        <f>HYPERLINK("https://ceds.ed.gov/cedselementdetails.aspx?termid=14685")</f>
        <v>https://ceds.ed.gov/cedselementdetails.aspx?termid=14685</v>
      </c>
      <c r="Q1407" s="9" t="str">
        <f>HYPERLINK("https://ceds.ed.gov/elementComment.aspx?elementName=IDEA Placement Rationale &amp;elementID=14685", "Click here to submit comment")</f>
        <v>Click here to submit comment</v>
      </c>
    </row>
    <row r="1408" spans="1:17" ht="45" x14ac:dyDescent="0.25">
      <c r="A1408" s="9" t="s">
        <v>6811</v>
      </c>
      <c r="B1408" s="9" t="s">
        <v>6825</v>
      </c>
      <c r="C1408" s="9" t="s">
        <v>11917</v>
      </c>
      <c r="D1408" s="9" t="s">
        <v>6742</v>
      </c>
      <c r="E1408" s="9" t="s">
        <v>3345</v>
      </c>
      <c r="F1408" s="9" t="s">
        <v>11510</v>
      </c>
      <c r="G1408" s="9" t="s">
        <v>6106</v>
      </c>
      <c r="H1408" s="9"/>
      <c r="I1408" s="9"/>
      <c r="J1408" s="9"/>
      <c r="K1408" s="9"/>
      <c r="L1408" s="9"/>
      <c r="M1408" s="9" t="s">
        <v>3346</v>
      </c>
      <c r="N1408" s="9"/>
      <c r="O1408" s="9" t="s">
        <v>3347</v>
      </c>
      <c r="P1408" s="9" t="str">
        <f>HYPERLINK("https://ceds.ed.gov/cedselementdetails.aspx?termid=14615")</f>
        <v>https://ceds.ed.gov/cedselementdetails.aspx?termid=14615</v>
      </c>
      <c r="Q1408" s="9" t="str">
        <f>HYPERLINK("https://ceds.ed.gov/elementComment.aspx?elementName=Inclusive Setting Indicator &amp;elementID=14615", "Click here to submit comment")</f>
        <v>Click here to submit comment</v>
      </c>
    </row>
    <row r="1409" spans="1:17" ht="60" x14ac:dyDescent="0.25">
      <c r="A1409" s="9" t="s">
        <v>6811</v>
      </c>
      <c r="B1409" s="9" t="s">
        <v>6825</v>
      </c>
      <c r="C1409" s="9" t="s">
        <v>11917</v>
      </c>
      <c r="D1409" s="9" t="s">
        <v>6742</v>
      </c>
      <c r="E1409" s="9" t="s">
        <v>3363</v>
      </c>
      <c r="F1409" s="9" t="s">
        <v>3364</v>
      </c>
      <c r="G1409" s="9" t="s">
        <v>12</v>
      </c>
      <c r="H1409" s="9"/>
      <c r="I1409" s="9"/>
      <c r="J1409" s="9" t="s">
        <v>10489</v>
      </c>
      <c r="K1409" s="9"/>
      <c r="L1409" s="9"/>
      <c r="M1409" s="9" t="s">
        <v>3365</v>
      </c>
      <c r="N1409" s="9"/>
      <c r="O1409" s="9" t="s">
        <v>3366</v>
      </c>
      <c r="P1409" s="9" t="str">
        <f>HYPERLINK("https://ceds.ed.gov/cedselementdetails.aspx?termid=14199")</f>
        <v>https://ceds.ed.gov/cedselementdetails.aspx?termid=14199</v>
      </c>
      <c r="Q1409" s="9" t="str">
        <f>HYPERLINK("https://ceds.ed.gov/elementComment.aspx?elementName=Individualized Program Inclusion Minutes Per Week &amp;elementID=14199", "Click here to submit comment")</f>
        <v>Click here to submit comment</v>
      </c>
    </row>
    <row r="1410" spans="1:17" ht="60" x14ac:dyDescent="0.25">
      <c r="A1410" s="9" t="s">
        <v>6811</v>
      </c>
      <c r="B1410" s="9" t="s">
        <v>6825</v>
      </c>
      <c r="C1410" s="9" t="s">
        <v>11917</v>
      </c>
      <c r="D1410" s="9" t="s">
        <v>6742</v>
      </c>
      <c r="E1410" s="9" t="s">
        <v>3367</v>
      </c>
      <c r="F1410" s="9" t="s">
        <v>3368</v>
      </c>
      <c r="G1410" s="9" t="s">
        <v>12</v>
      </c>
      <c r="H1410" s="9"/>
      <c r="I1410" s="9"/>
      <c r="J1410" s="9" t="s">
        <v>10489</v>
      </c>
      <c r="K1410" s="9"/>
      <c r="L1410" s="9"/>
      <c r="M1410" s="9" t="s">
        <v>3369</v>
      </c>
      <c r="N1410" s="9"/>
      <c r="O1410" s="9" t="s">
        <v>3370</v>
      </c>
      <c r="P1410" s="9" t="str">
        <f>HYPERLINK("https://ceds.ed.gov/cedselementdetails.aspx?termid=14198")</f>
        <v>https://ceds.ed.gov/cedselementdetails.aspx?termid=14198</v>
      </c>
      <c r="Q1410" s="9" t="str">
        <f>HYPERLINK("https://ceds.ed.gov/elementComment.aspx?elementName=Individualized Program NonInclusion Minutes Per Week &amp;elementID=14198", "Click here to submit comment")</f>
        <v>Click here to submit comment</v>
      </c>
    </row>
    <row r="1411" spans="1:17" ht="60" x14ac:dyDescent="0.25">
      <c r="A1411" s="9" t="s">
        <v>6811</v>
      </c>
      <c r="B1411" s="9" t="s">
        <v>6825</v>
      </c>
      <c r="C1411" s="9" t="s">
        <v>11918</v>
      </c>
      <c r="D1411" s="9" t="s">
        <v>6742</v>
      </c>
      <c r="E1411" s="9" t="s">
        <v>10503</v>
      </c>
      <c r="F1411" s="9" t="s">
        <v>10504</v>
      </c>
      <c r="G1411" s="9" t="s">
        <v>6106</v>
      </c>
      <c r="H1411" s="9"/>
      <c r="I1411" s="9"/>
      <c r="J1411" s="9"/>
      <c r="K1411" s="9"/>
      <c r="L1411" s="9"/>
      <c r="M1411" s="9" t="s">
        <v>10506</v>
      </c>
      <c r="N1411" s="9"/>
      <c r="O1411" s="9" t="s">
        <v>10507</v>
      </c>
      <c r="P1411" s="9" t="str">
        <f>HYPERLINK("https://ceds.ed.gov/cedselementdetails.aspx?termid=14702")</f>
        <v>https://ceds.ed.gov/cedselementdetails.aspx?termid=14702</v>
      </c>
      <c r="Q1411" s="9" t="str">
        <f>HYPERLINK("https://ceds.ed.gov/elementComment.aspx?elementName=Authorization Acceptance Indicator &amp;elementID=14702", "Click here to submit comment")</f>
        <v>Click here to submit comment</v>
      </c>
    </row>
    <row r="1412" spans="1:17" ht="45" x14ac:dyDescent="0.25">
      <c r="A1412" s="9" t="s">
        <v>6811</v>
      </c>
      <c r="B1412" s="9" t="s">
        <v>6825</v>
      </c>
      <c r="C1412" s="9" t="s">
        <v>11918</v>
      </c>
      <c r="D1412" s="9" t="s">
        <v>6742</v>
      </c>
      <c r="E1412" s="9" t="s">
        <v>10508</v>
      </c>
      <c r="F1412" s="9" t="s">
        <v>10509</v>
      </c>
      <c r="G1412" s="9" t="s">
        <v>12</v>
      </c>
      <c r="H1412" s="9"/>
      <c r="I1412" s="9"/>
      <c r="J1412" s="9" t="s">
        <v>73</v>
      </c>
      <c r="K1412" s="9"/>
      <c r="L1412" s="9"/>
      <c r="M1412" s="9" t="s">
        <v>10510</v>
      </c>
      <c r="N1412" s="9"/>
      <c r="O1412" s="9" t="s">
        <v>10511</v>
      </c>
      <c r="P1412" s="9" t="str">
        <f>HYPERLINK("https://ceds.ed.gov/cedselementdetails.aspx?termid=14706")</f>
        <v>https://ceds.ed.gov/cedselementdetails.aspx?termid=14706</v>
      </c>
      <c r="Q1412" s="9" t="str">
        <f>HYPERLINK("https://ceds.ed.gov/elementComment.aspx?elementName=Authorization Date &amp;elementID=14706", "Click here to submit comment")</f>
        <v>Click here to submit comment</v>
      </c>
    </row>
    <row r="1413" spans="1:17" ht="45" x14ac:dyDescent="0.25">
      <c r="A1413" s="9" t="s">
        <v>6811</v>
      </c>
      <c r="B1413" s="9" t="s">
        <v>6825</v>
      </c>
      <c r="C1413" s="9" t="s">
        <v>11918</v>
      </c>
      <c r="D1413" s="9" t="s">
        <v>6742</v>
      </c>
      <c r="E1413" s="9" t="s">
        <v>10512</v>
      </c>
      <c r="F1413" s="9" t="s">
        <v>10513</v>
      </c>
      <c r="G1413" s="9" t="s">
        <v>12</v>
      </c>
      <c r="H1413" s="9"/>
      <c r="I1413" s="9"/>
      <c r="J1413" s="9" t="s">
        <v>303</v>
      </c>
      <c r="K1413" s="9"/>
      <c r="L1413" s="9"/>
      <c r="M1413" s="9" t="s">
        <v>10514</v>
      </c>
      <c r="N1413" s="9"/>
      <c r="O1413" s="9" t="s">
        <v>10515</v>
      </c>
      <c r="P1413" s="9" t="str">
        <f>HYPERLINK("https://ceds.ed.gov/cedselementdetails.aspx?termid=14703")</f>
        <v>https://ceds.ed.gov/cedselementdetails.aspx?termid=14703</v>
      </c>
      <c r="Q1413" s="9" t="str">
        <f>HYPERLINK("https://ceds.ed.gov/elementComment.aspx?elementName=Authorization Decision Explanation &amp;elementID=14703", "Click here to submit comment")</f>
        <v>Click here to submit comment</v>
      </c>
    </row>
    <row r="1414" spans="1:17" ht="135" x14ac:dyDescent="0.25">
      <c r="A1414" s="9" t="s">
        <v>6811</v>
      </c>
      <c r="B1414" s="9" t="s">
        <v>6825</v>
      </c>
      <c r="C1414" s="9" t="s">
        <v>11918</v>
      </c>
      <c r="D1414" s="9" t="s">
        <v>6742</v>
      </c>
      <c r="E1414" s="9" t="s">
        <v>10516</v>
      </c>
      <c r="F1414" s="9" t="s">
        <v>10517</v>
      </c>
      <c r="G1414" s="10" t="s">
        <v>11787</v>
      </c>
      <c r="H1414" s="9"/>
      <c r="I1414" s="9"/>
      <c r="J1414" s="9"/>
      <c r="K1414" s="9"/>
      <c r="L1414" s="9"/>
      <c r="M1414" s="9" t="s">
        <v>10518</v>
      </c>
      <c r="N1414" s="9"/>
      <c r="O1414" s="9" t="s">
        <v>10519</v>
      </c>
      <c r="P1414" s="9" t="str">
        <f>HYPERLINK("https://ceds.ed.gov/cedselementdetails.aspx?termid=14701")</f>
        <v>https://ceds.ed.gov/cedselementdetails.aspx?termid=14701</v>
      </c>
      <c r="Q1414" s="9" t="str">
        <f>HYPERLINK("https://ceds.ed.gov/elementComment.aspx?elementName=Authorizer Type &amp;elementID=14701", "Click here to submit comment")</f>
        <v>Click here to submit comment</v>
      </c>
    </row>
    <row r="1415" spans="1:17" ht="120" x14ac:dyDescent="0.25">
      <c r="A1415" s="9" t="s">
        <v>6811</v>
      </c>
      <c r="B1415" s="9" t="s">
        <v>6825</v>
      </c>
      <c r="C1415" s="9" t="s">
        <v>11918</v>
      </c>
      <c r="D1415" s="9" t="s">
        <v>6742</v>
      </c>
      <c r="E1415" s="9" t="s">
        <v>11455</v>
      </c>
      <c r="F1415" s="9" t="s">
        <v>11456</v>
      </c>
      <c r="G1415" s="10" t="s">
        <v>11884</v>
      </c>
      <c r="H1415" s="9"/>
      <c r="I1415" s="9"/>
      <c r="J1415" s="9"/>
      <c r="K1415" s="9"/>
      <c r="L1415" s="9"/>
      <c r="M1415" s="9" t="s">
        <v>11457</v>
      </c>
      <c r="N1415" s="9"/>
      <c r="O1415" s="9" t="s">
        <v>11458</v>
      </c>
      <c r="P1415" s="9" t="str">
        <f>HYPERLINK("https://ceds.ed.gov/cedselementdetails.aspx?termid=14700")</f>
        <v>https://ceds.ed.gov/cedselementdetails.aspx?termid=14700</v>
      </c>
      <c r="Q1415" s="9" t="str">
        <f>HYPERLINK("https://ceds.ed.gov/elementComment.aspx?elementName=IEP Authorization Document Type &amp;elementID=14700", "Click here to submit comment")</f>
        <v>Click here to submit comment</v>
      </c>
    </row>
    <row r="1416" spans="1:17" ht="45" x14ac:dyDescent="0.25">
      <c r="A1416" s="9" t="s">
        <v>6811</v>
      </c>
      <c r="B1416" s="9" t="s">
        <v>6825</v>
      </c>
      <c r="C1416" s="9" t="s">
        <v>11918</v>
      </c>
      <c r="D1416" s="9" t="s">
        <v>6742</v>
      </c>
      <c r="E1416" s="9" t="s">
        <v>11459</v>
      </c>
      <c r="F1416" s="9" t="s">
        <v>11460</v>
      </c>
      <c r="G1416" s="9" t="s">
        <v>12</v>
      </c>
      <c r="H1416" s="9"/>
      <c r="I1416" s="9"/>
      <c r="J1416" s="9" t="s">
        <v>303</v>
      </c>
      <c r="K1416" s="9"/>
      <c r="L1416" s="9"/>
      <c r="M1416" s="9" t="s">
        <v>11461</v>
      </c>
      <c r="N1416" s="9"/>
      <c r="O1416" s="9" t="s">
        <v>11462</v>
      </c>
      <c r="P1416" s="9" t="str">
        <f>HYPERLINK("https://ceds.ed.gov/cedselementdetails.aspx?termid=14704")</f>
        <v>https://ceds.ed.gov/cedselementdetails.aspx?termid=14704</v>
      </c>
      <c r="Q1416" s="9" t="str">
        <f>HYPERLINK("https://ceds.ed.gov/elementComment.aspx?elementName=IEP Authorization Rejected Portion Description &amp;elementID=14704", "Click here to submit comment")</f>
        <v>Click here to submit comment</v>
      </c>
    </row>
    <row r="1417" spans="1:17" ht="45" x14ac:dyDescent="0.25">
      <c r="A1417" s="9" t="s">
        <v>6811</v>
      </c>
      <c r="B1417" s="9" t="s">
        <v>6825</v>
      </c>
      <c r="C1417" s="9" t="s">
        <v>11918</v>
      </c>
      <c r="D1417" s="9" t="s">
        <v>6742</v>
      </c>
      <c r="E1417" s="9" t="s">
        <v>11463</v>
      </c>
      <c r="F1417" s="9" t="s">
        <v>11464</v>
      </c>
      <c r="G1417" s="9" t="s">
        <v>12</v>
      </c>
      <c r="H1417" s="9"/>
      <c r="I1417" s="9"/>
      <c r="J1417" s="9" t="s">
        <v>303</v>
      </c>
      <c r="K1417" s="9"/>
      <c r="L1417" s="9"/>
      <c r="M1417" s="9" t="s">
        <v>11465</v>
      </c>
      <c r="N1417" s="9"/>
      <c r="O1417" s="9" t="s">
        <v>11466</v>
      </c>
      <c r="P1417" s="9" t="str">
        <f>HYPERLINK("https://ceds.ed.gov/cedselementdetails.aspx?termid=14705")</f>
        <v>https://ceds.ed.gov/cedselementdetails.aspx?termid=14705</v>
      </c>
      <c r="Q1417" s="9" t="str">
        <f>HYPERLINK("https://ceds.ed.gov/elementComment.aspx?elementName=IEP Authorization Rejected Portion Explanation &amp;elementID=14705", "Click here to submit comment")</f>
        <v>Click here to submit comment</v>
      </c>
    </row>
    <row r="1418" spans="1:17" ht="105" x14ac:dyDescent="0.25">
      <c r="A1418" s="18" t="s">
        <v>6811</v>
      </c>
      <c r="B1418" s="18" t="s">
        <v>6825</v>
      </c>
      <c r="C1418" s="18" t="s">
        <v>11918</v>
      </c>
      <c r="D1418" s="18" t="s">
        <v>6742</v>
      </c>
      <c r="E1418" s="18" t="s">
        <v>4587</v>
      </c>
      <c r="F1418" s="18" t="s">
        <v>4588</v>
      </c>
      <c r="G1418" s="18" t="s">
        <v>12</v>
      </c>
      <c r="H1418" s="18"/>
      <c r="I1418" s="18"/>
      <c r="J1418" s="18" t="s">
        <v>119</v>
      </c>
      <c r="K1418" s="18"/>
      <c r="L1418" s="9" t="s">
        <v>120</v>
      </c>
      <c r="M1418" s="18" t="s">
        <v>4589</v>
      </c>
      <c r="N1418" s="18"/>
      <c r="O1418" s="18" t="s">
        <v>4590</v>
      </c>
      <c r="P1418" s="18" t="str">
        <f>HYPERLINK("https://ceds.ed.gov/cedselementdetails.aspx?termid=14551")</f>
        <v>https://ceds.ed.gov/cedselementdetails.aspx?termid=14551</v>
      </c>
      <c r="Q1418" s="18" t="str">
        <f>HYPERLINK("https://ceds.ed.gov/elementComment.aspx?elementName=Person Identifier &amp;elementID=14551", "Click here to submit comment")</f>
        <v>Click here to submit comment</v>
      </c>
    </row>
    <row r="1419" spans="1:17" x14ac:dyDescent="0.25">
      <c r="A1419" s="18"/>
      <c r="B1419" s="18"/>
      <c r="C1419" s="18"/>
      <c r="D1419" s="18"/>
      <c r="E1419" s="18"/>
      <c r="F1419" s="18"/>
      <c r="G1419" s="18"/>
      <c r="H1419" s="18"/>
      <c r="I1419" s="18"/>
      <c r="J1419" s="18"/>
      <c r="K1419" s="18"/>
      <c r="L1419" s="9"/>
      <c r="M1419" s="18"/>
      <c r="N1419" s="18"/>
      <c r="O1419" s="18"/>
      <c r="P1419" s="18"/>
      <c r="Q1419" s="18"/>
    </row>
    <row r="1420" spans="1:17" ht="90" x14ac:dyDescent="0.25">
      <c r="A1420" s="18"/>
      <c r="B1420" s="18"/>
      <c r="C1420" s="18"/>
      <c r="D1420" s="18"/>
      <c r="E1420" s="18"/>
      <c r="F1420" s="18"/>
      <c r="G1420" s="18"/>
      <c r="H1420" s="18"/>
      <c r="I1420" s="18"/>
      <c r="J1420" s="18"/>
      <c r="K1420" s="18"/>
      <c r="L1420" s="9" t="s">
        <v>121</v>
      </c>
      <c r="M1420" s="18"/>
      <c r="N1420" s="18"/>
      <c r="O1420" s="18"/>
      <c r="P1420" s="18"/>
      <c r="Q1420" s="18"/>
    </row>
    <row r="1421" spans="1:17" ht="375" x14ac:dyDescent="0.25">
      <c r="A1421" s="9" t="s">
        <v>6811</v>
      </c>
      <c r="B1421" s="9" t="s">
        <v>6825</v>
      </c>
      <c r="C1421" s="9" t="s">
        <v>11918</v>
      </c>
      <c r="D1421" s="9" t="s">
        <v>6742</v>
      </c>
      <c r="E1421" s="9" t="s">
        <v>4583</v>
      </c>
      <c r="F1421" s="9" t="s">
        <v>4584</v>
      </c>
      <c r="G1421" s="10" t="s">
        <v>6635</v>
      </c>
      <c r="H1421" s="9"/>
      <c r="I1421" s="9"/>
      <c r="J1421" s="9"/>
      <c r="K1421" s="9"/>
      <c r="L1421" s="9"/>
      <c r="M1421" s="9" t="s">
        <v>4585</v>
      </c>
      <c r="N1421" s="9"/>
      <c r="O1421" s="9" t="s">
        <v>4586</v>
      </c>
      <c r="P1421" s="9" t="str">
        <f>HYPERLINK("https://ceds.ed.gov/cedselementdetails.aspx?termid=14550")</f>
        <v>https://ceds.ed.gov/cedselementdetails.aspx?termid=14550</v>
      </c>
      <c r="Q1421" s="9" t="str">
        <f>HYPERLINK("https://ceds.ed.gov/elementComment.aspx?elementName=Person Identification System &amp;elementID=14550", "Click here to submit comment")</f>
        <v>Click here to submit comment</v>
      </c>
    </row>
    <row r="1422" spans="1:17" ht="45" x14ac:dyDescent="0.25">
      <c r="A1422" s="9" t="s">
        <v>6811</v>
      </c>
      <c r="B1422" s="9" t="s">
        <v>6825</v>
      </c>
      <c r="C1422" s="9" t="s">
        <v>11919</v>
      </c>
      <c r="D1422" s="9" t="s">
        <v>6742</v>
      </c>
      <c r="E1422" s="9" t="s">
        <v>11475</v>
      </c>
      <c r="F1422" s="9" t="s">
        <v>11476</v>
      </c>
      <c r="G1422" s="9" t="s">
        <v>12</v>
      </c>
      <c r="H1422" s="9"/>
      <c r="I1422" s="9"/>
      <c r="J1422" s="9" t="s">
        <v>303</v>
      </c>
      <c r="K1422" s="9"/>
      <c r="L1422" s="9"/>
      <c r="M1422" s="9" t="s">
        <v>11478</v>
      </c>
      <c r="N1422" s="9"/>
      <c r="O1422" s="9" t="s">
        <v>11479</v>
      </c>
      <c r="P1422" s="9" t="str">
        <f>HYPERLINK("https://ceds.ed.gov/cedselementdetails.aspx?termid=14686")</f>
        <v>https://ceds.ed.gov/cedselementdetails.aspx?termid=14686</v>
      </c>
      <c r="Q1422" s="9" t="str">
        <f>HYPERLINK("https://ceds.ed.gov/elementComment.aspx?elementName=IEP Present Level Academic Description &amp;elementID=14686", "Click here to submit comment")</f>
        <v>Click here to submit comment</v>
      </c>
    </row>
    <row r="1423" spans="1:17" ht="45" x14ac:dyDescent="0.25">
      <c r="A1423" s="9" t="s">
        <v>6811</v>
      </c>
      <c r="B1423" s="9" t="s">
        <v>6825</v>
      </c>
      <c r="C1423" s="9" t="s">
        <v>11919</v>
      </c>
      <c r="D1423" s="9" t="s">
        <v>6742</v>
      </c>
      <c r="E1423" s="9" t="s">
        <v>11480</v>
      </c>
      <c r="F1423" s="9" t="s">
        <v>11481</v>
      </c>
      <c r="G1423" s="9" t="s">
        <v>12</v>
      </c>
      <c r="H1423" s="9"/>
      <c r="I1423" s="9"/>
      <c r="J1423" s="9" t="s">
        <v>303</v>
      </c>
      <c r="K1423" s="9"/>
      <c r="L1423" s="9"/>
      <c r="M1423" s="9" t="s">
        <v>11482</v>
      </c>
      <c r="N1423" s="9"/>
      <c r="O1423" s="9" t="s">
        <v>11483</v>
      </c>
      <c r="P1423" s="9" t="str">
        <f>HYPERLINK("https://ceds.ed.gov/cedselementdetails.aspx?termid=14687")</f>
        <v>https://ceds.ed.gov/cedselementdetails.aspx?termid=14687</v>
      </c>
      <c r="Q1423" s="9" t="str">
        <f>HYPERLINK("https://ceds.ed.gov/elementComment.aspx?elementName=IEP Present Level Functional Description &amp;elementID=14687", "Click here to submit comment")</f>
        <v>Click here to submit comment</v>
      </c>
    </row>
    <row r="1424" spans="1:17" ht="45" x14ac:dyDescent="0.25">
      <c r="A1424" s="9" t="s">
        <v>6811</v>
      </c>
      <c r="B1424" s="9" t="s">
        <v>6825</v>
      </c>
      <c r="C1424" s="9" t="s">
        <v>11919</v>
      </c>
      <c r="D1424" s="9" t="s">
        <v>6742</v>
      </c>
      <c r="E1424" s="9" t="s">
        <v>11484</v>
      </c>
      <c r="F1424" s="9" t="s">
        <v>11485</v>
      </c>
      <c r="G1424" s="9" t="s">
        <v>12</v>
      </c>
      <c r="H1424" s="9"/>
      <c r="I1424" s="9"/>
      <c r="J1424" s="9" t="s">
        <v>303</v>
      </c>
      <c r="K1424" s="9"/>
      <c r="L1424" s="9"/>
      <c r="M1424" s="9" t="s">
        <v>11486</v>
      </c>
      <c r="N1424" s="9"/>
      <c r="O1424" s="9" t="s">
        <v>11487</v>
      </c>
      <c r="P1424" s="9" t="str">
        <f>HYPERLINK("https://ceds.ed.gov/cedselementdetails.aspx?termid=14688")</f>
        <v>https://ceds.ed.gov/cedselementdetails.aspx?termid=14688</v>
      </c>
      <c r="Q1424" s="9" t="str">
        <f>HYPERLINK("https://ceds.ed.gov/elementComment.aspx?elementName=IEP Present Level General Education Description &amp;elementID=14688", "Click here to submit comment")</f>
        <v>Click here to submit comment</v>
      </c>
    </row>
    <row r="1425" spans="1:17" ht="45" x14ac:dyDescent="0.25">
      <c r="A1425" s="9" t="s">
        <v>6811</v>
      </c>
      <c r="B1425" s="9" t="s">
        <v>6825</v>
      </c>
      <c r="C1425" s="9" t="s">
        <v>11919</v>
      </c>
      <c r="D1425" s="9" t="s">
        <v>6742</v>
      </c>
      <c r="E1425" s="9" t="s">
        <v>11488</v>
      </c>
      <c r="F1425" s="9" t="s">
        <v>11489</v>
      </c>
      <c r="G1425" s="9" t="s">
        <v>12</v>
      </c>
      <c r="H1425" s="9"/>
      <c r="I1425" s="9"/>
      <c r="J1425" s="9" t="s">
        <v>303</v>
      </c>
      <c r="K1425" s="9"/>
      <c r="L1425" s="9"/>
      <c r="M1425" s="9" t="s">
        <v>11490</v>
      </c>
      <c r="N1425" s="9"/>
      <c r="O1425" s="9" t="s">
        <v>11491</v>
      </c>
      <c r="P1425" s="9" t="str">
        <f>HYPERLINK("https://ceds.ed.gov/cedselementdetails.aspx?termid=14691")</f>
        <v>https://ceds.ed.gov/cedselementdetails.aspx?termid=14691</v>
      </c>
      <c r="Q1425" s="9" t="str">
        <f>HYPERLINK("https://ceds.ed.gov/elementComment.aspx?elementName=IEP Present Level Parent Concern Description &amp;elementID=14691", "Click here to submit comment")</f>
        <v>Click here to submit comment</v>
      </c>
    </row>
    <row r="1426" spans="1:17" ht="45" x14ac:dyDescent="0.25">
      <c r="A1426" s="9" t="s">
        <v>6811</v>
      </c>
      <c r="B1426" s="9" t="s">
        <v>6825</v>
      </c>
      <c r="C1426" s="9" t="s">
        <v>11919</v>
      </c>
      <c r="D1426" s="9" t="s">
        <v>6742</v>
      </c>
      <c r="E1426" s="9" t="s">
        <v>11492</v>
      </c>
      <c r="F1426" s="9" t="s">
        <v>11493</v>
      </c>
      <c r="G1426" s="9" t="s">
        <v>12</v>
      </c>
      <c r="H1426" s="9"/>
      <c r="I1426" s="9"/>
      <c r="J1426" s="9" t="s">
        <v>303</v>
      </c>
      <c r="K1426" s="9"/>
      <c r="L1426" s="9"/>
      <c r="M1426" s="9" t="s">
        <v>11494</v>
      </c>
      <c r="N1426" s="9"/>
      <c r="O1426" s="9" t="s">
        <v>11495</v>
      </c>
      <c r="P1426" s="9" t="str">
        <f>HYPERLINK("https://ceds.ed.gov/cedselementdetails.aspx?termid=14689")</f>
        <v>https://ceds.ed.gov/cedselementdetails.aspx?termid=14689</v>
      </c>
      <c r="Q1426" s="9" t="str">
        <f>HYPERLINK("https://ceds.ed.gov/elementComment.aspx?elementName=IEP Present Level Preschool Description &amp;elementID=14689", "Click here to submit comment")</f>
        <v>Click here to submit comment</v>
      </c>
    </row>
    <row r="1427" spans="1:17" ht="45" x14ac:dyDescent="0.25">
      <c r="A1427" s="9" t="s">
        <v>6811</v>
      </c>
      <c r="B1427" s="9" t="s">
        <v>6825</v>
      </c>
      <c r="C1427" s="9" t="s">
        <v>11919</v>
      </c>
      <c r="D1427" s="9" t="s">
        <v>6742</v>
      </c>
      <c r="E1427" s="9" t="s">
        <v>11496</v>
      </c>
      <c r="F1427" s="9" t="s">
        <v>11497</v>
      </c>
      <c r="G1427" s="9" t="s">
        <v>12</v>
      </c>
      <c r="H1427" s="9"/>
      <c r="I1427" s="9"/>
      <c r="J1427" s="9" t="s">
        <v>303</v>
      </c>
      <c r="K1427" s="9"/>
      <c r="L1427" s="9"/>
      <c r="M1427" s="9" t="s">
        <v>11498</v>
      </c>
      <c r="N1427" s="9"/>
      <c r="O1427" s="9" t="s">
        <v>11499</v>
      </c>
      <c r="P1427" s="9" t="str">
        <f>HYPERLINK("https://ceds.ed.gov/cedselementdetails.aspx?termid=14692")</f>
        <v>https://ceds.ed.gov/cedselementdetails.aspx?termid=14692</v>
      </c>
      <c r="Q1427" s="9" t="str">
        <f>HYPERLINK("https://ceds.ed.gov/elementComment.aspx?elementName=IEP Present Level Student Concern Description &amp;elementID=14692", "Click here to submit comment")</f>
        <v>Click here to submit comment</v>
      </c>
    </row>
    <row r="1428" spans="1:17" ht="45" x14ac:dyDescent="0.25">
      <c r="A1428" s="9" t="s">
        <v>6811</v>
      </c>
      <c r="B1428" s="9" t="s">
        <v>6825</v>
      </c>
      <c r="C1428" s="9" t="s">
        <v>11919</v>
      </c>
      <c r="D1428" s="9" t="s">
        <v>6742</v>
      </c>
      <c r="E1428" s="9" t="s">
        <v>11500</v>
      </c>
      <c r="F1428" s="9" t="s">
        <v>11501</v>
      </c>
      <c r="G1428" s="9" t="s">
        <v>12</v>
      </c>
      <c r="H1428" s="9"/>
      <c r="I1428" s="9"/>
      <c r="J1428" s="9" t="s">
        <v>303</v>
      </c>
      <c r="K1428" s="9"/>
      <c r="L1428" s="9"/>
      <c r="M1428" s="9" t="s">
        <v>11502</v>
      </c>
      <c r="N1428" s="9"/>
      <c r="O1428" s="9" t="s">
        <v>11503</v>
      </c>
      <c r="P1428" s="9" t="str">
        <f>HYPERLINK("https://ceds.ed.gov/cedselementdetails.aspx?termid=14690")</f>
        <v>https://ceds.ed.gov/cedselementdetails.aspx?termid=14690</v>
      </c>
      <c r="Q1428" s="9" t="str">
        <f>HYPERLINK("https://ceds.ed.gov/elementComment.aspx?elementName=IEP Present Level Student Strengths Description &amp;elementID=14690", "Click here to submit comment")</f>
        <v>Click here to submit comment</v>
      </c>
    </row>
    <row r="1429" spans="1:17" ht="45" x14ac:dyDescent="0.25">
      <c r="A1429" s="9" t="s">
        <v>6811</v>
      </c>
      <c r="B1429" s="9" t="s">
        <v>6825</v>
      </c>
      <c r="C1429" s="9" t="s">
        <v>11912</v>
      </c>
      <c r="D1429" s="9" t="s">
        <v>6742</v>
      </c>
      <c r="E1429" s="9" t="s">
        <v>11407</v>
      </c>
      <c r="F1429" s="9" t="s">
        <v>11408</v>
      </c>
      <c r="G1429" s="9" t="s">
        <v>12</v>
      </c>
      <c r="H1429" s="9"/>
      <c r="I1429" s="9"/>
      <c r="J1429" s="9" t="s">
        <v>73</v>
      </c>
      <c r="K1429" s="9"/>
      <c r="L1429" s="9"/>
      <c r="M1429" s="9" t="s">
        <v>3707</v>
      </c>
      <c r="N1429" s="9"/>
      <c r="O1429" s="9" t="s">
        <v>11409</v>
      </c>
      <c r="P1429" s="9" t="str">
        <f>HYPERLINK("https://ceds.ed.gov/cedselementdetails.aspx?termid=14169")</f>
        <v>https://ceds.ed.gov/cedselementdetails.aspx?termid=14169</v>
      </c>
      <c r="Q1429" s="9" t="str">
        <f>HYPERLINK("https://ceds.ed.gov/elementComment.aspx?elementName=Goal Start Date &amp;elementID=14169", "Click here to submit comment")</f>
        <v>Click here to submit comment</v>
      </c>
    </row>
    <row r="1430" spans="1:17" ht="45" x14ac:dyDescent="0.25">
      <c r="A1430" s="9" t="s">
        <v>6811</v>
      </c>
      <c r="B1430" s="9" t="s">
        <v>6825</v>
      </c>
      <c r="C1430" s="9" t="s">
        <v>11912</v>
      </c>
      <c r="D1430" s="9" t="s">
        <v>6742</v>
      </c>
      <c r="E1430" s="9" t="s">
        <v>11374</v>
      </c>
      <c r="F1430" s="9" t="s">
        <v>11375</v>
      </c>
      <c r="G1430" s="9" t="s">
        <v>12</v>
      </c>
      <c r="H1430" s="9"/>
      <c r="I1430" s="9"/>
      <c r="J1430" s="9" t="s">
        <v>73</v>
      </c>
      <c r="K1430" s="9"/>
      <c r="L1430" s="9" t="s">
        <v>3705</v>
      </c>
      <c r="M1430" s="9" t="s">
        <v>3706</v>
      </c>
      <c r="N1430" s="9"/>
      <c r="O1430" s="9" t="s">
        <v>11376</v>
      </c>
      <c r="P1430" s="9" t="str">
        <f>HYPERLINK("https://ceds.ed.gov/cedselementdetails.aspx?termid=14170")</f>
        <v>https://ceds.ed.gov/cedselementdetails.aspx?termid=14170</v>
      </c>
      <c r="Q1430" s="9" t="str">
        <f>HYPERLINK("https://ceds.ed.gov/elementComment.aspx?elementName=Goal End Date &amp;elementID=14170", "Click here to submit comment")</f>
        <v>Click here to submit comment</v>
      </c>
    </row>
    <row r="1431" spans="1:17" ht="45" x14ac:dyDescent="0.25">
      <c r="A1431" s="9" t="s">
        <v>6811</v>
      </c>
      <c r="B1431" s="9" t="s">
        <v>6825</v>
      </c>
      <c r="C1431" s="9" t="s">
        <v>11912</v>
      </c>
      <c r="D1431" s="9" t="s">
        <v>6742</v>
      </c>
      <c r="E1431" s="9" t="s">
        <v>11370</v>
      </c>
      <c r="F1431" s="9" t="s">
        <v>11371</v>
      </c>
      <c r="G1431" s="9" t="s">
        <v>12</v>
      </c>
      <c r="H1431" s="9"/>
      <c r="I1431" s="9"/>
      <c r="J1431" s="9" t="s">
        <v>68</v>
      </c>
      <c r="K1431" s="9"/>
      <c r="L1431" s="9"/>
      <c r="M1431" s="9" t="s">
        <v>3704</v>
      </c>
      <c r="N1431" s="9"/>
      <c r="O1431" s="9" t="s">
        <v>11373</v>
      </c>
      <c r="P1431" s="9" t="str">
        <f>HYPERLINK("https://ceds.ed.gov/cedselementdetails.aspx?termid=13903")</f>
        <v>https://ceds.ed.gov/cedselementdetails.aspx?termid=13903</v>
      </c>
      <c r="Q1431" s="9" t="str">
        <f>HYPERLINK("https://ceds.ed.gov/elementComment.aspx?elementName=Goal Description &amp;elementID=13903", "Click here to submit comment")</f>
        <v>Click here to submit comment</v>
      </c>
    </row>
    <row r="1432" spans="1:17" ht="60" x14ac:dyDescent="0.25">
      <c r="A1432" s="9" t="s">
        <v>6811</v>
      </c>
      <c r="B1432" s="9" t="s">
        <v>6825</v>
      </c>
      <c r="C1432" s="9" t="s">
        <v>11912</v>
      </c>
      <c r="D1432" s="9" t="s">
        <v>6742</v>
      </c>
      <c r="E1432" s="9" t="s">
        <v>11471</v>
      </c>
      <c r="F1432" s="9" t="s">
        <v>11472</v>
      </c>
      <c r="G1432" s="10" t="s">
        <v>11886</v>
      </c>
      <c r="H1432" s="9"/>
      <c r="I1432" s="9"/>
      <c r="J1432" s="9"/>
      <c r="K1432" s="9"/>
      <c r="L1432" s="9"/>
      <c r="M1432" s="9" t="s">
        <v>11473</v>
      </c>
      <c r="N1432" s="9"/>
      <c r="O1432" s="9" t="s">
        <v>11474</v>
      </c>
      <c r="P1432" s="9" t="str">
        <f>HYPERLINK("https://ceds.ed.gov/cedselementdetails.aspx?termid=14679")</f>
        <v>https://ceds.ed.gov/cedselementdetails.aspx?termid=14679</v>
      </c>
      <c r="Q1432" s="9" t="str">
        <f>HYPERLINK("https://ceds.ed.gov/elementComment.aspx?elementName=IEP Goal Type &amp;elementID=14679", "Click here to submit comment")</f>
        <v>Click here to submit comment</v>
      </c>
    </row>
    <row r="1433" spans="1:17" ht="60" x14ac:dyDescent="0.25">
      <c r="A1433" s="9" t="s">
        <v>6811</v>
      </c>
      <c r="B1433" s="9" t="s">
        <v>6825</v>
      </c>
      <c r="C1433" s="9" t="s">
        <v>11912</v>
      </c>
      <c r="D1433" s="9" t="s">
        <v>6742</v>
      </c>
      <c r="E1433" s="9" t="s">
        <v>11419</v>
      </c>
      <c r="F1433" s="9" t="s">
        <v>11420</v>
      </c>
      <c r="G1433" s="9" t="s">
        <v>12</v>
      </c>
      <c r="H1433" s="9"/>
      <c r="I1433" s="9"/>
      <c r="J1433" s="9" t="s">
        <v>68</v>
      </c>
      <c r="K1433" s="9"/>
      <c r="L1433" s="9"/>
      <c r="M1433" s="9" t="s">
        <v>3708</v>
      </c>
      <c r="N1433" s="9"/>
      <c r="O1433" s="9" t="s">
        <v>11421</v>
      </c>
      <c r="P1433" s="9" t="str">
        <f>HYPERLINK("https://ceds.ed.gov/cedselementdetails.aspx?termid=13902")</f>
        <v>https://ceds.ed.gov/cedselementdetails.aspx?termid=13902</v>
      </c>
      <c r="Q1433" s="9" t="str">
        <f>HYPERLINK("https://ceds.ed.gov/elementComment.aspx?elementName=Goal Success Criteria &amp;elementID=13902", "Click here to submit comment")</f>
        <v>Click here to submit comment</v>
      </c>
    </row>
    <row r="1434" spans="1:17" ht="90" x14ac:dyDescent="0.25">
      <c r="A1434" s="9" t="s">
        <v>6811</v>
      </c>
      <c r="B1434" s="9" t="s">
        <v>6825</v>
      </c>
      <c r="C1434" s="9" t="s">
        <v>11912</v>
      </c>
      <c r="D1434" s="9" t="s">
        <v>6742</v>
      </c>
      <c r="E1434" s="9" t="s">
        <v>3983</v>
      </c>
      <c r="F1434" s="9" t="s">
        <v>10814</v>
      </c>
      <c r="G1434" s="9" t="s">
        <v>12</v>
      </c>
      <c r="H1434" s="9"/>
      <c r="I1434" s="9" t="s">
        <v>91</v>
      </c>
      <c r="J1434" s="9" t="s">
        <v>87</v>
      </c>
      <c r="K1434" s="9" t="s">
        <v>10738</v>
      </c>
      <c r="L1434" s="9" t="s">
        <v>3981</v>
      </c>
      <c r="M1434" s="9" t="s">
        <v>3982</v>
      </c>
      <c r="N1434" s="9" t="s">
        <v>3980</v>
      </c>
      <c r="O1434" s="9" t="s">
        <v>10816</v>
      </c>
      <c r="P1434" s="9" t="str">
        <f>HYPERLINK("https://ceds.ed.gov/cedselementdetails.aspx?termid=13669")</f>
        <v>https://ceds.ed.gov/cedselementdetails.aspx?termid=13669</v>
      </c>
      <c r="Q1434" s="9" t="str">
        <f>HYPERLINK("https://ceds.ed.gov/elementComment.aspx?elementName=Competency Item Code &amp;elementID=13669", "Click here to submit comment")</f>
        <v>Click here to submit comment</v>
      </c>
    </row>
    <row r="1435" spans="1:17" ht="225" x14ac:dyDescent="0.25">
      <c r="A1435" s="9" t="s">
        <v>6811</v>
      </c>
      <c r="B1435" s="9" t="s">
        <v>6825</v>
      </c>
      <c r="C1435" s="9" t="s">
        <v>11912</v>
      </c>
      <c r="D1435" s="9" t="s">
        <v>6742</v>
      </c>
      <c r="E1435" s="9" t="s">
        <v>4026</v>
      </c>
      <c r="F1435" s="9" t="s">
        <v>10869</v>
      </c>
      <c r="G1435" s="9" t="s">
        <v>12</v>
      </c>
      <c r="H1435" s="9" t="s">
        <v>795</v>
      </c>
      <c r="I1435" s="9" t="s">
        <v>91</v>
      </c>
      <c r="J1435" s="9" t="s">
        <v>303</v>
      </c>
      <c r="K1435" s="9" t="s">
        <v>10738</v>
      </c>
      <c r="L1435" s="9" t="s">
        <v>4024</v>
      </c>
      <c r="M1435" s="9" t="s">
        <v>4025</v>
      </c>
      <c r="N1435" s="9" t="s">
        <v>4023</v>
      </c>
      <c r="O1435" s="9" t="s">
        <v>10870</v>
      </c>
      <c r="P1435" s="9" t="str">
        <f>HYPERLINK("https://ceds.ed.gov/cedselementdetails.aspx?termid=13667")</f>
        <v>https://ceds.ed.gov/cedselementdetails.aspx?termid=13667</v>
      </c>
      <c r="Q1435" s="9" t="str">
        <f>HYPERLINK("https://ceds.ed.gov/elementComment.aspx?elementName=Competency Item Statement &amp;elementID=13667", "Click here to submit comment")</f>
        <v>Click here to submit comment</v>
      </c>
    </row>
    <row r="1436" spans="1:17" ht="90" x14ac:dyDescent="0.25">
      <c r="A1436" s="9" t="s">
        <v>6811</v>
      </c>
      <c r="B1436" s="9" t="s">
        <v>6825</v>
      </c>
      <c r="C1436" s="9" t="s">
        <v>11912</v>
      </c>
      <c r="D1436" s="9" t="s">
        <v>6742</v>
      </c>
      <c r="E1436" s="9" t="s">
        <v>10890</v>
      </c>
      <c r="F1436" s="9" t="s">
        <v>10891</v>
      </c>
      <c r="G1436" s="9" t="s">
        <v>12</v>
      </c>
      <c r="H1436" s="9"/>
      <c r="I1436" s="9" t="s">
        <v>91</v>
      </c>
      <c r="J1436" s="9" t="s">
        <v>1143</v>
      </c>
      <c r="K1436" s="9" t="s">
        <v>10738</v>
      </c>
      <c r="L1436" s="9" t="s">
        <v>121</v>
      </c>
      <c r="M1436" s="9" t="s">
        <v>4044</v>
      </c>
      <c r="N1436" s="9" t="s">
        <v>4043</v>
      </c>
      <c r="O1436" s="9" t="s">
        <v>10893</v>
      </c>
      <c r="P1436" s="9" t="str">
        <f>HYPERLINK("https://ceds.ed.gov/cedselementdetails.aspx?termid=13874")</f>
        <v>https://ceds.ed.gov/cedselementdetails.aspx?termid=13874</v>
      </c>
      <c r="Q1436" s="9" t="str">
        <f>HYPERLINK("https://ceds.ed.gov/elementComment.aspx?elementName=Competency Item URL &amp;elementID=13874", "Click here to submit comment")</f>
        <v>Click here to submit comment</v>
      </c>
    </row>
    <row r="1437" spans="1:17" ht="45" x14ac:dyDescent="0.25">
      <c r="A1437" s="9" t="s">
        <v>6811</v>
      </c>
      <c r="B1437" s="9" t="s">
        <v>6825</v>
      </c>
      <c r="C1437" s="9" t="s">
        <v>11912</v>
      </c>
      <c r="D1437" s="9" t="s">
        <v>6742</v>
      </c>
      <c r="E1437" s="9" t="s">
        <v>11365</v>
      </c>
      <c r="F1437" s="9" t="s">
        <v>11366</v>
      </c>
      <c r="G1437" s="9" t="s">
        <v>12</v>
      </c>
      <c r="H1437" s="9"/>
      <c r="I1437" s="9"/>
      <c r="J1437" s="9" t="s">
        <v>303</v>
      </c>
      <c r="K1437" s="9"/>
      <c r="L1437" s="9"/>
      <c r="M1437" s="9" t="s">
        <v>11368</v>
      </c>
      <c r="N1437" s="9"/>
      <c r="O1437" s="9" t="s">
        <v>11369</v>
      </c>
      <c r="P1437" s="9" t="str">
        <f>HYPERLINK("https://ceds.ed.gov/cedselementdetails.aspx?termid=14671")</f>
        <v>https://ceds.ed.gov/cedselementdetails.aspx?termid=14671</v>
      </c>
      <c r="Q1437" s="9" t="str">
        <f>HYPERLINK("https://ceds.ed.gov/elementComment.aspx?elementName=Goal Current Performance Description &amp;elementID=14671", "Click here to submit comment")</f>
        <v>Click here to submit comment</v>
      </c>
    </row>
    <row r="1438" spans="1:17" ht="75" x14ac:dyDescent="0.25">
      <c r="A1438" s="9" t="s">
        <v>6811</v>
      </c>
      <c r="B1438" s="9" t="s">
        <v>6825</v>
      </c>
      <c r="C1438" s="9" t="s">
        <v>11912</v>
      </c>
      <c r="D1438" s="9" t="s">
        <v>6742</v>
      </c>
      <c r="E1438" s="9" t="s">
        <v>11403</v>
      </c>
      <c r="F1438" s="9" t="s">
        <v>11404</v>
      </c>
      <c r="G1438" s="10" t="s">
        <v>11880</v>
      </c>
      <c r="H1438" s="9"/>
      <c r="I1438" s="9"/>
      <c r="J1438" s="9"/>
      <c r="K1438" s="9"/>
      <c r="L1438" s="9"/>
      <c r="M1438" s="9" t="s">
        <v>11405</v>
      </c>
      <c r="N1438" s="9"/>
      <c r="O1438" s="9" t="s">
        <v>11406</v>
      </c>
      <c r="P1438" s="9" t="str">
        <f>HYPERLINK("https://ceds.ed.gov/cedselementdetails.aspx?termid=14678")</f>
        <v>https://ceds.ed.gov/cedselementdetails.aspx?termid=14678</v>
      </c>
      <c r="Q1438" s="9" t="str">
        <f>HYPERLINK("https://ceds.ed.gov/elementComment.aspx?elementName=Goal Measurement Type &amp;elementID=14678", "Click here to submit comment")</f>
        <v>Click here to submit comment</v>
      </c>
    </row>
    <row r="1439" spans="1:17" ht="60" x14ac:dyDescent="0.25">
      <c r="A1439" s="9" t="s">
        <v>6811</v>
      </c>
      <c r="B1439" s="9" t="s">
        <v>6825</v>
      </c>
      <c r="C1439" s="9" t="s">
        <v>11912</v>
      </c>
      <c r="D1439" s="9" t="s">
        <v>6742</v>
      </c>
      <c r="E1439" s="9" t="s">
        <v>11395</v>
      </c>
      <c r="F1439" s="9" t="s">
        <v>11396</v>
      </c>
      <c r="G1439" s="9" t="s">
        <v>12</v>
      </c>
      <c r="H1439" s="9"/>
      <c r="I1439" s="9"/>
      <c r="J1439" s="9" t="s">
        <v>303</v>
      </c>
      <c r="K1439" s="9"/>
      <c r="L1439" s="9"/>
      <c r="M1439" s="9" t="s">
        <v>11397</v>
      </c>
      <c r="N1439" s="9"/>
      <c r="O1439" s="9" t="s">
        <v>11398</v>
      </c>
      <c r="P1439" s="9" t="str">
        <f>HYPERLINK("https://ceds.ed.gov/cedselementdetails.aspx?termid=14676")</f>
        <v>https://ceds.ed.gov/cedselementdetails.aspx?termid=14676</v>
      </c>
      <c r="Q1439" s="9" t="str">
        <f>HYPERLINK("https://ceds.ed.gov/elementComment.aspx?elementName=Goal Measurement Description &amp;elementID=14676", "Click here to submit comment")</f>
        <v>Click here to submit comment</v>
      </c>
    </row>
    <row r="1440" spans="1:17" ht="45" x14ac:dyDescent="0.25">
      <c r="A1440" s="9" t="s">
        <v>6811</v>
      </c>
      <c r="B1440" s="9" t="s">
        <v>6825</v>
      </c>
      <c r="C1440" s="9" t="s">
        <v>11912</v>
      </c>
      <c r="D1440" s="9" t="s">
        <v>6742</v>
      </c>
      <c r="E1440" s="9" t="s">
        <v>11399</v>
      </c>
      <c r="F1440" s="9" t="s">
        <v>11400</v>
      </c>
      <c r="G1440" s="9" t="s">
        <v>12</v>
      </c>
      <c r="H1440" s="9"/>
      <c r="I1440" s="9"/>
      <c r="J1440" s="9" t="s">
        <v>303</v>
      </c>
      <c r="K1440" s="9"/>
      <c r="L1440" s="9"/>
      <c r="M1440" s="9" t="s">
        <v>11401</v>
      </c>
      <c r="N1440" s="9"/>
      <c r="O1440" s="9" t="s">
        <v>11402</v>
      </c>
      <c r="P1440" s="9" t="str">
        <f>HYPERLINK("https://ceds.ed.gov/cedselementdetails.aspx?termid=14677")</f>
        <v>https://ceds.ed.gov/cedselementdetails.aspx?termid=14677</v>
      </c>
      <c r="Q1440" s="9" t="str">
        <f>HYPERLINK("https://ceds.ed.gov/elementComment.aspx?elementName=Goal Measurement Schedule &amp;elementID=14677", "Click here to submit comment")</f>
        <v>Click here to submit comment</v>
      </c>
    </row>
    <row r="1441" spans="1:17" ht="45" x14ac:dyDescent="0.25">
      <c r="A1441" s="9" t="s">
        <v>6811</v>
      </c>
      <c r="B1441" s="9" t="s">
        <v>6825</v>
      </c>
      <c r="C1441" s="9" t="s">
        <v>11912</v>
      </c>
      <c r="D1441" s="9" t="s">
        <v>6742</v>
      </c>
      <c r="E1441" s="9" t="s">
        <v>11387</v>
      </c>
      <c r="F1441" s="9" t="s">
        <v>11388</v>
      </c>
      <c r="G1441" s="9" t="s">
        <v>12</v>
      </c>
      <c r="H1441" s="9"/>
      <c r="I1441" s="9"/>
      <c r="J1441" s="9" t="s">
        <v>92</v>
      </c>
      <c r="K1441" s="9"/>
      <c r="L1441" s="9"/>
      <c r="M1441" s="9" t="s">
        <v>11389</v>
      </c>
      <c r="N1441" s="9"/>
      <c r="O1441" s="9" t="s">
        <v>11390</v>
      </c>
      <c r="P1441" s="9" t="str">
        <f>HYPERLINK("https://ceds.ed.gov/cedselementdetails.aspx?termid=14674")</f>
        <v>https://ceds.ed.gov/cedselementdetails.aspx?termid=14674</v>
      </c>
      <c r="Q1441" s="9" t="str">
        <f>HYPERLINK("https://ceds.ed.gov/elementComment.aspx?elementName=Goal Measurement Criterion Metric &amp;elementID=14674", "Click here to submit comment")</f>
        <v>Click here to submit comment</v>
      </c>
    </row>
    <row r="1442" spans="1:17" ht="45" x14ac:dyDescent="0.25">
      <c r="A1442" s="9" t="s">
        <v>6811</v>
      </c>
      <c r="B1442" s="9" t="s">
        <v>6825</v>
      </c>
      <c r="C1442" s="9" t="s">
        <v>11912</v>
      </c>
      <c r="D1442" s="9" t="s">
        <v>6742</v>
      </c>
      <c r="E1442" s="9" t="s">
        <v>11377</v>
      </c>
      <c r="F1442" s="9" t="s">
        <v>11378</v>
      </c>
      <c r="G1442" s="9" t="s">
        <v>12</v>
      </c>
      <c r="H1442" s="9"/>
      <c r="I1442" s="9"/>
      <c r="J1442" s="9" t="s">
        <v>11380</v>
      </c>
      <c r="K1442" s="9"/>
      <c r="L1442" s="9"/>
      <c r="M1442" s="9" t="s">
        <v>11381</v>
      </c>
      <c r="N1442" s="9"/>
      <c r="O1442" s="9" t="s">
        <v>11382</v>
      </c>
      <c r="P1442" s="9" t="str">
        <f>HYPERLINK("https://ceds.ed.gov/cedselementdetails.aspx?termid=14672")</f>
        <v>https://ceds.ed.gov/cedselementdetails.aspx?termid=14672</v>
      </c>
      <c r="Q1442" s="9" t="str">
        <f>HYPERLINK("https://ceds.ed.gov/elementComment.aspx?elementName=Goal Measurement Criterion Accuracy Percent &amp;elementID=14672", "Click here to submit comment")</f>
        <v>Click here to submit comment</v>
      </c>
    </row>
    <row r="1443" spans="1:17" ht="45" x14ac:dyDescent="0.25">
      <c r="A1443" s="9" t="s">
        <v>6811</v>
      </c>
      <c r="B1443" s="9" t="s">
        <v>6825</v>
      </c>
      <c r="C1443" s="9" t="s">
        <v>11912</v>
      </c>
      <c r="D1443" s="9" t="s">
        <v>6742</v>
      </c>
      <c r="E1443" s="9" t="s">
        <v>11383</v>
      </c>
      <c r="F1443" s="9" t="s">
        <v>11384</v>
      </c>
      <c r="G1443" s="9" t="s">
        <v>12</v>
      </c>
      <c r="H1443" s="9"/>
      <c r="I1443" s="9"/>
      <c r="J1443" s="9" t="s">
        <v>589</v>
      </c>
      <c r="K1443" s="9"/>
      <c r="L1443" s="9"/>
      <c r="M1443" s="9" t="s">
        <v>11385</v>
      </c>
      <c r="N1443" s="9"/>
      <c r="O1443" s="9" t="s">
        <v>11386</v>
      </c>
      <c r="P1443" s="9" t="str">
        <f>HYPERLINK("https://ceds.ed.gov/cedselementdetails.aspx?termid=14673")</f>
        <v>https://ceds.ed.gov/cedselementdetails.aspx?termid=14673</v>
      </c>
      <c r="Q1443" s="9" t="str">
        <f>HYPERLINK("https://ceds.ed.gov/elementComment.aspx?elementName=Goal Measurement Criterion Attempts Count &amp;elementID=14673", "Click here to submit comment")</f>
        <v>Click here to submit comment</v>
      </c>
    </row>
    <row r="1444" spans="1:17" ht="45" x14ac:dyDescent="0.25">
      <c r="A1444" s="9" t="s">
        <v>6811</v>
      </c>
      <c r="B1444" s="9" t="s">
        <v>6825</v>
      </c>
      <c r="C1444" s="9" t="s">
        <v>11912</v>
      </c>
      <c r="D1444" s="9" t="s">
        <v>6742</v>
      </c>
      <c r="E1444" s="9" t="s">
        <v>11391</v>
      </c>
      <c r="F1444" s="9" t="s">
        <v>11392</v>
      </c>
      <c r="G1444" s="9" t="s">
        <v>12</v>
      </c>
      <c r="H1444" s="9"/>
      <c r="I1444" s="9"/>
      <c r="J1444" s="9" t="s">
        <v>589</v>
      </c>
      <c r="K1444" s="9"/>
      <c r="L1444" s="9"/>
      <c r="M1444" s="9" t="s">
        <v>11393</v>
      </c>
      <c r="N1444" s="9"/>
      <c r="O1444" s="9" t="s">
        <v>11394</v>
      </c>
      <c r="P1444" s="9" t="str">
        <f>HYPERLINK("https://ceds.ed.gov/cedselementdetails.aspx?termid=14675")</f>
        <v>https://ceds.ed.gov/cedselementdetails.aspx?termid=14675</v>
      </c>
      <c r="Q1444" s="9" t="str">
        <f>HYPERLINK("https://ceds.ed.gov/elementComment.aspx?elementName=Goal Measurement Criterion Success Count &amp;elementID=14675", "Click here to submit comment")</f>
        <v>Click here to submit comment</v>
      </c>
    </row>
    <row r="1445" spans="1:17" ht="60" x14ac:dyDescent="0.25">
      <c r="A1445" s="9" t="s">
        <v>6811</v>
      </c>
      <c r="B1445" s="9" t="s">
        <v>6825</v>
      </c>
      <c r="C1445" s="9" t="s">
        <v>11920</v>
      </c>
      <c r="D1445" s="9" t="s">
        <v>6742</v>
      </c>
      <c r="E1445" s="9" t="s">
        <v>5404</v>
      </c>
      <c r="F1445" s="9" t="s">
        <v>5405</v>
      </c>
      <c r="G1445" s="9" t="s">
        <v>12</v>
      </c>
      <c r="H1445" s="9"/>
      <c r="I1445" s="9"/>
      <c r="J1445" s="9" t="s">
        <v>73</v>
      </c>
      <c r="K1445" s="9"/>
      <c r="L1445" s="9"/>
      <c r="M1445" s="9" t="s">
        <v>5406</v>
      </c>
      <c r="N1445" s="9"/>
      <c r="O1445" s="9" t="s">
        <v>5407</v>
      </c>
      <c r="P1445" s="9" t="str">
        <f>HYPERLINK("https://ceds.ed.gov/cedselementdetails.aspx?termid=13326")</f>
        <v>https://ceds.ed.gov/cedselementdetails.aspx?termid=13326</v>
      </c>
      <c r="Q1445" s="9" t="str">
        <f>HYPERLINK("https://ceds.ed.gov/elementComment.aspx?elementName=Service Entry Date &amp;elementID=13326", "Click here to submit comment")</f>
        <v>Click here to submit comment</v>
      </c>
    </row>
    <row r="1446" spans="1:17" ht="60" x14ac:dyDescent="0.25">
      <c r="A1446" s="9" t="s">
        <v>6811</v>
      </c>
      <c r="B1446" s="9" t="s">
        <v>6825</v>
      </c>
      <c r="C1446" s="9" t="s">
        <v>11920</v>
      </c>
      <c r="D1446" s="9" t="s">
        <v>6742</v>
      </c>
      <c r="E1446" s="9" t="s">
        <v>5408</v>
      </c>
      <c r="F1446" s="9" t="s">
        <v>5409</v>
      </c>
      <c r="G1446" s="9" t="s">
        <v>12</v>
      </c>
      <c r="H1446" s="9"/>
      <c r="I1446" s="9"/>
      <c r="J1446" s="9" t="s">
        <v>73</v>
      </c>
      <c r="K1446" s="9"/>
      <c r="L1446" s="9"/>
      <c r="M1446" s="9" t="s">
        <v>5410</v>
      </c>
      <c r="N1446" s="9"/>
      <c r="O1446" s="9" t="s">
        <v>5411</v>
      </c>
      <c r="P1446" s="9" t="str">
        <f>HYPERLINK("https://ceds.ed.gov/cedselementdetails.aspx?termid=13327")</f>
        <v>https://ceds.ed.gov/cedselementdetails.aspx?termid=13327</v>
      </c>
      <c r="Q1446" s="9" t="str">
        <f>HYPERLINK("https://ceds.ed.gov/elementComment.aspx?elementName=Service Exit Date &amp;elementID=13327", "Click here to submit comment")</f>
        <v>Click here to submit comment</v>
      </c>
    </row>
    <row r="1447" spans="1:17" ht="45" x14ac:dyDescent="0.25">
      <c r="A1447" s="9" t="s">
        <v>6811</v>
      </c>
      <c r="B1447" s="9" t="s">
        <v>6825</v>
      </c>
      <c r="C1447" s="9" t="s">
        <v>11920</v>
      </c>
      <c r="D1447" s="9" t="s">
        <v>6742</v>
      </c>
      <c r="E1447" s="9" t="s">
        <v>11715</v>
      </c>
      <c r="F1447" s="9" t="s">
        <v>11716</v>
      </c>
      <c r="G1447" s="9" t="s">
        <v>6106</v>
      </c>
      <c r="H1447" s="9"/>
      <c r="I1447" s="9"/>
      <c r="J1447" s="9"/>
      <c r="K1447" s="9"/>
      <c r="L1447" s="9"/>
      <c r="M1447" s="9" t="s">
        <v>11717</v>
      </c>
      <c r="N1447" s="9"/>
      <c r="O1447" s="9" t="s">
        <v>11718</v>
      </c>
      <c r="P1447" s="9" t="str">
        <f>HYPERLINK("https://ceds.ed.gov/cedselementdetails.aspx?termid=14698")</f>
        <v>https://ceds.ed.gov/cedselementdetails.aspx?termid=14698</v>
      </c>
      <c r="Q1447" s="9" t="str">
        <f>HYPERLINK("https://ceds.ed.gov/elementComment.aspx?elementName=Service Extends Outside School Year &amp;elementID=14698", "Click here to submit comment")</f>
        <v>Click here to submit comment</v>
      </c>
    </row>
    <row r="1448" spans="1:17" ht="45" x14ac:dyDescent="0.25">
      <c r="A1448" s="9" t="s">
        <v>6811</v>
      </c>
      <c r="B1448" s="9" t="s">
        <v>6825</v>
      </c>
      <c r="C1448" s="9" t="s">
        <v>11920</v>
      </c>
      <c r="D1448" s="9" t="s">
        <v>6742</v>
      </c>
      <c r="E1448" s="9" t="s">
        <v>11103</v>
      </c>
      <c r="F1448" s="9" t="s">
        <v>11104</v>
      </c>
      <c r="G1448" s="9" t="s">
        <v>12</v>
      </c>
      <c r="H1448" s="9"/>
      <c r="I1448" s="9"/>
      <c r="J1448" s="9" t="s">
        <v>73</v>
      </c>
      <c r="K1448" s="9"/>
      <c r="L1448" s="9"/>
      <c r="M1448" s="9" t="s">
        <v>11106</v>
      </c>
      <c r="N1448" s="9"/>
      <c r="O1448" s="9" t="s">
        <v>11107</v>
      </c>
      <c r="P1448" s="9" t="str">
        <f>HYPERLINK("https://ceds.ed.gov/cedselementdetails.aspx?termid=14693")</f>
        <v>https://ceds.ed.gov/cedselementdetails.aspx?termid=14693</v>
      </c>
      <c r="Q1448" s="9" t="str">
        <f>HYPERLINK("https://ceds.ed.gov/elementComment.aspx?elementName=Declined Services Date &amp;elementID=14693", "Click here to submit comment")</f>
        <v>Click here to submit comment</v>
      </c>
    </row>
    <row r="1449" spans="1:17" ht="45" x14ac:dyDescent="0.25">
      <c r="A1449" s="9" t="s">
        <v>6811</v>
      </c>
      <c r="B1449" s="9" t="s">
        <v>6825</v>
      </c>
      <c r="C1449" s="9" t="s">
        <v>11920</v>
      </c>
      <c r="D1449" s="9" t="s">
        <v>6742</v>
      </c>
      <c r="E1449" s="9" t="s">
        <v>5077</v>
      </c>
      <c r="F1449" s="9" t="s">
        <v>5078</v>
      </c>
      <c r="G1449" s="9" t="s">
        <v>12</v>
      </c>
      <c r="H1449" s="9"/>
      <c r="I1449" s="9"/>
      <c r="J1449" s="9" t="s">
        <v>303</v>
      </c>
      <c r="K1449" s="9"/>
      <c r="L1449" s="9"/>
      <c r="M1449" s="9" t="s">
        <v>5079</v>
      </c>
      <c r="N1449" s="9"/>
      <c r="O1449" s="9" t="s">
        <v>5080</v>
      </c>
      <c r="P1449" s="9" t="str">
        <f>HYPERLINK("https://ceds.ed.gov/cedselementdetails.aspx?termid=14460")</f>
        <v>https://ceds.ed.gov/cedselementdetails.aspx?termid=14460</v>
      </c>
      <c r="Q1449" s="9" t="str">
        <f>HYPERLINK("https://ceds.ed.gov/elementComment.aspx?elementName=Reason for Declined Services &amp;elementID=14460", "Click here to submit comment")</f>
        <v>Click here to submit comment</v>
      </c>
    </row>
    <row r="1450" spans="1:17" ht="45" x14ac:dyDescent="0.25">
      <c r="A1450" s="9" t="s">
        <v>6811</v>
      </c>
      <c r="B1450" s="9" t="s">
        <v>6825</v>
      </c>
      <c r="C1450" s="9" t="s">
        <v>11920</v>
      </c>
      <c r="D1450" s="9" t="s">
        <v>6742</v>
      </c>
      <c r="E1450" s="9" t="s">
        <v>11117</v>
      </c>
      <c r="F1450" s="9" t="s">
        <v>11118</v>
      </c>
      <c r="G1450" s="9" t="s">
        <v>12</v>
      </c>
      <c r="H1450" s="9"/>
      <c r="I1450" s="9"/>
      <c r="J1450" s="9" t="s">
        <v>589</v>
      </c>
      <c r="K1450" s="9"/>
      <c r="L1450" s="9"/>
      <c r="M1450" s="9" t="s">
        <v>11119</v>
      </c>
      <c r="N1450" s="9"/>
      <c r="O1450" s="9" t="s">
        <v>11120</v>
      </c>
      <c r="P1450" s="9" t="str">
        <f>HYPERLINK("https://ceds.ed.gov/cedselementdetails.aspx?termid=14697")</f>
        <v>https://ceds.ed.gov/cedselementdetails.aspx?termid=14697</v>
      </c>
      <c r="Q1450" s="9" t="str">
        <f>HYPERLINK("https://ceds.ed.gov/elementComment.aspx?elementName=Duration Length in Minutes &amp;elementID=14697", "Click here to submit comment")</f>
        <v>Click here to submit comment</v>
      </c>
    </row>
    <row r="1451" spans="1:17" ht="105" x14ac:dyDescent="0.25">
      <c r="A1451" s="9" t="s">
        <v>6811</v>
      </c>
      <c r="B1451" s="9" t="s">
        <v>6825</v>
      </c>
      <c r="C1451" s="9" t="s">
        <v>11920</v>
      </c>
      <c r="D1451" s="9" t="s">
        <v>6742</v>
      </c>
      <c r="E1451" s="9" t="s">
        <v>11359</v>
      </c>
      <c r="F1451" s="9" t="s">
        <v>11360</v>
      </c>
      <c r="G1451" s="10" t="s">
        <v>11879</v>
      </c>
      <c r="H1451" s="9"/>
      <c r="I1451" s="9"/>
      <c r="J1451" s="9"/>
      <c r="K1451" s="9"/>
      <c r="L1451" s="9"/>
      <c r="M1451" s="9" t="s">
        <v>11361</v>
      </c>
      <c r="N1451" s="9"/>
      <c r="O1451" s="9" t="s">
        <v>11362</v>
      </c>
      <c r="P1451" s="9" t="str">
        <f>HYPERLINK("https://ceds.ed.gov/cedselementdetails.aspx?termid=14694")</f>
        <v>https://ceds.ed.gov/cedselementdetails.aspx?termid=14694</v>
      </c>
      <c r="Q1451" s="9" t="str">
        <f>HYPERLINK("https://ceds.ed.gov/elementComment.aspx?elementName=Frequency Unit &amp;elementID=14694", "Click here to submit comment")</f>
        <v>Click here to submit comment</v>
      </c>
    </row>
    <row r="1452" spans="1:17" ht="90" x14ac:dyDescent="0.25">
      <c r="A1452" s="9" t="s">
        <v>6811</v>
      </c>
      <c r="B1452" s="9" t="s">
        <v>6825</v>
      </c>
      <c r="C1452" s="9" t="s">
        <v>11920</v>
      </c>
      <c r="D1452" s="9" t="s">
        <v>6742</v>
      </c>
      <c r="E1452" s="9" t="s">
        <v>11355</v>
      </c>
      <c r="F1452" s="9" t="s">
        <v>11356</v>
      </c>
      <c r="G1452" s="9" t="s">
        <v>12</v>
      </c>
      <c r="H1452" s="9"/>
      <c r="I1452" s="9"/>
      <c r="J1452" s="9" t="s">
        <v>589</v>
      </c>
      <c r="K1452" s="9"/>
      <c r="L1452" s="9"/>
      <c r="M1452" s="9" t="s">
        <v>11357</v>
      </c>
      <c r="N1452" s="9"/>
      <c r="O1452" s="9" t="s">
        <v>11358</v>
      </c>
      <c r="P1452" s="9" t="str">
        <f>HYPERLINK("https://ceds.ed.gov/cedselementdetails.aspx?termid=14696")</f>
        <v>https://ceds.ed.gov/cedselementdetails.aspx?termid=14696</v>
      </c>
      <c r="Q1452" s="9" t="str">
        <f>HYPERLINK("https://ceds.ed.gov/elementComment.aspx?elementName=Frequency Length &amp;elementID=14696", "Click here to submit comment")</f>
        <v>Click here to submit comment</v>
      </c>
    </row>
    <row r="1453" spans="1:17" ht="45" x14ac:dyDescent="0.25">
      <c r="A1453" s="9" t="s">
        <v>6811</v>
      </c>
      <c r="B1453" s="9" t="s">
        <v>6825</v>
      </c>
      <c r="C1453" s="9" t="s">
        <v>11920</v>
      </c>
      <c r="D1453" s="9" t="s">
        <v>6742</v>
      </c>
      <c r="E1453" s="9" t="s">
        <v>11351</v>
      </c>
      <c r="F1453" s="9" t="s">
        <v>11352</v>
      </c>
      <c r="G1453" s="9" t="s">
        <v>12</v>
      </c>
      <c r="H1453" s="9"/>
      <c r="I1453" s="9"/>
      <c r="J1453" s="9" t="s">
        <v>589</v>
      </c>
      <c r="K1453" s="9"/>
      <c r="L1453" s="9"/>
      <c r="M1453" s="9" t="s">
        <v>11353</v>
      </c>
      <c r="N1453" s="9"/>
      <c r="O1453" s="9" t="s">
        <v>11354</v>
      </c>
      <c r="P1453" s="9" t="str">
        <f>HYPERLINK("https://ceds.ed.gov/cedselementdetails.aspx?termid=14695")</f>
        <v>https://ceds.ed.gov/cedselementdetails.aspx?termid=14695</v>
      </c>
      <c r="Q1453" s="9" t="str">
        <f>HYPERLINK("https://ceds.ed.gov/elementComment.aspx?elementName=Frequency Instances Per Cycle &amp;elementID=14695", "Click here to submit comment")</f>
        <v>Click here to submit comment</v>
      </c>
    </row>
    <row r="1454" spans="1:17" ht="45" x14ac:dyDescent="0.25">
      <c r="A1454" s="9" t="s">
        <v>6811</v>
      </c>
      <c r="B1454" s="9" t="s">
        <v>6825</v>
      </c>
      <c r="C1454" s="9" t="s">
        <v>11920</v>
      </c>
      <c r="D1454" s="9" t="s">
        <v>6742</v>
      </c>
      <c r="E1454" s="9" t="s">
        <v>11719</v>
      </c>
      <c r="F1454" s="9" t="s">
        <v>11720</v>
      </c>
      <c r="G1454" s="9" t="s">
        <v>12</v>
      </c>
      <c r="H1454" s="9"/>
      <c r="I1454" s="9"/>
      <c r="J1454" s="9" t="s">
        <v>303</v>
      </c>
      <c r="K1454" s="9"/>
      <c r="L1454" s="9"/>
      <c r="M1454" s="9" t="s">
        <v>11721</v>
      </c>
      <c r="N1454" s="9"/>
      <c r="O1454" s="9" t="s">
        <v>11722</v>
      </c>
      <c r="P1454" s="9" t="str">
        <f>HYPERLINK("https://ceds.ed.gov/cedselementdetails.aspx?termid=14699")</f>
        <v>https://ceds.ed.gov/cedselementdetails.aspx?termid=14699</v>
      </c>
      <c r="Q1454" s="9" t="str">
        <f>HYPERLINK("https://ceds.ed.gov/elementComment.aspx?elementName=Service Setting Description &amp;elementID=14699", "Click here to submit comment")</f>
        <v>Click here to submit comment</v>
      </c>
    </row>
    <row r="1455" spans="1:17" ht="409.5" x14ac:dyDescent="0.25">
      <c r="A1455" s="9" t="s">
        <v>6811</v>
      </c>
      <c r="B1455" s="9" t="s">
        <v>6825</v>
      </c>
      <c r="C1455" s="9" t="s">
        <v>11920</v>
      </c>
      <c r="D1455" s="9" t="s">
        <v>6742</v>
      </c>
      <c r="E1455" s="9" t="s">
        <v>5740</v>
      </c>
      <c r="F1455" s="9" t="s">
        <v>5741</v>
      </c>
      <c r="G1455" s="10" t="s">
        <v>6708</v>
      </c>
      <c r="H1455" s="9"/>
      <c r="I1455" s="9"/>
      <c r="J1455" s="9"/>
      <c r="K1455" s="9"/>
      <c r="L1455" s="9"/>
      <c r="M1455" s="9" t="s">
        <v>5742</v>
      </c>
      <c r="N1455" s="9"/>
      <c r="O1455" s="9" t="s">
        <v>5743</v>
      </c>
      <c r="P1455" s="9" t="str">
        <f>HYPERLINK("https://ceds.ed.gov/cedselementdetails.aspx?termid=13273")</f>
        <v>https://ceds.ed.gov/cedselementdetails.aspx?termid=13273</v>
      </c>
      <c r="Q1455" s="9" t="str">
        <f>HYPERLINK("https://ceds.ed.gov/elementComment.aspx?elementName=Student Support Service Type &amp;elementID=13273", "Click here to submit comment")</f>
        <v>Click here to submit comment</v>
      </c>
    </row>
    <row r="1456" spans="1:17" ht="105" x14ac:dyDescent="0.25">
      <c r="A1456" s="18" t="s">
        <v>6811</v>
      </c>
      <c r="B1456" s="18" t="s">
        <v>6825</v>
      </c>
      <c r="C1456" s="18" t="s">
        <v>11921</v>
      </c>
      <c r="D1456" s="18" t="s">
        <v>6742</v>
      </c>
      <c r="E1456" s="18" t="s">
        <v>4448</v>
      </c>
      <c r="F1456" s="18" t="s">
        <v>4449</v>
      </c>
      <c r="G1456" s="18" t="s">
        <v>12</v>
      </c>
      <c r="H1456" s="18" t="s">
        <v>64</v>
      </c>
      <c r="I1456" s="18"/>
      <c r="J1456" s="18" t="s">
        <v>119</v>
      </c>
      <c r="K1456" s="18"/>
      <c r="L1456" s="9" t="s">
        <v>120</v>
      </c>
      <c r="M1456" s="18" t="s">
        <v>4450</v>
      </c>
      <c r="N1456" s="18"/>
      <c r="O1456" s="18" t="s">
        <v>4451</v>
      </c>
      <c r="P1456" s="18" t="str">
        <f>HYPERLINK("https://ceds.ed.gov/cedselementdetails.aspx?termid=13825")</f>
        <v>https://ceds.ed.gov/cedselementdetails.aspx?termid=13825</v>
      </c>
      <c r="Q1456" s="18" t="str">
        <f>HYPERLINK("https://ceds.ed.gov/elementComment.aspx?elementName=Organization Identifier &amp;elementID=13825", "Click here to submit comment")</f>
        <v>Click here to submit comment</v>
      </c>
    </row>
    <row r="1457" spans="1:17" x14ac:dyDescent="0.25">
      <c r="A1457" s="18"/>
      <c r="B1457" s="18"/>
      <c r="C1457" s="18"/>
      <c r="D1457" s="18"/>
      <c r="E1457" s="18"/>
      <c r="F1457" s="18"/>
      <c r="G1457" s="18"/>
      <c r="H1457" s="18"/>
      <c r="I1457" s="18"/>
      <c r="J1457" s="18"/>
      <c r="K1457" s="18"/>
      <c r="L1457" s="9"/>
      <c r="M1457" s="18"/>
      <c r="N1457" s="18"/>
      <c r="O1457" s="18"/>
      <c r="P1457" s="18"/>
      <c r="Q1457" s="18"/>
    </row>
    <row r="1458" spans="1:17" ht="90" x14ac:dyDescent="0.25">
      <c r="A1458" s="18"/>
      <c r="B1458" s="18"/>
      <c r="C1458" s="18"/>
      <c r="D1458" s="18"/>
      <c r="E1458" s="18"/>
      <c r="F1458" s="18"/>
      <c r="G1458" s="18"/>
      <c r="H1458" s="18"/>
      <c r="I1458" s="18"/>
      <c r="J1458" s="18"/>
      <c r="K1458" s="18"/>
      <c r="L1458" s="9" t="s">
        <v>121</v>
      </c>
      <c r="M1458" s="18"/>
      <c r="N1458" s="18"/>
      <c r="O1458" s="18"/>
      <c r="P1458" s="18"/>
      <c r="Q1458" s="18"/>
    </row>
    <row r="1459" spans="1:17" ht="240" x14ac:dyDescent="0.25">
      <c r="A1459" s="9" t="s">
        <v>6811</v>
      </c>
      <c r="B1459" s="9" t="s">
        <v>6825</v>
      </c>
      <c r="C1459" s="9" t="s">
        <v>11921</v>
      </c>
      <c r="D1459" s="9" t="s">
        <v>6742</v>
      </c>
      <c r="E1459" s="9" t="s">
        <v>4444</v>
      </c>
      <c r="F1459" s="9" t="s">
        <v>4445</v>
      </c>
      <c r="G1459" s="10" t="s">
        <v>11903</v>
      </c>
      <c r="H1459" s="9" t="s">
        <v>64</v>
      </c>
      <c r="I1459" s="9"/>
      <c r="J1459" s="9"/>
      <c r="K1459" s="9"/>
      <c r="L1459" s="9"/>
      <c r="M1459" s="9" t="s">
        <v>4446</v>
      </c>
      <c r="N1459" s="9"/>
      <c r="O1459" s="9" t="s">
        <v>4447</v>
      </c>
      <c r="P1459" s="9" t="str">
        <f>HYPERLINK("https://ceds.ed.gov/cedselementdetails.aspx?termid=13827")</f>
        <v>https://ceds.ed.gov/cedselementdetails.aspx?termid=13827</v>
      </c>
      <c r="Q1459" s="9" t="str">
        <f>HYPERLINK("https://ceds.ed.gov/elementComment.aspx?elementName=Organization Identification System &amp;elementID=13827", "Click here to submit comment")</f>
        <v>Click here to submit comment</v>
      </c>
    </row>
    <row r="1460" spans="1:17" ht="105" x14ac:dyDescent="0.25">
      <c r="A1460" s="18" t="s">
        <v>6811</v>
      </c>
      <c r="B1460" s="18" t="s">
        <v>6825</v>
      </c>
      <c r="C1460" s="18" t="s">
        <v>11921</v>
      </c>
      <c r="D1460" s="18" t="s">
        <v>6742</v>
      </c>
      <c r="E1460" s="18" t="s">
        <v>4587</v>
      </c>
      <c r="F1460" s="18" t="s">
        <v>4588</v>
      </c>
      <c r="G1460" s="18" t="s">
        <v>12</v>
      </c>
      <c r="H1460" s="18"/>
      <c r="I1460" s="18"/>
      <c r="J1460" s="18" t="s">
        <v>119</v>
      </c>
      <c r="K1460" s="18"/>
      <c r="L1460" s="9" t="s">
        <v>120</v>
      </c>
      <c r="M1460" s="18" t="s">
        <v>4589</v>
      </c>
      <c r="N1460" s="18"/>
      <c r="O1460" s="18" t="s">
        <v>4590</v>
      </c>
      <c r="P1460" s="18" t="str">
        <f>HYPERLINK("https://ceds.ed.gov/cedselementdetails.aspx?termid=14551")</f>
        <v>https://ceds.ed.gov/cedselementdetails.aspx?termid=14551</v>
      </c>
      <c r="Q1460" s="18" t="str">
        <f>HYPERLINK("https://ceds.ed.gov/elementComment.aspx?elementName=Person Identifier &amp;elementID=14551", "Click here to submit comment")</f>
        <v>Click here to submit comment</v>
      </c>
    </row>
    <row r="1461" spans="1:17" x14ac:dyDescent="0.25">
      <c r="A1461" s="18"/>
      <c r="B1461" s="18"/>
      <c r="C1461" s="18"/>
      <c r="D1461" s="18"/>
      <c r="E1461" s="18"/>
      <c r="F1461" s="18"/>
      <c r="G1461" s="18"/>
      <c r="H1461" s="18"/>
      <c r="I1461" s="18"/>
      <c r="J1461" s="18"/>
      <c r="K1461" s="18"/>
      <c r="L1461" s="9"/>
      <c r="M1461" s="18"/>
      <c r="N1461" s="18"/>
      <c r="O1461" s="18"/>
      <c r="P1461" s="18"/>
      <c r="Q1461" s="18"/>
    </row>
    <row r="1462" spans="1:17" ht="90" x14ac:dyDescent="0.25">
      <c r="A1462" s="18"/>
      <c r="B1462" s="18"/>
      <c r="C1462" s="18"/>
      <c r="D1462" s="18"/>
      <c r="E1462" s="18"/>
      <c r="F1462" s="18"/>
      <c r="G1462" s="18"/>
      <c r="H1462" s="18"/>
      <c r="I1462" s="18"/>
      <c r="J1462" s="18"/>
      <c r="K1462" s="18"/>
      <c r="L1462" s="9" t="s">
        <v>121</v>
      </c>
      <c r="M1462" s="18"/>
      <c r="N1462" s="18"/>
      <c r="O1462" s="18"/>
      <c r="P1462" s="18"/>
      <c r="Q1462" s="18"/>
    </row>
    <row r="1463" spans="1:17" ht="375" x14ac:dyDescent="0.25">
      <c r="A1463" s="9" t="s">
        <v>6811</v>
      </c>
      <c r="B1463" s="9" t="s">
        <v>6825</v>
      </c>
      <c r="C1463" s="9" t="s">
        <v>11921</v>
      </c>
      <c r="D1463" s="9" t="s">
        <v>6742</v>
      </c>
      <c r="E1463" s="9" t="s">
        <v>4583</v>
      </c>
      <c r="F1463" s="9" t="s">
        <v>4584</v>
      </c>
      <c r="G1463" s="10" t="s">
        <v>6635</v>
      </c>
      <c r="H1463" s="9"/>
      <c r="I1463" s="9"/>
      <c r="J1463" s="9"/>
      <c r="K1463" s="9"/>
      <c r="L1463" s="9"/>
      <c r="M1463" s="9" t="s">
        <v>4585</v>
      </c>
      <c r="N1463" s="9"/>
      <c r="O1463" s="9" t="s">
        <v>4586</v>
      </c>
      <c r="P1463" s="9" t="str">
        <f>HYPERLINK("https://ceds.ed.gov/cedselementdetails.aspx?termid=14550")</f>
        <v>https://ceds.ed.gov/cedselementdetails.aspx?termid=14550</v>
      </c>
      <c r="Q1463" s="9" t="str">
        <f>HYPERLINK("https://ceds.ed.gov/elementComment.aspx?elementName=Person Identification System &amp;elementID=14550", "Click here to submit comment")</f>
        <v>Click here to submit comment</v>
      </c>
    </row>
    <row r="1464" spans="1:17" ht="270" x14ac:dyDescent="0.25">
      <c r="A1464" s="9" t="s">
        <v>6811</v>
      </c>
      <c r="B1464" s="9" t="s">
        <v>6825</v>
      </c>
      <c r="C1464" s="9" t="s">
        <v>11921</v>
      </c>
      <c r="D1464" s="9" t="s">
        <v>6742</v>
      </c>
      <c r="E1464" s="9" t="s">
        <v>11734</v>
      </c>
      <c r="F1464" s="9" t="s">
        <v>11735</v>
      </c>
      <c r="G1464" s="10" t="s">
        <v>6699</v>
      </c>
      <c r="H1464" s="9" t="s">
        <v>199</v>
      </c>
      <c r="I1464" s="9"/>
      <c r="J1464" s="9"/>
      <c r="K1464" s="9"/>
      <c r="L1464" s="9"/>
      <c r="M1464" s="9" t="s">
        <v>5546</v>
      </c>
      <c r="N1464" s="9"/>
      <c r="O1464" s="9" t="s">
        <v>11737</v>
      </c>
      <c r="P1464" s="9" t="str">
        <f>HYPERLINK("https://ceds.ed.gov/cedselementdetails.aspx?termid=13549")</f>
        <v>https://ceds.ed.gov/cedselementdetails.aspx?termid=13549</v>
      </c>
      <c r="Q1464" s="9" t="str">
        <f>HYPERLINK("https://ceds.ed.gov/elementComment.aspx?elementName=Special Education Support Services Category &amp;elementID=13549", "Click here to submit comment")</f>
        <v>Click here to submit comment</v>
      </c>
    </row>
    <row r="1465" spans="1:17" ht="409.5" x14ac:dyDescent="0.25">
      <c r="A1465" s="9" t="s">
        <v>6811</v>
      </c>
      <c r="B1465" s="9" t="s">
        <v>6825</v>
      </c>
      <c r="C1465" s="9" t="s">
        <v>11922</v>
      </c>
      <c r="D1465" s="9" t="s">
        <v>6742</v>
      </c>
      <c r="E1465" s="9" t="s">
        <v>10478</v>
      </c>
      <c r="F1465" s="9" t="s">
        <v>10479</v>
      </c>
      <c r="G1465" s="10" t="s">
        <v>11785</v>
      </c>
      <c r="H1465" s="9" t="s">
        <v>6127</v>
      </c>
      <c r="I1465" s="9"/>
      <c r="J1465" s="9"/>
      <c r="K1465" s="9"/>
      <c r="L1465" s="9"/>
      <c r="M1465" s="9" t="s">
        <v>389</v>
      </c>
      <c r="N1465" s="9"/>
      <c r="O1465" s="9" t="s">
        <v>10481</v>
      </c>
      <c r="P1465" s="9" t="str">
        <f>HYPERLINK("https://ceds.ed.gov/cedselementdetails.aspx?termid=13376")</f>
        <v>https://ceds.ed.gov/cedselementdetails.aspx?termid=13376</v>
      </c>
      <c r="Q1465" s="9" t="str">
        <f>HYPERLINK("https://ceds.ed.gov/elementComment.aspx?elementName=Accommodation Type &amp;elementID=13376", "Click here to submit comment")</f>
        <v>Click here to submit comment</v>
      </c>
    </row>
    <row r="1466" spans="1:17" ht="45" x14ac:dyDescent="0.25">
      <c r="A1466" s="9" t="s">
        <v>6811</v>
      </c>
      <c r="B1466" s="9" t="s">
        <v>6825</v>
      </c>
      <c r="C1466" s="9" t="s">
        <v>11922</v>
      </c>
      <c r="D1466" s="9" t="s">
        <v>6742</v>
      </c>
      <c r="E1466" s="9" t="s">
        <v>10474</v>
      </c>
      <c r="F1466" s="9" t="s">
        <v>10475</v>
      </c>
      <c r="G1466" s="9" t="s">
        <v>12</v>
      </c>
      <c r="H1466" s="9"/>
      <c r="I1466" s="9"/>
      <c r="J1466" s="9" t="s">
        <v>87</v>
      </c>
      <c r="K1466" s="9"/>
      <c r="L1466" s="9"/>
      <c r="M1466" s="9" t="s">
        <v>387</v>
      </c>
      <c r="N1466" s="9"/>
      <c r="O1466" s="9" t="s">
        <v>10477</v>
      </c>
      <c r="P1466" s="9" t="str">
        <f>HYPERLINK("https://ceds.ed.gov/cedselementdetails.aspx?termid=14116")</f>
        <v>https://ceds.ed.gov/cedselementdetails.aspx?termid=14116</v>
      </c>
      <c r="Q1466" s="9" t="str">
        <f>HYPERLINK("https://ceds.ed.gov/elementComment.aspx?elementName=Accommodation Other Description &amp;elementID=14116", "Click here to submit comment")</f>
        <v>Click here to submit comment</v>
      </c>
    </row>
    <row r="1467" spans="1:17" ht="45" x14ac:dyDescent="0.25">
      <c r="A1467" s="9" t="s">
        <v>6811</v>
      </c>
      <c r="B1467" s="9" t="s">
        <v>6825</v>
      </c>
      <c r="C1467" s="9" t="s">
        <v>11922</v>
      </c>
      <c r="D1467" s="9" t="s">
        <v>6742</v>
      </c>
      <c r="E1467" s="9" t="s">
        <v>11516</v>
      </c>
      <c r="F1467" s="9" t="s">
        <v>11517</v>
      </c>
      <c r="G1467" s="9" t="s">
        <v>12</v>
      </c>
      <c r="H1467" s="9"/>
      <c r="I1467" s="9"/>
      <c r="J1467" s="9" t="s">
        <v>303</v>
      </c>
      <c r="K1467" s="9"/>
      <c r="L1467" s="9"/>
      <c r="M1467" s="9" t="s">
        <v>11519</v>
      </c>
      <c r="N1467" s="9"/>
      <c r="O1467" s="9" t="s">
        <v>11520</v>
      </c>
      <c r="P1467" s="9" t="str">
        <f>HYPERLINK("https://ceds.ed.gov/cedselementdetails.aspx?termid=14667")</f>
        <v>https://ceds.ed.gov/cedselementdetails.aspx?termid=14667</v>
      </c>
      <c r="Q1467" s="9" t="str">
        <f>HYPERLINK("https://ceds.ed.gov/elementComment.aspx?elementName=Individualized Program Accommodation Applicability &amp;elementID=14667", "Click here to submit comment")</f>
        <v>Click here to submit comment</v>
      </c>
    </row>
    <row r="1468" spans="1:17" ht="45" x14ac:dyDescent="0.25">
      <c r="A1468" s="9" t="s">
        <v>6811</v>
      </c>
      <c r="B1468" s="9" t="s">
        <v>6825</v>
      </c>
      <c r="C1468" s="9" t="s">
        <v>11922</v>
      </c>
      <c r="D1468" s="9" t="s">
        <v>6742</v>
      </c>
      <c r="E1468" s="9" t="s">
        <v>11521</v>
      </c>
      <c r="F1468" s="9" t="s">
        <v>11522</v>
      </c>
      <c r="G1468" s="9" t="s">
        <v>12</v>
      </c>
      <c r="H1468" s="9"/>
      <c r="I1468" s="9"/>
      <c r="J1468" s="9" t="s">
        <v>303</v>
      </c>
      <c r="K1468" s="9"/>
      <c r="L1468" s="9"/>
      <c r="M1468" s="9" t="s">
        <v>11523</v>
      </c>
      <c r="N1468" s="9"/>
      <c r="O1468" s="9" t="s">
        <v>11524</v>
      </c>
      <c r="P1468" s="9" t="str">
        <f>HYPERLINK("https://ceds.ed.gov/cedselementdetails.aspx?termid=14666")</f>
        <v>https://ceds.ed.gov/cedselementdetails.aspx?termid=14666</v>
      </c>
      <c r="Q1468" s="9" t="str">
        <f>HYPERLINK("https://ceds.ed.gov/elementComment.aspx?elementName=Individualized Program Accommodation Description &amp;elementID=14666", "Click here to submit comment")</f>
        <v>Click here to submit comment</v>
      </c>
    </row>
    <row r="1469" spans="1:17" ht="409.5" x14ac:dyDescent="0.25">
      <c r="A1469" s="9" t="s">
        <v>6811</v>
      </c>
      <c r="B1469" s="9" t="s">
        <v>6825</v>
      </c>
      <c r="C1469" s="9" t="s">
        <v>11922</v>
      </c>
      <c r="D1469" s="9" t="s">
        <v>6742</v>
      </c>
      <c r="E1469" s="9" t="s">
        <v>5319</v>
      </c>
      <c r="F1469" s="9" t="s">
        <v>5320</v>
      </c>
      <c r="G1469" s="10" t="s">
        <v>11908</v>
      </c>
      <c r="H1469" s="9"/>
      <c r="I1469" s="9"/>
      <c r="J1469" s="9"/>
      <c r="K1469" s="9"/>
      <c r="L1469" s="9" t="s">
        <v>5321</v>
      </c>
      <c r="M1469" s="9" t="s">
        <v>5322</v>
      </c>
      <c r="N1469" s="9" t="s">
        <v>5323</v>
      </c>
      <c r="O1469" s="9" t="s">
        <v>5324</v>
      </c>
      <c r="P1469" s="9" t="str">
        <f>HYPERLINK("https://ceds.ed.gov/cedselementdetails.aspx?termid=14491")</f>
        <v>https://ceds.ed.gov/cedselementdetails.aspx?termid=14491</v>
      </c>
      <c r="Q1469" s="9" t="str">
        <f>HYPERLINK("https://ceds.ed.gov/elementComment.aspx?elementName=School Courses for the Exchange of Data Course Subject Area &amp;elementID=14491", "Click here to submit comment")</f>
        <v>Click here to submit comment</v>
      </c>
    </row>
    <row r="1470" spans="1:17" ht="165" x14ac:dyDescent="0.25">
      <c r="A1470" s="9" t="s">
        <v>6811</v>
      </c>
      <c r="B1470" s="9" t="s">
        <v>6825</v>
      </c>
      <c r="C1470" s="9" t="s">
        <v>11923</v>
      </c>
      <c r="D1470" s="9" t="s">
        <v>6742</v>
      </c>
      <c r="E1470" s="9" t="s">
        <v>1436</v>
      </c>
      <c r="F1470" s="9" t="s">
        <v>1437</v>
      </c>
      <c r="G1470" s="9" t="s">
        <v>12</v>
      </c>
      <c r="H1470" s="9" t="s">
        <v>6149</v>
      </c>
      <c r="I1470" s="9"/>
      <c r="J1470" s="9" t="s">
        <v>92</v>
      </c>
      <c r="K1470" s="9"/>
      <c r="L1470" s="9"/>
      <c r="M1470" s="9" t="s">
        <v>1438</v>
      </c>
      <c r="N1470" s="9"/>
      <c r="O1470" s="9" t="s">
        <v>1439</v>
      </c>
      <c r="P1470" s="9" t="str">
        <f>HYPERLINK("https://ceds.ed.gov/cedselementdetails.aspx?termid=13028")</f>
        <v>https://ceds.ed.gov/cedselementdetails.aspx?termid=13028</v>
      </c>
      <c r="Q1470" s="9" t="str">
        <f>HYPERLINK("https://ceds.ed.gov/elementComment.aspx?elementName=Assessment Title &amp;elementID=13028", "Click here to submit comment")</f>
        <v>Click here to submit comment</v>
      </c>
    </row>
    <row r="1471" spans="1:17" ht="240" x14ac:dyDescent="0.25">
      <c r="A1471" s="9" t="s">
        <v>6811</v>
      </c>
      <c r="B1471" s="9" t="s">
        <v>6825</v>
      </c>
      <c r="C1471" s="9" t="s">
        <v>11923</v>
      </c>
      <c r="D1471" s="9" t="s">
        <v>6742</v>
      </c>
      <c r="E1471" s="9" t="s">
        <v>383</v>
      </c>
      <c r="F1471" s="9" t="s">
        <v>384</v>
      </c>
      <c r="G1471" s="10" t="s">
        <v>11786</v>
      </c>
      <c r="H1471" s="9" t="s">
        <v>6127</v>
      </c>
      <c r="I1471" s="9" t="s">
        <v>91</v>
      </c>
      <c r="J1471" s="9"/>
      <c r="K1471" s="9"/>
      <c r="L1471" s="9"/>
      <c r="M1471" s="9" t="s">
        <v>385</v>
      </c>
      <c r="N1471" s="9"/>
      <c r="O1471" s="9" t="s">
        <v>386</v>
      </c>
      <c r="P1471" s="9" t="str">
        <f>HYPERLINK("https://ceds.ed.gov/cedselementdetails.aspx?termid=13374")</f>
        <v>https://ceds.ed.gov/cedselementdetails.aspx?termid=13374</v>
      </c>
      <c r="Q1471" s="9" t="str">
        <f>HYPERLINK("https://ceds.ed.gov/elementComment.aspx?elementName=Assessment Accommodation Category &amp;elementID=13374", "Click here to submit comment")</f>
        <v>Click here to submit comment</v>
      </c>
    </row>
    <row r="1472" spans="1:17" ht="409.5" x14ac:dyDescent="0.25">
      <c r="A1472" s="9" t="s">
        <v>6811</v>
      </c>
      <c r="B1472" s="9" t="s">
        <v>6825</v>
      </c>
      <c r="C1472" s="9" t="s">
        <v>11923</v>
      </c>
      <c r="D1472" s="9" t="s">
        <v>6742</v>
      </c>
      <c r="E1472" s="9" t="s">
        <v>10478</v>
      </c>
      <c r="F1472" s="9" t="s">
        <v>10479</v>
      </c>
      <c r="G1472" s="10" t="s">
        <v>11785</v>
      </c>
      <c r="H1472" s="9" t="s">
        <v>6127</v>
      </c>
      <c r="I1472" s="9"/>
      <c r="J1472" s="9"/>
      <c r="K1472" s="9"/>
      <c r="L1472" s="9"/>
      <c r="M1472" s="9" t="s">
        <v>389</v>
      </c>
      <c r="N1472" s="9"/>
      <c r="O1472" s="9" t="s">
        <v>10481</v>
      </c>
      <c r="P1472" s="9" t="str">
        <f>HYPERLINK("https://ceds.ed.gov/cedselementdetails.aspx?termid=13376")</f>
        <v>https://ceds.ed.gov/cedselementdetails.aspx?termid=13376</v>
      </c>
      <c r="Q1472" s="9" t="str">
        <f>HYPERLINK("https://ceds.ed.gov/elementComment.aspx?elementName=Accommodation Type &amp;elementID=13376", "Click here to submit comment")</f>
        <v>Click here to submit comment</v>
      </c>
    </row>
    <row r="1473" spans="1:17" ht="45" x14ac:dyDescent="0.25">
      <c r="A1473" s="9" t="s">
        <v>6811</v>
      </c>
      <c r="B1473" s="9" t="s">
        <v>6825</v>
      </c>
      <c r="C1473" s="9" t="s">
        <v>11923</v>
      </c>
      <c r="D1473" s="9" t="s">
        <v>6742</v>
      </c>
      <c r="E1473" s="9" t="s">
        <v>10474</v>
      </c>
      <c r="F1473" s="9" t="s">
        <v>10475</v>
      </c>
      <c r="G1473" s="9" t="s">
        <v>12</v>
      </c>
      <c r="H1473" s="9"/>
      <c r="I1473" s="9"/>
      <c r="J1473" s="9" t="s">
        <v>87</v>
      </c>
      <c r="K1473" s="9"/>
      <c r="L1473" s="9"/>
      <c r="M1473" s="9" t="s">
        <v>387</v>
      </c>
      <c r="N1473" s="9"/>
      <c r="O1473" s="9" t="s">
        <v>10477</v>
      </c>
      <c r="P1473" s="9" t="str">
        <f>HYPERLINK("https://ceds.ed.gov/cedselementdetails.aspx?termid=14116")</f>
        <v>https://ceds.ed.gov/cedselementdetails.aspx?termid=14116</v>
      </c>
      <c r="Q1473" s="9" t="str">
        <f>HYPERLINK("https://ceds.ed.gov/elementComment.aspx?elementName=Accommodation Other Description &amp;elementID=14116", "Click here to submit comment")</f>
        <v>Click here to submit comment</v>
      </c>
    </row>
    <row r="1474" spans="1:17" ht="409.5" x14ac:dyDescent="0.25">
      <c r="A1474" s="9" t="s">
        <v>6811</v>
      </c>
      <c r="B1474" s="9" t="s">
        <v>6825</v>
      </c>
      <c r="C1474" s="9" t="s">
        <v>11923</v>
      </c>
      <c r="D1474" s="9" t="s">
        <v>6742</v>
      </c>
      <c r="E1474" s="9" t="s">
        <v>12208</v>
      </c>
      <c r="F1474" s="9" t="s">
        <v>1444</v>
      </c>
      <c r="G1474" s="10" t="s">
        <v>6388</v>
      </c>
      <c r="H1474" s="9" t="s">
        <v>6140</v>
      </c>
      <c r="I1474" s="9"/>
      <c r="J1474" s="9"/>
      <c r="K1474" s="9"/>
      <c r="L1474" s="9"/>
      <c r="M1474" s="9" t="s">
        <v>1445</v>
      </c>
      <c r="N1474" s="9"/>
      <c r="O1474" s="9" t="s">
        <v>1446</v>
      </c>
      <c r="P1474" s="9" t="str">
        <f>HYPERLINK("https://ceds.ed.gov/cedselementdetails.aspx?termid=13405")</f>
        <v>https://ceds.ed.gov/cedselementdetails.aspx?termid=13405</v>
      </c>
      <c r="Q1474" s="9" t="str">
        <f>HYPERLINK("https://ceds.ed.gov/elementComment.aspx?elementName=Assessment Type Administered to Children with Disabilities &amp;elementID=13405", "Click here to submit comment")</f>
        <v>Click here to submit comment</v>
      </c>
    </row>
    <row r="1475" spans="1:17" ht="75" x14ac:dyDescent="0.25">
      <c r="A1475" s="9" t="s">
        <v>6811</v>
      </c>
      <c r="B1475" s="9" t="s">
        <v>6825</v>
      </c>
      <c r="C1475" s="9" t="s">
        <v>11923</v>
      </c>
      <c r="D1475" s="9" t="s">
        <v>6742</v>
      </c>
      <c r="E1475" s="9" t="s">
        <v>11450</v>
      </c>
      <c r="F1475" s="9" t="s">
        <v>11451</v>
      </c>
      <c r="G1475" s="9" t="s">
        <v>12</v>
      </c>
      <c r="H1475" s="9"/>
      <c r="I1475" s="9"/>
      <c r="J1475" s="9" t="s">
        <v>303</v>
      </c>
      <c r="K1475" s="9"/>
      <c r="L1475" s="9"/>
      <c r="M1475" s="9" t="s">
        <v>11453</v>
      </c>
      <c r="N1475" s="9"/>
      <c r="O1475" s="9" t="s">
        <v>11454</v>
      </c>
      <c r="P1475" s="9" t="str">
        <f>HYPERLINK("https://ceds.ed.gov/cedselementdetails.aspx?termid=14668")</f>
        <v>https://ceds.ed.gov/cedselementdetails.aspx?termid=14668</v>
      </c>
      <c r="Q1475" s="9" t="str">
        <f>HYPERLINK("https://ceds.ed.gov/elementComment.aspx?elementName=IEP Alternative Assessment Rationale &amp;elementID=14668", "Click here to submit comment")</f>
        <v>Click here to submit comment</v>
      </c>
    </row>
    <row r="1476" spans="1:17" ht="90" x14ac:dyDescent="0.25">
      <c r="A1476" s="9" t="s">
        <v>6811</v>
      </c>
      <c r="B1476" s="9" t="s">
        <v>6825</v>
      </c>
      <c r="C1476" s="9" t="s">
        <v>11924</v>
      </c>
      <c r="D1476" s="9" t="s">
        <v>6742</v>
      </c>
      <c r="E1476" s="9" t="s">
        <v>11557</v>
      </c>
      <c r="F1476" s="9" t="s">
        <v>11558</v>
      </c>
      <c r="G1476" s="10" t="s">
        <v>11888</v>
      </c>
      <c r="H1476" s="9"/>
      <c r="I1476" s="9"/>
      <c r="J1476" s="9"/>
      <c r="K1476" s="9"/>
      <c r="L1476" s="9"/>
      <c r="M1476" s="9" t="s">
        <v>11560</v>
      </c>
      <c r="N1476" s="9"/>
      <c r="O1476" s="9" t="s">
        <v>11561</v>
      </c>
      <c r="P1476" s="9" t="str">
        <f>HYPERLINK("https://ceds.ed.gov/cedselementdetails.aspx?termid=14682")</f>
        <v>https://ceds.ed.gov/cedselementdetails.aspx?termid=14682</v>
      </c>
      <c r="Q1476" s="9" t="str">
        <f>HYPERLINK("https://ceds.ed.gov/elementComment.aspx?elementName=Individualized Program Service Plan Progress Report Type &amp;elementID=14682", "Click here to submit comment")</f>
        <v>Click here to submit comment</v>
      </c>
    </row>
    <row r="1477" spans="1:17" ht="75" x14ac:dyDescent="0.25">
      <c r="A1477" s="9" t="s">
        <v>6811</v>
      </c>
      <c r="B1477" s="9" t="s">
        <v>6825</v>
      </c>
      <c r="C1477" s="9" t="s">
        <v>11924</v>
      </c>
      <c r="D1477" s="9" t="s">
        <v>6742</v>
      </c>
      <c r="E1477" s="9" t="s">
        <v>11544</v>
      </c>
      <c r="F1477" s="9" t="s">
        <v>11545</v>
      </c>
      <c r="G1477" s="9" t="s">
        <v>12</v>
      </c>
      <c r="H1477" s="9"/>
      <c r="I1477" s="9"/>
      <c r="J1477" s="9" t="s">
        <v>73</v>
      </c>
      <c r="K1477" s="9"/>
      <c r="L1477" s="9"/>
      <c r="M1477" s="9" t="s">
        <v>11547</v>
      </c>
      <c r="N1477" s="9"/>
      <c r="O1477" s="9" t="s">
        <v>11548</v>
      </c>
      <c r="P1477" s="9" t="str">
        <f>HYPERLINK("https://ceds.ed.gov/cedselementdetails.aspx?termid=14680")</f>
        <v>https://ceds.ed.gov/cedselementdetails.aspx?termid=14680</v>
      </c>
      <c r="Q1477" s="9" t="str">
        <f>HYPERLINK("https://ceds.ed.gov/elementComment.aspx?elementName=Individualized Program Service Plan Progress Report Date &amp;elementID=14680", "Click here to submit comment")</f>
        <v>Click here to submit comment</v>
      </c>
    </row>
    <row r="1478" spans="1:17" ht="90" x14ac:dyDescent="0.25">
      <c r="A1478" s="9" t="s">
        <v>6811</v>
      </c>
      <c r="B1478" s="9" t="s">
        <v>6825</v>
      </c>
      <c r="C1478" s="9" t="s">
        <v>11924</v>
      </c>
      <c r="D1478" s="9" t="s">
        <v>6742</v>
      </c>
      <c r="E1478" s="9" t="s">
        <v>11549</v>
      </c>
      <c r="F1478" s="9" t="s">
        <v>11550</v>
      </c>
      <c r="G1478" s="9" t="s">
        <v>12</v>
      </c>
      <c r="H1478" s="9"/>
      <c r="I1478" s="9"/>
      <c r="J1478" s="9" t="s">
        <v>303</v>
      </c>
      <c r="K1478" s="9"/>
      <c r="L1478" s="9"/>
      <c r="M1478" s="9" t="s">
        <v>11551</v>
      </c>
      <c r="N1478" s="9"/>
      <c r="O1478" s="9" t="s">
        <v>11552</v>
      </c>
      <c r="P1478" s="9" t="str">
        <f>HYPERLINK("https://ceds.ed.gov/cedselementdetails.aspx?termid=14681")</f>
        <v>https://ceds.ed.gov/cedselementdetails.aspx?termid=14681</v>
      </c>
      <c r="Q1478" s="9" t="str">
        <f>HYPERLINK("https://ceds.ed.gov/elementComment.aspx?elementName=Individualized Program Service Plan Progress Report Description &amp;elementID=14681", "Click here to submit comment")</f>
        <v>Click here to submit comment</v>
      </c>
    </row>
    <row r="1479" spans="1:17" ht="60" x14ac:dyDescent="0.25">
      <c r="A1479" s="9" t="s">
        <v>6811</v>
      </c>
      <c r="B1479" s="9" t="s">
        <v>6825</v>
      </c>
      <c r="C1479" s="9" t="s">
        <v>11925</v>
      </c>
      <c r="D1479" s="9" t="s">
        <v>6742</v>
      </c>
      <c r="E1479" s="9" t="s">
        <v>11471</v>
      </c>
      <c r="F1479" s="9" t="s">
        <v>11472</v>
      </c>
      <c r="G1479" s="10" t="s">
        <v>11886</v>
      </c>
      <c r="H1479" s="9"/>
      <c r="I1479" s="9"/>
      <c r="J1479" s="9"/>
      <c r="K1479" s="9"/>
      <c r="L1479" s="9"/>
      <c r="M1479" s="9" t="s">
        <v>11473</v>
      </c>
      <c r="N1479" s="9"/>
      <c r="O1479" s="9" t="s">
        <v>11474</v>
      </c>
      <c r="P1479" s="9" t="str">
        <f>HYPERLINK("https://ceds.ed.gov/cedselementdetails.aspx?termid=14679")</f>
        <v>https://ceds.ed.gov/cedselementdetails.aspx?termid=14679</v>
      </c>
      <c r="Q1479" s="9" t="str">
        <f>HYPERLINK("https://ceds.ed.gov/elementComment.aspx?elementName=IEP Goal Type &amp;elementID=14679", "Click here to submit comment")</f>
        <v>Click here to submit comment</v>
      </c>
    </row>
    <row r="1480" spans="1:17" ht="45" x14ac:dyDescent="0.25">
      <c r="A1480" s="9" t="s">
        <v>6811</v>
      </c>
      <c r="B1480" s="9" t="s">
        <v>6825</v>
      </c>
      <c r="C1480" s="9" t="s">
        <v>11925</v>
      </c>
      <c r="D1480" s="9" t="s">
        <v>6742</v>
      </c>
      <c r="E1480" s="9" t="s">
        <v>11370</v>
      </c>
      <c r="F1480" s="9" t="s">
        <v>11371</v>
      </c>
      <c r="G1480" s="9" t="s">
        <v>12</v>
      </c>
      <c r="H1480" s="9"/>
      <c r="I1480" s="9"/>
      <c r="J1480" s="9" t="s">
        <v>68</v>
      </c>
      <c r="K1480" s="9"/>
      <c r="L1480" s="9"/>
      <c r="M1480" s="9" t="s">
        <v>3704</v>
      </c>
      <c r="N1480" s="9"/>
      <c r="O1480" s="9" t="s">
        <v>11373</v>
      </c>
      <c r="P1480" s="9" t="str">
        <f>HYPERLINK("https://ceds.ed.gov/cedselementdetails.aspx?termid=13903")</f>
        <v>https://ceds.ed.gov/cedselementdetails.aspx?termid=13903</v>
      </c>
      <c r="Q1480" s="9" t="str">
        <f>HYPERLINK("https://ceds.ed.gov/elementComment.aspx?elementName=Goal Description &amp;elementID=13903", "Click here to submit comment")</f>
        <v>Click here to submit comment</v>
      </c>
    </row>
    <row r="1481" spans="1:17" ht="45" x14ac:dyDescent="0.25">
      <c r="A1481" s="9" t="s">
        <v>6811</v>
      </c>
      <c r="B1481" s="9" t="s">
        <v>6825</v>
      </c>
      <c r="C1481" s="9" t="s">
        <v>11925</v>
      </c>
      <c r="D1481" s="9" t="s">
        <v>6742</v>
      </c>
      <c r="E1481" s="9" t="s">
        <v>11407</v>
      </c>
      <c r="F1481" s="9" t="s">
        <v>11408</v>
      </c>
      <c r="G1481" s="9" t="s">
        <v>12</v>
      </c>
      <c r="H1481" s="9"/>
      <c r="I1481" s="9"/>
      <c r="J1481" s="9" t="s">
        <v>73</v>
      </c>
      <c r="K1481" s="9"/>
      <c r="L1481" s="9"/>
      <c r="M1481" s="9" t="s">
        <v>3707</v>
      </c>
      <c r="N1481" s="9"/>
      <c r="O1481" s="9" t="s">
        <v>11409</v>
      </c>
      <c r="P1481" s="9" t="str">
        <f>HYPERLINK("https://ceds.ed.gov/cedselementdetails.aspx?termid=14169")</f>
        <v>https://ceds.ed.gov/cedselementdetails.aspx?termid=14169</v>
      </c>
      <c r="Q1481" s="9" t="str">
        <f>HYPERLINK("https://ceds.ed.gov/elementComment.aspx?elementName=Goal Start Date &amp;elementID=14169", "Click here to submit comment")</f>
        <v>Click here to submit comment</v>
      </c>
    </row>
    <row r="1482" spans="1:17" ht="45" x14ac:dyDescent="0.25">
      <c r="A1482" s="9" t="s">
        <v>6811</v>
      </c>
      <c r="B1482" s="9" t="s">
        <v>6825</v>
      </c>
      <c r="C1482" s="9" t="s">
        <v>11925</v>
      </c>
      <c r="D1482" s="9" t="s">
        <v>6742</v>
      </c>
      <c r="E1482" s="9" t="s">
        <v>11374</v>
      </c>
      <c r="F1482" s="9" t="s">
        <v>11375</v>
      </c>
      <c r="G1482" s="9" t="s">
        <v>12</v>
      </c>
      <c r="H1482" s="9"/>
      <c r="I1482" s="9"/>
      <c r="J1482" s="9" t="s">
        <v>73</v>
      </c>
      <c r="K1482" s="9"/>
      <c r="L1482" s="9" t="s">
        <v>3705</v>
      </c>
      <c r="M1482" s="9" t="s">
        <v>3706</v>
      </c>
      <c r="N1482" s="9"/>
      <c r="O1482" s="9" t="s">
        <v>11376</v>
      </c>
      <c r="P1482" s="9" t="str">
        <f>HYPERLINK("https://ceds.ed.gov/cedselementdetails.aspx?termid=14170")</f>
        <v>https://ceds.ed.gov/cedselementdetails.aspx?termid=14170</v>
      </c>
      <c r="Q1482" s="9" t="str">
        <f>HYPERLINK("https://ceds.ed.gov/elementComment.aspx?elementName=Goal End Date &amp;elementID=14170", "Click here to submit comment")</f>
        <v>Click here to submit comment</v>
      </c>
    </row>
    <row r="1483" spans="1:17" ht="45" x14ac:dyDescent="0.25">
      <c r="A1483" s="9" t="s">
        <v>6811</v>
      </c>
      <c r="B1483" s="9" t="s">
        <v>6825</v>
      </c>
      <c r="C1483" s="9" t="s">
        <v>11925</v>
      </c>
      <c r="D1483" s="9" t="s">
        <v>6742</v>
      </c>
      <c r="E1483" s="9" t="s">
        <v>11410</v>
      </c>
      <c r="F1483" s="9" t="s">
        <v>11411</v>
      </c>
      <c r="G1483" s="9" t="s">
        <v>12</v>
      </c>
      <c r="H1483" s="9"/>
      <c r="I1483" s="9"/>
      <c r="J1483" s="9" t="s">
        <v>303</v>
      </c>
      <c r="K1483" s="9"/>
      <c r="L1483" s="9"/>
      <c r="M1483" s="9" t="s">
        <v>11413</v>
      </c>
      <c r="N1483" s="9"/>
      <c r="O1483" s="9" t="s">
        <v>11414</v>
      </c>
      <c r="P1483" s="9" t="str">
        <f>HYPERLINK("https://ceds.ed.gov/cedselementdetails.aspx?termid=14684")</f>
        <v>https://ceds.ed.gov/cedselementdetails.aspx?termid=14684</v>
      </c>
      <c r="Q1483" s="9" t="str">
        <f>HYPERLINK("https://ceds.ed.gov/elementComment.aspx?elementName=Goal Status &amp;elementID=14684", "Click here to submit comment")</f>
        <v>Click here to submit comment</v>
      </c>
    </row>
    <row r="1484" spans="1:17" ht="105" x14ac:dyDescent="0.25">
      <c r="A1484" s="9" t="s">
        <v>6811</v>
      </c>
      <c r="B1484" s="9" t="s">
        <v>6825</v>
      </c>
      <c r="C1484" s="9" t="s">
        <v>11925</v>
      </c>
      <c r="D1484" s="9" t="s">
        <v>6742</v>
      </c>
      <c r="E1484" s="9" t="s">
        <v>11415</v>
      </c>
      <c r="F1484" s="9" t="s">
        <v>11416</v>
      </c>
      <c r="G1484" s="10" t="s">
        <v>11881</v>
      </c>
      <c r="H1484" s="9"/>
      <c r="I1484" s="9"/>
      <c r="J1484" s="9"/>
      <c r="K1484" s="9"/>
      <c r="L1484" s="9"/>
      <c r="M1484" s="9" t="s">
        <v>11417</v>
      </c>
      <c r="N1484" s="9"/>
      <c r="O1484" s="9" t="s">
        <v>11418</v>
      </c>
      <c r="P1484" s="9" t="str">
        <f>HYPERLINK("https://ceds.ed.gov/cedselementdetails.aspx?termid=14683")</f>
        <v>https://ceds.ed.gov/cedselementdetails.aspx?termid=14683</v>
      </c>
      <c r="Q1484" s="9" t="str">
        <f>HYPERLINK("https://ceds.ed.gov/elementComment.aspx?elementName=Goal Status Type &amp;elementID=14683", "Click here to submit comment")</f>
        <v>Click here to submit comment</v>
      </c>
    </row>
    <row r="1485" spans="1:17" ht="45" x14ac:dyDescent="0.25">
      <c r="A1485" s="9" t="s">
        <v>6811</v>
      </c>
      <c r="B1485" s="9" t="s">
        <v>6825</v>
      </c>
      <c r="C1485" s="9" t="s">
        <v>11925</v>
      </c>
      <c r="D1485" s="9" t="s">
        <v>6742</v>
      </c>
      <c r="E1485" s="9" t="s">
        <v>11365</v>
      </c>
      <c r="F1485" s="9" t="s">
        <v>11366</v>
      </c>
      <c r="G1485" s="9" t="s">
        <v>12</v>
      </c>
      <c r="H1485" s="9"/>
      <c r="I1485" s="9"/>
      <c r="J1485" s="9" t="s">
        <v>303</v>
      </c>
      <c r="K1485" s="9"/>
      <c r="L1485" s="9"/>
      <c r="M1485" s="9" t="s">
        <v>11368</v>
      </c>
      <c r="N1485" s="9"/>
      <c r="O1485" s="9" t="s">
        <v>11369</v>
      </c>
      <c r="P1485" s="9" t="str">
        <f>HYPERLINK("https://ceds.ed.gov/cedselementdetails.aspx?termid=14671")</f>
        <v>https://ceds.ed.gov/cedselementdetails.aspx?termid=14671</v>
      </c>
      <c r="Q1485" s="9" t="str">
        <f>HYPERLINK("https://ceds.ed.gov/elementComment.aspx?elementName=Goal Current Performance Description &amp;elementID=14671", "Click here to submit comment")</f>
        <v>Click here to submit comment</v>
      </c>
    </row>
    <row r="1486" spans="1:17" ht="60" x14ac:dyDescent="0.25">
      <c r="A1486" s="9" t="s">
        <v>6811</v>
      </c>
      <c r="B1486" s="9" t="s">
        <v>6825</v>
      </c>
      <c r="C1486" s="9" t="s">
        <v>11925</v>
      </c>
      <c r="D1486" s="9" t="s">
        <v>6742</v>
      </c>
      <c r="E1486" s="9" t="s">
        <v>11419</v>
      </c>
      <c r="F1486" s="9" t="s">
        <v>11420</v>
      </c>
      <c r="G1486" s="9" t="s">
        <v>12</v>
      </c>
      <c r="H1486" s="9"/>
      <c r="I1486" s="9"/>
      <c r="J1486" s="9" t="s">
        <v>68</v>
      </c>
      <c r="K1486" s="9"/>
      <c r="L1486" s="9"/>
      <c r="M1486" s="9" t="s">
        <v>3708</v>
      </c>
      <c r="N1486" s="9"/>
      <c r="O1486" s="9" t="s">
        <v>11421</v>
      </c>
      <c r="P1486" s="9" t="str">
        <f>HYPERLINK("https://ceds.ed.gov/cedselementdetails.aspx?termid=13902")</f>
        <v>https://ceds.ed.gov/cedselementdetails.aspx?termid=13902</v>
      </c>
      <c r="Q1486" s="9" t="str">
        <f>HYPERLINK("https://ceds.ed.gov/elementComment.aspx?elementName=Goal Success Criteria &amp;elementID=13902", "Click here to submit comment")</f>
        <v>Click here to submit comment</v>
      </c>
    </row>
    <row r="1487" spans="1:17" ht="90" x14ac:dyDescent="0.25">
      <c r="A1487" s="9" t="s">
        <v>6811</v>
      </c>
      <c r="B1487" s="9" t="s">
        <v>6825</v>
      </c>
      <c r="C1487" s="9" t="s">
        <v>11925</v>
      </c>
      <c r="D1487" s="9" t="s">
        <v>6742</v>
      </c>
      <c r="E1487" s="9" t="s">
        <v>3983</v>
      </c>
      <c r="F1487" s="9" t="s">
        <v>10814</v>
      </c>
      <c r="G1487" s="9" t="s">
        <v>12</v>
      </c>
      <c r="H1487" s="9"/>
      <c r="I1487" s="9" t="s">
        <v>91</v>
      </c>
      <c r="J1487" s="9" t="s">
        <v>87</v>
      </c>
      <c r="K1487" s="9" t="s">
        <v>10738</v>
      </c>
      <c r="L1487" s="9" t="s">
        <v>3981</v>
      </c>
      <c r="M1487" s="9" t="s">
        <v>3982</v>
      </c>
      <c r="N1487" s="9" t="s">
        <v>3980</v>
      </c>
      <c r="O1487" s="9" t="s">
        <v>10816</v>
      </c>
      <c r="P1487" s="9" t="str">
        <f>HYPERLINK("https://ceds.ed.gov/cedselementdetails.aspx?termid=13669")</f>
        <v>https://ceds.ed.gov/cedselementdetails.aspx?termid=13669</v>
      </c>
      <c r="Q1487" s="9" t="str">
        <f>HYPERLINK("https://ceds.ed.gov/elementComment.aspx?elementName=Competency Item Code &amp;elementID=13669", "Click here to submit comment")</f>
        <v>Click here to submit comment</v>
      </c>
    </row>
    <row r="1488" spans="1:17" ht="225" x14ac:dyDescent="0.25">
      <c r="A1488" s="9" t="s">
        <v>6811</v>
      </c>
      <c r="B1488" s="9" t="s">
        <v>6825</v>
      </c>
      <c r="C1488" s="9" t="s">
        <v>11925</v>
      </c>
      <c r="D1488" s="9" t="s">
        <v>6742</v>
      </c>
      <c r="E1488" s="9" t="s">
        <v>4026</v>
      </c>
      <c r="F1488" s="9" t="s">
        <v>10869</v>
      </c>
      <c r="G1488" s="9" t="s">
        <v>12</v>
      </c>
      <c r="H1488" s="9" t="s">
        <v>795</v>
      </c>
      <c r="I1488" s="9" t="s">
        <v>91</v>
      </c>
      <c r="J1488" s="9" t="s">
        <v>303</v>
      </c>
      <c r="K1488" s="9" t="s">
        <v>10738</v>
      </c>
      <c r="L1488" s="9" t="s">
        <v>4024</v>
      </c>
      <c r="M1488" s="9" t="s">
        <v>4025</v>
      </c>
      <c r="N1488" s="9" t="s">
        <v>4023</v>
      </c>
      <c r="O1488" s="9" t="s">
        <v>10870</v>
      </c>
      <c r="P1488" s="9" t="str">
        <f>HYPERLINK("https://ceds.ed.gov/cedselementdetails.aspx?termid=13667")</f>
        <v>https://ceds.ed.gov/cedselementdetails.aspx?termid=13667</v>
      </c>
      <c r="Q1488" s="9" t="str">
        <f>HYPERLINK("https://ceds.ed.gov/elementComment.aspx?elementName=Competency Item Statement &amp;elementID=13667", "Click here to submit comment")</f>
        <v>Click here to submit comment</v>
      </c>
    </row>
    <row r="1489" spans="1:17" ht="90" x14ac:dyDescent="0.25">
      <c r="A1489" s="9" t="s">
        <v>6811</v>
      </c>
      <c r="B1489" s="9" t="s">
        <v>6825</v>
      </c>
      <c r="C1489" s="9" t="s">
        <v>11925</v>
      </c>
      <c r="D1489" s="9" t="s">
        <v>6742</v>
      </c>
      <c r="E1489" s="9" t="s">
        <v>10890</v>
      </c>
      <c r="F1489" s="9" t="s">
        <v>10891</v>
      </c>
      <c r="G1489" s="9" t="s">
        <v>12</v>
      </c>
      <c r="H1489" s="9"/>
      <c r="I1489" s="9" t="s">
        <v>91</v>
      </c>
      <c r="J1489" s="9" t="s">
        <v>1143</v>
      </c>
      <c r="K1489" s="9" t="s">
        <v>10738</v>
      </c>
      <c r="L1489" s="9" t="s">
        <v>121</v>
      </c>
      <c r="M1489" s="9" t="s">
        <v>4044</v>
      </c>
      <c r="N1489" s="9" t="s">
        <v>4043</v>
      </c>
      <c r="O1489" s="9" t="s">
        <v>10893</v>
      </c>
      <c r="P1489" s="9" t="str">
        <f>HYPERLINK("https://ceds.ed.gov/cedselementdetails.aspx?termid=13874")</f>
        <v>https://ceds.ed.gov/cedselementdetails.aspx?termid=13874</v>
      </c>
      <c r="Q1489" s="9" t="str">
        <f>HYPERLINK("https://ceds.ed.gov/elementComment.aspx?elementName=Competency Item URL &amp;elementID=13874", "Click here to submit comment")</f>
        <v>Click here to submit comment</v>
      </c>
    </row>
    <row r="1490" spans="1:17" ht="45" x14ac:dyDescent="0.25">
      <c r="A1490" s="9" t="s">
        <v>6811</v>
      </c>
      <c r="B1490" s="9" t="s">
        <v>6825</v>
      </c>
      <c r="C1490" s="9" t="s">
        <v>11926</v>
      </c>
      <c r="D1490" s="9" t="s">
        <v>6742</v>
      </c>
      <c r="E1490" s="9" t="s">
        <v>11526</v>
      </c>
      <c r="F1490" s="9" t="s">
        <v>11527</v>
      </c>
      <c r="G1490" s="9" t="s">
        <v>12</v>
      </c>
      <c r="H1490" s="9"/>
      <c r="I1490" s="9"/>
      <c r="J1490" s="9" t="s">
        <v>303</v>
      </c>
      <c r="K1490" s="9"/>
      <c r="L1490" s="9"/>
      <c r="M1490" s="9" t="s">
        <v>11529</v>
      </c>
      <c r="N1490" s="9"/>
      <c r="O1490" s="9" t="s">
        <v>11530</v>
      </c>
      <c r="P1490" s="9" t="str">
        <f>HYPERLINK("https://ceds.ed.gov/cedselementdetails.aspx?termid=14670")</f>
        <v>https://ceds.ed.gov/cedselementdetails.aspx?termid=14670</v>
      </c>
      <c r="Q1490" s="9" t="str">
        <f>HYPERLINK("https://ceds.ed.gov/elementComment.aspx?elementName=Individualized Program Service Plan Amendment Description &amp;elementID=14670", "Click here to submit comment")</f>
        <v>Click here to submit comment</v>
      </c>
    </row>
    <row r="1491" spans="1:17" ht="45" x14ac:dyDescent="0.25">
      <c r="A1491" s="9" t="s">
        <v>6811</v>
      </c>
      <c r="B1491" s="9" t="s">
        <v>6825</v>
      </c>
      <c r="C1491" s="9" t="s">
        <v>11926</v>
      </c>
      <c r="D1491" s="9" t="s">
        <v>6742</v>
      </c>
      <c r="E1491" s="9" t="s">
        <v>11531</v>
      </c>
      <c r="F1491" s="9" t="s">
        <v>11532</v>
      </c>
      <c r="G1491" s="9" t="s">
        <v>12</v>
      </c>
      <c r="H1491" s="9"/>
      <c r="I1491" s="9"/>
      <c r="J1491" s="9" t="s">
        <v>303</v>
      </c>
      <c r="K1491" s="9"/>
      <c r="L1491" s="9"/>
      <c r="M1491" s="9" t="s">
        <v>11533</v>
      </c>
      <c r="N1491" s="9"/>
      <c r="O1491" s="9" t="s">
        <v>11534</v>
      </c>
      <c r="P1491" s="9" t="str">
        <f>HYPERLINK("https://ceds.ed.gov/cedselementdetails.aspx?termid=14669")</f>
        <v>https://ceds.ed.gov/cedselementdetails.aspx?termid=14669</v>
      </c>
      <c r="Q1491" s="9" t="str">
        <f>HYPERLINK("https://ceds.ed.gov/elementComment.aspx?elementName=Individualized Program Service Plan Amendment Reason Description &amp;elementID=14669", "Click here to submit comment")</f>
        <v>Click here to submit comment</v>
      </c>
    </row>
    <row r="1492" spans="1:17" ht="409.5" x14ac:dyDescent="0.25">
      <c r="A1492" s="9" t="s">
        <v>6811</v>
      </c>
      <c r="B1492" s="9" t="s">
        <v>6825</v>
      </c>
      <c r="C1492" s="9" t="s">
        <v>6832</v>
      </c>
      <c r="D1492" s="9" t="s">
        <v>6742</v>
      </c>
      <c r="E1492" s="9" t="s">
        <v>2308</v>
      </c>
      <c r="F1492" s="9" t="s">
        <v>2309</v>
      </c>
      <c r="G1492" s="10" t="s">
        <v>6451</v>
      </c>
      <c r="H1492" s="9" t="s">
        <v>4</v>
      </c>
      <c r="I1492" s="9"/>
      <c r="J1492" s="9"/>
      <c r="K1492" s="9"/>
      <c r="L1492" s="9"/>
      <c r="M1492" s="9" t="s">
        <v>2310</v>
      </c>
      <c r="N1492" s="9"/>
      <c r="O1492" s="9" t="s">
        <v>2311</v>
      </c>
      <c r="P1492" s="9" t="str">
        <f>HYPERLINK("https://ceds.ed.gov/cedselementdetails.aspx?termid=13479")</f>
        <v>https://ceds.ed.gov/cedselementdetails.aspx?termid=13479</v>
      </c>
      <c r="Q1492" s="9" t="str">
        <f>HYPERLINK("https://ceds.ed.gov/elementComment.aspx?elementName=Disciplinary Action Taken &amp;elementID=13479", "Click here to submit comment")</f>
        <v>Click here to submit comment</v>
      </c>
    </row>
    <row r="1493" spans="1:17" ht="180" x14ac:dyDescent="0.25">
      <c r="A1493" s="9" t="s">
        <v>6811</v>
      </c>
      <c r="B1493" s="9" t="s">
        <v>6825</v>
      </c>
      <c r="C1493" s="9" t="s">
        <v>6832</v>
      </c>
      <c r="D1493" s="9" t="s">
        <v>6742</v>
      </c>
      <c r="E1493" s="9" t="s">
        <v>2324</v>
      </c>
      <c r="F1493" s="9" t="s">
        <v>2325</v>
      </c>
      <c r="G1493" s="10" t="s">
        <v>6455</v>
      </c>
      <c r="H1493" s="9" t="s">
        <v>199</v>
      </c>
      <c r="I1493" s="9"/>
      <c r="J1493" s="9"/>
      <c r="K1493" s="9"/>
      <c r="L1493" s="9"/>
      <c r="M1493" s="9" t="s">
        <v>2326</v>
      </c>
      <c r="N1493" s="9"/>
      <c r="O1493" s="9" t="s">
        <v>2327</v>
      </c>
      <c r="P1493" s="9" t="str">
        <f>HYPERLINK("https://ceds.ed.gov/cedselementdetails.aspx?termid=13536")</f>
        <v>https://ceds.ed.gov/cedselementdetails.aspx?termid=13536</v>
      </c>
      <c r="Q1493" s="9" t="str">
        <f>HYPERLINK("https://ceds.ed.gov/elementComment.aspx?elementName=Discipline Reason &amp;elementID=13536", "Click here to submit comment")</f>
        <v>Click here to submit comment</v>
      </c>
    </row>
    <row r="1494" spans="1:17" ht="45" x14ac:dyDescent="0.25">
      <c r="A1494" s="9" t="s">
        <v>6811</v>
      </c>
      <c r="B1494" s="9" t="s">
        <v>6825</v>
      </c>
      <c r="C1494" s="9" t="s">
        <v>6832</v>
      </c>
      <c r="D1494" s="9" t="s">
        <v>6742</v>
      </c>
      <c r="E1494" s="9" t="s">
        <v>2304</v>
      </c>
      <c r="F1494" s="9" t="s">
        <v>2305</v>
      </c>
      <c r="G1494" s="9" t="s">
        <v>12</v>
      </c>
      <c r="H1494" s="9" t="s">
        <v>4</v>
      </c>
      <c r="I1494" s="9"/>
      <c r="J1494" s="9" t="s">
        <v>73</v>
      </c>
      <c r="K1494" s="9"/>
      <c r="L1494" s="9"/>
      <c r="M1494" s="9" t="s">
        <v>2306</v>
      </c>
      <c r="N1494" s="9"/>
      <c r="O1494" s="9" t="s">
        <v>2307</v>
      </c>
      <c r="P1494" s="9" t="str">
        <f>HYPERLINK("https://ceds.ed.gov/cedselementdetails.aspx?termid=13083")</f>
        <v>https://ceds.ed.gov/cedselementdetails.aspx?termid=13083</v>
      </c>
      <c r="Q1494" s="9" t="str">
        <f>HYPERLINK("https://ceds.ed.gov/elementComment.aspx?elementName=Disciplinary Action Start Date &amp;elementID=13083", "Click here to submit comment")</f>
        <v>Click here to submit comment</v>
      </c>
    </row>
    <row r="1495" spans="1:17" ht="45" x14ac:dyDescent="0.25">
      <c r="A1495" s="9" t="s">
        <v>6811</v>
      </c>
      <c r="B1495" s="9" t="s">
        <v>6825</v>
      </c>
      <c r="C1495" s="9" t="s">
        <v>6832</v>
      </c>
      <c r="D1495" s="9" t="s">
        <v>6742</v>
      </c>
      <c r="E1495" s="9" t="s">
        <v>2295</v>
      </c>
      <c r="F1495" s="9" t="s">
        <v>2296</v>
      </c>
      <c r="G1495" s="9" t="s">
        <v>12</v>
      </c>
      <c r="H1495" s="9" t="s">
        <v>4</v>
      </c>
      <c r="I1495" s="9"/>
      <c r="J1495" s="9" t="s">
        <v>73</v>
      </c>
      <c r="K1495" s="9"/>
      <c r="L1495" s="9"/>
      <c r="M1495" s="9" t="s">
        <v>2297</v>
      </c>
      <c r="N1495" s="9"/>
      <c r="O1495" s="9" t="s">
        <v>2298</v>
      </c>
      <c r="P1495" s="9" t="str">
        <f>HYPERLINK("https://ceds.ed.gov/cedselementdetails.aspx?termid=13082")</f>
        <v>https://ceds.ed.gov/cedselementdetails.aspx?termid=13082</v>
      </c>
      <c r="Q1495" s="9" t="str">
        <f>HYPERLINK("https://ceds.ed.gov/elementComment.aspx?elementName=Disciplinary Action End Date &amp;elementID=13082", "Click here to submit comment")</f>
        <v>Click here to submit comment</v>
      </c>
    </row>
    <row r="1496" spans="1:17" ht="45" x14ac:dyDescent="0.25">
      <c r="A1496" s="9" t="s">
        <v>6811</v>
      </c>
      <c r="B1496" s="9" t="s">
        <v>6825</v>
      </c>
      <c r="C1496" s="9" t="s">
        <v>6832</v>
      </c>
      <c r="D1496" s="9" t="s">
        <v>6742</v>
      </c>
      <c r="E1496" s="9" t="s">
        <v>2375</v>
      </c>
      <c r="F1496" s="9" t="s">
        <v>2376</v>
      </c>
      <c r="G1496" s="9" t="s">
        <v>12</v>
      </c>
      <c r="H1496" s="9"/>
      <c r="I1496" s="9"/>
      <c r="J1496" s="9" t="s">
        <v>1513</v>
      </c>
      <c r="K1496" s="9"/>
      <c r="L1496" s="9"/>
      <c r="M1496" s="9" t="s">
        <v>2377</v>
      </c>
      <c r="N1496" s="9"/>
      <c r="O1496" s="9" t="s">
        <v>2378</v>
      </c>
      <c r="P1496" s="9" t="str">
        <f>HYPERLINK("https://ceds.ed.gov/cedselementdetails.aspx?termid=13502")</f>
        <v>https://ceds.ed.gov/cedselementdetails.aspx?termid=13502</v>
      </c>
      <c r="Q1496" s="9" t="str">
        <f>HYPERLINK("https://ceds.ed.gov/elementComment.aspx?elementName=Duration of Disciplinary Action &amp;elementID=13502", "Click here to submit comment")</f>
        <v>Click here to submit comment</v>
      </c>
    </row>
    <row r="1497" spans="1:17" ht="60" x14ac:dyDescent="0.25">
      <c r="A1497" s="9" t="s">
        <v>6811</v>
      </c>
      <c r="B1497" s="9" t="s">
        <v>6825</v>
      </c>
      <c r="C1497" s="9" t="s">
        <v>6832</v>
      </c>
      <c r="D1497" s="9" t="s">
        <v>6742</v>
      </c>
      <c r="E1497" s="9" t="s">
        <v>5481</v>
      </c>
      <c r="F1497" s="9" t="s">
        <v>5482</v>
      </c>
      <c r="G1497" s="9" t="s">
        <v>6106</v>
      </c>
      <c r="H1497" s="9"/>
      <c r="I1497" s="9"/>
      <c r="J1497" s="9"/>
      <c r="K1497" s="9"/>
      <c r="L1497" s="9"/>
      <c r="M1497" s="9" t="s">
        <v>5483</v>
      </c>
      <c r="N1497" s="9"/>
      <c r="O1497" s="9" t="s">
        <v>5484</v>
      </c>
      <c r="P1497" s="9" t="str">
        <f>HYPERLINK("https://ceds.ed.gov/cedselementdetails.aspx?termid=13505")</f>
        <v>https://ceds.ed.gov/cedselementdetails.aspx?termid=13505</v>
      </c>
      <c r="Q1497" s="9" t="str">
        <f>HYPERLINK("https://ceds.ed.gov/elementComment.aspx?elementName=Shortened Expulsion &amp;elementID=13505", "Click here to submit comment")</f>
        <v>Click here to submit comment</v>
      </c>
    </row>
    <row r="1498" spans="1:17" ht="300" x14ac:dyDescent="0.25">
      <c r="A1498" s="9" t="s">
        <v>6811</v>
      </c>
      <c r="B1498" s="9" t="s">
        <v>6825</v>
      </c>
      <c r="C1498" s="9" t="s">
        <v>6832</v>
      </c>
      <c r="D1498" s="9" t="s">
        <v>6742</v>
      </c>
      <c r="E1498" s="9" t="s">
        <v>2312</v>
      </c>
      <c r="F1498" s="9" t="s">
        <v>2313</v>
      </c>
      <c r="G1498" s="10" t="s">
        <v>6452</v>
      </c>
      <c r="H1498" s="9"/>
      <c r="I1498" s="9"/>
      <c r="J1498" s="9"/>
      <c r="K1498" s="9"/>
      <c r="L1498" s="9"/>
      <c r="M1498" s="9" t="s">
        <v>2314</v>
      </c>
      <c r="N1498" s="9"/>
      <c r="O1498" s="9" t="s">
        <v>2315</v>
      </c>
      <c r="P1498" s="9" t="str">
        <f>HYPERLINK("https://ceds.ed.gov/cedselementdetails.aspx?termid=13602")</f>
        <v>https://ceds.ed.gov/cedselementdetails.aspx?termid=13602</v>
      </c>
      <c r="Q1498" s="9" t="str">
        <f>HYPERLINK("https://ceds.ed.gov/elementComment.aspx?elementName=Discipline Action Length Difference Reason &amp;elementID=13602", "Click here to submit comment")</f>
        <v>Click here to submit comment</v>
      </c>
    </row>
    <row r="1499" spans="1:17" ht="45" x14ac:dyDescent="0.25">
      <c r="A1499" s="9" t="s">
        <v>6811</v>
      </c>
      <c r="B1499" s="9" t="s">
        <v>6825</v>
      </c>
      <c r="C1499" s="9" t="s">
        <v>6832</v>
      </c>
      <c r="D1499" s="9" t="s">
        <v>6742</v>
      </c>
      <c r="E1499" s="9" t="s">
        <v>2973</v>
      </c>
      <c r="F1499" s="9" t="s">
        <v>2974</v>
      </c>
      <c r="G1499" s="9" t="s">
        <v>6106</v>
      </c>
      <c r="H1499" s="9"/>
      <c r="I1499" s="9"/>
      <c r="J1499" s="9"/>
      <c r="K1499" s="9"/>
      <c r="L1499" s="9"/>
      <c r="M1499" s="9" t="s">
        <v>2975</v>
      </c>
      <c r="N1499" s="9"/>
      <c r="O1499" s="9" t="s">
        <v>2976</v>
      </c>
      <c r="P1499" s="9" t="str">
        <f>HYPERLINK("https://ceds.ed.gov/cedselementdetails.aspx?termid=13504")</f>
        <v>https://ceds.ed.gov/cedselementdetails.aspx?termid=13504</v>
      </c>
      <c r="Q1499" s="9" t="str">
        <f>HYPERLINK("https://ceds.ed.gov/elementComment.aspx?elementName=Full Year Expulsion &amp;elementID=13504", "Click here to submit comment")</f>
        <v>Click here to submit comment</v>
      </c>
    </row>
    <row r="1500" spans="1:17" ht="75" x14ac:dyDescent="0.25">
      <c r="A1500" s="9" t="s">
        <v>6811</v>
      </c>
      <c r="B1500" s="9" t="s">
        <v>6825</v>
      </c>
      <c r="C1500" s="9" t="s">
        <v>6832</v>
      </c>
      <c r="D1500" s="9" t="s">
        <v>6742</v>
      </c>
      <c r="E1500" s="9" t="s">
        <v>5134</v>
      </c>
      <c r="F1500" s="9" t="s">
        <v>5135</v>
      </c>
      <c r="G1500" s="9" t="s">
        <v>6106</v>
      </c>
      <c r="H1500" s="9"/>
      <c r="I1500" s="9"/>
      <c r="J1500" s="9"/>
      <c r="K1500" s="9"/>
      <c r="L1500" s="9"/>
      <c r="M1500" s="9" t="s">
        <v>5136</v>
      </c>
      <c r="N1500" s="9"/>
      <c r="O1500" s="9" t="s">
        <v>5137</v>
      </c>
      <c r="P1500" s="9" t="str">
        <f>HYPERLINK("https://ceds.ed.gov/cedselementdetails.aspx?termid=13503")</f>
        <v>https://ceds.ed.gov/cedselementdetails.aspx?termid=13503</v>
      </c>
      <c r="Q1500" s="9" t="str">
        <f>HYPERLINK("https://ceds.ed.gov/elementComment.aspx?elementName=Related to Zero Tolerance Policy &amp;elementID=13503", "Click here to submit comment")</f>
        <v>Click here to submit comment</v>
      </c>
    </row>
    <row r="1501" spans="1:17" ht="75" x14ac:dyDescent="0.25">
      <c r="A1501" s="9" t="s">
        <v>6811</v>
      </c>
      <c r="B1501" s="9" t="s">
        <v>6825</v>
      </c>
      <c r="C1501" s="9" t="s">
        <v>6832</v>
      </c>
      <c r="D1501" s="9" t="s">
        <v>6742</v>
      </c>
      <c r="E1501" s="9" t="s">
        <v>3203</v>
      </c>
      <c r="F1501" s="9" t="s">
        <v>3204</v>
      </c>
      <c r="G1501" s="10" t="s">
        <v>6541</v>
      </c>
      <c r="H1501" s="9" t="s">
        <v>199</v>
      </c>
      <c r="I1501" s="9"/>
      <c r="J1501" s="9"/>
      <c r="K1501" s="9"/>
      <c r="L1501" s="9"/>
      <c r="M1501" s="9" t="s">
        <v>3205</v>
      </c>
      <c r="N1501" s="9"/>
      <c r="O1501" s="9" t="s">
        <v>3206</v>
      </c>
      <c r="P1501" s="9" t="str">
        <f>HYPERLINK("https://ceds.ed.gov/cedselementdetails.aspx?termid=13532")</f>
        <v>https://ceds.ed.gov/cedselementdetails.aspx?termid=13532</v>
      </c>
      <c r="Q1501" s="9" t="str">
        <f>HYPERLINK("https://ceds.ed.gov/elementComment.aspx?elementName=IDEA Interim Removal &amp;elementID=13532", "Click here to submit comment")</f>
        <v>Click here to submit comment</v>
      </c>
    </row>
    <row r="1502" spans="1:17" ht="75" x14ac:dyDescent="0.25">
      <c r="A1502" s="9" t="s">
        <v>6811</v>
      </c>
      <c r="B1502" s="9" t="s">
        <v>6825</v>
      </c>
      <c r="C1502" s="9" t="s">
        <v>6832</v>
      </c>
      <c r="D1502" s="9" t="s">
        <v>6742</v>
      </c>
      <c r="E1502" s="9" t="s">
        <v>3207</v>
      </c>
      <c r="F1502" s="9" t="s">
        <v>3208</v>
      </c>
      <c r="G1502" s="10" t="s">
        <v>6542</v>
      </c>
      <c r="H1502" s="9" t="s">
        <v>199</v>
      </c>
      <c r="I1502" s="9"/>
      <c r="J1502" s="9"/>
      <c r="K1502" s="9"/>
      <c r="L1502" s="9"/>
      <c r="M1502" s="9" t="s">
        <v>3209</v>
      </c>
      <c r="N1502" s="9"/>
      <c r="O1502" s="9" t="s">
        <v>3210</v>
      </c>
      <c r="P1502" s="9" t="str">
        <f>HYPERLINK("https://ceds.ed.gov/cedselementdetails.aspx?termid=13530")</f>
        <v>https://ceds.ed.gov/cedselementdetails.aspx?termid=13530</v>
      </c>
      <c r="Q1502" s="9" t="str">
        <f>HYPERLINK("https://ceds.ed.gov/elementComment.aspx?elementName=IDEA Interim Removal Reason &amp;elementID=13530", "Click here to submit comment")</f>
        <v>Click here to submit comment</v>
      </c>
    </row>
    <row r="1503" spans="1:17" ht="255" x14ac:dyDescent="0.25">
      <c r="A1503" s="9" t="s">
        <v>6811</v>
      </c>
      <c r="B1503" s="9" t="s">
        <v>6825</v>
      </c>
      <c r="C1503" s="9" t="s">
        <v>6832</v>
      </c>
      <c r="D1503" s="9" t="s">
        <v>6742</v>
      </c>
      <c r="E1503" s="9" t="s">
        <v>2316</v>
      </c>
      <c r="F1503" s="9" t="s">
        <v>2317</v>
      </c>
      <c r="G1503" s="10" t="s">
        <v>6453</v>
      </c>
      <c r="H1503" s="9" t="s">
        <v>199</v>
      </c>
      <c r="I1503" s="9"/>
      <c r="J1503" s="9"/>
      <c r="K1503" s="9"/>
      <c r="L1503" s="9"/>
      <c r="M1503" s="9" t="s">
        <v>2318</v>
      </c>
      <c r="N1503" s="9"/>
      <c r="O1503" s="9" t="s">
        <v>2319</v>
      </c>
      <c r="P1503" s="9" t="str">
        <f>HYPERLINK("https://ceds.ed.gov/cedselementdetails.aspx?termid=13546")</f>
        <v>https://ceds.ed.gov/cedselementdetails.aspx?termid=13546</v>
      </c>
      <c r="Q1503" s="9" t="str">
        <f>HYPERLINK("https://ceds.ed.gov/elementComment.aspx?elementName=Discipline Method for Firearms Incidents &amp;elementID=13546", "Click here to submit comment")</f>
        <v>Click here to submit comment</v>
      </c>
    </row>
    <row r="1504" spans="1:17" ht="60" x14ac:dyDescent="0.25">
      <c r="A1504" s="9" t="s">
        <v>6811</v>
      </c>
      <c r="B1504" s="9" t="s">
        <v>6825</v>
      </c>
      <c r="C1504" s="9" t="s">
        <v>6832</v>
      </c>
      <c r="D1504" s="9" t="s">
        <v>6742</v>
      </c>
      <c r="E1504" s="9" t="s">
        <v>2320</v>
      </c>
      <c r="F1504" s="9" t="s">
        <v>2321</v>
      </c>
      <c r="G1504" s="10" t="s">
        <v>6454</v>
      </c>
      <c r="H1504" s="9" t="s">
        <v>199</v>
      </c>
      <c r="I1504" s="9"/>
      <c r="J1504" s="9"/>
      <c r="K1504" s="9"/>
      <c r="L1504" s="9"/>
      <c r="M1504" s="9" t="s">
        <v>2322</v>
      </c>
      <c r="N1504" s="9"/>
      <c r="O1504" s="9" t="s">
        <v>2323</v>
      </c>
      <c r="P1504" s="9" t="str">
        <f>HYPERLINK("https://ceds.ed.gov/cedselementdetails.aspx?termid=13529")</f>
        <v>https://ceds.ed.gov/cedselementdetails.aspx?termid=13529</v>
      </c>
      <c r="Q1504" s="9" t="str">
        <f>HYPERLINK("https://ceds.ed.gov/elementComment.aspx?elementName=Discipline Method of Children with Disabilities &amp;elementID=13529", "Click here to submit comment")</f>
        <v>Click here to submit comment</v>
      </c>
    </row>
    <row r="1505" spans="1:17" ht="180" x14ac:dyDescent="0.25">
      <c r="A1505" s="9" t="s">
        <v>6811</v>
      </c>
      <c r="B1505" s="9" t="s">
        <v>6825</v>
      </c>
      <c r="C1505" s="9" t="s">
        <v>6832</v>
      </c>
      <c r="D1505" s="9" t="s">
        <v>6742</v>
      </c>
      <c r="E1505" s="9" t="s">
        <v>3182</v>
      </c>
      <c r="F1505" s="9" t="s">
        <v>3183</v>
      </c>
      <c r="G1505" s="10" t="s">
        <v>6537</v>
      </c>
      <c r="H1505" s="9" t="s">
        <v>199</v>
      </c>
      <c r="I1505" s="9"/>
      <c r="J1505" s="9"/>
      <c r="K1505" s="9"/>
      <c r="L1505" s="9"/>
      <c r="M1505" s="9" t="s">
        <v>3184</v>
      </c>
      <c r="N1505" s="9"/>
      <c r="O1505" s="9" t="s">
        <v>3185</v>
      </c>
      <c r="P1505" s="9" t="str">
        <f>HYPERLINK("https://ceds.ed.gov/cedselementdetails.aspx?termid=13547")</f>
        <v>https://ceds.ed.gov/cedselementdetails.aspx?termid=13547</v>
      </c>
      <c r="Q1505" s="9" t="str">
        <f>HYPERLINK("https://ceds.ed.gov/elementComment.aspx?elementName=IDEA Discipline Method for Firearms Incidents &amp;elementID=13547", "Click here to submit comment")</f>
        <v>Click here to submit comment</v>
      </c>
    </row>
    <row r="1506" spans="1:17" ht="75" x14ac:dyDescent="0.25">
      <c r="A1506" s="9" t="s">
        <v>6811</v>
      </c>
      <c r="B1506" s="9" t="s">
        <v>6825</v>
      </c>
      <c r="C1506" s="9" t="s">
        <v>6832</v>
      </c>
      <c r="D1506" s="9" t="s">
        <v>6742</v>
      </c>
      <c r="E1506" s="9" t="s">
        <v>2299</v>
      </c>
      <c r="F1506" s="9" t="s">
        <v>2300</v>
      </c>
      <c r="G1506" s="9" t="s">
        <v>6106</v>
      </c>
      <c r="H1506" s="9"/>
      <c r="I1506" s="9"/>
      <c r="J1506" s="9"/>
      <c r="K1506" s="9"/>
      <c r="L1506" s="9"/>
      <c r="M1506" s="9" t="s">
        <v>2302</v>
      </c>
      <c r="N1506" s="9"/>
      <c r="O1506" s="9" t="s">
        <v>2303</v>
      </c>
      <c r="P1506" s="9" t="str">
        <f>HYPERLINK("https://ceds.ed.gov/cedselementdetails.aspx?termid=14288")</f>
        <v>https://ceds.ed.gov/cedselementdetails.aspx?termid=14288</v>
      </c>
      <c r="Q1506" s="9" t="str">
        <f>HYPERLINK("https://ceds.ed.gov/elementComment.aspx?elementName=Disciplinary Action IEP Placement Meeting Indicator &amp;elementID=14288", "Click here to submit comment")</f>
        <v>Click here to submit comment</v>
      </c>
    </row>
    <row r="1507" spans="1:17" ht="75" x14ac:dyDescent="0.25">
      <c r="A1507" s="9" t="s">
        <v>6811</v>
      </c>
      <c r="B1507" s="9" t="s">
        <v>6825</v>
      </c>
      <c r="C1507" s="9" t="s">
        <v>6832</v>
      </c>
      <c r="D1507" s="9" t="s">
        <v>6742</v>
      </c>
      <c r="E1507" s="9" t="s">
        <v>2580</v>
      </c>
      <c r="F1507" s="9" t="s">
        <v>2581</v>
      </c>
      <c r="G1507" s="9" t="s">
        <v>6106</v>
      </c>
      <c r="H1507" s="9"/>
      <c r="I1507" s="9"/>
      <c r="J1507" s="9"/>
      <c r="K1507" s="9"/>
      <c r="L1507" s="9"/>
      <c r="M1507" s="9" t="s">
        <v>2582</v>
      </c>
      <c r="N1507" s="9"/>
      <c r="O1507" s="9" t="s">
        <v>2583</v>
      </c>
      <c r="P1507" s="9" t="str">
        <f>HYPERLINK("https://ceds.ed.gov/cedselementdetails.aspx?termid=13570")</f>
        <v>https://ceds.ed.gov/cedselementdetails.aspx?termid=13570</v>
      </c>
      <c r="Q1507" s="9" t="str">
        <f>HYPERLINK("https://ceds.ed.gov/elementComment.aspx?elementName=Educational Services After Removal &amp;elementID=13570", "Click here to submit comment")</f>
        <v>Click here to submit comment</v>
      </c>
    </row>
    <row r="1508" spans="1:17" ht="135" x14ac:dyDescent="0.25">
      <c r="A1508" s="9" t="s">
        <v>6811</v>
      </c>
      <c r="B1508" s="9" t="s">
        <v>6825</v>
      </c>
      <c r="C1508" s="9" t="s">
        <v>6760</v>
      </c>
      <c r="D1508" s="9" t="s">
        <v>6742</v>
      </c>
      <c r="E1508" s="9" t="s">
        <v>3589</v>
      </c>
      <c r="F1508" s="9" t="s">
        <v>3590</v>
      </c>
      <c r="G1508" s="10" t="s">
        <v>6573</v>
      </c>
      <c r="H1508" s="9" t="s">
        <v>6235</v>
      </c>
      <c r="I1508" s="9"/>
      <c r="J1508" s="9"/>
      <c r="K1508" s="9"/>
      <c r="L1508" s="9"/>
      <c r="M1508" s="9" t="s">
        <v>3591</v>
      </c>
      <c r="N1508" s="9"/>
      <c r="O1508" s="9" t="s">
        <v>3592</v>
      </c>
      <c r="P1508" s="9" t="str">
        <f>HYPERLINK("https://ceds.ed.gov/cedselementdetails.aspx?termid=13316")</f>
        <v>https://ceds.ed.gov/cedselementdetails.aspx?termid=13316</v>
      </c>
      <c r="Q1508" s="9" t="str">
        <f>HYPERLINK("https://ceds.ed.gov/elementComment.aspx?elementName=Language Type &amp;elementID=13316", "Click here to submit comment")</f>
        <v>Click here to submit comment</v>
      </c>
    </row>
    <row r="1509" spans="1:17" ht="90" x14ac:dyDescent="0.25">
      <c r="A1509" s="9" t="s">
        <v>6811</v>
      </c>
      <c r="B1509" s="9" t="s">
        <v>6825</v>
      </c>
      <c r="C1509" s="9" t="s">
        <v>6760</v>
      </c>
      <c r="D1509" s="9" t="s">
        <v>6742</v>
      </c>
      <c r="E1509" s="9" t="s">
        <v>3545</v>
      </c>
      <c r="F1509" s="9" t="s">
        <v>3546</v>
      </c>
      <c r="G1509" s="11" t="s">
        <v>966</v>
      </c>
      <c r="H1509" s="9" t="s">
        <v>6235</v>
      </c>
      <c r="I1509" s="9"/>
      <c r="J1509" s="9"/>
      <c r="K1509" s="9"/>
      <c r="L1509" s="11" t="s">
        <v>967</v>
      </c>
      <c r="M1509" s="9" t="s">
        <v>3547</v>
      </c>
      <c r="N1509" s="9"/>
      <c r="O1509" s="9" t="s">
        <v>3548</v>
      </c>
      <c r="P1509" s="9" t="str">
        <f>HYPERLINK("https://ceds.ed.gov/cedselementdetails.aspx?termid=13317")</f>
        <v>https://ceds.ed.gov/cedselementdetails.aspx?termid=13317</v>
      </c>
      <c r="Q1509" s="9" t="str">
        <f>HYPERLINK("https://ceds.ed.gov/elementComment.aspx?elementName=ISO 639-2 Language Code &amp;elementID=13317", "Click here to submit comment")</f>
        <v>Click here to submit comment</v>
      </c>
    </row>
    <row r="1510" spans="1:17" ht="105" x14ac:dyDescent="0.25">
      <c r="A1510" s="9" t="s">
        <v>6811</v>
      </c>
      <c r="B1510" s="9" t="s">
        <v>6825</v>
      </c>
      <c r="C1510" s="9" t="s">
        <v>6760</v>
      </c>
      <c r="D1510" s="9" t="s">
        <v>6742</v>
      </c>
      <c r="E1510" s="9" t="s">
        <v>3549</v>
      </c>
      <c r="F1510" s="9" t="s">
        <v>3546</v>
      </c>
      <c r="G1510" s="11" t="s">
        <v>11618</v>
      </c>
      <c r="H1510" s="9"/>
      <c r="I1510" s="9"/>
      <c r="J1510" s="9"/>
      <c r="K1510" s="9"/>
      <c r="L1510" s="11" t="s">
        <v>3550</v>
      </c>
      <c r="M1510" s="9" t="s">
        <v>3551</v>
      </c>
      <c r="N1510" s="9"/>
      <c r="O1510" s="9" t="s">
        <v>3552</v>
      </c>
      <c r="P1510" s="9" t="str">
        <f>HYPERLINK("https://ceds.ed.gov/cedselementdetails.aspx?termid=14618")</f>
        <v>https://ceds.ed.gov/cedselementdetails.aspx?termid=14618</v>
      </c>
      <c r="Q1510" s="9" t="str">
        <f>HYPERLINK("https://ceds.ed.gov/elementComment.aspx?elementName=ISO 639-3 Language Code &amp;elementID=14618", "Click here to submit comment")</f>
        <v>Click here to submit comment</v>
      </c>
    </row>
    <row r="1511" spans="1:17" ht="409.5" x14ac:dyDescent="0.25">
      <c r="A1511" s="9" t="s">
        <v>6811</v>
      </c>
      <c r="B1511" s="9" t="s">
        <v>6825</v>
      </c>
      <c r="C1511" s="9" t="s">
        <v>6760</v>
      </c>
      <c r="D1511" s="9" t="s">
        <v>6742</v>
      </c>
      <c r="E1511" s="9" t="s">
        <v>3553</v>
      </c>
      <c r="F1511" s="9" t="s">
        <v>3554</v>
      </c>
      <c r="G1511" s="10" t="s">
        <v>6568</v>
      </c>
      <c r="H1511" s="9"/>
      <c r="I1511" s="9"/>
      <c r="J1511" s="9"/>
      <c r="K1511" s="9"/>
      <c r="L1511" s="11" t="s">
        <v>3555</v>
      </c>
      <c r="M1511" s="9" t="s">
        <v>3556</v>
      </c>
      <c r="N1511" s="9"/>
      <c r="O1511" s="9" t="s">
        <v>3557</v>
      </c>
      <c r="P1511" s="9" t="str">
        <f>HYPERLINK("https://ceds.ed.gov/cedselementdetails.aspx?termid=14619")</f>
        <v>https://ceds.ed.gov/cedselementdetails.aspx?termid=14619</v>
      </c>
      <c r="Q1511" s="9" t="str">
        <f>HYPERLINK("https://ceds.ed.gov/elementComment.aspx?elementName=ISO 639-5 Language Family &amp;elementID=14619", "Click here to submit comment")</f>
        <v>Click here to submit comment</v>
      </c>
    </row>
    <row r="1512" spans="1:17" ht="90" x14ac:dyDescent="0.25">
      <c r="A1512" s="9" t="s">
        <v>6811</v>
      </c>
      <c r="B1512" s="9" t="s">
        <v>6825</v>
      </c>
      <c r="C1512" s="9" t="s">
        <v>6833</v>
      </c>
      <c r="D1512" s="9" t="s">
        <v>6742</v>
      </c>
      <c r="E1512" s="9" t="s">
        <v>2602</v>
      </c>
      <c r="F1512" s="9" t="s">
        <v>2603</v>
      </c>
      <c r="G1512" s="10" t="s">
        <v>6486</v>
      </c>
      <c r="H1512" s="9" t="s">
        <v>6109</v>
      </c>
      <c r="I1512" s="9"/>
      <c r="J1512" s="9"/>
      <c r="K1512" s="9"/>
      <c r="L1512" s="9"/>
      <c r="M1512" s="9" t="s">
        <v>2604</v>
      </c>
      <c r="N1512" s="9"/>
      <c r="O1512" s="9" t="s">
        <v>2605</v>
      </c>
      <c r="P1512" s="9" t="str">
        <f>HYPERLINK("https://ceds.ed.gov/cedselementdetails.aspx?termid=13092")</f>
        <v>https://ceds.ed.gov/cedselementdetails.aspx?termid=13092</v>
      </c>
      <c r="Q1512" s="9" t="str">
        <f>HYPERLINK("https://ceds.ed.gov/elementComment.aspx?elementName=Eligibility Status for School Food Service Programs &amp;elementID=13092", "Click here to submit comment")</f>
        <v>Click here to submit comment</v>
      </c>
    </row>
    <row r="1513" spans="1:17" ht="45" x14ac:dyDescent="0.25">
      <c r="A1513" s="9" t="s">
        <v>6811</v>
      </c>
      <c r="B1513" s="9" t="s">
        <v>6825</v>
      </c>
      <c r="C1513" s="9" t="s">
        <v>6833</v>
      </c>
      <c r="D1513" s="9" t="s">
        <v>6742</v>
      </c>
      <c r="E1513" s="9" t="s">
        <v>5708</v>
      </c>
      <c r="F1513" s="9" t="s">
        <v>5709</v>
      </c>
      <c r="G1513" s="9" t="s">
        <v>12</v>
      </c>
      <c r="H1513" s="9"/>
      <c r="I1513" s="9"/>
      <c r="J1513" s="9" t="s">
        <v>73</v>
      </c>
      <c r="K1513" s="9"/>
      <c r="L1513" s="9"/>
      <c r="M1513" s="9" t="s">
        <v>5710</v>
      </c>
      <c r="N1513" s="9"/>
      <c r="O1513" s="9" t="s">
        <v>5711</v>
      </c>
      <c r="P1513" s="9" t="str">
        <f>HYPERLINK("https://ceds.ed.gov/cedselementdetails.aspx?termid=14192")</f>
        <v>https://ceds.ed.gov/cedselementdetails.aspx?termid=14192</v>
      </c>
      <c r="Q1513" s="9" t="str">
        <f>HYPERLINK("https://ceds.ed.gov/elementComment.aspx?elementName=Status Start Date &amp;elementID=14192", "Click here to submit comment")</f>
        <v>Click here to submit comment</v>
      </c>
    </row>
    <row r="1514" spans="1:17" ht="409.5" x14ac:dyDescent="0.25">
      <c r="A1514" s="9" t="s">
        <v>6811</v>
      </c>
      <c r="B1514" s="9" t="s">
        <v>6825</v>
      </c>
      <c r="C1514" s="9" t="s">
        <v>6833</v>
      </c>
      <c r="D1514" s="9" t="s">
        <v>6742</v>
      </c>
      <c r="E1514" s="9" t="s">
        <v>5704</v>
      </c>
      <c r="F1514" s="9" t="s">
        <v>5705</v>
      </c>
      <c r="G1514" s="9" t="s">
        <v>12</v>
      </c>
      <c r="H1514" s="9"/>
      <c r="I1514" s="9"/>
      <c r="J1514" s="9" t="s">
        <v>73</v>
      </c>
      <c r="K1514" s="9"/>
      <c r="L1514" s="9" t="s">
        <v>11745</v>
      </c>
      <c r="M1514" s="9" t="s">
        <v>5706</v>
      </c>
      <c r="N1514" s="9"/>
      <c r="O1514" s="9" t="s">
        <v>5707</v>
      </c>
      <c r="P1514" s="9" t="str">
        <f>HYPERLINK("https://ceds.ed.gov/cedselementdetails.aspx?termid=14193")</f>
        <v>https://ceds.ed.gov/cedselementdetails.aspx?termid=14193</v>
      </c>
      <c r="Q1514" s="9" t="str">
        <f>HYPERLINK("https://ceds.ed.gov/elementComment.aspx?elementName=Status End Date &amp;elementID=14193", "Click here to submit comment")</f>
        <v>Click here to submit comment</v>
      </c>
    </row>
    <row r="1515" spans="1:17" ht="105" x14ac:dyDescent="0.25">
      <c r="A1515" s="9" t="s">
        <v>6811</v>
      </c>
      <c r="B1515" s="9" t="s">
        <v>6825</v>
      </c>
      <c r="C1515" s="9" t="s">
        <v>6833</v>
      </c>
      <c r="D1515" s="9" t="s">
        <v>6742</v>
      </c>
      <c r="E1515" s="9" t="s">
        <v>2565</v>
      </c>
      <c r="F1515" s="9" t="s">
        <v>2566</v>
      </c>
      <c r="G1515" s="9" t="s">
        <v>6106</v>
      </c>
      <c r="H1515" s="9" t="s">
        <v>6155</v>
      </c>
      <c r="I1515" s="9"/>
      <c r="J1515" s="9"/>
      <c r="K1515" s="9"/>
      <c r="L1515" s="9"/>
      <c r="M1515" s="9" t="s">
        <v>2568</v>
      </c>
      <c r="N1515" s="9"/>
      <c r="O1515" s="9" t="s">
        <v>2569</v>
      </c>
      <c r="P1515" s="9" t="str">
        <f>HYPERLINK("https://ceds.ed.gov/cedselementdetails.aspx?termid=13086")</f>
        <v>https://ceds.ed.gov/cedselementdetails.aspx?termid=13086</v>
      </c>
      <c r="Q1515" s="9" t="str">
        <f>HYPERLINK("https://ceds.ed.gov/elementComment.aspx?elementName=Economic Disadvantage Status &amp;elementID=13086", "Click here to submit comment")</f>
        <v>Click here to submit comment</v>
      </c>
    </row>
    <row r="1516" spans="1:17" ht="300" x14ac:dyDescent="0.25">
      <c r="A1516" s="9" t="s">
        <v>6811</v>
      </c>
      <c r="B1516" s="9" t="s">
        <v>6825</v>
      </c>
      <c r="C1516" s="9" t="s">
        <v>6833</v>
      </c>
      <c r="D1516" s="9" t="s">
        <v>6742</v>
      </c>
      <c r="E1516" s="9" t="s">
        <v>4529</v>
      </c>
      <c r="F1516" s="9" t="s">
        <v>4530</v>
      </c>
      <c r="G1516" s="10" t="s">
        <v>6633</v>
      </c>
      <c r="H1516" s="9" t="s">
        <v>6124</v>
      </c>
      <c r="I1516" s="9"/>
      <c r="J1516" s="9"/>
      <c r="K1516" s="9"/>
      <c r="L1516" s="9"/>
      <c r="M1516" s="9" t="s">
        <v>4531</v>
      </c>
      <c r="N1516" s="9"/>
      <c r="O1516" s="9" t="s">
        <v>4532</v>
      </c>
      <c r="P1516" s="9" t="str">
        <f>HYPERLINK("https://ceds.ed.gov/cedselementdetails.aspx?termid=13325")</f>
        <v>https://ceds.ed.gov/cedselementdetails.aspx?termid=13325</v>
      </c>
      <c r="Q1516" s="9" t="str">
        <f>HYPERLINK("https://ceds.ed.gov/elementComment.aspx?elementName=Participation in School Food Service Programs &amp;elementID=13325", "Click here to submit comment")</f>
        <v>Click here to submit comment</v>
      </c>
    </row>
    <row r="1517" spans="1:17" ht="75" x14ac:dyDescent="0.25">
      <c r="A1517" s="9" t="s">
        <v>6811</v>
      </c>
      <c r="B1517" s="9" t="s">
        <v>6825</v>
      </c>
      <c r="C1517" s="9" t="s">
        <v>6833</v>
      </c>
      <c r="D1517" s="9" t="s">
        <v>6742</v>
      </c>
      <c r="E1517" s="9" t="s">
        <v>4309</v>
      </c>
      <c r="F1517" s="9" t="s">
        <v>4310</v>
      </c>
      <c r="G1517" s="9" t="s">
        <v>6106</v>
      </c>
      <c r="H1517" s="9" t="s">
        <v>199</v>
      </c>
      <c r="I1517" s="9"/>
      <c r="J1517" s="9"/>
      <c r="K1517" s="9"/>
      <c r="L1517" s="9" t="s">
        <v>4311</v>
      </c>
      <c r="M1517" s="9" t="s">
        <v>4312</v>
      </c>
      <c r="N1517" s="9"/>
      <c r="O1517" s="9" t="s">
        <v>4313</v>
      </c>
      <c r="P1517" s="9" t="str">
        <f>HYPERLINK("https://ceds.ed.gov/cedselementdetails.aspx?termid=14635")</f>
        <v>https://ceds.ed.gov/cedselementdetails.aspx?termid=14635</v>
      </c>
      <c r="Q1517" s="9" t="str">
        <f>HYPERLINK("https://ceds.ed.gov/elementComment.aspx?elementName=National School Lunch Program Direct Certification Indicator &amp;elementID=14635", "Click here to submit comment")</f>
        <v>Click here to submit comment</v>
      </c>
    </row>
    <row r="1518" spans="1:17" ht="90" x14ac:dyDescent="0.25">
      <c r="A1518" s="9" t="s">
        <v>6811</v>
      </c>
      <c r="B1518" s="9" t="s">
        <v>6825</v>
      </c>
      <c r="C1518" s="9" t="s">
        <v>6834</v>
      </c>
      <c r="D1518" s="9" t="s">
        <v>6742</v>
      </c>
      <c r="E1518" s="9" t="s">
        <v>2129</v>
      </c>
      <c r="F1518" s="9" t="s">
        <v>2130</v>
      </c>
      <c r="G1518" s="9" t="s">
        <v>12</v>
      </c>
      <c r="H1518" s="9"/>
      <c r="I1518" s="9"/>
      <c r="J1518" s="9" t="s">
        <v>1513</v>
      </c>
      <c r="K1518" s="9"/>
      <c r="L1518" s="9" t="s">
        <v>2131</v>
      </c>
      <c r="M1518" s="9" t="s">
        <v>2132</v>
      </c>
      <c r="N1518" s="9"/>
      <c r="O1518" s="9" t="s">
        <v>2133</v>
      </c>
      <c r="P1518" s="9" t="str">
        <f>HYPERLINK("https://ceds.ed.gov/cedselementdetails.aspx?termid=14553")</f>
        <v>https://ceds.ed.gov/cedselementdetails.aspx?termid=14553</v>
      </c>
      <c r="Q1518" s="9" t="str">
        <f>HYPERLINK("https://ceds.ed.gov/elementComment.aspx?elementName=Credits Required &amp;elementID=14553", "Click here to submit comment")</f>
        <v>Click here to submit comment</v>
      </c>
    </row>
    <row r="1519" spans="1:17" ht="90" x14ac:dyDescent="0.25">
      <c r="A1519" s="9" t="s">
        <v>6811</v>
      </c>
      <c r="B1519" s="9" t="s">
        <v>6825</v>
      </c>
      <c r="C1519" s="9" t="s">
        <v>6835</v>
      </c>
      <c r="D1519" s="9" t="s">
        <v>6742</v>
      </c>
      <c r="E1519" s="9" t="s">
        <v>2129</v>
      </c>
      <c r="F1519" s="9" t="s">
        <v>2130</v>
      </c>
      <c r="G1519" s="9" t="s">
        <v>12</v>
      </c>
      <c r="H1519" s="9"/>
      <c r="I1519" s="9"/>
      <c r="J1519" s="9" t="s">
        <v>1513</v>
      </c>
      <c r="K1519" s="9"/>
      <c r="L1519" s="9" t="s">
        <v>2131</v>
      </c>
      <c r="M1519" s="9" t="s">
        <v>2132</v>
      </c>
      <c r="N1519" s="9"/>
      <c r="O1519" s="9" t="s">
        <v>2133</v>
      </c>
      <c r="P1519" s="9" t="str">
        <f>HYPERLINK("https://ceds.ed.gov/cedselementdetails.aspx?termid=14553")</f>
        <v>https://ceds.ed.gov/cedselementdetails.aspx?termid=14553</v>
      </c>
      <c r="Q1519" s="9" t="str">
        <f>HYPERLINK("https://ceds.ed.gov/elementComment.aspx?elementName=Credits Required &amp;elementID=14553", "Click here to submit comment")</f>
        <v>Click here to submit comment</v>
      </c>
    </row>
    <row r="1520" spans="1:17" ht="409.5" x14ac:dyDescent="0.25">
      <c r="A1520" s="9" t="s">
        <v>6811</v>
      </c>
      <c r="B1520" s="9" t="s">
        <v>6825</v>
      </c>
      <c r="C1520" s="9" t="s">
        <v>6835</v>
      </c>
      <c r="D1520" s="9" t="s">
        <v>6742</v>
      </c>
      <c r="E1520" s="9" t="s">
        <v>5319</v>
      </c>
      <c r="F1520" s="9" t="s">
        <v>5320</v>
      </c>
      <c r="G1520" s="10" t="s">
        <v>11908</v>
      </c>
      <c r="H1520" s="9"/>
      <c r="I1520" s="9"/>
      <c r="J1520" s="9"/>
      <c r="K1520" s="9"/>
      <c r="L1520" s="9" t="s">
        <v>5321</v>
      </c>
      <c r="M1520" s="9" t="s">
        <v>5322</v>
      </c>
      <c r="N1520" s="9" t="s">
        <v>5323</v>
      </c>
      <c r="O1520" s="9" t="s">
        <v>5324</v>
      </c>
      <c r="P1520" s="9" t="str">
        <f>HYPERLINK("https://ceds.ed.gov/cedselementdetails.aspx?termid=14491")</f>
        <v>https://ceds.ed.gov/cedselementdetails.aspx?termid=14491</v>
      </c>
      <c r="Q1520" s="9" t="str">
        <f>HYPERLINK("https://ceds.ed.gov/elementComment.aspx?elementName=School Courses for the Exchange of Data Course Subject Area &amp;elementID=14491", "Click here to submit comment")</f>
        <v>Click here to submit comment</v>
      </c>
    </row>
    <row r="1521" spans="1:17" ht="105" x14ac:dyDescent="0.25">
      <c r="A1521" s="18" t="s">
        <v>6811</v>
      </c>
      <c r="B1521" s="18" t="s">
        <v>6825</v>
      </c>
      <c r="C1521" s="18" t="s">
        <v>6836</v>
      </c>
      <c r="D1521" s="18" t="s">
        <v>6742</v>
      </c>
      <c r="E1521" s="18" t="s">
        <v>1982</v>
      </c>
      <c r="F1521" s="18" t="s">
        <v>1983</v>
      </c>
      <c r="G1521" s="18" t="s">
        <v>12</v>
      </c>
      <c r="H1521" s="18" t="s">
        <v>6176</v>
      </c>
      <c r="I1521" s="18"/>
      <c r="J1521" s="18" t="s">
        <v>119</v>
      </c>
      <c r="K1521" s="18"/>
      <c r="L1521" s="9" t="s">
        <v>120</v>
      </c>
      <c r="M1521" s="18" t="s">
        <v>1984</v>
      </c>
      <c r="N1521" s="18"/>
      <c r="O1521" s="18" t="s">
        <v>1985</v>
      </c>
      <c r="P1521" s="18" t="str">
        <f>HYPERLINK("https://ceds.ed.gov/cedselementdetails.aspx?termid=13055")</f>
        <v>https://ceds.ed.gov/cedselementdetails.aspx?termid=13055</v>
      </c>
      <c r="Q1521" s="18" t="str">
        <f>HYPERLINK("https://ceds.ed.gov/elementComment.aspx?elementName=Course Identifier &amp;elementID=13055", "Click here to submit comment")</f>
        <v>Click here to submit comment</v>
      </c>
    </row>
    <row r="1522" spans="1:17" x14ac:dyDescent="0.25">
      <c r="A1522" s="18"/>
      <c r="B1522" s="18"/>
      <c r="C1522" s="18"/>
      <c r="D1522" s="18"/>
      <c r="E1522" s="18"/>
      <c r="F1522" s="18"/>
      <c r="G1522" s="18"/>
      <c r="H1522" s="18"/>
      <c r="I1522" s="18"/>
      <c r="J1522" s="18"/>
      <c r="K1522" s="18"/>
      <c r="L1522" s="9"/>
      <c r="M1522" s="18"/>
      <c r="N1522" s="18"/>
      <c r="O1522" s="18"/>
      <c r="P1522" s="18"/>
      <c r="Q1522" s="18"/>
    </row>
    <row r="1523" spans="1:17" ht="90" x14ac:dyDescent="0.25">
      <c r="A1523" s="18"/>
      <c r="B1523" s="18"/>
      <c r="C1523" s="18"/>
      <c r="D1523" s="18"/>
      <c r="E1523" s="18"/>
      <c r="F1523" s="18"/>
      <c r="G1523" s="18"/>
      <c r="H1523" s="18"/>
      <c r="I1523" s="18"/>
      <c r="J1523" s="18"/>
      <c r="K1523" s="18"/>
      <c r="L1523" s="9" t="s">
        <v>121</v>
      </c>
      <c r="M1523" s="18"/>
      <c r="N1523" s="18"/>
      <c r="O1523" s="18"/>
      <c r="P1523" s="18"/>
      <c r="Q1523" s="18"/>
    </row>
    <row r="1524" spans="1:17" ht="195" x14ac:dyDescent="0.25">
      <c r="A1524" s="9" t="s">
        <v>6811</v>
      </c>
      <c r="B1524" s="9" t="s">
        <v>6825</v>
      </c>
      <c r="C1524" s="9" t="s">
        <v>6836</v>
      </c>
      <c r="D1524" s="9" t="s">
        <v>6742</v>
      </c>
      <c r="E1524" s="9" t="s">
        <v>1933</v>
      </c>
      <c r="F1524" s="9" t="s">
        <v>1934</v>
      </c>
      <c r="G1524" s="10" t="s">
        <v>6421</v>
      </c>
      <c r="H1524" s="9" t="s">
        <v>6150</v>
      </c>
      <c r="I1524" s="9"/>
      <c r="J1524" s="9"/>
      <c r="K1524" s="9"/>
      <c r="L1524" s="9"/>
      <c r="M1524" s="9" t="s">
        <v>1935</v>
      </c>
      <c r="N1524" s="9"/>
      <c r="O1524" s="9" t="s">
        <v>1936</v>
      </c>
      <c r="P1524" s="9" t="str">
        <f>HYPERLINK("https://ceds.ed.gov/cedselementdetails.aspx?termid=13056")</f>
        <v>https://ceds.ed.gov/cedselementdetails.aspx?termid=13056</v>
      </c>
      <c r="Q1524" s="9" t="str">
        <f>HYPERLINK("https://ceds.ed.gov/elementComment.aspx?elementName=Course Code System &amp;elementID=13056", "Click here to submit comment")</f>
        <v>Click here to submit comment</v>
      </c>
    </row>
    <row r="1525" spans="1:17" ht="409.5" x14ac:dyDescent="0.25">
      <c r="A1525" s="9" t="s">
        <v>6811</v>
      </c>
      <c r="B1525" s="9" t="s">
        <v>6825</v>
      </c>
      <c r="C1525" s="9" t="s">
        <v>6836</v>
      </c>
      <c r="D1525" s="9" t="s">
        <v>6742</v>
      </c>
      <c r="E1525" s="9" t="s">
        <v>5319</v>
      </c>
      <c r="F1525" s="9" t="s">
        <v>5320</v>
      </c>
      <c r="G1525" s="10" t="s">
        <v>11908</v>
      </c>
      <c r="H1525" s="9"/>
      <c r="I1525" s="9"/>
      <c r="J1525" s="9"/>
      <c r="K1525" s="9"/>
      <c r="L1525" s="9" t="s">
        <v>5321</v>
      </c>
      <c r="M1525" s="9" t="s">
        <v>5322</v>
      </c>
      <c r="N1525" s="9" t="s">
        <v>5323</v>
      </c>
      <c r="O1525" s="9" t="s">
        <v>5324</v>
      </c>
      <c r="P1525" s="9" t="str">
        <f>HYPERLINK("https://ceds.ed.gov/cedselementdetails.aspx?termid=14491")</f>
        <v>https://ceds.ed.gov/cedselementdetails.aspx?termid=14491</v>
      </c>
      <c r="Q1525" s="9" t="str">
        <f>HYPERLINK("https://ceds.ed.gov/elementComment.aspx?elementName=School Courses for the Exchange of Data Course Subject Area &amp;elementID=14491", "Click here to submit comment")</f>
        <v>Click here to submit comment</v>
      </c>
    </row>
    <row r="1526" spans="1:17" ht="120" x14ac:dyDescent="0.25">
      <c r="A1526" s="9" t="s">
        <v>6811</v>
      </c>
      <c r="B1526" s="9" t="s">
        <v>6825</v>
      </c>
      <c r="C1526" s="9" t="s">
        <v>6836</v>
      </c>
      <c r="D1526" s="9" t="s">
        <v>6742</v>
      </c>
      <c r="E1526" s="9" t="s">
        <v>5331</v>
      </c>
      <c r="F1526" s="9" t="s">
        <v>5332</v>
      </c>
      <c r="G1526" s="9" t="s">
        <v>12</v>
      </c>
      <c r="H1526" s="9" t="s">
        <v>6150</v>
      </c>
      <c r="I1526" s="9"/>
      <c r="J1526" s="9" t="s">
        <v>2088</v>
      </c>
      <c r="K1526" s="9"/>
      <c r="L1526" s="9" t="s">
        <v>5333</v>
      </c>
      <c r="M1526" s="9" t="s">
        <v>5334</v>
      </c>
      <c r="N1526" s="9" t="s">
        <v>5335</v>
      </c>
      <c r="O1526" s="9" t="s">
        <v>5336</v>
      </c>
      <c r="P1526" s="9" t="str">
        <f>HYPERLINK("https://ceds.ed.gov/cedselementdetails.aspx?termid=13250")</f>
        <v>https://ceds.ed.gov/cedselementdetails.aspx?termid=13250</v>
      </c>
      <c r="Q1526" s="9" t="str">
        <f>HYPERLINK("https://ceds.ed.gov/elementComment.aspx?elementName=School Courses for the Exchange of Data Sequence of Course &amp;elementID=13250", "Click here to submit comment")</f>
        <v>Click here to submit comment</v>
      </c>
    </row>
    <row r="1527" spans="1:17" ht="120" x14ac:dyDescent="0.25">
      <c r="A1527" s="9" t="s">
        <v>6811</v>
      </c>
      <c r="B1527" s="9" t="s">
        <v>6825</v>
      </c>
      <c r="C1527" s="9" t="s">
        <v>6836</v>
      </c>
      <c r="D1527" s="9" t="s">
        <v>6742</v>
      </c>
      <c r="E1527" s="9" t="s">
        <v>5308</v>
      </c>
      <c r="F1527" s="9" t="s">
        <v>5309</v>
      </c>
      <c r="G1527" s="11" t="s">
        <v>11707</v>
      </c>
      <c r="H1527" s="9"/>
      <c r="I1527" s="9"/>
      <c r="J1527" s="9"/>
      <c r="K1527" s="9"/>
      <c r="L1527" s="9" t="s">
        <v>5310</v>
      </c>
      <c r="M1527" s="9" t="s">
        <v>5311</v>
      </c>
      <c r="N1527" s="9" t="s">
        <v>5312</v>
      </c>
      <c r="O1527" s="9" t="s">
        <v>5313</v>
      </c>
      <c r="P1527" s="9" t="str">
        <f>HYPERLINK("https://ceds.ed.gov/cedselementdetails.aspx?termid=14490")</f>
        <v>https://ceds.ed.gov/cedselementdetails.aspx?termid=14490</v>
      </c>
      <c r="Q1527" s="9" t="str">
        <f>HYPERLINK("https://ceds.ed.gov/elementComment.aspx?elementName=School Courses for the Exchange of Data Course Code &amp;elementID=14490", "Click here to submit comment")</f>
        <v>Click here to submit comment</v>
      </c>
    </row>
    <row r="1528" spans="1:17" ht="105" x14ac:dyDescent="0.25">
      <c r="A1528" s="9" t="s">
        <v>6811</v>
      </c>
      <c r="B1528" s="9" t="s">
        <v>6825</v>
      </c>
      <c r="C1528" s="9" t="s">
        <v>6836</v>
      </c>
      <c r="D1528" s="9" t="s">
        <v>6742</v>
      </c>
      <c r="E1528" s="9" t="s">
        <v>5314</v>
      </c>
      <c r="F1528" s="9" t="s">
        <v>5315</v>
      </c>
      <c r="G1528" s="10" t="s">
        <v>6684</v>
      </c>
      <c r="H1528" s="9"/>
      <c r="I1528" s="9"/>
      <c r="J1528" s="9"/>
      <c r="K1528" s="9"/>
      <c r="L1528" s="9"/>
      <c r="M1528" s="9" t="s">
        <v>5316</v>
      </c>
      <c r="N1528" s="9" t="s">
        <v>5317</v>
      </c>
      <c r="O1528" s="9" t="s">
        <v>5318</v>
      </c>
      <c r="P1528" s="9" t="str">
        <f>HYPERLINK("https://ceds.ed.gov/cedselementdetails.aspx?termid=14488")</f>
        <v>https://ceds.ed.gov/cedselementdetails.aspx?termid=14488</v>
      </c>
      <c r="Q1528" s="9" t="str">
        <f>HYPERLINK("https://ceds.ed.gov/elementComment.aspx?elementName=School Courses for the Exchange of Data Course Level &amp;elementID=14488", "Click here to submit comment")</f>
        <v>Click here to submit comment</v>
      </c>
    </row>
    <row r="1529" spans="1:17" ht="105" x14ac:dyDescent="0.25">
      <c r="A1529" s="9" t="s">
        <v>6811</v>
      </c>
      <c r="B1529" s="9" t="s">
        <v>6825</v>
      </c>
      <c r="C1529" s="9" t="s">
        <v>6836</v>
      </c>
      <c r="D1529" s="9" t="s">
        <v>6742</v>
      </c>
      <c r="E1529" s="9" t="s">
        <v>5325</v>
      </c>
      <c r="F1529" s="9" t="s">
        <v>5326</v>
      </c>
      <c r="G1529" s="9" t="s">
        <v>12</v>
      </c>
      <c r="H1529" s="9"/>
      <c r="I1529" s="9"/>
      <c r="J1529" s="9" t="s">
        <v>11709</v>
      </c>
      <c r="K1529" s="9"/>
      <c r="L1529" s="9" t="s">
        <v>5327</v>
      </c>
      <c r="M1529" s="9" t="s">
        <v>5328</v>
      </c>
      <c r="N1529" s="9" t="s">
        <v>5329</v>
      </c>
      <c r="O1529" s="9" t="s">
        <v>5330</v>
      </c>
      <c r="P1529" s="9" t="str">
        <f>HYPERLINK("https://ceds.ed.gov/cedselementdetails.aspx?termid=14452")</f>
        <v>https://ceds.ed.gov/cedselementdetails.aspx?termid=14452</v>
      </c>
      <c r="Q1529" s="9" t="str">
        <f>HYPERLINK("https://ceds.ed.gov/elementComment.aspx?elementName=School Courses for the Exchange of Data Grade Span &amp;elementID=14452", "Click here to submit comment")</f>
        <v>Click here to submit comment</v>
      </c>
    </row>
    <row r="1530" spans="1:17" ht="120" x14ac:dyDescent="0.25">
      <c r="A1530" s="9" t="s">
        <v>6811</v>
      </c>
      <c r="B1530" s="9" t="s">
        <v>6825</v>
      </c>
      <c r="C1530" s="9" t="s">
        <v>6836</v>
      </c>
      <c r="D1530" s="9" t="s">
        <v>6742</v>
      </c>
      <c r="E1530" s="9" t="s">
        <v>3101</v>
      </c>
      <c r="F1530" s="9" t="s">
        <v>3102</v>
      </c>
      <c r="G1530" s="9" t="s">
        <v>6106</v>
      </c>
      <c r="H1530" s="9" t="s">
        <v>6150</v>
      </c>
      <c r="I1530" s="9"/>
      <c r="J1530" s="9"/>
      <c r="K1530" s="9"/>
      <c r="L1530" s="9"/>
      <c r="M1530" s="9" t="s">
        <v>3103</v>
      </c>
      <c r="N1530" s="9"/>
      <c r="O1530" s="9" t="s">
        <v>3104</v>
      </c>
      <c r="P1530" s="9" t="str">
        <f>HYPERLINK("https://ceds.ed.gov/cedselementdetails.aspx?termid=13137")</f>
        <v>https://ceds.ed.gov/cedselementdetails.aspx?termid=13137</v>
      </c>
      <c r="Q1530" s="9" t="str">
        <f>HYPERLINK("https://ceds.ed.gov/elementComment.aspx?elementName=High School Course Requirement &amp;elementID=13137", "Click here to submit comment")</f>
        <v>Click here to submit comment</v>
      </c>
    </row>
    <row r="1531" spans="1:17" ht="105" x14ac:dyDescent="0.25">
      <c r="A1531" s="9" t="s">
        <v>6811</v>
      </c>
      <c r="B1531" s="9" t="s">
        <v>6825</v>
      </c>
      <c r="C1531" s="9" t="s">
        <v>6836</v>
      </c>
      <c r="D1531" s="9" t="s">
        <v>6742</v>
      </c>
      <c r="E1531" s="9" t="s">
        <v>11092</v>
      </c>
      <c r="F1531" s="9" t="s">
        <v>11093</v>
      </c>
      <c r="G1531" s="9" t="s">
        <v>12</v>
      </c>
      <c r="H1531" s="9" t="s">
        <v>25</v>
      </c>
      <c r="I1531" s="9"/>
      <c r="J1531" s="9" t="s">
        <v>1513</v>
      </c>
      <c r="K1531" s="9"/>
      <c r="L1531" s="9" t="s">
        <v>1949</v>
      </c>
      <c r="M1531" s="9" t="s">
        <v>1950</v>
      </c>
      <c r="N1531" s="9"/>
      <c r="O1531" s="9" t="s">
        <v>11095</v>
      </c>
      <c r="P1531" s="9" t="str">
        <f>HYPERLINK("https://ceds.ed.gov/cedselementdetails.aspx?termid=13058")</f>
        <v>https://ceds.ed.gov/cedselementdetails.aspx?termid=13058</v>
      </c>
      <c r="Q1531" s="9" t="str">
        <f>HYPERLINK("https://ceds.ed.gov/elementComment.aspx?elementName=Credit Value &amp;elementID=13058", "Click here to submit comment")</f>
        <v>Click here to submit comment</v>
      </c>
    </row>
    <row r="1532" spans="1:17" ht="330" x14ac:dyDescent="0.25">
      <c r="A1532" s="9" t="s">
        <v>6811</v>
      </c>
      <c r="B1532" s="9" t="s">
        <v>6825</v>
      </c>
      <c r="C1532" s="9" t="s">
        <v>6836</v>
      </c>
      <c r="D1532" s="9" t="s">
        <v>6742</v>
      </c>
      <c r="E1532" s="9" t="s">
        <v>3012</v>
      </c>
      <c r="F1532" s="9" t="s">
        <v>3013</v>
      </c>
      <c r="G1532" s="10" t="s">
        <v>6494</v>
      </c>
      <c r="H1532" s="9" t="s">
        <v>6109</v>
      </c>
      <c r="I1532" s="9"/>
      <c r="J1532" s="9"/>
      <c r="K1532" s="9"/>
      <c r="L1532" s="9"/>
      <c r="M1532" s="9" t="s">
        <v>3014</v>
      </c>
      <c r="N1532" s="9"/>
      <c r="O1532" s="9" t="s">
        <v>3015</v>
      </c>
      <c r="P1532" s="9" t="str">
        <f>HYPERLINK("https://ceds.ed.gov/cedselementdetails.aspx?termid=13125")</f>
        <v>https://ceds.ed.gov/cedselementdetails.aspx?termid=13125</v>
      </c>
      <c r="Q1532" s="9" t="str">
        <f>HYPERLINK("https://ceds.ed.gov/elementComment.aspx?elementName=Grade Level When Course Taken &amp;elementID=13125", "Click here to submit comment")</f>
        <v>Click here to submit comment</v>
      </c>
    </row>
    <row r="1533" spans="1:17" ht="409.5" x14ac:dyDescent="0.25">
      <c r="A1533" s="9" t="s">
        <v>6811</v>
      </c>
      <c r="B1533" s="9" t="s">
        <v>6825</v>
      </c>
      <c r="C1533" s="9" t="s">
        <v>6837</v>
      </c>
      <c r="D1533" s="9" t="s">
        <v>6742</v>
      </c>
      <c r="E1533" s="9" t="s">
        <v>3162</v>
      </c>
      <c r="F1533" s="9" t="s">
        <v>3163</v>
      </c>
      <c r="G1533" s="9" t="s">
        <v>6106</v>
      </c>
      <c r="H1533" s="9" t="s">
        <v>6227</v>
      </c>
      <c r="I1533" s="9"/>
      <c r="J1533" s="9"/>
      <c r="K1533" s="9"/>
      <c r="L1533" s="9"/>
      <c r="M1533" s="9" t="s">
        <v>3164</v>
      </c>
      <c r="N1533" s="9"/>
      <c r="O1533" s="9" t="s">
        <v>3165</v>
      </c>
      <c r="P1533" s="9" t="str">
        <f>HYPERLINK("https://ceds.ed.gov/cedselementdetails.aspx?termid=13149")</f>
        <v>https://ceds.ed.gov/cedselementdetails.aspx?termid=13149</v>
      </c>
      <c r="Q1533" s="9" t="str">
        <f>HYPERLINK("https://ceds.ed.gov/elementComment.aspx?elementName=Homelessness Status &amp;elementID=13149", "Click here to submit comment")</f>
        <v>Click here to submit comment</v>
      </c>
    </row>
    <row r="1534" spans="1:17" ht="45" x14ac:dyDescent="0.25">
      <c r="A1534" s="9" t="s">
        <v>6811</v>
      </c>
      <c r="B1534" s="9" t="s">
        <v>6825</v>
      </c>
      <c r="C1534" s="9" t="s">
        <v>6837</v>
      </c>
      <c r="D1534" s="9" t="s">
        <v>6742</v>
      </c>
      <c r="E1534" s="9" t="s">
        <v>5708</v>
      </c>
      <c r="F1534" s="9" t="s">
        <v>5709</v>
      </c>
      <c r="G1534" s="9" t="s">
        <v>12</v>
      </c>
      <c r="H1534" s="9"/>
      <c r="I1534" s="9"/>
      <c r="J1534" s="9" t="s">
        <v>73</v>
      </c>
      <c r="K1534" s="9"/>
      <c r="L1534" s="9"/>
      <c r="M1534" s="9" t="s">
        <v>5710</v>
      </c>
      <c r="N1534" s="9"/>
      <c r="O1534" s="9" t="s">
        <v>5711</v>
      </c>
      <c r="P1534" s="9" t="str">
        <f>HYPERLINK("https://ceds.ed.gov/cedselementdetails.aspx?termid=14192")</f>
        <v>https://ceds.ed.gov/cedselementdetails.aspx?termid=14192</v>
      </c>
      <c r="Q1534" s="9" t="str">
        <f>HYPERLINK("https://ceds.ed.gov/elementComment.aspx?elementName=Status Start Date &amp;elementID=14192", "Click here to submit comment")</f>
        <v>Click here to submit comment</v>
      </c>
    </row>
    <row r="1535" spans="1:17" ht="409.5" x14ac:dyDescent="0.25">
      <c r="A1535" s="9" t="s">
        <v>6811</v>
      </c>
      <c r="B1535" s="9" t="s">
        <v>6825</v>
      </c>
      <c r="C1535" s="9" t="s">
        <v>6837</v>
      </c>
      <c r="D1535" s="9" t="s">
        <v>6742</v>
      </c>
      <c r="E1535" s="9" t="s">
        <v>5704</v>
      </c>
      <c r="F1535" s="9" t="s">
        <v>5705</v>
      </c>
      <c r="G1535" s="9" t="s">
        <v>12</v>
      </c>
      <c r="H1535" s="9"/>
      <c r="I1535" s="9"/>
      <c r="J1535" s="9" t="s">
        <v>73</v>
      </c>
      <c r="K1535" s="9"/>
      <c r="L1535" s="9" t="s">
        <v>11745</v>
      </c>
      <c r="M1535" s="9" t="s">
        <v>5706</v>
      </c>
      <c r="N1535" s="9"/>
      <c r="O1535" s="9" t="s">
        <v>5707</v>
      </c>
      <c r="P1535" s="9" t="str">
        <f>HYPERLINK("https://ceds.ed.gov/cedselementdetails.aspx?termid=14193")</f>
        <v>https://ceds.ed.gov/cedselementdetails.aspx?termid=14193</v>
      </c>
      <c r="Q1535" s="9" t="str">
        <f>HYPERLINK("https://ceds.ed.gov/elementComment.aspx?elementName=Status End Date &amp;elementID=14193", "Click here to submit comment")</f>
        <v>Click here to submit comment</v>
      </c>
    </row>
    <row r="1536" spans="1:17" ht="75" x14ac:dyDescent="0.25">
      <c r="A1536" s="9" t="s">
        <v>6811</v>
      </c>
      <c r="B1536" s="9" t="s">
        <v>6825</v>
      </c>
      <c r="C1536" s="9" t="s">
        <v>6837</v>
      </c>
      <c r="D1536" s="9" t="s">
        <v>6742</v>
      </c>
      <c r="E1536" s="9" t="s">
        <v>3149</v>
      </c>
      <c r="F1536" s="9" t="s">
        <v>3150</v>
      </c>
      <c r="G1536" s="10" t="s">
        <v>6536</v>
      </c>
      <c r="H1536" s="9" t="s">
        <v>199</v>
      </c>
      <c r="I1536" s="9"/>
      <c r="J1536" s="9"/>
      <c r="K1536" s="9"/>
      <c r="L1536" s="9"/>
      <c r="M1536" s="9" t="s">
        <v>3152</v>
      </c>
      <c r="N1536" s="9"/>
      <c r="O1536" s="9" t="s">
        <v>3153</v>
      </c>
      <c r="P1536" s="9" t="str">
        <f>HYPERLINK("https://ceds.ed.gov/cedselementdetails.aspx?termid=13146")</f>
        <v>https://ceds.ed.gov/cedselementdetails.aspx?termid=13146</v>
      </c>
      <c r="Q1536" s="9" t="str">
        <f>HYPERLINK("https://ceds.ed.gov/elementComment.aspx?elementName=Homeless Primary Nighttime Residence &amp;elementID=13146", "Click here to submit comment")</f>
        <v>Click here to submit comment</v>
      </c>
    </row>
    <row r="1537" spans="1:17" ht="45" x14ac:dyDescent="0.25">
      <c r="A1537" s="9" t="s">
        <v>6811</v>
      </c>
      <c r="B1537" s="9" t="s">
        <v>6825</v>
      </c>
      <c r="C1537" s="9" t="s">
        <v>6837</v>
      </c>
      <c r="D1537" s="9" t="s">
        <v>6742</v>
      </c>
      <c r="E1537" s="9" t="s">
        <v>3154</v>
      </c>
      <c r="F1537" s="9" t="s">
        <v>3155</v>
      </c>
      <c r="G1537" s="9" t="s">
        <v>6106</v>
      </c>
      <c r="H1537" s="9"/>
      <c r="I1537" s="9"/>
      <c r="J1537" s="9"/>
      <c r="K1537" s="9"/>
      <c r="L1537" s="9"/>
      <c r="M1537" s="9" t="s">
        <v>3156</v>
      </c>
      <c r="N1537" s="9"/>
      <c r="O1537" s="9" t="s">
        <v>3157</v>
      </c>
      <c r="P1537" s="9" t="str">
        <f>HYPERLINK("https://ceds.ed.gov/cedselementdetails.aspx?termid=13147")</f>
        <v>https://ceds.ed.gov/cedselementdetails.aspx?termid=13147</v>
      </c>
      <c r="Q1537" s="9" t="str">
        <f>HYPERLINK("https://ceds.ed.gov/elementComment.aspx?elementName=Homeless Serviced Indicator &amp;elementID=13147", "Click here to submit comment")</f>
        <v>Click here to submit comment</v>
      </c>
    </row>
    <row r="1538" spans="1:17" ht="45" x14ac:dyDescent="0.25">
      <c r="A1538" s="9" t="s">
        <v>6811</v>
      </c>
      <c r="B1538" s="9" t="s">
        <v>6825</v>
      </c>
      <c r="C1538" s="9" t="s">
        <v>6837</v>
      </c>
      <c r="D1538" s="9" t="s">
        <v>6742</v>
      </c>
      <c r="E1538" s="9" t="s">
        <v>3158</v>
      </c>
      <c r="F1538" s="9" t="s">
        <v>3159</v>
      </c>
      <c r="G1538" s="9" t="s">
        <v>6106</v>
      </c>
      <c r="H1538" s="9" t="s">
        <v>199</v>
      </c>
      <c r="I1538" s="9"/>
      <c r="J1538" s="9"/>
      <c r="K1538" s="9"/>
      <c r="L1538" s="9"/>
      <c r="M1538" s="9" t="s">
        <v>3160</v>
      </c>
      <c r="N1538" s="9"/>
      <c r="O1538" s="9" t="s">
        <v>3161</v>
      </c>
      <c r="P1538" s="9" t="str">
        <f>HYPERLINK("https://ceds.ed.gov/cedselementdetails.aspx?termid=13148")</f>
        <v>https://ceds.ed.gov/cedselementdetails.aspx?termid=13148</v>
      </c>
      <c r="Q1538" s="9" t="str">
        <f>HYPERLINK("https://ceds.ed.gov/elementComment.aspx?elementName=Homeless Unaccompanied Youth Status &amp;elementID=13148", "Click here to submit comment")</f>
        <v>Click here to submit comment</v>
      </c>
    </row>
    <row r="1539" spans="1:17" ht="120" x14ac:dyDescent="0.25">
      <c r="A1539" s="9" t="s">
        <v>6811</v>
      </c>
      <c r="B1539" s="9" t="s">
        <v>6825</v>
      </c>
      <c r="C1539" s="9" t="s">
        <v>6838</v>
      </c>
      <c r="D1539" s="9" t="s">
        <v>6742</v>
      </c>
      <c r="E1539" s="9" t="s">
        <v>5930</v>
      </c>
      <c r="F1539" s="9" t="s">
        <v>5931</v>
      </c>
      <c r="G1539" s="9" t="s">
        <v>6106</v>
      </c>
      <c r="H1539" s="9" t="s">
        <v>6109</v>
      </c>
      <c r="I1539" s="9"/>
      <c r="J1539" s="9"/>
      <c r="K1539" s="9"/>
      <c r="L1539" s="9"/>
      <c r="M1539" s="9" t="s">
        <v>5932</v>
      </c>
      <c r="N1539" s="9"/>
      <c r="O1539" s="9" t="s">
        <v>5933</v>
      </c>
      <c r="P1539" s="9" t="str">
        <f>HYPERLINK("https://ceds.ed.gov/cedselementdetails.aspx?termid=13291")</f>
        <v>https://ceds.ed.gov/cedselementdetails.aspx?termid=13291</v>
      </c>
      <c r="Q1539" s="9" t="str">
        <f>HYPERLINK("https://ceds.ed.gov/elementComment.aspx?elementName=Title III Immigrant Status &amp;elementID=13291", "Click here to submit comment")</f>
        <v>Click here to submit comment</v>
      </c>
    </row>
    <row r="1540" spans="1:17" ht="90" x14ac:dyDescent="0.25">
      <c r="A1540" s="9" t="s">
        <v>6811</v>
      </c>
      <c r="B1540" s="9" t="s">
        <v>6825</v>
      </c>
      <c r="C1540" s="9" t="s">
        <v>6838</v>
      </c>
      <c r="D1540" s="9" t="s">
        <v>6742</v>
      </c>
      <c r="E1540" s="9" t="s">
        <v>5926</v>
      </c>
      <c r="F1540" s="9" t="s">
        <v>5927</v>
      </c>
      <c r="G1540" s="9" t="s">
        <v>6106</v>
      </c>
      <c r="H1540" s="9" t="s">
        <v>199</v>
      </c>
      <c r="I1540" s="9"/>
      <c r="J1540" s="9"/>
      <c r="K1540" s="9"/>
      <c r="L1540" s="9"/>
      <c r="M1540" s="9" t="s">
        <v>5928</v>
      </c>
      <c r="N1540" s="9"/>
      <c r="O1540" s="9" t="s">
        <v>5929</v>
      </c>
      <c r="P1540" s="9" t="str">
        <f>HYPERLINK("https://ceds.ed.gov/cedselementdetails.aspx?termid=13290")</f>
        <v>https://ceds.ed.gov/cedselementdetails.aspx?termid=13290</v>
      </c>
      <c r="Q1540" s="9" t="str">
        <f>HYPERLINK("https://ceds.ed.gov/elementComment.aspx?elementName=Title III Immigrant Participation Status &amp;elementID=13290", "Click here to submit comment")</f>
        <v>Click here to submit comment</v>
      </c>
    </row>
    <row r="1541" spans="1:17" ht="45" x14ac:dyDescent="0.25">
      <c r="A1541" s="9" t="s">
        <v>6811</v>
      </c>
      <c r="B1541" s="9" t="s">
        <v>6825</v>
      </c>
      <c r="C1541" s="9" t="s">
        <v>6838</v>
      </c>
      <c r="D1541" s="9" t="s">
        <v>6742</v>
      </c>
      <c r="E1541" s="9" t="s">
        <v>5708</v>
      </c>
      <c r="F1541" s="9" t="s">
        <v>5709</v>
      </c>
      <c r="G1541" s="9" t="s">
        <v>12</v>
      </c>
      <c r="H1541" s="9"/>
      <c r="I1541" s="9"/>
      <c r="J1541" s="9" t="s">
        <v>73</v>
      </c>
      <c r="K1541" s="9"/>
      <c r="L1541" s="9"/>
      <c r="M1541" s="9" t="s">
        <v>5710</v>
      </c>
      <c r="N1541" s="9"/>
      <c r="O1541" s="9" t="s">
        <v>5711</v>
      </c>
      <c r="P1541" s="9" t="str">
        <f>HYPERLINK("https://ceds.ed.gov/cedselementdetails.aspx?termid=14192")</f>
        <v>https://ceds.ed.gov/cedselementdetails.aspx?termid=14192</v>
      </c>
      <c r="Q1541" s="9" t="str">
        <f>HYPERLINK("https://ceds.ed.gov/elementComment.aspx?elementName=Status Start Date &amp;elementID=14192", "Click here to submit comment")</f>
        <v>Click here to submit comment</v>
      </c>
    </row>
    <row r="1542" spans="1:17" ht="409.5" x14ac:dyDescent="0.25">
      <c r="A1542" s="9" t="s">
        <v>6811</v>
      </c>
      <c r="B1542" s="9" t="s">
        <v>6825</v>
      </c>
      <c r="C1542" s="9" t="s">
        <v>6838</v>
      </c>
      <c r="D1542" s="9" t="s">
        <v>6742</v>
      </c>
      <c r="E1542" s="9" t="s">
        <v>5704</v>
      </c>
      <c r="F1542" s="9" t="s">
        <v>5705</v>
      </c>
      <c r="G1542" s="9" t="s">
        <v>12</v>
      </c>
      <c r="H1542" s="9"/>
      <c r="I1542" s="9"/>
      <c r="J1542" s="9" t="s">
        <v>73</v>
      </c>
      <c r="K1542" s="9"/>
      <c r="L1542" s="9" t="s">
        <v>11745</v>
      </c>
      <c r="M1542" s="9" t="s">
        <v>5706</v>
      </c>
      <c r="N1542" s="9"/>
      <c r="O1542" s="9" t="s">
        <v>5707</v>
      </c>
      <c r="P1542" s="9" t="str">
        <f>HYPERLINK("https://ceds.ed.gov/cedselementdetails.aspx?termid=14193")</f>
        <v>https://ceds.ed.gov/cedselementdetails.aspx?termid=14193</v>
      </c>
      <c r="Q1542" s="9" t="str">
        <f>HYPERLINK("https://ceds.ed.gov/elementComment.aspx?elementName=Status End Date &amp;elementID=14193", "Click here to submit comment")</f>
        <v>Click here to submit comment</v>
      </c>
    </row>
    <row r="1543" spans="1:17" ht="45" x14ac:dyDescent="0.25">
      <c r="A1543" s="9" t="s">
        <v>6811</v>
      </c>
      <c r="B1543" s="9" t="s">
        <v>6825</v>
      </c>
      <c r="C1543" s="9" t="s">
        <v>6838</v>
      </c>
      <c r="D1543" s="9" t="s">
        <v>6742</v>
      </c>
      <c r="E1543" s="9" t="s">
        <v>2926</v>
      </c>
      <c r="F1543" s="9" t="s">
        <v>2927</v>
      </c>
      <c r="G1543" s="9" t="s">
        <v>12</v>
      </c>
      <c r="H1543" s="9"/>
      <c r="I1543" s="9"/>
      <c r="J1543" s="9" t="s">
        <v>73</v>
      </c>
      <c r="K1543" s="9"/>
      <c r="L1543" s="9"/>
      <c r="M1543" s="9" t="s">
        <v>2929</v>
      </c>
      <c r="N1543" s="9"/>
      <c r="O1543" s="9" t="s">
        <v>2930</v>
      </c>
      <c r="P1543" s="9" t="str">
        <f>HYPERLINK("https://ceds.ed.gov/cedselementdetails.aspx?termid=13520")</f>
        <v>https://ceds.ed.gov/cedselementdetails.aspx?termid=13520</v>
      </c>
      <c r="Q1543" s="9" t="str">
        <f>HYPERLINK("https://ceds.ed.gov/elementComment.aspx?elementName=First Entry Date into a US School &amp;elementID=13520", "Click here to submit comment")</f>
        <v>Click here to submit comment</v>
      </c>
    </row>
    <row r="1544" spans="1:17" ht="409.5" x14ac:dyDescent="0.25">
      <c r="A1544" s="9" t="s">
        <v>6811</v>
      </c>
      <c r="B1544" s="9" t="s">
        <v>6825</v>
      </c>
      <c r="C1544" s="9" t="s">
        <v>11927</v>
      </c>
      <c r="D1544" s="9" t="s">
        <v>6742</v>
      </c>
      <c r="E1544" s="9" t="s">
        <v>11150</v>
      </c>
      <c r="F1544" s="9" t="s">
        <v>11151</v>
      </c>
      <c r="G1544" s="9" t="s">
        <v>6106</v>
      </c>
      <c r="H1544" s="9" t="s">
        <v>6155</v>
      </c>
      <c r="I1544" s="9" t="s">
        <v>91</v>
      </c>
      <c r="J1544" s="9"/>
      <c r="K1544" s="9" t="s">
        <v>11153</v>
      </c>
      <c r="L1544" s="9" t="s">
        <v>11154</v>
      </c>
      <c r="M1544" s="9" t="s">
        <v>4077</v>
      </c>
      <c r="N1544" s="9" t="s">
        <v>4078</v>
      </c>
      <c r="O1544" s="9" t="s">
        <v>11155</v>
      </c>
      <c r="P1544" s="9" t="str">
        <f>HYPERLINK("https://ceds.ed.gov/cedselementdetails.aspx?termid=13180")</f>
        <v>https://ceds.ed.gov/cedselementdetails.aspx?termid=13180</v>
      </c>
      <c r="Q1544" s="9" t="str">
        <f>HYPERLINK("https://ceds.ed.gov/elementComment.aspx?elementName=English Learner Status &amp;elementID=13180", "Click here to submit comment")</f>
        <v>Click here to submit comment</v>
      </c>
    </row>
    <row r="1545" spans="1:17" ht="60" x14ac:dyDescent="0.25">
      <c r="A1545" s="9" t="s">
        <v>6811</v>
      </c>
      <c r="B1545" s="9" t="s">
        <v>6825</v>
      </c>
      <c r="C1545" s="9" t="s">
        <v>11927</v>
      </c>
      <c r="D1545" s="9" t="s">
        <v>6742</v>
      </c>
      <c r="E1545" s="9" t="s">
        <v>4936</v>
      </c>
      <c r="F1545" s="9" t="s">
        <v>4937</v>
      </c>
      <c r="G1545" s="9" t="s">
        <v>12</v>
      </c>
      <c r="H1545" s="9" t="s">
        <v>6267</v>
      </c>
      <c r="I1545" s="9"/>
      <c r="J1545" s="9" t="s">
        <v>73</v>
      </c>
      <c r="K1545" s="9"/>
      <c r="L1545" s="9"/>
      <c r="M1545" s="9" t="s">
        <v>4938</v>
      </c>
      <c r="N1545" s="9"/>
      <c r="O1545" s="9" t="s">
        <v>4939</v>
      </c>
      <c r="P1545" s="9" t="str">
        <f>HYPERLINK("https://ceds.ed.gov/cedselementdetails.aspx?termid=13583")</f>
        <v>https://ceds.ed.gov/cedselementdetails.aspx?termid=13583</v>
      </c>
      <c r="Q1545" s="9" t="str">
        <f>HYPERLINK("https://ceds.ed.gov/elementComment.aspx?elementName=Program Participation Start Date &amp;elementID=13583", "Click here to submit comment")</f>
        <v>Click here to submit comment</v>
      </c>
    </row>
    <row r="1546" spans="1:17" ht="45" x14ac:dyDescent="0.25">
      <c r="A1546" s="9" t="s">
        <v>6811</v>
      </c>
      <c r="B1546" s="9" t="s">
        <v>6825</v>
      </c>
      <c r="C1546" s="9" t="s">
        <v>11927</v>
      </c>
      <c r="D1546" s="9" t="s">
        <v>6742</v>
      </c>
      <c r="E1546" s="9" t="s">
        <v>4933</v>
      </c>
      <c r="F1546" s="9" t="s">
        <v>1641</v>
      </c>
      <c r="G1546" s="9" t="s">
        <v>12</v>
      </c>
      <c r="H1546" s="9" t="s">
        <v>6266</v>
      </c>
      <c r="I1546" s="9"/>
      <c r="J1546" s="9" t="s">
        <v>73</v>
      </c>
      <c r="K1546" s="9"/>
      <c r="L1546" s="9"/>
      <c r="M1546" s="9" t="s">
        <v>4934</v>
      </c>
      <c r="N1546" s="9"/>
      <c r="O1546" s="9" t="s">
        <v>4935</v>
      </c>
      <c r="P1546" s="9" t="str">
        <f>HYPERLINK("https://ceds.ed.gov/cedselementdetails.aspx?termid=13584")</f>
        <v>https://ceds.ed.gov/cedselementdetails.aspx?termid=13584</v>
      </c>
      <c r="Q1546" s="9" t="str">
        <f>HYPERLINK("https://ceds.ed.gov/elementComment.aspx?elementName=Program Participation Exit Date &amp;elementID=13584", "Click here to submit comment")</f>
        <v>Click here to submit comment</v>
      </c>
    </row>
    <row r="1547" spans="1:17" ht="60" x14ac:dyDescent="0.25">
      <c r="A1547" s="9" t="s">
        <v>6811</v>
      </c>
      <c r="B1547" s="9" t="s">
        <v>6825</v>
      </c>
      <c r="C1547" s="9" t="s">
        <v>11927</v>
      </c>
      <c r="D1547" s="9" t="s">
        <v>6742</v>
      </c>
      <c r="E1547" s="9" t="s">
        <v>11142</v>
      </c>
      <c r="F1547" s="9" t="s">
        <v>11143</v>
      </c>
      <c r="G1547" s="9" t="s">
        <v>12</v>
      </c>
      <c r="H1547" s="9"/>
      <c r="I1547" s="9" t="s">
        <v>91</v>
      </c>
      <c r="J1547" s="9" t="s">
        <v>73</v>
      </c>
      <c r="K1547" s="9" t="s">
        <v>11145</v>
      </c>
      <c r="L1547" s="9"/>
      <c r="M1547" s="9" t="s">
        <v>4073</v>
      </c>
      <c r="N1547" s="9" t="s">
        <v>4074</v>
      </c>
      <c r="O1547" s="9" t="s">
        <v>11149</v>
      </c>
      <c r="P1547" s="9" t="str">
        <f>HYPERLINK("https://ceds.ed.gov/cedselementdetails.aspx?termid=14213")</f>
        <v>https://ceds.ed.gov/cedselementdetails.aspx?termid=14213</v>
      </c>
      <c r="Q1547" s="9" t="str">
        <f>HYPERLINK("https://ceds.ed.gov/elementComment.aspx?elementName=English Learner Entry Date &amp;elementID=14213", "Click here to submit comment")</f>
        <v>Click here to submit comment</v>
      </c>
    </row>
    <row r="1548" spans="1:17" ht="60" x14ac:dyDescent="0.25">
      <c r="A1548" s="9" t="s">
        <v>6811</v>
      </c>
      <c r="B1548" s="9" t="s">
        <v>6825</v>
      </c>
      <c r="C1548" s="9" t="s">
        <v>11927</v>
      </c>
      <c r="D1548" s="9" t="s">
        <v>6742</v>
      </c>
      <c r="E1548" s="9" t="s">
        <v>11147</v>
      </c>
      <c r="F1548" s="9" t="s">
        <v>11148</v>
      </c>
      <c r="G1548" s="9" t="s">
        <v>12</v>
      </c>
      <c r="H1548" s="9" t="s">
        <v>199</v>
      </c>
      <c r="I1548" s="9" t="s">
        <v>91</v>
      </c>
      <c r="J1548" s="9" t="s">
        <v>73</v>
      </c>
      <c r="K1548" s="9" t="s">
        <v>11145</v>
      </c>
      <c r="L1548" s="9"/>
      <c r="M1548" s="9" t="s">
        <v>4075</v>
      </c>
      <c r="N1548" s="9" t="s">
        <v>4076</v>
      </c>
      <c r="O1548" s="9" t="s">
        <v>11146</v>
      </c>
      <c r="P1548" s="9" t="str">
        <f>HYPERLINK("https://ceds.ed.gov/cedselementdetails.aspx?termid=13562")</f>
        <v>https://ceds.ed.gov/cedselementdetails.aspx?termid=13562</v>
      </c>
      <c r="Q1548" s="9" t="str">
        <f>HYPERLINK("https://ceds.ed.gov/elementComment.aspx?elementName=English Learner Exit Date &amp;elementID=13562", "Click here to submit comment")</f>
        <v>Click here to submit comment</v>
      </c>
    </row>
    <row r="1549" spans="1:17" ht="210" x14ac:dyDescent="0.25">
      <c r="A1549" s="9" t="s">
        <v>6811</v>
      </c>
      <c r="B1549" s="9" t="s">
        <v>6825</v>
      </c>
      <c r="C1549" s="9" t="s">
        <v>11927</v>
      </c>
      <c r="D1549" s="9" t="s">
        <v>6742</v>
      </c>
      <c r="E1549" s="9" t="s">
        <v>4565</v>
      </c>
      <c r="F1549" s="9" t="s">
        <v>4566</v>
      </c>
      <c r="G1549" s="9" t="s">
        <v>6106</v>
      </c>
      <c r="H1549" s="9" t="s">
        <v>199</v>
      </c>
      <c r="I1549" s="9"/>
      <c r="J1549" s="9"/>
      <c r="K1549" s="9"/>
      <c r="L1549" s="9"/>
      <c r="M1549" s="9" t="s">
        <v>4567</v>
      </c>
      <c r="N1549" s="9" t="s">
        <v>4568</v>
      </c>
      <c r="O1549" s="9" t="s">
        <v>4569</v>
      </c>
      <c r="P1549" s="9" t="str">
        <f>HYPERLINK("https://ceds.ed.gov/cedselementdetails.aspx?termid=13574")</f>
        <v>https://ceds.ed.gov/cedselementdetails.aspx?termid=13574</v>
      </c>
      <c r="Q1549" s="9" t="str">
        <f>HYPERLINK("https://ceds.ed.gov/elementComment.aspx?elementName=Perkins Limited English Proficiency Status &amp;elementID=13574", "Click here to submit comment")</f>
        <v>Click here to submit comment</v>
      </c>
    </row>
    <row r="1550" spans="1:17" ht="60" x14ac:dyDescent="0.25">
      <c r="A1550" s="9" t="s">
        <v>6811</v>
      </c>
      <c r="B1550" s="9" t="s">
        <v>6825</v>
      </c>
      <c r="C1550" s="9" t="s">
        <v>11927</v>
      </c>
      <c r="D1550" s="9" t="s">
        <v>6742</v>
      </c>
      <c r="E1550" s="9" t="s">
        <v>5922</v>
      </c>
      <c r="F1550" s="9" t="s">
        <v>5923</v>
      </c>
      <c r="G1550" s="10" t="s">
        <v>6724</v>
      </c>
      <c r="H1550" s="9" t="s">
        <v>199</v>
      </c>
      <c r="I1550" s="9"/>
      <c r="J1550" s="9"/>
      <c r="K1550" s="9"/>
      <c r="L1550" s="9"/>
      <c r="M1550" s="9" t="s">
        <v>5924</v>
      </c>
      <c r="N1550" s="9"/>
      <c r="O1550" s="9" t="s">
        <v>5925</v>
      </c>
      <c r="P1550" s="9" t="str">
        <f>HYPERLINK("https://ceds.ed.gov/cedselementdetails.aspx?termid=13527")</f>
        <v>https://ceds.ed.gov/cedselementdetails.aspx?termid=13527</v>
      </c>
      <c r="Q1550" s="9" t="str">
        <f>HYPERLINK("https://ceds.ed.gov/elementComment.aspx?elementName=Title III Accountability Progress Status &amp;elementID=13527", "Click here to submit comment")</f>
        <v>Click here to submit comment</v>
      </c>
    </row>
    <row r="1551" spans="1:17" ht="75" x14ac:dyDescent="0.25">
      <c r="A1551" s="9" t="s">
        <v>6811</v>
      </c>
      <c r="B1551" s="9" t="s">
        <v>6825</v>
      </c>
      <c r="C1551" s="9" t="s">
        <v>11927</v>
      </c>
      <c r="D1551" s="9" t="s">
        <v>6742</v>
      </c>
      <c r="E1551" s="9" t="s">
        <v>11763</v>
      </c>
      <c r="F1551" s="9" t="s">
        <v>11764</v>
      </c>
      <c r="G1551" s="9" t="s">
        <v>6106</v>
      </c>
      <c r="H1551" s="9" t="s">
        <v>199</v>
      </c>
      <c r="I1551" s="9" t="s">
        <v>91</v>
      </c>
      <c r="J1551" s="9"/>
      <c r="K1551" s="9" t="s">
        <v>11145</v>
      </c>
      <c r="L1551" s="9"/>
      <c r="M1551" s="9" t="s">
        <v>5938</v>
      </c>
      <c r="N1551" s="9" t="s">
        <v>5939</v>
      </c>
      <c r="O1551" s="9" t="s">
        <v>11765</v>
      </c>
      <c r="P1551" s="9" t="str">
        <f>HYPERLINK("https://ceds.ed.gov/cedselementdetails.aspx?termid=13557")</f>
        <v>https://ceds.ed.gov/cedselementdetails.aspx?termid=13557</v>
      </c>
      <c r="Q1551" s="9" t="str">
        <f>HYPERLINK("https://ceds.ed.gov/elementComment.aspx?elementName=Title III English Learner Participation Status &amp;elementID=13557", "Click here to submit comment")</f>
        <v>Click here to submit comment</v>
      </c>
    </row>
    <row r="1552" spans="1:17" ht="195" x14ac:dyDescent="0.25">
      <c r="A1552" s="9" t="s">
        <v>6811</v>
      </c>
      <c r="B1552" s="9" t="s">
        <v>6825</v>
      </c>
      <c r="C1552" s="9" t="s">
        <v>11927</v>
      </c>
      <c r="D1552" s="9" t="s">
        <v>6746</v>
      </c>
      <c r="E1552" s="9" t="s">
        <v>6003</v>
      </c>
      <c r="F1552" s="9" t="s">
        <v>6004</v>
      </c>
      <c r="G1552" s="10" t="s">
        <v>11910</v>
      </c>
      <c r="H1552" s="9" t="s">
        <v>188</v>
      </c>
      <c r="I1552" s="9" t="s">
        <v>91</v>
      </c>
      <c r="J1552" s="9"/>
      <c r="K1552" s="9"/>
      <c r="L1552" s="9"/>
      <c r="M1552" s="9" t="s">
        <v>6005</v>
      </c>
      <c r="N1552" s="9" t="s">
        <v>6006</v>
      </c>
      <c r="O1552" s="9" t="s">
        <v>6007</v>
      </c>
      <c r="P1552" s="9" t="str">
        <f>HYPERLINK("https://ceds.ed.gov/cedselementdetails.aspx?termid=13477")</f>
        <v>https://ceds.ed.gov/cedselementdetails.aspx?termid=13477</v>
      </c>
      <c r="Q1552" s="9" t="str">
        <f>HYPERLINK("https://ceds.ed.gov/elementComment.aspx?elementName=Type of Use of the Rural Low-Income Schools Program &amp;elementID=13477", "Click here to submit comment")</f>
        <v>Click here to submit comment</v>
      </c>
    </row>
    <row r="1553" spans="1:17" ht="105" x14ac:dyDescent="0.25">
      <c r="A1553" s="18" t="s">
        <v>6811</v>
      </c>
      <c r="B1553" s="18" t="s">
        <v>6825</v>
      </c>
      <c r="C1553" s="18" t="s">
        <v>6839</v>
      </c>
      <c r="D1553" s="18" t="s">
        <v>6742</v>
      </c>
      <c r="E1553" s="18" t="s">
        <v>5732</v>
      </c>
      <c r="F1553" s="18" t="s">
        <v>5733</v>
      </c>
      <c r="G1553" s="18" t="s">
        <v>12</v>
      </c>
      <c r="H1553" s="18" t="s">
        <v>6290</v>
      </c>
      <c r="I1553" s="18"/>
      <c r="J1553" s="18" t="s">
        <v>119</v>
      </c>
      <c r="K1553" s="18"/>
      <c r="L1553" s="9" t="s">
        <v>120</v>
      </c>
      <c r="M1553" s="18" t="s">
        <v>5734</v>
      </c>
      <c r="N1553" s="18"/>
      <c r="O1553" s="18" t="s">
        <v>5735</v>
      </c>
      <c r="P1553" s="18" t="str">
        <f>HYPERLINK("https://ceds.ed.gov/cedselementdetails.aspx?termid=13157")</f>
        <v>https://ceds.ed.gov/cedselementdetails.aspx?termid=13157</v>
      </c>
      <c r="Q1553" s="18" t="str">
        <f>HYPERLINK("https://ceds.ed.gov/elementComment.aspx?elementName=Student Identifier &amp;elementID=13157", "Click here to submit comment")</f>
        <v>Click here to submit comment</v>
      </c>
    </row>
    <row r="1554" spans="1:17" x14ac:dyDescent="0.25">
      <c r="A1554" s="18"/>
      <c r="B1554" s="18"/>
      <c r="C1554" s="18"/>
      <c r="D1554" s="18"/>
      <c r="E1554" s="18"/>
      <c r="F1554" s="18"/>
      <c r="G1554" s="18"/>
      <c r="H1554" s="18"/>
      <c r="I1554" s="18"/>
      <c r="J1554" s="18"/>
      <c r="K1554" s="18"/>
      <c r="L1554" s="9"/>
      <c r="M1554" s="18"/>
      <c r="N1554" s="18"/>
      <c r="O1554" s="18"/>
      <c r="P1554" s="18"/>
      <c r="Q1554" s="18"/>
    </row>
    <row r="1555" spans="1:17" ht="90" x14ac:dyDescent="0.25">
      <c r="A1555" s="18"/>
      <c r="B1555" s="18"/>
      <c r="C1555" s="18"/>
      <c r="D1555" s="18"/>
      <c r="E1555" s="18"/>
      <c r="F1555" s="18"/>
      <c r="G1555" s="18"/>
      <c r="H1555" s="18"/>
      <c r="I1555" s="18"/>
      <c r="J1555" s="18"/>
      <c r="K1555" s="18"/>
      <c r="L1555" s="9" t="s">
        <v>121</v>
      </c>
      <c r="M1555" s="18"/>
      <c r="N1555" s="18"/>
      <c r="O1555" s="18"/>
      <c r="P1555" s="18"/>
      <c r="Q1555" s="18"/>
    </row>
    <row r="1556" spans="1:17" ht="210" x14ac:dyDescent="0.25">
      <c r="A1556" s="9" t="s">
        <v>6811</v>
      </c>
      <c r="B1556" s="9" t="s">
        <v>6825</v>
      </c>
      <c r="C1556" s="9" t="s">
        <v>6839</v>
      </c>
      <c r="D1556" s="9" t="s">
        <v>6742</v>
      </c>
      <c r="E1556" s="9" t="s">
        <v>5728</v>
      </c>
      <c r="F1556" s="9" t="s">
        <v>5729</v>
      </c>
      <c r="G1556" s="10" t="s">
        <v>6706</v>
      </c>
      <c r="H1556" s="9" t="s">
        <v>6290</v>
      </c>
      <c r="I1556" s="9"/>
      <c r="J1556" s="9"/>
      <c r="K1556" s="9"/>
      <c r="L1556" s="9"/>
      <c r="M1556" s="9" t="s">
        <v>5730</v>
      </c>
      <c r="N1556" s="9"/>
      <c r="O1556" s="9" t="s">
        <v>5731</v>
      </c>
      <c r="P1556" s="9" t="str">
        <f>HYPERLINK("https://ceds.ed.gov/cedselementdetails.aspx?termid=13163")</f>
        <v>https://ceds.ed.gov/cedselementdetails.aspx?termid=13163</v>
      </c>
      <c r="Q1556" s="9" t="str">
        <f>HYPERLINK("https://ceds.ed.gov/elementComment.aspx?elementName=Student Identification System &amp;elementID=13163", "Click here to submit comment")</f>
        <v>Click here to submit comment</v>
      </c>
    </row>
    <row r="1557" spans="1:17" ht="270" x14ac:dyDescent="0.25">
      <c r="A1557" s="9" t="s">
        <v>6811</v>
      </c>
      <c r="B1557" s="9" t="s">
        <v>6825</v>
      </c>
      <c r="C1557" s="9" t="s">
        <v>6839</v>
      </c>
      <c r="D1557" s="9" t="s">
        <v>6742</v>
      </c>
      <c r="E1557" s="9" t="s">
        <v>4242</v>
      </c>
      <c r="F1557" s="9" t="s">
        <v>4243</v>
      </c>
      <c r="G1557" s="9" t="s">
        <v>6106</v>
      </c>
      <c r="H1557" s="9" t="s">
        <v>6155</v>
      </c>
      <c r="I1557" s="9"/>
      <c r="J1557" s="9"/>
      <c r="K1557" s="9"/>
      <c r="L1557" s="9"/>
      <c r="M1557" s="9" t="s">
        <v>4244</v>
      </c>
      <c r="N1557" s="9"/>
      <c r="O1557" s="9" t="s">
        <v>4245</v>
      </c>
      <c r="P1557" s="9" t="str">
        <f>HYPERLINK("https://ceds.ed.gov/cedselementdetails.aspx?termid=13189")</f>
        <v>https://ceds.ed.gov/cedselementdetails.aspx?termid=13189</v>
      </c>
      <c r="Q1557" s="9" t="str">
        <f>HYPERLINK("https://ceds.ed.gov/elementComment.aspx?elementName=Migrant Status &amp;elementID=13189", "Click here to submit comment")</f>
        <v>Click here to submit comment</v>
      </c>
    </row>
    <row r="1558" spans="1:17" ht="60" x14ac:dyDescent="0.25">
      <c r="A1558" s="9" t="s">
        <v>6811</v>
      </c>
      <c r="B1558" s="9" t="s">
        <v>6825</v>
      </c>
      <c r="C1558" s="9" t="s">
        <v>6839</v>
      </c>
      <c r="D1558" s="9" t="s">
        <v>6742</v>
      </c>
      <c r="E1558" s="9" t="s">
        <v>4936</v>
      </c>
      <c r="F1558" s="9" t="s">
        <v>4937</v>
      </c>
      <c r="G1558" s="9" t="s">
        <v>12</v>
      </c>
      <c r="H1558" s="9" t="s">
        <v>6267</v>
      </c>
      <c r="I1558" s="9"/>
      <c r="J1558" s="9" t="s">
        <v>73</v>
      </c>
      <c r="K1558" s="9"/>
      <c r="L1558" s="9"/>
      <c r="M1558" s="9" t="s">
        <v>4938</v>
      </c>
      <c r="N1558" s="9"/>
      <c r="O1558" s="9" t="s">
        <v>4939</v>
      </c>
      <c r="P1558" s="9" t="str">
        <f>HYPERLINK("https://ceds.ed.gov/cedselementdetails.aspx?termid=13583")</f>
        <v>https://ceds.ed.gov/cedselementdetails.aspx?termid=13583</v>
      </c>
      <c r="Q1558" s="9" t="str">
        <f>HYPERLINK("https://ceds.ed.gov/elementComment.aspx?elementName=Program Participation Start Date &amp;elementID=13583", "Click here to submit comment")</f>
        <v>Click here to submit comment</v>
      </c>
    </row>
    <row r="1559" spans="1:17" ht="45" x14ac:dyDescent="0.25">
      <c r="A1559" s="9" t="s">
        <v>6811</v>
      </c>
      <c r="B1559" s="9" t="s">
        <v>6825</v>
      </c>
      <c r="C1559" s="9" t="s">
        <v>6839</v>
      </c>
      <c r="D1559" s="9" t="s">
        <v>6742</v>
      </c>
      <c r="E1559" s="9" t="s">
        <v>4933</v>
      </c>
      <c r="F1559" s="9" t="s">
        <v>1641</v>
      </c>
      <c r="G1559" s="9" t="s">
        <v>12</v>
      </c>
      <c r="H1559" s="9" t="s">
        <v>6266</v>
      </c>
      <c r="I1559" s="9"/>
      <c r="J1559" s="9" t="s">
        <v>73</v>
      </c>
      <c r="K1559" s="9"/>
      <c r="L1559" s="9"/>
      <c r="M1559" s="9" t="s">
        <v>4934</v>
      </c>
      <c r="N1559" s="9"/>
      <c r="O1559" s="9" t="s">
        <v>4935</v>
      </c>
      <c r="P1559" s="9" t="str">
        <f>HYPERLINK("https://ceds.ed.gov/cedselementdetails.aspx?termid=13584")</f>
        <v>https://ceds.ed.gov/cedselementdetails.aspx?termid=13584</v>
      </c>
      <c r="Q1559" s="9" t="str">
        <f>HYPERLINK("https://ceds.ed.gov/elementComment.aspx?elementName=Program Participation Exit Date &amp;elementID=13584", "Click here to submit comment")</f>
        <v>Click here to submit comment</v>
      </c>
    </row>
    <row r="1560" spans="1:17" ht="120" x14ac:dyDescent="0.25">
      <c r="A1560" s="9" t="s">
        <v>6811</v>
      </c>
      <c r="B1560" s="9" t="s">
        <v>6825</v>
      </c>
      <c r="C1560" s="9" t="s">
        <v>6839</v>
      </c>
      <c r="D1560" s="9" t="s">
        <v>6742</v>
      </c>
      <c r="E1560" s="9" t="s">
        <v>4192</v>
      </c>
      <c r="F1560" s="9" t="s">
        <v>4193</v>
      </c>
      <c r="G1560" s="9" t="s">
        <v>12</v>
      </c>
      <c r="H1560" s="9" t="s">
        <v>1537</v>
      </c>
      <c r="I1560" s="9"/>
      <c r="J1560" s="9" t="s">
        <v>73</v>
      </c>
      <c r="K1560" s="9"/>
      <c r="L1560" s="9"/>
      <c r="M1560" s="9" t="s">
        <v>4194</v>
      </c>
      <c r="N1560" s="9" t="s">
        <v>4195</v>
      </c>
      <c r="O1560" s="9" t="s">
        <v>4196</v>
      </c>
      <c r="P1560" s="9" t="str">
        <f>HYPERLINK("https://ceds.ed.gov/cedselementdetails.aspx?termid=13420")</f>
        <v>https://ceds.ed.gov/cedselementdetails.aspx?termid=13420</v>
      </c>
      <c r="Q1560" s="9" t="str">
        <f>HYPERLINK("https://ceds.ed.gov/elementComment.aspx?elementName=Migrant Education Program Eligibility Expiration Date &amp;elementID=13420", "Click here to submit comment")</f>
        <v>Click here to submit comment</v>
      </c>
    </row>
    <row r="1561" spans="1:17" ht="45" x14ac:dyDescent="0.25">
      <c r="A1561" s="9" t="s">
        <v>6811</v>
      </c>
      <c r="B1561" s="9" t="s">
        <v>6825</v>
      </c>
      <c r="C1561" s="9" t="s">
        <v>6839</v>
      </c>
      <c r="D1561" s="9" t="s">
        <v>6742</v>
      </c>
      <c r="E1561" s="9" t="s">
        <v>4202</v>
      </c>
      <c r="F1561" s="9" t="s">
        <v>4203</v>
      </c>
      <c r="G1561" s="9" t="s">
        <v>6106</v>
      </c>
      <c r="H1561" s="9" t="s">
        <v>199</v>
      </c>
      <c r="I1561" s="9"/>
      <c r="J1561" s="9"/>
      <c r="K1561" s="9"/>
      <c r="L1561" s="9"/>
      <c r="M1561" s="9" t="s">
        <v>4204</v>
      </c>
      <c r="N1561" s="9" t="s">
        <v>4205</v>
      </c>
      <c r="O1561" s="9" t="s">
        <v>4206</v>
      </c>
      <c r="P1561" s="9" t="str">
        <f>HYPERLINK("https://ceds.ed.gov/cedselementdetails.aspx?termid=13185")</f>
        <v>https://ceds.ed.gov/cedselementdetails.aspx?termid=13185</v>
      </c>
      <c r="Q1561" s="9" t="str">
        <f>HYPERLINK("https://ceds.ed.gov/elementComment.aspx?elementName=Migrant Education Program Participation Status &amp;elementID=13185", "Click here to submit comment")</f>
        <v>Click here to submit comment</v>
      </c>
    </row>
    <row r="1562" spans="1:17" ht="150" x14ac:dyDescent="0.25">
      <c r="A1562" s="9" t="s">
        <v>6811</v>
      </c>
      <c r="B1562" s="9" t="s">
        <v>6825</v>
      </c>
      <c r="C1562" s="9" t="s">
        <v>6839</v>
      </c>
      <c r="D1562" s="9" t="s">
        <v>6742</v>
      </c>
      <c r="E1562" s="9" t="s">
        <v>4197</v>
      </c>
      <c r="F1562" s="9" t="s">
        <v>4198</v>
      </c>
      <c r="G1562" s="10" t="s">
        <v>6613</v>
      </c>
      <c r="H1562" s="9" t="s">
        <v>1537</v>
      </c>
      <c r="I1562" s="9"/>
      <c r="J1562" s="9"/>
      <c r="K1562" s="9"/>
      <c r="L1562" s="9"/>
      <c r="M1562" s="9" t="s">
        <v>4199</v>
      </c>
      <c r="N1562" s="9" t="s">
        <v>4200</v>
      </c>
      <c r="O1562" s="9" t="s">
        <v>4201</v>
      </c>
      <c r="P1562" s="9" t="str">
        <f>HYPERLINK("https://ceds.ed.gov/cedselementdetails.aspx?termid=13427")</f>
        <v>https://ceds.ed.gov/cedselementdetails.aspx?termid=13427</v>
      </c>
      <c r="Q1562" s="9" t="str">
        <f>HYPERLINK("https://ceds.ed.gov/elementComment.aspx?elementName=Migrant Education Program Enrollment Type &amp;elementID=13427", "Click here to submit comment")</f>
        <v>Click here to submit comment</v>
      </c>
    </row>
    <row r="1563" spans="1:17" ht="195" x14ac:dyDescent="0.25">
      <c r="A1563" s="9" t="s">
        <v>6811</v>
      </c>
      <c r="B1563" s="9" t="s">
        <v>6825</v>
      </c>
      <c r="C1563" s="9" t="s">
        <v>6839</v>
      </c>
      <c r="D1563" s="9" t="s">
        <v>6742</v>
      </c>
      <c r="E1563" s="9" t="s">
        <v>4222</v>
      </c>
      <c r="F1563" s="9" t="s">
        <v>4223</v>
      </c>
      <c r="G1563" s="10" t="s">
        <v>6616</v>
      </c>
      <c r="H1563" s="9" t="s">
        <v>199</v>
      </c>
      <c r="I1563" s="9"/>
      <c r="J1563" s="9"/>
      <c r="K1563" s="9"/>
      <c r="L1563" s="9"/>
      <c r="M1563" s="9" t="s">
        <v>4224</v>
      </c>
      <c r="N1563" s="9" t="s">
        <v>4225</v>
      </c>
      <c r="O1563" s="9" t="s">
        <v>4226</v>
      </c>
      <c r="P1563" s="9" t="str">
        <f>HYPERLINK("https://ceds.ed.gov/cedselementdetails.aspx?termid=13186")</f>
        <v>https://ceds.ed.gov/cedselementdetails.aspx?termid=13186</v>
      </c>
      <c r="Q1563" s="9" t="str">
        <f>HYPERLINK("https://ceds.ed.gov/elementComment.aspx?elementName=Migrant Education Program Services Type &amp;elementID=13186", "Click here to submit comment")</f>
        <v>Click here to submit comment</v>
      </c>
    </row>
    <row r="1564" spans="1:17" ht="75" x14ac:dyDescent="0.25">
      <c r="A1564" s="9" t="s">
        <v>6811</v>
      </c>
      <c r="B1564" s="9" t="s">
        <v>6825</v>
      </c>
      <c r="C1564" s="9" t="s">
        <v>6839</v>
      </c>
      <c r="D1564" s="9" t="s">
        <v>6742</v>
      </c>
      <c r="E1564" s="9" t="s">
        <v>4187</v>
      </c>
      <c r="F1564" s="9" t="s">
        <v>4188</v>
      </c>
      <c r="G1564" s="9" t="s">
        <v>6106</v>
      </c>
      <c r="H1564" s="9" t="s">
        <v>199</v>
      </c>
      <c r="I1564" s="9"/>
      <c r="J1564" s="9"/>
      <c r="K1564" s="9"/>
      <c r="L1564" s="9"/>
      <c r="M1564" s="9" t="s">
        <v>4189</v>
      </c>
      <c r="N1564" s="9" t="s">
        <v>4190</v>
      </c>
      <c r="O1564" s="9" t="s">
        <v>4191</v>
      </c>
      <c r="P1564" s="9" t="str">
        <f>HYPERLINK("https://ceds.ed.gov/cedselementdetails.aspx?termid=13555")</f>
        <v>https://ceds.ed.gov/cedselementdetails.aspx?termid=13555</v>
      </c>
      <c r="Q1564" s="9" t="str">
        <f>HYPERLINK("https://ceds.ed.gov/elementComment.aspx?elementName=Migrant Education Program Continuation of Services Status &amp;elementID=13555", "Click here to submit comment")</f>
        <v>Click here to submit comment</v>
      </c>
    </row>
    <row r="1565" spans="1:17" ht="120" x14ac:dyDescent="0.25">
      <c r="A1565" s="9" t="s">
        <v>6811</v>
      </c>
      <c r="B1565" s="9" t="s">
        <v>6825</v>
      </c>
      <c r="C1565" s="9" t="s">
        <v>6839</v>
      </c>
      <c r="D1565" s="9" t="s">
        <v>6742</v>
      </c>
      <c r="E1565" s="9" t="s">
        <v>1844</v>
      </c>
      <c r="F1565" s="9" t="s">
        <v>1845</v>
      </c>
      <c r="G1565" s="10" t="s">
        <v>6413</v>
      </c>
      <c r="H1565" s="9" t="s">
        <v>1537</v>
      </c>
      <c r="I1565" s="9"/>
      <c r="J1565" s="9"/>
      <c r="K1565" s="9"/>
      <c r="L1565" s="9"/>
      <c r="M1565" s="9" t="s">
        <v>1847</v>
      </c>
      <c r="N1565" s="9"/>
      <c r="O1565" s="9" t="s">
        <v>1848</v>
      </c>
      <c r="P1565" s="9" t="str">
        <f>HYPERLINK("https://ceds.ed.gov/cedselementdetails.aspx?termid=13419")</f>
        <v>https://ceds.ed.gov/cedselementdetails.aspx?termid=13419</v>
      </c>
      <c r="Q1565" s="9" t="str">
        <f>HYPERLINK("https://ceds.ed.gov/elementComment.aspx?elementName=Continuation of Services Reason &amp;elementID=13419", "Click here to submit comment")</f>
        <v>Click here to submit comment</v>
      </c>
    </row>
    <row r="1566" spans="1:17" ht="75" x14ac:dyDescent="0.25">
      <c r="A1566" s="9" t="s">
        <v>6811</v>
      </c>
      <c r="B1566" s="9" t="s">
        <v>6825</v>
      </c>
      <c r="C1566" s="9" t="s">
        <v>6839</v>
      </c>
      <c r="D1566" s="9" t="s">
        <v>6742</v>
      </c>
      <c r="E1566" s="9" t="s">
        <v>4212</v>
      </c>
      <c r="F1566" s="9" t="s">
        <v>4213</v>
      </c>
      <c r="G1566" s="10" t="s">
        <v>6614</v>
      </c>
      <c r="H1566" s="9" t="s">
        <v>1537</v>
      </c>
      <c r="I1566" s="9"/>
      <c r="J1566" s="9"/>
      <c r="K1566" s="9"/>
      <c r="L1566" s="9"/>
      <c r="M1566" s="9" t="s">
        <v>4214</v>
      </c>
      <c r="N1566" s="9" t="s">
        <v>4215</v>
      </c>
      <c r="O1566" s="9" t="s">
        <v>4216</v>
      </c>
      <c r="P1566" s="9" t="str">
        <f>HYPERLINK("https://ceds.ed.gov/cedselementdetails.aspx?termid=13430")</f>
        <v>https://ceds.ed.gov/cedselementdetails.aspx?termid=13430</v>
      </c>
      <c r="Q1566" s="9" t="str">
        <f>HYPERLINK("https://ceds.ed.gov/elementComment.aspx?elementName=Migrant Education Program Project Based &amp;elementID=13430", "Click here to submit comment")</f>
        <v>Click here to submit comment</v>
      </c>
    </row>
    <row r="1567" spans="1:17" ht="120" x14ac:dyDescent="0.25">
      <c r="A1567" s="9" t="s">
        <v>6811</v>
      </c>
      <c r="B1567" s="9" t="s">
        <v>6825</v>
      </c>
      <c r="C1567" s="9" t="s">
        <v>6839</v>
      </c>
      <c r="D1567" s="9" t="s">
        <v>6742</v>
      </c>
      <c r="E1567" s="9" t="s">
        <v>4238</v>
      </c>
      <c r="F1567" s="9" t="s">
        <v>4239</v>
      </c>
      <c r="G1567" s="9" t="s">
        <v>6106</v>
      </c>
      <c r="H1567" s="9" t="s">
        <v>199</v>
      </c>
      <c r="I1567" s="9"/>
      <c r="J1567" s="9"/>
      <c r="K1567" s="9"/>
      <c r="L1567" s="9"/>
      <c r="M1567" s="9" t="s">
        <v>4240</v>
      </c>
      <c r="N1567" s="9"/>
      <c r="O1567" s="9" t="s">
        <v>4241</v>
      </c>
      <c r="P1567" s="9" t="str">
        <f>HYPERLINK("https://ceds.ed.gov/cedselementdetails.aspx?termid=13554")</f>
        <v>https://ceds.ed.gov/cedselementdetails.aspx?termid=13554</v>
      </c>
      <c r="Q1567" s="9" t="str">
        <f>HYPERLINK("https://ceds.ed.gov/elementComment.aspx?elementName=Migrant Prioritized for Services &amp;elementID=13554", "Click here to submit comment")</f>
        <v>Click here to submit comment</v>
      </c>
    </row>
    <row r="1568" spans="1:17" ht="195" x14ac:dyDescent="0.25">
      <c r="A1568" s="9" t="s">
        <v>6811</v>
      </c>
      <c r="B1568" s="9" t="s">
        <v>6825</v>
      </c>
      <c r="C1568" s="9" t="s">
        <v>6839</v>
      </c>
      <c r="D1568" s="9" t="s">
        <v>6742</v>
      </c>
      <c r="E1568" s="9" t="s">
        <v>4246</v>
      </c>
      <c r="F1568" s="9" t="s">
        <v>4247</v>
      </c>
      <c r="G1568" s="9" t="s">
        <v>12</v>
      </c>
      <c r="H1568" s="9" t="s">
        <v>1537</v>
      </c>
      <c r="I1568" s="9"/>
      <c r="J1568" s="9" t="s">
        <v>73</v>
      </c>
      <c r="K1568" s="9"/>
      <c r="L1568" s="9"/>
      <c r="M1568" s="9" t="s">
        <v>4248</v>
      </c>
      <c r="N1568" s="9"/>
      <c r="O1568" s="9" t="s">
        <v>4249</v>
      </c>
      <c r="P1568" s="9" t="str">
        <f>HYPERLINK("https://ceds.ed.gov/cedselementdetails.aspx?termid=13422")</f>
        <v>https://ceds.ed.gov/cedselementdetails.aspx?termid=13422</v>
      </c>
      <c r="Q1568" s="9" t="str">
        <f>HYPERLINK("https://ceds.ed.gov/elementComment.aspx?elementName=Migrant Student Qualifying Arrival Date &amp;elementID=13422", "Click here to submit comment")</f>
        <v>Click here to submit comment</v>
      </c>
    </row>
    <row r="1569" spans="1:17" ht="45" x14ac:dyDescent="0.25">
      <c r="A1569" s="9" t="s">
        <v>6811</v>
      </c>
      <c r="B1569" s="9" t="s">
        <v>6825</v>
      </c>
      <c r="C1569" s="9" t="s">
        <v>6839</v>
      </c>
      <c r="D1569" s="9" t="s">
        <v>6742</v>
      </c>
      <c r="E1569" s="9" t="s">
        <v>3602</v>
      </c>
      <c r="F1569" s="9" t="s">
        <v>3603</v>
      </c>
      <c r="G1569" s="9" t="s">
        <v>12</v>
      </c>
      <c r="H1569" s="9" t="s">
        <v>199</v>
      </c>
      <c r="I1569" s="9"/>
      <c r="J1569" s="9" t="s">
        <v>73</v>
      </c>
      <c r="K1569" s="9"/>
      <c r="L1569" s="9"/>
      <c r="M1569" s="9" t="s">
        <v>3604</v>
      </c>
      <c r="N1569" s="9"/>
      <c r="O1569" s="9" t="s">
        <v>3605</v>
      </c>
      <c r="P1569" s="9" t="str">
        <f>HYPERLINK("https://ceds.ed.gov/cedselementdetails.aspx?termid=13171")</f>
        <v>https://ceds.ed.gov/cedselementdetails.aspx?termid=13171</v>
      </c>
      <c r="Q1569" s="9" t="str">
        <f>HYPERLINK("https://ceds.ed.gov/elementComment.aspx?elementName=Last Qualifying Move Date &amp;elementID=13171", "Click here to submit comment")</f>
        <v>Click here to submit comment</v>
      </c>
    </row>
    <row r="1570" spans="1:17" ht="45" x14ac:dyDescent="0.25">
      <c r="A1570" s="9" t="s">
        <v>6811</v>
      </c>
      <c r="B1570" s="9" t="s">
        <v>6825</v>
      </c>
      <c r="C1570" s="9" t="s">
        <v>6839</v>
      </c>
      <c r="D1570" s="9" t="s">
        <v>6742</v>
      </c>
      <c r="E1570" s="9" t="s">
        <v>5014</v>
      </c>
      <c r="F1570" s="9" t="s">
        <v>5015</v>
      </c>
      <c r="G1570" s="9" t="s">
        <v>12</v>
      </c>
      <c r="H1570" s="9" t="s">
        <v>1537</v>
      </c>
      <c r="I1570" s="9"/>
      <c r="J1570" s="9" t="s">
        <v>87</v>
      </c>
      <c r="K1570" s="9"/>
      <c r="L1570" s="9"/>
      <c r="M1570" s="9" t="s">
        <v>5016</v>
      </c>
      <c r="N1570" s="9"/>
      <c r="O1570" s="9" t="s">
        <v>5017</v>
      </c>
      <c r="P1570" s="9" t="str">
        <f>HYPERLINK("https://ceds.ed.gov/cedselementdetails.aspx?termid=13423")</f>
        <v>https://ceds.ed.gov/cedselementdetails.aspx?termid=13423</v>
      </c>
      <c r="Q1570" s="9" t="str">
        <f>HYPERLINK("https://ceds.ed.gov/elementComment.aspx?elementName=Qualifying Move From City &amp;elementID=13423", "Click here to submit comment")</f>
        <v>Click here to submit comment</v>
      </c>
    </row>
    <row r="1571" spans="1:17" ht="409.5" x14ac:dyDescent="0.25">
      <c r="A1571" s="9" t="s">
        <v>6811</v>
      </c>
      <c r="B1571" s="9" t="s">
        <v>6825</v>
      </c>
      <c r="C1571" s="9" t="s">
        <v>6839</v>
      </c>
      <c r="D1571" s="9" t="s">
        <v>6742</v>
      </c>
      <c r="E1571" s="9" t="s">
        <v>5018</v>
      </c>
      <c r="F1571" s="9" t="s">
        <v>5019</v>
      </c>
      <c r="G1571" s="10" t="s">
        <v>6418</v>
      </c>
      <c r="H1571" s="9" t="s">
        <v>1537</v>
      </c>
      <c r="I1571" s="9"/>
      <c r="J1571" s="9"/>
      <c r="K1571" s="9"/>
      <c r="L1571" s="11" t="s">
        <v>1887</v>
      </c>
      <c r="M1571" s="9" t="s">
        <v>5020</v>
      </c>
      <c r="N1571" s="9"/>
      <c r="O1571" s="9" t="s">
        <v>5021</v>
      </c>
      <c r="P1571" s="9" t="str">
        <f>HYPERLINK("https://ceds.ed.gov/cedselementdetails.aspx?termid=13424")</f>
        <v>https://ceds.ed.gov/cedselementdetails.aspx?termid=13424</v>
      </c>
      <c r="Q1571" s="9" t="str">
        <f>HYPERLINK("https://ceds.ed.gov/elementComment.aspx?elementName=Qualifying Move From Country &amp;elementID=13424", "Click here to submit comment")</f>
        <v>Click here to submit comment</v>
      </c>
    </row>
    <row r="1572" spans="1:17" ht="409.5" x14ac:dyDescent="0.25">
      <c r="A1572" s="9" t="s">
        <v>6811</v>
      </c>
      <c r="B1572" s="9" t="s">
        <v>6825</v>
      </c>
      <c r="C1572" s="9" t="s">
        <v>6839</v>
      </c>
      <c r="D1572" s="9" t="s">
        <v>6742</v>
      </c>
      <c r="E1572" s="9" t="s">
        <v>5022</v>
      </c>
      <c r="F1572" s="9" t="s">
        <v>5023</v>
      </c>
      <c r="G1572" s="10" t="s">
        <v>6702</v>
      </c>
      <c r="H1572" s="9" t="s">
        <v>1537</v>
      </c>
      <c r="I1572" s="9"/>
      <c r="J1572" s="9"/>
      <c r="K1572" s="9"/>
      <c r="L1572" s="9"/>
      <c r="M1572" s="9" t="s">
        <v>5024</v>
      </c>
      <c r="N1572" s="9"/>
      <c r="O1572" s="9" t="s">
        <v>5025</v>
      </c>
      <c r="P1572" s="9" t="str">
        <f>HYPERLINK("https://ceds.ed.gov/cedselementdetails.aspx?termid=13425")</f>
        <v>https://ceds.ed.gov/cedselementdetails.aspx?termid=13425</v>
      </c>
      <c r="Q1572" s="9" t="str">
        <f>HYPERLINK("https://ceds.ed.gov/elementComment.aspx?elementName=Qualifying Move From State &amp;elementID=13425", "Click here to submit comment")</f>
        <v>Click here to submit comment</v>
      </c>
    </row>
    <row r="1573" spans="1:17" ht="105" x14ac:dyDescent="0.25">
      <c r="A1573" s="18" t="s">
        <v>6811</v>
      </c>
      <c r="B1573" s="18" t="s">
        <v>6825</v>
      </c>
      <c r="C1573" s="18" t="s">
        <v>6839</v>
      </c>
      <c r="D1573" s="18" t="s">
        <v>6742</v>
      </c>
      <c r="E1573" s="18" t="s">
        <v>2242</v>
      </c>
      <c r="F1573" s="18" t="s">
        <v>2243</v>
      </c>
      <c r="G1573" s="18" t="s">
        <v>12</v>
      </c>
      <c r="H1573" s="18" t="s">
        <v>1537</v>
      </c>
      <c r="I1573" s="18"/>
      <c r="J1573" s="18" t="s">
        <v>119</v>
      </c>
      <c r="K1573" s="18"/>
      <c r="L1573" s="9" t="s">
        <v>120</v>
      </c>
      <c r="M1573" s="18" t="s">
        <v>2244</v>
      </c>
      <c r="N1573" s="18"/>
      <c r="O1573" s="18" t="s">
        <v>2245</v>
      </c>
      <c r="P1573" s="18" t="str">
        <f>HYPERLINK("https://ceds.ed.gov/cedselementdetails.aspx?termid=13426")</f>
        <v>https://ceds.ed.gov/cedselementdetails.aspx?termid=13426</v>
      </c>
      <c r="Q1573" s="18" t="str">
        <f>HYPERLINK("https://ceds.ed.gov/elementComment.aspx?elementName=Designated Graduation School Identifier &amp;elementID=13426", "Click here to submit comment")</f>
        <v>Click here to submit comment</v>
      </c>
    </row>
    <row r="1574" spans="1:17" x14ac:dyDescent="0.25">
      <c r="A1574" s="18"/>
      <c r="B1574" s="18"/>
      <c r="C1574" s="18"/>
      <c r="D1574" s="18"/>
      <c r="E1574" s="18"/>
      <c r="F1574" s="18"/>
      <c r="G1574" s="18"/>
      <c r="H1574" s="18"/>
      <c r="I1574" s="18"/>
      <c r="J1574" s="18"/>
      <c r="K1574" s="18"/>
      <c r="L1574" s="9"/>
      <c r="M1574" s="18"/>
      <c r="N1574" s="18"/>
      <c r="O1574" s="18"/>
      <c r="P1574" s="18"/>
      <c r="Q1574" s="18"/>
    </row>
    <row r="1575" spans="1:17" ht="90" x14ac:dyDescent="0.25">
      <c r="A1575" s="18"/>
      <c r="B1575" s="18"/>
      <c r="C1575" s="18"/>
      <c r="D1575" s="18"/>
      <c r="E1575" s="18"/>
      <c r="F1575" s="18"/>
      <c r="G1575" s="18"/>
      <c r="H1575" s="18"/>
      <c r="I1575" s="18"/>
      <c r="J1575" s="18"/>
      <c r="K1575" s="18"/>
      <c r="L1575" s="9" t="s">
        <v>121</v>
      </c>
      <c r="M1575" s="18"/>
      <c r="N1575" s="18"/>
      <c r="O1575" s="18"/>
      <c r="P1575" s="18"/>
      <c r="Q1575" s="18"/>
    </row>
    <row r="1576" spans="1:17" ht="45" x14ac:dyDescent="0.25">
      <c r="A1576" s="9" t="s">
        <v>6811</v>
      </c>
      <c r="B1576" s="9" t="s">
        <v>6825</v>
      </c>
      <c r="C1576" s="9" t="s">
        <v>6839</v>
      </c>
      <c r="D1576" s="9" t="s">
        <v>6742</v>
      </c>
      <c r="E1576" s="9" t="s">
        <v>1533</v>
      </c>
      <c r="F1576" s="9" t="s">
        <v>1534</v>
      </c>
      <c r="G1576" s="9" t="s">
        <v>12</v>
      </c>
      <c r="H1576" s="9" t="s">
        <v>1537</v>
      </c>
      <c r="I1576" s="9"/>
      <c r="J1576" s="9" t="s">
        <v>92</v>
      </c>
      <c r="K1576" s="9"/>
      <c r="L1576" s="9"/>
      <c r="M1576" s="9" t="s">
        <v>1535</v>
      </c>
      <c r="N1576" s="9"/>
      <c r="O1576" s="9" t="s">
        <v>1536</v>
      </c>
      <c r="P1576" s="9" t="str">
        <f>HYPERLINK("https://ceds.ed.gov/cedselementdetails.aspx?termid=13418")</f>
        <v>https://ceds.ed.gov/cedselementdetails.aspx?termid=13418</v>
      </c>
      <c r="Q1576" s="9" t="str">
        <f>HYPERLINK("https://ceds.ed.gov/elementComment.aspx?elementName=Birthdate Verification &amp;elementID=13418", "Click here to submit comment")</f>
        <v>Click here to submit comment</v>
      </c>
    </row>
    <row r="1577" spans="1:17" ht="45" x14ac:dyDescent="0.25">
      <c r="A1577" s="9" t="s">
        <v>6811</v>
      </c>
      <c r="B1577" s="9" t="s">
        <v>6825</v>
      </c>
      <c r="C1577" s="9" t="s">
        <v>6839</v>
      </c>
      <c r="D1577" s="9" t="s">
        <v>6742</v>
      </c>
      <c r="E1577" s="9" t="s">
        <v>3243</v>
      </c>
      <c r="F1577" s="9" t="s">
        <v>3244</v>
      </c>
      <c r="G1577" s="9" t="s">
        <v>6106</v>
      </c>
      <c r="H1577" s="9" t="s">
        <v>1537</v>
      </c>
      <c r="I1577" s="9"/>
      <c r="J1577" s="9"/>
      <c r="K1577" s="9"/>
      <c r="L1577" s="9"/>
      <c r="M1577" s="9" t="s">
        <v>3245</v>
      </c>
      <c r="N1577" s="9"/>
      <c r="O1577" s="9" t="s">
        <v>3246</v>
      </c>
      <c r="P1577" s="9" t="str">
        <f>HYPERLINK("https://ceds.ed.gov/cedselementdetails.aspx?termid=13428")</f>
        <v>https://ceds.ed.gov/cedselementdetails.aspx?termid=13428</v>
      </c>
      <c r="Q1577" s="9" t="str">
        <f>HYPERLINK("https://ceds.ed.gov/elementComment.aspx?elementName=Immunization Record Flag &amp;elementID=13428", "Click here to submit comment")</f>
        <v>Click here to submit comment</v>
      </c>
    </row>
    <row r="1578" spans="1:17" ht="45" x14ac:dyDescent="0.25">
      <c r="A1578" s="9" t="s">
        <v>6811</v>
      </c>
      <c r="B1578" s="9" t="s">
        <v>6825</v>
      </c>
      <c r="C1578" s="9" t="s">
        <v>6839</v>
      </c>
      <c r="D1578" s="9" t="s">
        <v>6742</v>
      </c>
      <c r="E1578" s="9" t="s">
        <v>4284</v>
      </c>
      <c r="F1578" s="9" t="s">
        <v>4285</v>
      </c>
      <c r="G1578" s="9" t="s">
        <v>6106</v>
      </c>
      <c r="H1578" s="9" t="s">
        <v>1537</v>
      </c>
      <c r="I1578" s="9"/>
      <c r="J1578" s="9"/>
      <c r="K1578" s="9"/>
      <c r="L1578" s="9"/>
      <c r="M1578" s="9" t="s">
        <v>4286</v>
      </c>
      <c r="N1578" s="9"/>
      <c r="O1578" s="9" t="s">
        <v>4287</v>
      </c>
      <c r="P1578" s="9" t="str">
        <f>HYPERLINK("https://ceds.ed.gov/cedselementdetails.aspx?termid=13421")</f>
        <v>https://ceds.ed.gov/cedselementdetails.aspx?termid=13421</v>
      </c>
      <c r="Q1578" s="9" t="str">
        <f>HYPERLINK("https://ceds.ed.gov/elementComment.aspx?elementName=Multiple Birth Indicator &amp;elementID=13421", "Click here to submit comment")</f>
        <v>Click here to submit comment</v>
      </c>
    </row>
    <row r="1579" spans="1:17" ht="150" x14ac:dyDescent="0.25">
      <c r="A1579" s="9" t="s">
        <v>6811</v>
      </c>
      <c r="B1579" s="9" t="s">
        <v>6825</v>
      </c>
      <c r="C1579" s="9" t="s">
        <v>6840</v>
      </c>
      <c r="D1579" s="9" t="s">
        <v>6742</v>
      </c>
      <c r="E1579" s="9" t="s">
        <v>4338</v>
      </c>
      <c r="F1579" s="9" t="s">
        <v>4339</v>
      </c>
      <c r="G1579" s="10" t="s">
        <v>6625</v>
      </c>
      <c r="H1579" s="9" t="s">
        <v>199</v>
      </c>
      <c r="I1579" s="9"/>
      <c r="J1579" s="9"/>
      <c r="K1579" s="9"/>
      <c r="L1579" s="9"/>
      <c r="M1579" s="9" t="s">
        <v>4340</v>
      </c>
      <c r="N1579" s="9"/>
      <c r="O1579" s="9" t="s">
        <v>4341</v>
      </c>
      <c r="P1579" s="9" t="str">
        <f>HYPERLINK("https://ceds.ed.gov/cedselementdetails.aspx?termid=13194")</f>
        <v>https://ceds.ed.gov/cedselementdetails.aspx?termid=13194</v>
      </c>
      <c r="Q1579" s="9" t="str">
        <f>HYPERLINK("https://ceds.ed.gov/elementComment.aspx?elementName=Neglected or Delinquent Program Type &amp;elementID=13194", "Click here to submit comment")</f>
        <v>Click here to submit comment</v>
      </c>
    </row>
    <row r="1580" spans="1:17" ht="105" x14ac:dyDescent="0.25">
      <c r="A1580" s="9" t="s">
        <v>6811</v>
      </c>
      <c r="B1580" s="9" t="s">
        <v>6825</v>
      </c>
      <c r="C1580" s="9" t="s">
        <v>6840</v>
      </c>
      <c r="D1580" s="9" t="s">
        <v>6742</v>
      </c>
      <c r="E1580" s="9" t="s">
        <v>4342</v>
      </c>
      <c r="F1580" s="9" t="s">
        <v>11640</v>
      </c>
      <c r="G1580" s="9" t="s">
        <v>6213</v>
      </c>
      <c r="H1580" s="9" t="s">
        <v>6155</v>
      </c>
      <c r="I1580" s="9" t="s">
        <v>91</v>
      </c>
      <c r="J1580" s="9"/>
      <c r="K1580" s="9" t="s">
        <v>11641</v>
      </c>
      <c r="L1580" s="9"/>
      <c r="M1580" s="9" t="s">
        <v>4343</v>
      </c>
      <c r="N1580" s="9"/>
      <c r="O1580" s="9" t="s">
        <v>4344</v>
      </c>
      <c r="P1580" s="9" t="str">
        <f>HYPERLINK("https://ceds.ed.gov/cedselementdetails.aspx?termid=13193")</f>
        <v>https://ceds.ed.gov/cedselementdetails.aspx?termid=13193</v>
      </c>
      <c r="Q1580" s="9" t="str">
        <f>HYPERLINK("https://ceds.ed.gov/elementComment.aspx?elementName=Neglected or Delinquent Status &amp;elementID=13193", "Click here to submit comment")</f>
        <v>Click here to submit comment</v>
      </c>
    </row>
    <row r="1581" spans="1:17" ht="60" x14ac:dyDescent="0.25">
      <c r="A1581" s="9" t="s">
        <v>6811</v>
      </c>
      <c r="B1581" s="9" t="s">
        <v>6825</v>
      </c>
      <c r="C1581" s="9" t="s">
        <v>6840</v>
      </c>
      <c r="D1581" s="9" t="s">
        <v>6742</v>
      </c>
      <c r="E1581" s="9" t="s">
        <v>4936</v>
      </c>
      <c r="F1581" s="9" t="s">
        <v>4937</v>
      </c>
      <c r="G1581" s="9" t="s">
        <v>12</v>
      </c>
      <c r="H1581" s="9" t="s">
        <v>6267</v>
      </c>
      <c r="I1581" s="9"/>
      <c r="J1581" s="9" t="s">
        <v>73</v>
      </c>
      <c r="K1581" s="9"/>
      <c r="L1581" s="9"/>
      <c r="M1581" s="9" t="s">
        <v>4938</v>
      </c>
      <c r="N1581" s="9"/>
      <c r="O1581" s="9" t="s">
        <v>4939</v>
      </c>
      <c r="P1581" s="9" t="str">
        <f>HYPERLINK("https://ceds.ed.gov/cedselementdetails.aspx?termid=13583")</f>
        <v>https://ceds.ed.gov/cedselementdetails.aspx?termid=13583</v>
      </c>
      <c r="Q1581" s="9" t="str">
        <f>HYPERLINK("https://ceds.ed.gov/elementComment.aspx?elementName=Program Participation Start Date &amp;elementID=13583", "Click here to submit comment")</f>
        <v>Click here to submit comment</v>
      </c>
    </row>
    <row r="1582" spans="1:17" ht="45" x14ac:dyDescent="0.25">
      <c r="A1582" s="9" t="s">
        <v>6811</v>
      </c>
      <c r="B1582" s="9" t="s">
        <v>6825</v>
      </c>
      <c r="C1582" s="9" t="s">
        <v>6840</v>
      </c>
      <c r="D1582" s="9" t="s">
        <v>6742</v>
      </c>
      <c r="E1582" s="9" t="s">
        <v>4933</v>
      </c>
      <c r="F1582" s="9" t="s">
        <v>1641</v>
      </c>
      <c r="G1582" s="9" t="s">
        <v>12</v>
      </c>
      <c r="H1582" s="9" t="s">
        <v>6266</v>
      </c>
      <c r="I1582" s="9"/>
      <c r="J1582" s="9" t="s">
        <v>73</v>
      </c>
      <c r="K1582" s="9"/>
      <c r="L1582" s="9"/>
      <c r="M1582" s="9" t="s">
        <v>4934</v>
      </c>
      <c r="N1582" s="9"/>
      <c r="O1582" s="9" t="s">
        <v>4935</v>
      </c>
      <c r="P1582" s="9" t="str">
        <f>HYPERLINK("https://ceds.ed.gov/cedselementdetails.aspx?termid=13584")</f>
        <v>https://ceds.ed.gov/cedselementdetails.aspx?termid=13584</v>
      </c>
      <c r="Q1582" s="9" t="str">
        <f>HYPERLINK("https://ceds.ed.gov/elementComment.aspx?elementName=Program Participation Exit Date &amp;elementID=13584", "Click here to submit comment")</f>
        <v>Click here to submit comment</v>
      </c>
    </row>
    <row r="1583" spans="1:17" ht="90" x14ac:dyDescent="0.25">
      <c r="A1583" s="18" t="s">
        <v>6811</v>
      </c>
      <c r="B1583" s="18" t="s">
        <v>6825</v>
      </c>
      <c r="C1583" s="18" t="s">
        <v>6840</v>
      </c>
      <c r="D1583" s="18" t="s">
        <v>6742</v>
      </c>
      <c r="E1583" s="18" t="s">
        <v>4323</v>
      </c>
      <c r="F1583" s="18" t="s">
        <v>4324</v>
      </c>
      <c r="G1583" s="18" t="s">
        <v>6106</v>
      </c>
      <c r="H1583" s="18" t="s">
        <v>199</v>
      </c>
      <c r="I1583" s="18"/>
      <c r="J1583" s="18"/>
      <c r="K1583" s="18"/>
      <c r="L1583" s="9" t="s">
        <v>4326</v>
      </c>
      <c r="M1583" s="18" t="s">
        <v>4328</v>
      </c>
      <c r="N1583" s="18"/>
      <c r="O1583" s="18" t="s">
        <v>4329</v>
      </c>
      <c r="P1583" s="18" t="str">
        <f>HYPERLINK("https://ceds.ed.gov/cedselementdetails.aspx?termid=13636")</f>
        <v>https://ceds.ed.gov/cedselementdetails.aspx?termid=13636</v>
      </c>
      <c r="Q1583" s="18" t="str">
        <f>HYPERLINK("https://ceds.ed.gov/elementComment.aspx?elementName=Neglected or Delinquent Academic Achievement Indicator &amp;elementID=13636", "Click here to submit comment")</f>
        <v>Click here to submit comment</v>
      </c>
    </row>
    <row r="1584" spans="1:17" ht="105" x14ac:dyDescent="0.25">
      <c r="A1584" s="18"/>
      <c r="B1584" s="18"/>
      <c r="C1584" s="18"/>
      <c r="D1584" s="18"/>
      <c r="E1584" s="18"/>
      <c r="F1584" s="18"/>
      <c r="G1584" s="18"/>
      <c r="H1584" s="18"/>
      <c r="I1584" s="18"/>
      <c r="J1584" s="18"/>
      <c r="K1584" s="18"/>
      <c r="L1584" s="9" t="s">
        <v>4327</v>
      </c>
      <c r="M1584" s="18"/>
      <c r="N1584" s="18"/>
      <c r="O1584" s="18"/>
      <c r="P1584" s="18"/>
      <c r="Q1584" s="18"/>
    </row>
    <row r="1585" spans="1:17" ht="90" x14ac:dyDescent="0.25">
      <c r="A1585" s="18" t="s">
        <v>6811</v>
      </c>
      <c r="B1585" s="18" t="s">
        <v>6825</v>
      </c>
      <c r="C1585" s="18" t="s">
        <v>6840</v>
      </c>
      <c r="D1585" s="18" t="s">
        <v>6742</v>
      </c>
      <c r="E1585" s="18" t="s">
        <v>4330</v>
      </c>
      <c r="F1585" s="18" t="s">
        <v>4331</v>
      </c>
      <c r="G1585" s="18" t="s">
        <v>6106</v>
      </c>
      <c r="H1585" s="18" t="s">
        <v>199</v>
      </c>
      <c r="I1585" s="18"/>
      <c r="J1585" s="18"/>
      <c r="K1585" s="18"/>
      <c r="L1585" s="9" t="s">
        <v>4326</v>
      </c>
      <c r="M1585" s="18" t="s">
        <v>4332</v>
      </c>
      <c r="N1585" s="18"/>
      <c r="O1585" s="18" t="s">
        <v>4333</v>
      </c>
      <c r="P1585" s="18" t="str">
        <f>HYPERLINK("https://ceds.ed.gov/cedselementdetails.aspx?termid=13638")</f>
        <v>https://ceds.ed.gov/cedselementdetails.aspx?termid=13638</v>
      </c>
      <c r="Q1585" s="18" t="str">
        <f>HYPERLINK("https://ceds.ed.gov/elementComment.aspx?elementName=Neglected or Delinquent Academic Outcome Indicator &amp;elementID=13638", "Click here to submit comment")</f>
        <v>Click here to submit comment</v>
      </c>
    </row>
    <row r="1586" spans="1:17" ht="105" x14ac:dyDescent="0.25">
      <c r="A1586" s="18"/>
      <c r="B1586" s="18"/>
      <c r="C1586" s="18"/>
      <c r="D1586" s="18"/>
      <c r="E1586" s="18"/>
      <c r="F1586" s="18"/>
      <c r="G1586" s="18"/>
      <c r="H1586" s="18"/>
      <c r="I1586" s="18"/>
      <c r="J1586" s="18"/>
      <c r="K1586" s="18"/>
      <c r="L1586" s="9" t="s">
        <v>4327</v>
      </c>
      <c r="M1586" s="18"/>
      <c r="N1586" s="18"/>
      <c r="O1586" s="18"/>
      <c r="P1586" s="18"/>
      <c r="Q1586" s="18"/>
    </row>
    <row r="1587" spans="1:17" ht="45" x14ac:dyDescent="0.25">
      <c r="A1587" s="9" t="s">
        <v>6811</v>
      </c>
      <c r="B1587" s="9" t="s">
        <v>6825</v>
      </c>
      <c r="C1587" s="9" t="s">
        <v>6840</v>
      </c>
      <c r="D1587" s="9" t="s">
        <v>6742</v>
      </c>
      <c r="E1587" s="9" t="s">
        <v>4334</v>
      </c>
      <c r="F1587" s="9" t="s">
        <v>4335</v>
      </c>
      <c r="G1587" s="9" t="s">
        <v>6106</v>
      </c>
      <c r="H1587" s="9" t="s">
        <v>188</v>
      </c>
      <c r="I1587" s="9"/>
      <c r="J1587" s="9"/>
      <c r="K1587" s="9"/>
      <c r="L1587" s="9"/>
      <c r="M1587" s="9" t="s">
        <v>4336</v>
      </c>
      <c r="N1587" s="9"/>
      <c r="O1587" s="9" t="s">
        <v>4337</v>
      </c>
      <c r="P1587" s="9" t="str">
        <f>HYPERLINK("https://ceds.ed.gov/cedselementdetails.aspx?termid=13475")</f>
        <v>https://ceds.ed.gov/cedselementdetails.aspx?termid=13475</v>
      </c>
      <c r="Q1587" s="9" t="str">
        <f>HYPERLINK("https://ceds.ed.gov/elementComment.aspx?elementName=Neglected or Delinquent Obtained Employment &amp;elementID=13475", "Click here to submit comment")</f>
        <v>Click here to submit comment</v>
      </c>
    </row>
    <row r="1588" spans="1:17" ht="409.5" x14ac:dyDescent="0.25">
      <c r="A1588" s="9" t="s">
        <v>6811</v>
      </c>
      <c r="B1588" s="9" t="s">
        <v>6825</v>
      </c>
      <c r="C1588" s="9" t="s">
        <v>6769</v>
      </c>
      <c r="D1588" s="9" t="s">
        <v>6742</v>
      </c>
      <c r="E1588" s="9" t="s">
        <v>4969</v>
      </c>
      <c r="F1588" s="9" t="s">
        <v>4970</v>
      </c>
      <c r="G1588" s="10" t="s">
        <v>11907</v>
      </c>
      <c r="H1588" s="9" t="s">
        <v>6109</v>
      </c>
      <c r="I1588" s="9"/>
      <c r="J1588" s="9"/>
      <c r="K1588" s="9"/>
      <c r="L1588" s="9"/>
      <c r="M1588" s="9" t="s">
        <v>4971</v>
      </c>
      <c r="N1588" s="9"/>
      <c r="O1588" s="9" t="s">
        <v>4972</v>
      </c>
      <c r="P1588" s="9" t="str">
        <f>HYPERLINK("https://ceds.ed.gov/cedselementdetails.aspx?termid=13225")</f>
        <v>https://ceds.ed.gov/cedselementdetails.aspx?termid=13225</v>
      </c>
      <c r="Q1588" s="9" t="str">
        <f>HYPERLINK("https://ceds.ed.gov/elementComment.aspx?elementName=Program Type &amp;elementID=13225", "Click here to submit comment")</f>
        <v>Click here to submit comment</v>
      </c>
    </row>
    <row r="1589" spans="1:17" ht="105" x14ac:dyDescent="0.25">
      <c r="A1589" s="18" t="s">
        <v>6811</v>
      </c>
      <c r="B1589" s="18" t="s">
        <v>6825</v>
      </c>
      <c r="C1589" s="18" t="s">
        <v>6769</v>
      </c>
      <c r="D1589" s="18" t="s">
        <v>6742</v>
      </c>
      <c r="E1589" s="18" t="s">
        <v>4913</v>
      </c>
      <c r="F1589" s="18" t="s">
        <v>4914</v>
      </c>
      <c r="G1589" s="18" t="s">
        <v>12</v>
      </c>
      <c r="H1589" s="18" t="s">
        <v>1963</v>
      </c>
      <c r="I1589" s="18"/>
      <c r="J1589" s="18" t="s">
        <v>119</v>
      </c>
      <c r="K1589" s="18"/>
      <c r="L1589" s="9" t="s">
        <v>120</v>
      </c>
      <c r="M1589" s="18" t="s">
        <v>4915</v>
      </c>
      <c r="N1589" s="18"/>
      <c r="O1589" s="18" t="s">
        <v>4916</v>
      </c>
      <c r="P1589" s="18" t="str">
        <f>HYPERLINK("https://ceds.ed.gov/cedselementdetails.aspx?termid=13618")</f>
        <v>https://ceds.ed.gov/cedselementdetails.aspx?termid=13618</v>
      </c>
      <c r="Q1589" s="18" t="str">
        <f>HYPERLINK("https://ceds.ed.gov/elementComment.aspx?elementName=Program Identifier &amp;elementID=13618", "Click here to submit comment")</f>
        <v>Click here to submit comment</v>
      </c>
    </row>
    <row r="1590" spans="1:17" x14ac:dyDescent="0.25">
      <c r="A1590" s="18"/>
      <c r="B1590" s="18"/>
      <c r="C1590" s="18"/>
      <c r="D1590" s="18"/>
      <c r="E1590" s="18"/>
      <c r="F1590" s="18"/>
      <c r="G1590" s="18"/>
      <c r="H1590" s="18"/>
      <c r="I1590" s="18"/>
      <c r="J1590" s="18"/>
      <c r="K1590" s="18"/>
      <c r="L1590" s="9"/>
      <c r="M1590" s="18"/>
      <c r="N1590" s="18"/>
      <c r="O1590" s="18"/>
      <c r="P1590" s="18"/>
      <c r="Q1590" s="18"/>
    </row>
    <row r="1591" spans="1:17" ht="90" x14ac:dyDescent="0.25">
      <c r="A1591" s="18"/>
      <c r="B1591" s="18"/>
      <c r="C1591" s="18"/>
      <c r="D1591" s="18"/>
      <c r="E1591" s="18"/>
      <c r="F1591" s="18"/>
      <c r="G1591" s="18"/>
      <c r="H1591" s="18"/>
      <c r="I1591" s="18"/>
      <c r="J1591" s="18"/>
      <c r="K1591" s="18"/>
      <c r="L1591" s="9" t="s">
        <v>121</v>
      </c>
      <c r="M1591" s="18"/>
      <c r="N1591" s="18"/>
      <c r="O1591" s="18"/>
      <c r="P1591" s="18"/>
      <c r="Q1591" s="18"/>
    </row>
    <row r="1592" spans="1:17" ht="60" x14ac:dyDescent="0.25">
      <c r="A1592" s="9" t="s">
        <v>6811</v>
      </c>
      <c r="B1592" s="9" t="s">
        <v>6825</v>
      </c>
      <c r="C1592" s="9" t="s">
        <v>6769</v>
      </c>
      <c r="D1592" s="9" t="s">
        <v>6742</v>
      </c>
      <c r="E1592" s="9" t="s">
        <v>4929</v>
      </c>
      <c r="F1592" s="9" t="s">
        <v>4930</v>
      </c>
      <c r="G1592" s="9" t="s">
        <v>12</v>
      </c>
      <c r="H1592" s="9" t="s">
        <v>1963</v>
      </c>
      <c r="I1592" s="9"/>
      <c r="J1592" s="9" t="s">
        <v>92</v>
      </c>
      <c r="K1592" s="9"/>
      <c r="L1592" s="9"/>
      <c r="M1592" s="9" t="s">
        <v>4931</v>
      </c>
      <c r="N1592" s="9"/>
      <c r="O1592" s="9" t="s">
        <v>4932</v>
      </c>
      <c r="P1592" s="9" t="str">
        <f>HYPERLINK("https://ceds.ed.gov/cedselementdetails.aspx?termid=13619")</f>
        <v>https://ceds.ed.gov/cedselementdetails.aspx?termid=13619</v>
      </c>
      <c r="Q1592" s="9" t="str">
        <f>HYPERLINK("https://ceds.ed.gov/elementComment.aspx?elementName=Program Name &amp;elementID=13619", "Click here to submit comment")</f>
        <v>Click here to submit comment</v>
      </c>
    </row>
    <row r="1593" spans="1:17" ht="135" x14ac:dyDescent="0.25">
      <c r="A1593" s="9" t="s">
        <v>6811</v>
      </c>
      <c r="B1593" s="9" t="s">
        <v>6825</v>
      </c>
      <c r="C1593" s="9" t="s">
        <v>6769</v>
      </c>
      <c r="D1593" s="9" t="s">
        <v>6742</v>
      </c>
      <c r="E1593" s="9" t="s">
        <v>4940</v>
      </c>
      <c r="F1593" s="9" t="s">
        <v>4941</v>
      </c>
      <c r="G1593" s="10" t="s">
        <v>6664</v>
      </c>
      <c r="H1593" s="9" t="s">
        <v>1963</v>
      </c>
      <c r="I1593" s="9"/>
      <c r="J1593" s="9"/>
      <c r="K1593" s="9"/>
      <c r="L1593" s="9"/>
      <c r="M1593" s="9" t="s">
        <v>4942</v>
      </c>
      <c r="N1593" s="9"/>
      <c r="O1593" s="9" t="s">
        <v>4943</v>
      </c>
      <c r="P1593" s="9" t="str">
        <f>HYPERLINK("https://ceds.ed.gov/cedselementdetails.aspx?termid=14209")</f>
        <v>https://ceds.ed.gov/cedselementdetails.aspx?termid=14209</v>
      </c>
      <c r="Q1593" s="9" t="str">
        <f>HYPERLINK("https://ceds.ed.gov/elementComment.aspx?elementName=Program Participation Status &amp;elementID=14209", "Click here to submit comment")</f>
        <v>Click here to submit comment</v>
      </c>
    </row>
    <row r="1594" spans="1:17" ht="60" x14ac:dyDescent="0.25">
      <c r="A1594" s="9" t="s">
        <v>6811</v>
      </c>
      <c r="B1594" s="9" t="s">
        <v>6825</v>
      </c>
      <c r="C1594" s="9" t="s">
        <v>6769</v>
      </c>
      <c r="D1594" s="9" t="s">
        <v>6742</v>
      </c>
      <c r="E1594" s="9" t="s">
        <v>4936</v>
      </c>
      <c r="F1594" s="9" t="s">
        <v>4937</v>
      </c>
      <c r="G1594" s="9" t="s">
        <v>12</v>
      </c>
      <c r="H1594" s="9" t="s">
        <v>6267</v>
      </c>
      <c r="I1594" s="9"/>
      <c r="J1594" s="9" t="s">
        <v>73</v>
      </c>
      <c r="K1594" s="9"/>
      <c r="L1594" s="9"/>
      <c r="M1594" s="9" t="s">
        <v>4938</v>
      </c>
      <c r="N1594" s="9"/>
      <c r="O1594" s="9" t="s">
        <v>4939</v>
      </c>
      <c r="P1594" s="9" t="str">
        <f>HYPERLINK("https://ceds.ed.gov/cedselementdetails.aspx?termid=13583")</f>
        <v>https://ceds.ed.gov/cedselementdetails.aspx?termid=13583</v>
      </c>
      <c r="Q1594" s="9" t="str">
        <f>HYPERLINK("https://ceds.ed.gov/elementComment.aspx?elementName=Program Participation Start Date &amp;elementID=13583", "Click here to submit comment")</f>
        <v>Click here to submit comment</v>
      </c>
    </row>
    <row r="1595" spans="1:17" ht="45" x14ac:dyDescent="0.25">
      <c r="A1595" s="9" t="s">
        <v>6811</v>
      </c>
      <c r="B1595" s="9" t="s">
        <v>6825</v>
      </c>
      <c r="C1595" s="9" t="s">
        <v>6769</v>
      </c>
      <c r="D1595" s="9" t="s">
        <v>6742</v>
      </c>
      <c r="E1595" s="9" t="s">
        <v>4933</v>
      </c>
      <c r="F1595" s="9" t="s">
        <v>1641</v>
      </c>
      <c r="G1595" s="9" t="s">
        <v>12</v>
      </c>
      <c r="H1595" s="9" t="s">
        <v>6266</v>
      </c>
      <c r="I1595" s="9"/>
      <c r="J1595" s="9" t="s">
        <v>73</v>
      </c>
      <c r="K1595" s="9"/>
      <c r="L1595" s="9"/>
      <c r="M1595" s="9" t="s">
        <v>4934</v>
      </c>
      <c r="N1595" s="9"/>
      <c r="O1595" s="9" t="s">
        <v>4935</v>
      </c>
      <c r="P1595" s="9" t="str">
        <f>HYPERLINK("https://ceds.ed.gov/cedselementdetails.aspx?termid=13584")</f>
        <v>https://ceds.ed.gov/cedselementdetails.aspx?termid=13584</v>
      </c>
      <c r="Q1595" s="9" t="str">
        <f>HYPERLINK("https://ceds.ed.gov/elementComment.aspx?elementName=Program Participation Exit Date &amp;elementID=13584", "Click here to submit comment")</f>
        <v>Click here to submit comment</v>
      </c>
    </row>
    <row r="1596" spans="1:17" ht="409.5" x14ac:dyDescent="0.25">
      <c r="A1596" s="9" t="s">
        <v>6811</v>
      </c>
      <c r="B1596" s="9" t="s">
        <v>6825</v>
      </c>
      <c r="C1596" s="9" t="s">
        <v>6769</v>
      </c>
      <c r="D1596" s="9" t="s">
        <v>6742</v>
      </c>
      <c r="E1596" s="9" t="s">
        <v>2723</v>
      </c>
      <c r="F1596" s="9" t="s">
        <v>2724</v>
      </c>
      <c r="G1596" s="10" t="s">
        <v>6498</v>
      </c>
      <c r="H1596" s="9"/>
      <c r="I1596" s="9"/>
      <c r="J1596" s="9"/>
      <c r="K1596" s="9"/>
      <c r="L1596" s="9"/>
      <c r="M1596" s="9" t="s">
        <v>2725</v>
      </c>
      <c r="N1596" s="9"/>
      <c r="O1596" s="9" t="s">
        <v>2726</v>
      </c>
      <c r="P1596" s="9" t="str">
        <f>HYPERLINK("https://ceds.ed.gov/cedselementdetails.aspx?termid=13222")</f>
        <v>https://ceds.ed.gov/cedselementdetails.aspx?termid=13222</v>
      </c>
      <c r="Q1596" s="9" t="str">
        <f>HYPERLINK("https://ceds.ed.gov/elementComment.aspx?elementName=Exit Reason &amp;elementID=13222", "Click here to submit comment")</f>
        <v>Click here to submit comment</v>
      </c>
    </row>
    <row r="1597" spans="1:17" ht="90" x14ac:dyDescent="0.25">
      <c r="A1597" s="9" t="s">
        <v>6811</v>
      </c>
      <c r="B1597" s="9" t="s">
        <v>6825</v>
      </c>
      <c r="C1597" s="9" t="s">
        <v>6769</v>
      </c>
      <c r="D1597" s="9" t="s">
        <v>6742</v>
      </c>
      <c r="E1597" s="9" t="s">
        <v>2129</v>
      </c>
      <c r="F1597" s="9" t="s">
        <v>2130</v>
      </c>
      <c r="G1597" s="9" t="s">
        <v>12</v>
      </c>
      <c r="H1597" s="9"/>
      <c r="I1597" s="9"/>
      <c r="J1597" s="9" t="s">
        <v>1513</v>
      </c>
      <c r="K1597" s="9"/>
      <c r="L1597" s="9" t="s">
        <v>2131</v>
      </c>
      <c r="M1597" s="9" t="s">
        <v>2132</v>
      </c>
      <c r="N1597" s="9"/>
      <c r="O1597" s="9" t="s">
        <v>2133</v>
      </c>
      <c r="P1597" s="9" t="str">
        <f>HYPERLINK("https://ceds.ed.gov/cedselementdetails.aspx?termid=14553")</f>
        <v>https://ceds.ed.gov/cedselementdetails.aspx?termid=14553</v>
      </c>
      <c r="Q1597" s="9" t="str">
        <f>HYPERLINK("https://ceds.ed.gov/elementComment.aspx?elementName=Credits Required &amp;elementID=14553", "Click here to submit comment")</f>
        <v>Click here to submit comment</v>
      </c>
    </row>
    <row r="1598" spans="1:17" ht="240" x14ac:dyDescent="0.25">
      <c r="A1598" s="9" t="s">
        <v>6811</v>
      </c>
      <c r="B1598" s="9" t="s">
        <v>6825</v>
      </c>
      <c r="C1598" s="9" t="s">
        <v>6769</v>
      </c>
      <c r="D1598" s="9" t="s">
        <v>6742</v>
      </c>
      <c r="E1598" s="9" t="s">
        <v>6080</v>
      </c>
      <c r="F1598" s="9" t="s">
        <v>6081</v>
      </c>
      <c r="G1598" s="10" t="s">
        <v>6737</v>
      </c>
      <c r="H1598" s="9"/>
      <c r="I1598" s="9"/>
      <c r="J1598" s="9"/>
      <c r="K1598" s="9"/>
      <c r="L1598" s="9"/>
      <c r="M1598" s="9" t="s">
        <v>6082</v>
      </c>
      <c r="N1598" s="9"/>
      <c r="O1598" s="9" t="s">
        <v>6083</v>
      </c>
      <c r="P1598" s="9" t="str">
        <f>HYPERLINK("https://ceds.ed.gov/cedselementdetails.aspx?termid=14471")</f>
        <v>https://ceds.ed.gov/cedselementdetails.aspx?termid=14471</v>
      </c>
      <c r="Q1598" s="9" t="str">
        <f>HYPERLINK("https://ceds.ed.gov/elementComment.aspx?elementName=Work-based Learning Opportunity Type &amp;elementID=14471", "Click here to submit comment")</f>
        <v>Click here to submit comment</v>
      </c>
    </row>
    <row r="1599" spans="1:17" ht="60" x14ac:dyDescent="0.25">
      <c r="A1599" s="9" t="s">
        <v>6811</v>
      </c>
      <c r="B1599" s="9" t="s">
        <v>6825</v>
      </c>
      <c r="C1599" s="9" t="s">
        <v>6803</v>
      </c>
      <c r="D1599" s="9" t="s">
        <v>6742</v>
      </c>
      <c r="E1599" s="9" t="s">
        <v>2662</v>
      </c>
      <c r="F1599" s="9" t="s">
        <v>2663</v>
      </c>
      <c r="G1599" s="9" t="s">
        <v>12</v>
      </c>
      <c r="H1599" s="9" t="s">
        <v>6199</v>
      </c>
      <c r="I1599" s="9"/>
      <c r="J1599" s="9" t="s">
        <v>73</v>
      </c>
      <c r="K1599" s="9"/>
      <c r="L1599" s="9"/>
      <c r="M1599" s="9" t="s">
        <v>2664</v>
      </c>
      <c r="N1599" s="9"/>
      <c r="O1599" s="9" t="s">
        <v>2665</v>
      </c>
      <c r="P1599" s="9" t="str">
        <f>HYPERLINK("https://ceds.ed.gov/cedselementdetails.aspx?termid=13345")</f>
        <v>https://ceds.ed.gov/cedselementdetails.aspx?termid=13345</v>
      </c>
      <c r="Q1599" s="9" t="str">
        <f>HYPERLINK("https://ceds.ed.gov/elementComment.aspx?elementName=Employment Start Date &amp;elementID=13345", "Click here to submit comment")</f>
        <v>Click here to submit comment</v>
      </c>
    </row>
    <row r="1600" spans="1:17" ht="60" x14ac:dyDescent="0.25">
      <c r="A1600" s="9" t="s">
        <v>6811</v>
      </c>
      <c r="B1600" s="9" t="s">
        <v>6825</v>
      </c>
      <c r="C1600" s="9" t="s">
        <v>6803</v>
      </c>
      <c r="D1600" s="9" t="s">
        <v>6742</v>
      </c>
      <c r="E1600" s="9" t="s">
        <v>2627</v>
      </c>
      <c r="F1600" s="9" t="s">
        <v>2628</v>
      </c>
      <c r="G1600" s="9" t="s">
        <v>12</v>
      </c>
      <c r="H1600" s="9" t="s">
        <v>182</v>
      </c>
      <c r="I1600" s="9"/>
      <c r="J1600" s="9" t="s">
        <v>73</v>
      </c>
      <c r="K1600" s="9"/>
      <c r="L1600" s="9"/>
      <c r="M1600" s="9" t="s">
        <v>2629</v>
      </c>
      <c r="N1600" s="9"/>
      <c r="O1600" s="9" t="s">
        <v>2630</v>
      </c>
      <c r="P1600" s="9" t="str">
        <f>HYPERLINK("https://ceds.ed.gov/cedselementdetails.aspx?termid=13794")</f>
        <v>https://ceds.ed.gov/cedselementdetails.aspx?termid=13794</v>
      </c>
      <c r="Q1600" s="9" t="str">
        <f>HYPERLINK("https://ceds.ed.gov/elementComment.aspx?elementName=Employment End Date &amp;elementID=13794", "Click here to submit comment")</f>
        <v>Click here to submit comment</v>
      </c>
    </row>
    <row r="1601" spans="1:17" ht="60" x14ac:dyDescent="0.25">
      <c r="A1601" s="9" t="s">
        <v>6811</v>
      </c>
      <c r="B1601" s="9" t="s">
        <v>6825</v>
      </c>
      <c r="C1601" s="9" t="s">
        <v>6803</v>
      </c>
      <c r="D1601" s="9" t="s">
        <v>6742</v>
      </c>
      <c r="E1601" s="9" t="s">
        <v>2636</v>
      </c>
      <c r="F1601" s="9" t="s">
        <v>2637</v>
      </c>
      <c r="G1601" s="9" t="s">
        <v>2638</v>
      </c>
      <c r="H1601" s="9"/>
      <c r="I1601" s="9"/>
      <c r="J1601" s="9" t="s">
        <v>11051</v>
      </c>
      <c r="K1601" s="9"/>
      <c r="L1601" s="9"/>
      <c r="M1601" s="9" t="s">
        <v>2639</v>
      </c>
      <c r="N1601" s="9"/>
      <c r="O1601" s="9" t="s">
        <v>2640</v>
      </c>
      <c r="P1601" s="9" t="str">
        <f>HYPERLINK("https://ceds.ed.gov/cedselementdetails.aspx?termid=14070")</f>
        <v>https://ceds.ed.gov/cedselementdetails.aspx?termid=14070</v>
      </c>
      <c r="Q1601" s="9" t="str">
        <f>HYPERLINK("https://ceds.ed.gov/elementComment.aspx?elementName=Employment NAICS Code &amp;elementID=14070", "Click here to submit comment")</f>
        <v>Click here to submit comment</v>
      </c>
    </row>
    <row r="1602" spans="1:17" ht="225" x14ac:dyDescent="0.25">
      <c r="A1602" s="9" t="s">
        <v>6811</v>
      </c>
      <c r="B1602" s="9" t="s">
        <v>6825</v>
      </c>
      <c r="C1602" s="9" t="s">
        <v>6803</v>
      </c>
      <c r="D1602" s="9" t="s">
        <v>6742</v>
      </c>
      <c r="E1602" s="9" t="s">
        <v>2622</v>
      </c>
      <c r="F1602" s="9" t="s">
        <v>2623</v>
      </c>
      <c r="G1602" s="9" t="s">
        <v>6195</v>
      </c>
      <c r="H1602" s="9" t="s">
        <v>2615</v>
      </c>
      <c r="I1602" s="9"/>
      <c r="J1602" s="9"/>
      <c r="K1602" s="9"/>
      <c r="L1602" s="9" t="s">
        <v>2624</v>
      </c>
      <c r="M1602" s="9" t="s">
        <v>2625</v>
      </c>
      <c r="N1602" s="9"/>
      <c r="O1602" s="9" t="s">
        <v>2626</v>
      </c>
      <c r="P1602" s="9" t="str">
        <f>HYPERLINK("https://ceds.ed.gov/cedselementdetails.aspx?termid=13989")</f>
        <v>https://ceds.ed.gov/cedselementdetails.aspx?termid=13989</v>
      </c>
      <c r="Q1602" s="9" t="str">
        <f>HYPERLINK("https://ceds.ed.gov/elementComment.aspx?elementName=Employed While Enrolled &amp;elementID=13989", "Click here to submit comment")</f>
        <v>Click here to submit comment</v>
      </c>
    </row>
    <row r="1603" spans="1:17" ht="270" x14ac:dyDescent="0.25">
      <c r="A1603" s="9" t="s">
        <v>6811</v>
      </c>
      <c r="B1603" s="9" t="s">
        <v>6825</v>
      </c>
      <c r="C1603" s="9" t="s">
        <v>6803</v>
      </c>
      <c r="D1603" s="9" t="s">
        <v>6742</v>
      </c>
      <c r="E1603" s="9" t="s">
        <v>2610</v>
      </c>
      <c r="F1603" s="9" t="s">
        <v>2611</v>
      </c>
      <c r="G1603" s="9" t="s">
        <v>6195</v>
      </c>
      <c r="H1603" s="9" t="s">
        <v>2615</v>
      </c>
      <c r="I1603" s="9"/>
      <c r="J1603" s="9"/>
      <c r="K1603" s="9"/>
      <c r="L1603" s="9" t="s">
        <v>2612</v>
      </c>
      <c r="M1603" s="9" t="s">
        <v>2613</v>
      </c>
      <c r="N1603" s="9"/>
      <c r="O1603" s="9" t="s">
        <v>2614</v>
      </c>
      <c r="P1603" s="9" t="str">
        <f>HYPERLINK("https://ceds.ed.gov/cedselementdetails.aspx?termid=13990")</f>
        <v>https://ceds.ed.gov/cedselementdetails.aspx?termid=13990</v>
      </c>
      <c r="Q1603" s="9" t="str">
        <f>HYPERLINK("https://ceds.ed.gov/elementComment.aspx?elementName=Employed After Exit &amp;elementID=13990", "Click here to submit comment")</f>
        <v>Click here to submit comment</v>
      </c>
    </row>
    <row r="1604" spans="1:17" ht="105" x14ac:dyDescent="0.25">
      <c r="A1604" s="18" t="s">
        <v>6811</v>
      </c>
      <c r="B1604" s="18" t="s">
        <v>6825</v>
      </c>
      <c r="C1604" s="18" t="s">
        <v>6843</v>
      </c>
      <c r="D1604" s="18" t="s">
        <v>6742</v>
      </c>
      <c r="E1604" s="18" t="s">
        <v>3609</v>
      </c>
      <c r="F1604" s="18" t="s">
        <v>3610</v>
      </c>
      <c r="G1604" s="18" t="s">
        <v>12</v>
      </c>
      <c r="H1604" s="18"/>
      <c r="I1604" s="18"/>
      <c r="J1604" s="18" t="s">
        <v>119</v>
      </c>
      <c r="K1604" s="18"/>
      <c r="L1604" s="9" t="s">
        <v>120</v>
      </c>
      <c r="M1604" s="18" t="s">
        <v>3611</v>
      </c>
      <c r="N1604" s="18"/>
      <c r="O1604" s="18" t="s">
        <v>3612</v>
      </c>
      <c r="P1604" s="18" t="str">
        <f>HYPERLINK("https://ceds.ed.gov/cedselementdetails.aspx?termid=14533")</f>
        <v>https://ceds.ed.gov/cedselementdetails.aspx?termid=14533</v>
      </c>
      <c r="Q1604" s="18" t="str">
        <f>HYPERLINK("https://ceds.ed.gov/elementComment.aspx?elementName=Learner Action Actor Identifier &amp;elementID=14533", "Click here to submit comment")</f>
        <v>Click here to submit comment</v>
      </c>
    </row>
    <row r="1605" spans="1:17" x14ac:dyDescent="0.25">
      <c r="A1605" s="18"/>
      <c r="B1605" s="18"/>
      <c r="C1605" s="18"/>
      <c r="D1605" s="18"/>
      <c r="E1605" s="18"/>
      <c r="F1605" s="18"/>
      <c r="G1605" s="18"/>
      <c r="H1605" s="18"/>
      <c r="I1605" s="18"/>
      <c r="J1605" s="18"/>
      <c r="K1605" s="18"/>
      <c r="L1605" s="9"/>
      <c r="M1605" s="18"/>
      <c r="N1605" s="18"/>
      <c r="O1605" s="18"/>
      <c r="P1605" s="18"/>
      <c r="Q1605" s="18"/>
    </row>
    <row r="1606" spans="1:17" ht="90" x14ac:dyDescent="0.25">
      <c r="A1606" s="18"/>
      <c r="B1606" s="18"/>
      <c r="C1606" s="18"/>
      <c r="D1606" s="18"/>
      <c r="E1606" s="18"/>
      <c r="F1606" s="18"/>
      <c r="G1606" s="18"/>
      <c r="H1606" s="18"/>
      <c r="I1606" s="18"/>
      <c r="J1606" s="18"/>
      <c r="K1606" s="18"/>
      <c r="L1606" s="9" t="s">
        <v>121</v>
      </c>
      <c r="M1606" s="18"/>
      <c r="N1606" s="18"/>
      <c r="O1606" s="18"/>
      <c r="P1606" s="18"/>
      <c r="Q1606" s="18"/>
    </row>
    <row r="1607" spans="1:17" ht="45" x14ac:dyDescent="0.25">
      <c r="A1607" s="9" t="s">
        <v>6811</v>
      </c>
      <c r="B1607" s="9" t="s">
        <v>6825</v>
      </c>
      <c r="C1607" s="9" t="s">
        <v>6843</v>
      </c>
      <c r="D1607" s="9" t="s">
        <v>6742</v>
      </c>
      <c r="E1607" s="9" t="s">
        <v>3613</v>
      </c>
      <c r="F1607" s="9" t="s">
        <v>3614</v>
      </c>
      <c r="G1607" s="9" t="s">
        <v>12</v>
      </c>
      <c r="H1607" s="9"/>
      <c r="I1607" s="9"/>
      <c r="J1607" s="9" t="s">
        <v>828</v>
      </c>
      <c r="K1607" s="9"/>
      <c r="L1607" s="9"/>
      <c r="M1607" s="9" t="s">
        <v>3615</v>
      </c>
      <c r="N1607" s="9"/>
      <c r="O1607" s="9" t="s">
        <v>3616</v>
      </c>
      <c r="P1607" s="9" t="str">
        <f>HYPERLINK("https://ceds.ed.gov/cedselementdetails.aspx?termid=13938")</f>
        <v>https://ceds.ed.gov/cedselementdetails.aspx?termid=13938</v>
      </c>
      <c r="Q1607" s="9" t="str">
        <f>HYPERLINK("https://ceds.ed.gov/elementComment.aspx?elementName=Learner Action Date Time &amp;elementID=13938", "Click here to submit comment")</f>
        <v>Click here to submit comment</v>
      </c>
    </row>
    <row r="1608" spans="1:17" ht="45" x14ac:dyDescent="0.25">
      <c r="A1608" s="9" t="s">
        <v>6811</v>
      </c>
      <c r="B1608" s="9" t="s">
        <v>6825</v>
      </c>
      <c r="C1608" s="9" t="s">
        <v>6843</v>
      </c>
      <c r="D1608" s="9" t="s">
        <v>6742</v>
      </c>
      <c r="E1608" s="9" t="s">
        <v>3617</v>
      </c>
      <c r="F1608" s="9" t="s">
        <v>3618</v>
      </c>
      <c r="G1608" s="9" t="s">
        <v>12</v>
      </c>
      <c r="H1608" s="9"/>
      <c r="I1608" s="9"/>
      <c r="J1608" s="9" t="s">
        <v>68</v>
      </c>
      <c r="K1608" s="9"/>
      <c r="L1608" s="9"/>
      <c r="M1608" s="9" t="s">
        <v>3619</v>
      </c>
      <c r="N1608" s="9"/>
      <c r="O1608" s="9" t="s">
        <v>3620</v>
      </c>
      <c r="P1608" s="9" t="str">
        <f>HYPERLINK("https://ceds.ed.gov/cedselementdetails.aspx?termid=14534")</f>
        <v>https://ceds.ed.gov/cedselementdetails.aspx?termid=14534</v>
      </c>
      <c r="Q1608" s="9" t="str">
        <f>HYPERLINK("https://ceds.ed.gov/elementComment.aspx?elementName=Learner Action Object Description &amp;elementID=14534", "Click here to submit comment")</f>
        <v>Click here to submit comment</v>
      </c>
    </row>
    <row r="1609" spans="1:17" ht="105" x14ac:dyDescent="0.25">
      <c r="A1609" s="18" t="s">
        <v>6811</v>
      </c>
      <c r="B1609" s="18" t="s">
        <v>6825</v>
      </c>
      <c r="C1609" s="18" t="s">
        <v>6843</v>
      </c>
      <c r="D1609" s="18" t="s">
        <v>6742</v>
      </c>
      <c r="E1609" s="18" t="s">
        <v>3621</v>
      </c>
      <c r="F1609" s="18" t="s">
        <v>3622</v>
      </c>
      <c r="G1609" s="18" t="s">
        <v>12</v>
      </c>
      <c r="H1609" s="18"/>
      <c r="I1609" s="18"/>
      <c r="J1609" s="18" t="s">
        <v>119</v>
      </c>
      <c r="K1609" s="18"/>
      <c r="L1609" s="9" t="s">
        <v>120</v>
      </c>
      <c r="M1609" s="18" t="s">
        <v>3623</v>
      </c>
      <c r="N1609" s="18"/>
      <c r="O1609" s="18" t="s">
        <v>3624</v>
      </c>
      <c r="P1609" s="18" t="str">
        <f>HYPERLINK("https://ceds.ed.gov/cedselementdetails.aspx?termid=14535")</f>
        <v>https://ceds.ed.gov/cedselementdetails.aspx?termid=14535</v>
      </c>
      <c r="Q1609" s="18" t="str">
        <f>HYPERLINK("https://ceds.ed.gov/elementComment.aspx?elementName=Learner Action Object Identifier &amp;elementID=14535", "Click here to submit comment")</f>
        <v>Click here to submit comment</v>
      </c>
    </row>
    <row r="1610" spans="1:17" x14ac:dyDescent="0.25">
      <c r="A1610" s="18"/>
      <c r="B1610" s="18"/>
      <c r="C1610" s="18"/>
      <c r="D1610" s="18"/>
      <c r="E1610" s="18"/>
      <c r="F1610" s="18"/>
      <c r="G1610" s="18"/>
      <c r="H1610" s="18"/>
      <c r="I1610" s="18"/>
      <c r="J1610" s="18"/>
      <c r="K1610" s="18"/>
      <c r="L1610" s="9"/>
      <c r="M1610" s="18"/>
      <c r="N1610" s="18"/>
      <c r="O1610" s="18"/>
      <c r="P1610" s="18"/>
      <c r="Q1610" s="18"/>
    </row>
    <row r="1611" spans="1:17" ht="90" x14ac:dyDescent="0.25">
      <c r="A1611" s="18"/>
      <c r="B1611" s="18"/>
      <c r="C1611" s="18"/>
      <c r="D1611" s="18"/>
      <c r="E1611" s="18"/>
      <c r="F1611" s="18"/>
      <c r="G1611" s="18"/>
      <c r="H1611" s="18"/>
      <c r="I1611" s="18"/>
      <c r="J1611" s="18"/>
      <c r="K1611" s="18"/>
      <c r="L1611" s="9" t="s">
        <v>121</v>
      </c>
      <c r="M1611" s="18"/>
      <c r="N1611" s="18"/>
      <c r="O1611" s="18"/>
      <c r="P1611" s="18"/>
      <c r="Q1611" s="18"/>
    </row>
    <row r="1612" spans="1:17" ht="45" x14ac:dyDescent="0.25">
      <c r="A1612" s="9" t="s">
        <v>6811</v>
      </c>
      <c r="B1612" s="9" t="s">
        <v>6825</v>
      </c>
      <c r="C1612" s="9" t="s">
        <v>6843</v>
      </c>
      <c r="D1612" s="9" t="s">
        <v>6742</v>
      </c>
      <c r="E1612" s="9" t="s">
        <v>3625</v>
      </c>
      <c r="F1612" s="9" t="s">
        <v>3626</v>
      </c>
      <c r="G1612" s="9" t="s">
        <v>12</v>
      </c>
      <c r="H1612" s="9"/>
      <c r="I1612" s="9"/>
      <c r="J1612" s="9" t="s">
        <v>92</v>
      </c>
      <c r="K1612" s="9"/>
      <c r="L1612" s="9"/>
      <c r="M1612" s="9" t="s">
        <v>3627</v>
      </c>
      <c r="N1612" s="9"/>
      <c r="O1612" s="9" t="s">
        <v>3628</v>
      </c>
      <c r="P1612" s="9" t="str">
        <f>HYPERLINK("https://ceds.ed.gov/cedselementdetails.aspx?termid=14536")</f>
        <v>https://ceds.ed.gov/cedselementdetails.aspx?termid=14536</v>
      </c>
      <c r="Q1612" s="9" t="str">
        <f>HYPERLINK("https://ceds.ed.gov/elementComment.aspx?elementName=Learner Action Object Type &amp;elementID=14536", "Click here to submit comment")</f>
        <v>Click here to submit comment</v>
      </c>
    </row>
    <row r="1613" spans="1:17" ht="409.5" x14ac:dyDescent="0.25">
      <c r="A1613" s="9" t="s">
        <v>6811</v>
      </c>
      <c r="B1613" s="9" t="s">
        <v>6825</v>
      </c>
      <c r="C1613" s="9" t="s">
        <v>6843</v>
      </c>
      <c r="D1613" s="9" t="s">
        <v>6742</v>
      </c>
      <c r="E1613" s="9" t="s">
        <v>3629</v>
      </c>
      <c r="F1613" s="9" t="s">
        <v>3630</v>
      </c>
      <c r="G1613" s="10" t="s">
        <v>6574</v>
      </c>
      <c r="H1613" s="9"/>
      <c r="I1613" s="9"/>
      <c r="J1613" s="9"/>
      <c r="K1613" s="9"/>
      <c r="L1613" s="11" t="s">
        <v>3631</v>
      </c>
      <c r="M1613" s="9" t="s">
        <v>3632</v>
      </c>
      <c r="N1613" s="9"/>
      <c r="O1613" s="9" t="s">
        <v>3633</v>
      </c>
      <c r="P1613" s="9" t="str">
        <f>HYPERLINK("https://ceds.ed.gov/cedselementdetails.aspx?termid=13935")</f>
        <v>https://ceds.ed.gov/cedselementdetails.aspx?termid=13935</v>
      </c>
      <c r="Q1613" s="9" t="str">
        <f>HYPERLINK("https://ceds.ed.gov/elementComment.aspx?elementName=Learner Action Type &amp;elementID=13935", "Click here to submit comment")</f>
        <v>Click here to submit comment</v>
      </c>
    </row>
    <row r="1614" spans="1:17" ht="75" x14ac:dyDescent="0.25">
      <c r="A1614" s="9" t="s">
        <v>6811</v>
      </c>
      <c r="B1614" s="9" t="s">
        <v>6825</v>
      </c>
      <c r="C1614" s="9" t="s">
        <v>6843</v>
      </c>
      <c r="D1614" s="9" t="s">
        <v>6742</v>
      </c>
      <c r="E1614" s="9" t="s">
        <v>3634</v>
      </c>
      <c r="F1614" s="9" t="s">
        <v>3635</v>
      </c>
      <c r="G1614" s="9" t="s">
        <v>12</v>
      </c>
      <c r="H1614" s="9"/>
      <c r="I1614" s="9"/>
      <c r="J1614" s="9" t="s">
        <v>303</v>
      </c>
      <c r="K1614" s="9"/>
      <c r="L1614" s="9"/>
      <c r="M1614" s="9" t="s">
        <v>3636</v>
      </c>
      <c r="N1614" s="9"/>
      <c r="O1614" s="9" t="s">
        <v>3637</v>
      </c>
      <c r="P1614" s="9" t="str">
        <f>HYPERLINK("https://ceds.ed.gov/cedselementdetails.aspx?termid=13936")</f>
        <v>https://ceds.ed.gov/cedselementdetails.aspx?termid=13936</v>
      </c>
      <c r="Q1614" s="9" t="str">
        <f>HYPERLINK("https://ceds.ed.gov/elementComment.aspx?elementName=Learner Action Value &amp;elementID=13936", "Click here to submit comment")</f>
        <v>Click here to submit comment</v>
      </c>
    </row>
    <row r="1615" spans="1:17" ht="195" x14ac:dyDescent="0.25">
      <c r="A1615" s="9" t="s">
        <v>6811</v>
      </c>
      <c r="B1615" s="9" t="s">
        <v>6771</v>
      </c>
      <c r="C1615" s="9" t="s">
        <v>6741</v>
      </c>
      <c r="D1615" s="9" t="s">
        <v>6742</v>
      </c>
      <c r="E1615" s="9" t="s">
        <v>2935</v>
      </c>
      <c r="F1615" s="9" t="s">
        <v>2936</v>
      </c>
      <c r="G1615" s="9" t="s">
        <v>12</v>
      </c>
      <c r="H1615" s="9" t="s">
        <v>6211</v>
      </c>
      <c r="I1615" s="9"/>
      <c r="J1615" s="9" t="s">
        <v>1310</v>
      </c>
      <c r="K1615" s="9"/>
      <c r="L1615" s="9" t="s">
        <v>2937</v>
      </c>
      <c r="M1615" s="9" t="s">
        <v>2938</v>
      </c>
      <c r="N1615" s="9"/>
      <c r="O1615" s="9" t="s">
        <v>2939</v>
      </c>
      <c r="P1615" s="9" t="str">
        <f>HYPERLINK("https://ceds.ed.gov/cedselementdetails.aspx?termid=13115")</f>
        <v>https://ceds.ed.gov/cedselementdetails.aspx?termid=13115</v>
      </c>
      <c r="Q1615" s="9" t="str">
        <f>HYPERLINK("https://ceds.ed.gov/elementComment.aspx?elementName=First Name &amp;elementID=13115", "Click here to submit comment")</f>
        <v>Click here to submit comment</v>
      </c>
    </row>
    <row r="1616" spans="1:17" ht="90" customHeight="1" x14ac:dyDescent="0.25">
      <c r="A1616" s="18" t="s">
        <v>6811</v>
      </c>
      <c r="B1616" s="18" t="s">
        <v>6771</v>
      </c>
      <c r="C1616" s="18" t="s">
        <v>6741</v>
      </c>
      <c r="D1616" s="18" t="s">
        <v>6742</v>
      </c>
      <c r="E1616" s="18" t="s">
        <v>4183</v>
      </c>
      <c r="F1616" s="18" t="s">
        <v>4184</v>
      </c>
      <c r="G1616" s="18" t="s">
        <v>12</v>
      </c>
      <c r="H1616" s="18" t="s">
        <v>6211</v>
      </c>
      <c r="I1616" s="18"/>
      <c r="J1616" s="18" t="s">
        <v>1310</v>
      </c>
      <c r="K1616" s="18"/>
      <c r="L1616" s="9" t="s">
        <v>2996</v>
      </c>
      <c r="M1616" s="18" t="s">
        <v>4185</v>
      </c>
      <c r="N1616" s="18"/>
      <c r="O1616" s="18" t="s">
        <v>4186</v>
      </c>
      <c r="P1616" s="18" t="str">
        <f>HYPERLINK("https://ceds.ed.gov/cedselementdetails.aspx?termid=13184")</f>
        <v>https://ceds.ed.gov/cedselementdetails.aspx?termid=13184</v>
      </c>
      <c r="Q1616" s="18" t="str">
        <f>HYPERLINK("https://ceds.ed.gov/elementComment.aspx?elementName=Middle Name &amp;elementID=13184", "Click here to submit comment")</f>
        <v>Click here to submit comment</v>
      </c>
    </row>
    <row r="1617" spans="1:17" ht="90" x14ac:dyDescent="0.25">
      <c r="A1617" s="18"/>
      <c r="B1617" s="18"/>
      <c r="C1617" s="18"/>
      <c r="D1617" s="18"/>
      <c r="E1617" s="18"/>
      <c r="F1617" s="18"/>
      <c r="G1617" s="18"/>
      <c r="H1617" s="18"/>
      <c r="I1617" s="18"/>
      <c r="J1617" s="18"/>
      <c r="K1617" s="18"/>
      <c r="L1617" s="9" t="s">
        <v>2997</v>
      </c>
      <c r="M1617" s="18"/>
      <c r="N1617" s="18"/>
      <c r="O1617" s="18"/>
      <c r="P1617" s="18"/>
      <c r="Q1617" s="18"/>
    </row>
    <row r="1618" spans="1:17" ht="90" customHeight="1" x14ac:dyDescent="0.25">
      <c r="A1618" s="18" t="s">
        <v>6811</v>
      </c>
      <c r="B1618" s="18" t="s">
        <v>6771</v>
      </c>
      <c r="C1618" s="18" t="s">
        <v>6741</v>
      </c>
      <c r="D1618" s="18" t="s">
        <v>6742</v>
      </c>
      <c r="E1618" s="18" t="s">
        <v>3597</v>
      </c>
      <c r="F1618" s="18" t="s">
        <v>3598</v>
      </c>
      <c r="G1618" s="18" t="s">
        <v>12</v>
      </c>
      <c r="H1618" s="18" t="s">
        <v>6211</v>
      </c>
      <c r="I1618" s="18"/>
      <c r="J1618" s="18" t="s">
        <v>1310</v>
      </c>
      <c r="K1618" s="18"/>
      <c r="L1618" s="9" t="s">
        <v>2996</v>
      </c>
      <c r="M1618" s="18" t="s">
        <v>3599</v>
      </c>
      <c r="N1618" s="18" t="s">
        <v>3600</v>
      </c>
      <c r="O1618" s="18" t="s">
        <v>3601</v>
      </c>
      <c r="P1618" s="18" t="str">
        <f>HYPERLINK("https://ceds.ed.gov/cedselementdetails.aspx?termid=13172")</f>
        <v>https://ceds.ed.gov/cedselementdetails.aspx?termid=13172</v>
      </c>
      <c r="Q1618" s="18" t="str">
        <f>HYPERLINK("https://ceds.ed.gov/elementComment.aspx?elementName=Last or Surname &amp;elementID=13172", "Click here to submit comment")</f>
        <v>Click here to submit comment</v>
      </c>
    </row>
    <row r="1619" spans="1:17" ht="90" x14ac:dyDescent="0.25">
      <c r="A1619" s="18"/>
      <c r="B1619" s="18"/>
      <c r="C1619" s="18"/>
      <c r="D1619" s="18"/>
      <c r="E1619" s="18"/>
      <c r="F1619" s="18"/>
      <c r="G1619" s="18"/>
      <c r="H1619" s="18"/>
      <c r="I1619" s="18"/>
      <c r="J1619" s="18"/>
      <c r="K1619" s="18"/>
      <c r="L1619" s="9" t="s">
        <v>2997</v>
      </c>
      <c r="M1619" s="18"/>
      <c r="N1619" s="18"/>
      <c r="O1619" s="18"/>
      <c r="P1619" s="18"/>
      <c r="Q1619" s="18"/>
    </row>
    <row r="1620" spans="1:17" ht="45" customHeight="1" x14ac:dyDescent="0.25">
      <c r="A1620" s="18" t="s">
        <v>6811</v>
      </c>
      <c r="B1620" s="18" t="s">
        <v>6771</v>
      </c>
      <c r="C1620" s="18" t="s">
        <v>6741</v>
      </c>
      <c r="D1620" s="18" t="s">
        <v>6742</v>
      </c>
      <c r="E1620" s="18" t="s">
        <v>2994</v>
      </c>
      <c r="F1620" s="18" t="s">
        <v>2995</v>
      </c>
      <c r="G1620" s="18" t="s">
        <v>12</v>
      </c>
      <c r="H1620" s="18" t="s">
        <v>6212</v>
      </c>
      <c r="I1620" s="18"/>
      <c r="J1620" s="18" t="s">
        <v>2088</v>
      </c>
      <c r="K1620" s="18"/>
      <c r="L1620" s="9" t="s">
        <v>2996</v>
      </c>
      <c r="M1620" s="18" t="s">
        <v>2998</v>
      </c>
      <c r="N1620" s="18"/>
      <c r="O1620" s="18" t="s">
        <v>2999</v>
      </c>
      <c r="P1620" s="18" t="str">
        <f>HYPERLINK("https://ceds.ed.gov/cedselementdetails.aspx?termid=13121")</f>
        <v>https://ceds.ed.gov/cedselementdetails.aspx?termid=13121</v>
      </c>
      <c r="Q1620" s="18" t="str">
        <f>HYPERLINK("https://ceds.ed.gov/elementComment.aspx?elementName=Generation Code or Suffix &amp;elementID=13121", "Click here to submit comment")</f>
        <v>Click here to submit comment</v>
      </c>
    </row>
    <row r="1621" spans="1:17" ht="90" x14ac:dyDescent="0.25">
      <c r="A1621" s="18"/>
      <c r="B1621" s="18"/>
      <c r="C1621" s="18"/>
      <c r="D1621" s="18"/>
      <c r="E1621" s="18"/>
      <c r="F1621" s="18"/>
      <c r="G1621" s="18"/>
      <c r="H1621" s="18"/>
      <c r="I1621" s="18"/>
      <c r="J1621" s="18"/>
      <c r="K1621" s="18"/>
      <c r="L1621" s="9" t="s">
        <v>2997</v>
      </c>
      <c r="M1621" s="18"/>
      <c r="N1621" s="18"/>
      <c r="O1621" s="18"/>
      <c r="P1621" s="18"/>
      <c r="Q1621" s="18"/>
    </row>
    <row r="1622" spans="1:17" ht="105" x14ac:dyDescent="0.25">
      <c r="A1622" s="9" t="s">
        <v>6811</v>
      </c>
      <c r="B1622" s="9" t="s">
        <v>6771</v>
      </c>
      <c r="C1622" s="9" t="s">
        <v>6741</v>
      </c>
      <c r="D1622" s="9" t="s">
        <v>6742</v>
      </c>
      <c r="E1622" s="9" t="s">
        <v>4610</v>
      </c>
      <c r="F1622" s="9" t="s">
        <v>4611</v>
      </c>
      <c r="G1622" s="9" t="s">
        <v>12</v>
      </c>
      <c r="H1622" s="9" t="s">
        <v>6255</v>
      </c>
      <c r="I1622" s="9"/>
      <c r="J1622" s="9" t="s">
        <v>87</v>
      </c>
      <c r="K1622" s="9"/>
      <c r="L1622" s="9"/>
      <c r="M1622" s="9" t="s">
        <v>4612</v>
      </c>
      <c r="N1622" s="9" t="s">
        <v>4613</v>
      </c>
      <c r="O1622" s="9" t="s">
        <v>4614</v>
      </c>
      <c r="P1622" s="9" t="str">
        <f>HYPERLINK("https://ceds.ed.gov/cedselementdetails.aspx?termid=13212")</f>
        <v>https://ceds.ed.gov/cedselementdetails.aspx?termid=13212</v>
      </c>
      <c r="Q1622" s="9" t="str">
        <f>HYPERLINK("https://ceds.ed.gov/elementComment.aspx?elementName=Personal Title or Prefix &amp;elementID=13212", "Click here to submit comment")</f>
        <v>Click here to submit comment</v>
      </c>
    </row>
    <row r="1623" spans="1:17" ht="45" x14ac:dyDescent="0.25">
      <c r="A1623" s="9" t="s">
        <v>6811</v>
      </c>
      <c r="B1623" s="9" t="s">
        <v>6771</v>
      </c>
      <c r="C1623" s="9" t="s">
        <v>6743</v>
      </c>
      <c r="D1623" s="9" t="s">
        <v>6742</v>
      </c>
      <c r="E1623" s="9" t="s">
        <v>4481</v>
      </c>
      <c r="F1623" s="9" t="s">
        <v>4482</v>
      </c>
      <c r="G1623" s="9" t="s">
        <v>12</v>
      </c>
      <c r="H1623" s="9"/>
      <c r="I1623" s="9"/>
      <c r="J1623" s="9" t="s">
        <v>1310</v>
      </c>
      <c r="K1623" s="9"/>
      <c r="L1623" s="9" t="s">
        <v>4483</v>
      </c>
      <c r="M1623" s="9" t="s">
        <v>4484</v>
      </c>
      <c r="N1623" s="9"/>
      <c r="O1623" s="9" t="s">
        <v>4485</v>
      </c>
      <c r="P1623" s="9" t="str">
        <f>HYPERLINK("https://ceds.ed.gov/cedselementdetails.aspx?termid=14486")</f>
        <v>https://ceds.ed.gov/cedselementdetails.aspx?termid=14486</v>
      </c>
      <c r="Q1623" s="9" t="str">
        <f>HYPERLINK("https://ceds.ed.gov/elementComment.aspx?elementName=Other First Name &amp;elementID=14486", "Click here to submit comment")</f>
        <v>Click here to submit comment</v>
      </c>
    </row>
    <row r="1624" spans="1:17" ht="45" x14ac:dyDescent="0.25">
      <c r="A1624" s="9" t="s">
        <v>6811</v>
      </c>
      <c r="B1624" s="9" t="s">
        <v>6771</v>
      </c>
      <c r="C1624" s="9" t="s">
        <v>6743</v>
      </c>
      <c r="D1624" s="9" t="s">
        <v>6742</v>
      </c>
      <c r="E1624" s="9" t="s">
        <v>4491</v>
      </c>
      <c r="F1624" s="9" t="s">
        <v>4492</v>
      </c>
      <c r="G1624" s="9" t="s">
        <v>12</v>
      </c>
      <c r="H1624" s="9"/>
      <c r="I1624" s="9"/>
      <c r="J1624" s="9" t="s">
        <v>1310</v>
      </c>
      <c r="K1624" s="9"/>
      <c r="L1624" s="9" t="s">
        <v>4493</v>
      </c>
      <c r="M1624" s="9" t="s">
        <v>4494</v>
      </c>
      <c r="N1624" s="9"/>
      <c r="O1624" s="9" t="s">
        <v>4495</v>
      </c>
      <c r="P1624" s="9" t="str">
        <f>HYPERLINK("https://ceds.ed.gov/cedselementdetails.aspx?termid=14487")</f>
        <v>https://ceds.ed.gov/cedselementdetails.aspx?termid=14487</v>
      </c>
      <c r="Q1624" s="9" t="str">
        <f>HYPERLINK("https://ceds.ed.gov/elementComment.aspx?elementName=Other Middle Name &amp;elementID=14487", "Click here to submit comment")</f>
        <v>Click here to submit comment</v>
      </c>
    </row>
    <row r="1625" spans="1:17" ht="45" x14ac:dyDescent="0.25">
      <c r="A1625" s="9" t="s">
        <v>6811</v>
      </c>
      <c r="B1625" s="9" t="s">
        <v>6771</v>
      </c>
      <c r="C1625" s="9" t="s">
        <v>6743</v>
      </c>
      <c r="D1625" s="9" t="s">
        <v>6742</v>
      </c>
      <c r="E1625" s="9" t="s">
        <v>4486</v>
      </c>
      <c r="F1625" s="9" t="s">
        <v>4487</v>
      </c>
      <c r="G1625" s="9" t="s">
        <v>12</v>
      </c>
      <c r="H1625" s="9"/>
      <c r="I1625" s="9"/>
      <c r="J1625" s="9" t="s">
        <v>1310</v>
      </c>
      <c r="K1625" s="9"/>
      <c r="L1625" s="9" t="s">
        <v>4488</v>
      </c>
      <c r="M1625" s="9" t="s">
        <v>4489</v>
      </c>
      <c r="N1625" s="9"/>
      <c r="O1625" s="9" t="s">
        <v>4490</v>
      </c>
      <c r="P1625" s="9" t="str">
        <f>HYPERLINK("https://ceds.ed.gov/cedselementdetails.aspx?termid=14485")</f>
        <v>https://ceds.ed.gov/cedselementdetails.aspx?termid=14485</v>
      </c>
      <c r="Q1625" s="9" t="str">
        <f>HYPERLINK("https://ceds.ed.gov/elementComment.aspx?elementName=Other Last Name &amp;elementID=14485", "Click here to submit comment")</f>
        <v>Click here to submit comment</v>
      </c>
    </row>
    <row r="1626" spans="1:17" ht="150" x14ac:dyDescent="0.25">
      <c r="A1626" s="9" t="s">
        <v>6811</v>
      </c>
      <c r="B1626" s="9" t="s">
        <v>6771</v>
      </c>
      <c r="C1626" s="9" t="s">
        <v>6743</v>
      </c>
      <c r="D1626" s="9" t="s">
        <v>6742</v>
      </c>
      <c r="E1626" s="9" t="s">
        <v>4496</v>
      </c>
      <c r="F1626" s="9" t="s">
        <v>4497</v>
      </c>
      <c r="G1626" s="9" t="s">
        <v>12</v>
      </c>
      <c r="H1626" s="9" t="s">
        <v>6212</v>
      </c>
      <c r="I1626" s="9"/>
      <c r="J1626" s="9" t="s">
        <v>119</v>
      </c>
      <c r="K1626" s="9"/>
      <c r="L1626" s="9"/>
      <c r="M1626" s="9" t="s">
        <v>4498</v>
      </c>
      <c r="N1626" s="9"/>
      <c r="O1626" s="9" t="s">
        <v>4499</v>
      </c>
      <c r="P1626" s="9" t="str">
        <f>HYPERLINK("https://ceds.ed.gov/cedselementdetails.aspx?termid=13206")</f>
        <v>https://ceds.ed.gov/cedselementdetails.aspx?termid=13206</v>
      </c>
      <c r="Q1626" s="9" t="str">
        <f>HYPERLINK("https://ceds.ed.gov/elementComment.aspx?elementName=Other Name &amp;elementID=13206", "Click here to submit comment")</f>
        <v>Click here to submit comment</v>
      </c>
    </row>
    <row r="1627" spans="1:17" ht="165" x14ac:dyDescent="0.25">
      <c r="A1627" s="9" t="s">
        <v>6811</v>
      </c>
      <c r="B1627" s="9" t="s">
        <v>6771</v>
      </c>
      <c r="C1627" s="9" t="s">
        <v>6743</v>
      </c>
      <c r="D1627" s="9" t="s">
        <v>6742</v>
      </c>
      <c r="E1627" s="9" t="s">
        <v>4500</v>
      </c>
      <c r="F1627" s="9" t="s">
        <v>4501</v>
      </c>
      <c r="G1627" s="10" t="s">
        <v>6630</v>
      </c>
      <c r="H1627" s="9" t="s">
        <v>6251</v>
      </c>
      <c r="I1627" s="9"/>
      <c r="J1627" s="9" t="s">
        <v>87</v>
      </c>
      <c r="K1627" s="9"/>
      <c r="L1627" s="9"/>
      <c r="M1627" s="9" t="s">
        <v>4502</v>
      </c>
      <c r="N1627" s="9"/>
      <c r="O1627" s="9" t="s">
        <v>4503</v>
      </c>
      <c r="P1627" s="9" t="str">
        <f>HYPERLINK("https://ceds.ed.gov/cedselementdetails.aspx?termid=13627")</f>
        <v>https://ceds.ed.gov/cedselementdetails.aspx?termid=13627</v>
      </c>
      <c r="Q1627" s="9" t="str">
        <f>HYPERLINK("https://ceds.ed.gov/elementComment.aspx?elementName=Other Name Type &amp;elementID=13627", "Click here to submit comment")</f>
        <v>Click here to submit comment</v>
      </c>
    </row>
    <row r="1628" spans="1:17" ht="105" x14ac:dyDescent="0.25">
      <c r="A1628" s="18" t="s">
        <v>6811</v>
      </c>
      <c r="B1628" s="18" t="s">
        <v>6771</v>
      </c>
      <c r="C1628" s="18" t="s">
        <v>6744</v>
      </c>
      <c r="D1628" s="18" t="s">
        <v>6742</v>
      </c>
      <c r="E1628" s="18" t="s">
        <v>4587</v>
      </c>
      <c r="F1628" s="18" t="s">
        <v>4588</v>
      </c>
      <c r="G1628" s="18" t="s">
        <v>12</v>
      </c>
      <c r="H1628" s="18"/>
      <c r="I1628" s="18"/>
      <c r="J1628" s="18" t="s">
        <v>119</v>
      </c>
      <c r="K1628" s="18"/>
      <c r="L1628" s="9" t="s">
        <v>120</v>
      </c>
      <c r="M1628" s="18" t="s">
        <v>4589</v>
      </c>
      <c r="N1628" s="18"/>
      <c r="O1628" s="18" t="s">
        <v>4590</v>
      </c>
      <c r="P1628" s="18" t="str">
        <f>HYPERLINK("https://ceds.ed.gov/cedselementdetails.aspx?termid=14551")</f>
        <v>https://ceds.ed.gov/cedselementdetails.aspx?termid=14551</v>
      </c>
      <c r="Q1628" s="18" t="str">
        <f>HYPERLINK("https://ceds.ed.gov/elementComment.aspx?elementName=Person Identifier &amp;elementID=14551", "Click here to submit comment")</f>
        <v>Click here to submit comment</v>
      </c>
    </row>
    <row r="1629" spans="1:17" x14ac:dyDescent="0.25">
      <c r="A1629" s="18"/>
      <c r="B1629" s="18"/>
      <c r="C1629" s="18"/>
      <c r="D1629" s="18"/>
      <c r="E1629" s="18"/>
      <c r="F1629" s="18"/>
      <c r="G1629" s="18"/>
      <c r="H1629" s="18"/>
      <c r="I1629" s="18"/>
      <c r="J1629" s="18"/>
      <c r="K1629" s="18"/>
      <c r="L1629" s="9"/>
      <c r="M1629" s="18"/>
      <c r="N1629" s="18"/>
      <c r="O1629" s="18"/>
      <c r="P1629" s="18"/>
      <c r="Q1629" s="18"/>
    </row>
    <row r="1630" spans="1:17" ht="90" x14ac:dyDescent="0.25">
      <c r="A1630" s="18"/>
      <c r="B1630" s="18"/>
      <c r="C1630" s="18"/>
      <c r="D1630" s="18"/>
      <c r="E1630" s="18"/>
      <c r="F1630" s="18"/>
      <c r="G1630" s="18"/>
      <c r="H1630" s="18"/>
      <c r="I1630" s="18"/>
      <c r="J1630" s="18"/>
      <c r="K1630" s="18"/>
      <c r="L1630" s="9" t="s">
        <v>121</v>
      </c>
      <c r="M1630" s="18"/>
      <c r="N1630" s="18"/>
      <c r="O1630" s="18"/>
      <c r="P1630" s="18"/>
      <c r="Q1630" s="18"/>
    </row>
    <row r="1631" spans="1:17" ht="375" x14ac:dyDescent="0.25">
      <c r="A1631" s="9" t="s">
        <v>6811</v>
      </c>
      <c r="B1631" s="9" t="s">
        <v>6771</v>
      </c>
      <c r="C1631" s="9" t="s">
        <v>6744</v>
      </c>
      <c r="D1631" s="9" t="s">
        <v>6742</v>
      </c>
      <c r="E1631" s="9" t="s">
        <v>4583</v>
      </c>
      <c r="F1631" s="9" t="s">
        <v>4584</v>
      </c>
      <c r="G1631" s="10" t="s">
        <v>6635</v>
      </c>
      <c r="H1631" s="9"/>
      <c r="I1631" s="9"/>
      <c r="J1631" s="9"/>
      <c r="K1631" s="9"/>
      <c r="L1631" s="9"/>
      <c r="M1631" s="9" t="s">
        <v>4585</v>
      </c>
      <c r="N1631" s="9"/>
      <c r="O1631" s="9" t="s">
        <v>4586</v>
      </c>
      <c r="P1631" s="9" t="str">
        <f>HYPERLINK("https://ceds.ed.gov/cedselementdetails.aspx?termid=14550")</f>
        <v>https://ceds.ed.gov/cedselementdetails.aspx?termid=14550</v>
      </c>
      <c r="Q1631" s="9" t="str">
        <f>HYPERLINK("https://ceds.ed.gov/elementComment.aspx?elementName=Person Identification System &amp;elementID=14550", "Click here to submit comment")</f>
        <v>Click here to submit comment</v>
      </c>
    </row>
    <row r="1632" spans="1:17" ht="255" x14ac:dyDescent="0.25">
      <c r="A1632" s="9" t="s">
        <v>6811</v>
      </c>
      <c r="B1632" s="9" t="s">
        <v>6771</v>
      </c>
      <c r="C1632" s="9" t="s">
        <v>6744</v>
      </c>
      <c r="D1632" s="9" t="s">
        <v>6742</v>
      </c>
      <c r="E1632" s="9" t="s">
        <v>4606</v>
      </c>
      <c r="F1632" s="9" t="s">
        <v>4607</v>
      </c>
      <c r="G1632" s="10" t="s">
        <v>6637</v>
      </c>
      <c r="H1632" s="9"/>
      <c r="I1632" s="9"/>
      <c r="J1632" s="9"/>
      <c r="K1632" s="9"/>
      <c r="L1632" s="9"/>
      <c r="M1632" s="9" t="s">
        <v>4608</v>
      </c>
      <c r="N1632" s="9"/>
      <c r="O1632" s="9" t="s">
        <v>4609</v>
      </c>
      <c r="P1632" s="9" t="str">
        <f>HYPERLINK("https://ceds.ed.gov/cedselementdetails.aspx?termid=13611")</f>
        <v>https://ceds.ed.gov/cedselementdetails.aspx?termid=13611</v>
      </c>
      <c r="Q1632" s="9" t="str">
        <f>HYPERLINK("https://ceds.ed.gov/elementComment.aspx?elementName=Personal Information Verification &amp;elementID=13611", "Click here to submit comment")</f>
        <v>Click here to submit comment</v>
      </c>
    </row>
    <row r="1633" spans="1:17" ht="210" x14ac:dyDescent="0.25">
      <c r="A1633" s="9" t="s">
        <v>6811</v>
      </c>
      <c r="B1633" s="9" t="s">
        <v>6771</v>
      </c>
      <c r="C1633" s="9" t="s">
        <v>6745</v>
      </c>
      <c r="D1633" s="9" t="s">
        <v>6742</v>
      </c>
      <c r="E1633" s="9" t="s">
        <v>170</v>
      </c>
      <c r="F1633" s="9" t="s">
        <v>171</v>
      </c>
      <c r="G1633" s="10" t="s">
        <v>6319</v>
      </c>
      <c r="H1633" s="9" t="s">
        <v>6115</v>
      </c>
      <c r="I1633" s="9"/>
      <c r="J1633" s="9" t="s">
        <v>87</v>
      </c>
      <c r="K1633" s="9"/>
      <c r="L1633" s="9"/>
      <c r="M1633" s="9" t="s">
        <v>172</v>
      </c>
      <c r="N1633" s="9"/>
      <c r="O1633" s="9" t="s">
        <v>173</v>
      </c>
      <c r="P1633" s="9" t="str">
        <f>HYPERLINK("https://ceds.ed.gov/cedselementdetails.aspx?termid=13358")</f>
        <v>https://ceds.ed.gov/cedselementdetails.aspx?termid=13358</v>
      </c>
      <c r="Q1633" s="9" t="str">
        <f>HYPERLINK("https://ceds.ed.gov/elementComment.aspx?elementName=Address Type for Learner or Family &amp;elementID=13358", "Click here to submit comment")</f>
        <v>Click here to submit comment</v>
      </c>
    </row>
    <row r="1634" spans="1:17" ht="225" x14ac:dyDescent="0.25">
      <c r="A1634" s="9" t="s">
        <v>6811</v>
      </c>
      <c r="B1634" s="9" t="s">
        <v>6771</v>
      </c>
      <c r="C1634" s="9" t="s">
        <v>6745</v>
      </c>
      <c r="D1634" s="9" t="s">
        <v>6742</v>
      </c>
      <c r="E1634" s="9" t="s">
        <v>166</v>
      </c>
      <c r="F1634" s="9" t="s">
        <v>167</v>
      </c>
      <c r="G1634" s="9" t="s">
        <v>12</v>
      </c>
      <c r="H1634" s="9" t="s">
        <v>6113</v>
      </c>
      <c r="I1634" s="9"/>
      <c r="J1634" s="9" t="s">
        <v>119</v>
      </c>
      <c r="K1634" s="9"/>
      <c r="L1634" s="9"/>
      <c r="M1634" s="9" t="s">
        <v>168</v>
      </c>
      <c r="N1634" s="9"/>
      <c r="O1634" s="9" t="s">
        <v>169</v>
      </c>
      <c r="P1634" s="9" t="str">
        <f>HYPERLINK("https://ceds.ed.gov/cedselementdetails.aspx?termid=13269")</f>
        <v>https://ceds.ed.gov/cedselementdetails.aspx?termid=13269</v>
      </c>
      <c r="Q1634" s="9" t="str">
        <f>HYPERLINK("https://ceds.ed.gov/elementComment.aspx?elementName=Address Street Number and Name &amp;elementID=13269", "Click here to submit comment")</f>
        <v>Click here to submit comment</v>
      </c>
    </row>
    <row r="1635" spans="1:17" ht="225" x14ac:dyDescent="0.25">
      <c r="A1635" s="9" t="s">
        <v>6811</v>
      </c>
      <c r="B1635" s="9" t="s">
        <v>6771</v>
      </c>
      <c r="C1635" s="9" t="s">
        <v>6745</v>
      </c>
      <c r="D1635" s="9" t="s">
        <v>6742</v>
      </c>
      <c r="E1635" s="9" t="s">
        <v>149</v>
      </c>
      <c r="F1635" s="9" t="s">
        <v>150</v>
      </c>
      <c r="G1635" s="9" t="s">
        <v>12</v>
      </c>
      <c r="H1635" s="9" t="s">
        <v>6113</v>
      </c>
      <c r="I1635" s="9"/>
      <c r="J1635" s="9" t="s">
        <v>87</v>
      </c>
      <c r="K1635" s="9"/>
      <c r="L1635" s="9"/>
      <c r="M1635" s="9" t="s">
        <v>151</v>
      </c>
      <c r="N1635" s="9"/>
      <c r="O1635" s="9" t="s">
        <v>152</v>
      </c>
      <c r="P1635" s="9" t="str">
        <f>HYPERLINK("https://ceds.ed.gov/cedselementdetails.aspx?termid=13019")</f>
        <v>https://ceds.ed.gov/cedselementdetails.aspx?termid=13019</v>
      </c>
      <c r="Q1635" s="9" t="str">
        <f>HYPERLINK("https://ceds.ed.gov/elementComment.aspx?elementName=Address Apartment Room or Suite Number &amp;elementID=13019", "Click here to submit comment")</f>
        <v>Click here to submit comment</v>
      </c>
    </row>
    <row r="1636" spans="1:17" ht="225" x14ac:dyDescent="0.25">
      <c r="A1636" s="9" t="s">
        <v>6811</v>
      </c>
      <c r="B1636" s="9" t="s">
        <v>6771</v>
      </c>
      <c r="C1636" s="9" t="s">
        <v>6745</v>
      </c>
      <c r="D1636" s="9" t="s">
        <v>6742</v>
      </c>
      <c r="E1636" s="9" t="s">
        <v>153</v>
      </c>
      <c r="F1636" s="9" t="s">
        <v>154</v>
      </c>
      <c r="G1636" s="9" t="s">
        <v>12</v>
      </c>
      <c r="H1636" s="9" t="s">
        <v>6113</v>
      </c>
      <c r="I1636" s="9"/>
      <c r="J1636" s="9" t="s">
        <v>87</v>
      </c>
      <c r="K1636" s="9"/>
      <c r="L1636" s="9"/>
      <c r="M1636" s="9" t="s">
        <v>155</v>
      </c>
      <c r="N1636" s="9"/>
      <c r="O1636" s="9" t="s">
        <v>156</v>
      </c>
      <c r="P1636" s="9" t="str">
        <f>HYPERLINK("https://ceds.ed.gov/cedselementdetails.aspx?termid=13040")</f>
        <v>https://ceds.ed.gov/cedselementdetails.aspx?termid=13040</v>
      </c>
      <c r="Q1636" s="9" t="str">
        <f>HYPERLINK("https://ceds.ed.gov/elementComment.aspx?elementName=Address City &amp;elementID=13040", "Click here to submit comment")</f>
        <v>Click here to submit comment</v>
      </c>
    </row>
    <row r="1637" spans="1:17" ht="409.5" x14ac:dyDescent="0.25">
      <c r="A1637" s="9" t="s">
        <v>6811</v>
      </c>
      <c r="B1637" s="9" t="s">
        <v>6771</v>
      </c>
      <c r="C1637" s="9" t="s">
        <v>6745</v>
      </c>
      <c r="D1637" s="9" t="s">
        <v>6742</v>
      </c>
      <c r="E1637" s="9" t="s">
        <v>5647</v>
      </c>
      <c r="F1637" s="9" t="s">
        <v>5648</v>
      </c>
      <c r="G1637" s="10" t="s">
        <v>6702</v>
      </c>
      <c r="H1637" s="9" t="s">
        <v>6285</v>
      </c>
      <c r="I1637" s="9"/>
      <c r="J1637" s="9"/>
      <c r="K1637" s="9"/>
      <c r="L1637" s="9"/>
      <c r="M1637" s="9" t="s">
        <v>5649</v>
      </c>
      <c r="N1637" s="9"/>
      <c r="O1637" s="9" t="s">
        <v>5650</v>
      </c>
      <c r="P1637" s="9" t="str">
        <f>HYPERLINK("https://ceds.ed.gov/cedselementdetails.aspx?termid=13267")</f>
        <v>https://ceds.ed.gov/cedselementdetails.aspx?termid=13267</v>
      </c>
      <c r="Q1637" s="9" t="str">
        <f>HYPERLINK("https://ceds.ed.gov/elementComment.aspx?elementName=State Abbreviation &amp;elementID=13267", "Click here to submit comment")</f>
        <v>Click here to submit comment</v>
      </c>
    </row>
    <row r="1638" spans="1:17" ht="225" x14ac:dyDescent="0.25">
      <c r="A1638" s="9" t="s">
        <v>6811</v>
      </c>
      <c r="B1638" s="9" t="s">
        <v>6771</v>
      </c>
      <c r="C1638" s="9" t="s">
        <v>6745</v>
      </c>
      <c r="D1638" s="9" t="s">
        <v>6742</v>
      </c>
      <c r="E1638" s="9" t="s">
        <v>161</v>
      </c>
      <c r="F1638" s="9" t="s">
        <v>162</v>
      </c>
      <c r="G1638" s="9" t="s">
        <v>12</v>
      </c>
      <c r="H1638" s="9" t="s">
        <v>6113</v>
      </c>
      <c r="I1638" s="9"/>
      <c r="J1638" s="9" t="s">
        <v>163</v>
      </c>
      <c r="K1638" s="9"/>
      <c r="L1638" s="9"/>
      <c r="M1638" s="9" t="s">
        <v>164</v>
      </c>
      <c r="N1638" s="9"/>
      <c r="O1638" s="9" t="s">
        <v>165</v>
      </c>
      <c r="P1638" s="9" t="str">
        <f>HYPERLINK("https://ceds.ed.gov/cedselementdetails.aspx?termid=13214")</f>
        <v>https://ceds.ed.gov/cedselementdetails.aspx?termid=13214</v>
      </c>
      <c r="Q1638" s="9" t="str">
        <f>HYPERLINK("https://ceds.ed.gov/elementComment.aspx?elementName=Address Postal Code &amp;elementID=13214", "Click here to submit comment")</f>
        <v>Click here to submit comment</v>
      </c>
    </row>
    <row r="1639" spans="1:17" ht="225" x14ac:dyDescent="0.25">
      <c r="A1639" s="9" t="s">
        <v>6811</v>
      </c>
      <c r="B1639" s="9" t="s">
        <v>6771</v>
      </c>
      <c r="C1639" s="9" t="s">
        <v>6745</v>
      </c>
      <c r="D1639" s="9" t="s">
        <v>6742</v>
      </c>
      <c r="E1639" s="9" t="s">
        <v>157</v>
      </c>
      <c r="F1639" s="9" t="s">
        <v>158</v>
      </c>
      <c r="G1639" s="9" t="s">
        <v>12</v>
      </c>
      <c r="H1639" s="9" t="s">
        <v>6113</v>
      </c>
      <c r="I1639" s="9"/>
      <c r="J1639" s="9" t="s">
        <v>87</v>
      </c>
      <c r="K1639" s="9"/>
      <c r="L1639" s="9"/>
      <c r="M1639" s="9" t="s">
        <v>159</v>
      </c>
      <c r="N1639" s="9"/>
      <c r="O1639" s="9" t="s">
        <v>160</v>
      </c>
      <c r="P1639" s="9" t="str">
        <f>HYPERLINK("https://ceds.ed.gov/cedselementdetails.aspx?termid=13190")</f>
        <v>https://ceds.ed.gov/cedselementdetails.aspx?termid=13190</v>
      </c>
      <c r="Q1639" s="9" t="str">
        <f>HYPERLINK("https://ceds.ed.gov/elementComment.aspx?elementName=Address County Name &amp;elementID=13190", "Click here to submit comment")</f>
        <v>Click here to submit comment</v>
      </c>
    </row>
    <row r="1640" spans="1:17" ht="409.5" x14ac:dyDescent="0.25">
      <c r="A1640" s="9" t="s">
        <v>6811</v>
      </c>
      <c r="B1640" s="9" t="s">
        <v>6771</v>
      </c>
      <c r="C1640" s="9" t="s">
        <v>6745</v>
      </c>
      <c r="D1640" s="9" t="s">
        <v>6742</v>
      </c>
      <c r="E1640" s="9" t="s">
        <v>1885</v>
      </c>
      <c r="F1640" s="9" t="s">
        <v>1886</v>
      </c>
      <c r="G1640" s="10" t="s">
        <v>11839</v>
      </c>
      <c r="H1640" s="9" t="s">
        <v>6174</v>
      </c>
      <c r="I1640" s="9"/>
      <c r="J1640" s="9"/>
      <c r="K1640" s="9"/>
      <c r="L1640" s="11" t="s">
        <v>1887</v>
      </c>
      <c r="M1640" s="9" t="s">
        <v>1888</v>
      </c>
      <c r="N1640" s="9"/>
      <c r="O1640" s="9" t="s">
        <v>1889</v>
      </c>
      <c r="P1640" s="9" t="str">
        <f>HYPERLINK("https://ceds.ed.gov/cedselementdetails.aspx?termid=13050")</f>
        <v>https://ceds.ed.gov/cedselementdetails.aspx?termid=13050</v>
      </c>
      <c r="Q1640" s="9" t="str">
        <f>HYPERLINK("https://ceds.ed.gov/elementComment.aspx?elementName=Country Code &amp;elementID=13050", "Click here to submit comment")</f>
        <v>Click here to submit comment</v>
      </c>
    </row>
    <row r="1641" spans="1:17" ht="75" x14ac:dyDescent="0.25">
      <c r="A1641" s="9" t="s">
        <v>6811</v>
      </c>
      <c r="B1641" s="9" t="s">
        <v>6771</v>
      </c>
      <c r="C1641" s="9" t="s">
        <v>6745</v>
      </c>
      <c r="D1641" s="9" t="s">
        <v>6742</v>
      </c>
      <c r="E1641" s="9" t="s">
        <v>3606</v>
      </c>
      <c r="F1641" s="9" t="s">
        <v>3607</v>
      </c>
      <c r="G1641" s="9" t="s">
        <v>12</v>
      </c>
      <c r="H1641" s="9"/>
      <c r="I1641" s="9"/>
      <c r="J1641" s="9" t="s">
        <v>1165</v>
      </c>
      <c r="K1641" s="9"/>
      <c r="L1641" s="9"/>
      <c r="M1641" s="9" t="s">
        <v>3608</v>
      </c>
      <c r="N1641" s="9"/>
      <c r="O1641" s="9" t="s">
        <v>3606</v>
      </c>
      <c r="P1641" s="9" t="str">
        <f>HYPERLINK("https://ceds.ed.gov/cedselementdetails.aspx?termid=13599")</f>
        <v>https://ceds.ed.gov/cedselementdetails.aspx?termid=13599</v>
      </c>
      <c r="Q1641" s="9" t="str">
        <f>HYPERLINK("https://ceds.ed.gov/elementComment.aspx?elementName=Latitude &amp;elementID=13599", "Click here to submit comment")</f>
        <v>Click here to submit comment</v>
      </c>
    </row>
    <row r="1642" spans="1:17" ht="75" x14ac:dyDescent="0.25">
      <c r="A1642" s="9" t="s">
        <v>6811</v>
      </c>
      <c r="B1642" s="9" t="s">
        <v>6771</v>
      </c>
      <c r="C1642" s="9" t="s">
        <v>6745</v>
      </c>
      <c r="D1642" s="9" t="s">
        <v>6742</v>
      </c>
      <c r="E1642" s="9" t="s">
        <v>4139</v>
      </c>
      <c r="F1642" s="9" t="s">
        <v>4140</v>
      </c>
      <c r="G1642" s="9" t="s">
        <v>12</v>
      </c>
      <c r="H1642" s="9"/>
      <c r="I1642" s="9"/>
      <c r="J1642" s="9" t="s">
        <v>1165</v>
      </c>
      <c r="K1642" s="9"/>
      <c r="L1642" s="9"/>
      <c r="M1642" s="9" t="s">
        <v>4141</v>
      </c>
      <c r="N1642" s="9"/>
      <c r="O1642" s="9" t="s">
        <v>4139</v>
      </c>
      <c r="P1642" s="9" t="str">
        <f>HYPERLINK("https://ceds.ed.gov/cedselementdetails.aspx?termid=13600")</f>
        <v>https://ceds.ed.gov/cedselementdetails.aspx?termid=13600</v>
      </c>
      <c r="Q1642" s="9" t="str">
        <f>HYPERLINK("https://ceds.ed.gov/elementComment.aspx?elementName=Longitude &amp;elementID=13600", "Click here to submit comment")</f>
        <v>Click here to submit comment</v>
      </c>
    </row>
    <row r="1643" spans="1:17" ht="90" x14ac:dyDescent="0.25">
      <c r="A1643" s="9" t="s">
        <v>6811</v>
      </c>
      <c r="B1643" s="9" t="s">
        <v>6771</v>
      </c>
      <c r="C1643" s="9" t="s">
        <v>6747</v>
      </c>
      <c r="D1643" s="9" t="s">
        <v>6742</v>
      </c>
      <c r="E1643" s="9" t="s">
        <v>5849</v>
      </c>
      <c r="F1643" s="9" t="s">
        <v>5850</v>
      </c>
      <c r="G1643" s="9" t="s">
        <v>12</v>
      </c>
      <c r="H1643" s="9" t="s">
        <v>6109</v>
      </c>
      <c r="I1643" s="9"/>
      <c r="J1643" s="9" t="s">
        <v>5851</v>
      </c>
      <c r="K1643" s="9"/>
      <c r="L1643" s="9"/>
      <c r="M1643" s="9" t="s">
        <v>5852</v>
      </c>
      <c r="N1643" s="9"/>
      <c r="O1643" s="9" t="s">
        <v>5853</v>
      </c>
      <c r="P1643" s="9" t="str">
        <f>HYPERLINK("https://ceds.ed.gov/cedselementdetails.aspx?termid=13279")</f>
        <v>https://ceds.ed.gov/cedselementdetails.aspx?termid=13279</v>
      </c>
      <c r="Q1643" s="9" t="str">
        <f>HYPERLINK("https://ceds.ed.gov/elementComment.aspx?elementName=Telephone Number &amp;elementID=13279", "Click here to submit comment")</f>
        <v>Click here to submit comment</v>
      </c>
    </row>
    <row r="1644" spans="1:17" ht="90" x14ac:dyDescent="0.25">
      <c r="A1644" s="9" t="s">
        <v>6811</v>
      </c>
      <c r="B1644" s="9" t="s">
        <v>6771</v>
      </c>
      <c r="C1644" s="9" t="s">
        <v>6747</v>
      </c>
      <c r="D1644" s="9" t="s">
        <v>6742</v>
      </c>
      <c r="E1644" s="9" t="s">
        <v>5854</v>
      </c>
      <c r="F1644" s="9" t="s">
        <v>5855</v>
      </c>
      <c r="G1644" s="10" t="s">
        <v>6717</v>
      </c>
      <c r="H1644" s="9" t="s">
        <v>6109</v>
      </c>
      <c r="I1644" s="9"/>
      <c r="J1644" s="9" t="s">
        <v>1900</v>
      </c>
      <c r="K1644" s="9"/>
      <c r="L1644" s="9"/>
      <c r="M1644" s="9" t="s">
        <v>5856</v>
      </c>
      <c r="N1644" s="9"/>
      <c r="O1644" s="9" t="s">
        <v>5857</v>
      </c>
      <c r="P1644" s="9" t="str">
        <f>HYPERLINK("https://ceds.ed.gov/cedselementdetails.aspx?termid=13280")</f>
        <v>https://ceds.ed.gov/cedselementdetails.aspx?termid=13280</v>
      </c>
      <c r="Q1644" s="9" t="str">
        <f>HYPERLINK("https://ceds.ed.gov/elementComment.aspx?elementName=Telephone Number Type &amp;elementID=13280", "Click here to submit comment")</f>
        <v>Click here to submit comment</v>
      </c>
    </row>
    <row r="1645" spans="1:17" ht="90" x14ac:dyDescent="0.25">
      <c r="A1645" s="9" t="s">
        <v>6811</v>
      </c>
      <c r="B1645" s="9" t="s">
        <v>6771</v>
      </c>
      <c r="C1645" s="9" t="s">
        <v>6747</v>
      </c>
      <c r="D1645" s="9" t="s">
        <v>6742</v>
      </c>
      <c r="E1645" s="9" t="s">
        <v>4709</v>
      </c>
      <c r="F1645" s="9" t="s">
        <v>4710</v>
      </c>
      <c r="G1645" s="9" t="s">
        <v>6106</v>
      </c>
      <c r="H1645" s="9" t="s">
        <v>6109</v>
      </c>
      <c r="I1645" s="9"/>
      <c r="J1645" s="9"/>
      <c r="K1645" s="9"/>
      <c r="L1645" s="9"/>
      <c r="M1645" s="9" t="s">
        <v>4711</v>
      </c>
      <c r="N1645" s="9"/>
      <c r="O1645" s="9" t="s">
        <v>4712</v>
      </c>
      <c r="P1645" s="9" t="str">
        <f>HYPERLINK("https://ceds.ed.gov/cedselementdetails.aspx?termid=13219")</f>
        <v>https://ceds.ed.gov/cedselementdetails.aspx?termid=13219</v>
      </c>
      <c r="Q1645" s="9" t="str">
        <f>HYPERLINK("https://ceds.ed.gov/elementComment.aspx?elementName=Primary Telephone Number Indicator &amp;elementID=13219", "Click here to submit comment")</f>
        <v>Click here to submit comment</v>
      </c>
    </row>
    <row r="1646" spans="1:17" ht="90" x14ac:dyDescent="0.25">
      <c r="A1646" s="9" t="s">
        <v>6811</v>
      </c>
      <c r="B1646" s="9" t="s">
        <v>6771</v>
      </c>
      <c r="C1646" s="9" t="s">
        <v>6773</v>
      </c>
      <c r="D1646" s="9" t="s">
        <v>6742</v>
      </c>
      <c r="E1646" s="9" t="s">
        <v>2584</v>
      </c>
      <c r="F1646" s="9" t="s">
        <v>2585</v>
      </c>
      <c r="G1646" s="9" t="s">
        <v>12</v>
      </c>
      <c r="H1646" s="9" t="s">
        <v>6109</v>
      </c>
      <c r="I1646" s="9"/>
      <c r="J1646" s="9" t="s">
        <v>11127</v>
      </c>
      <c r="K1646" s="9"/>
      <c r="L1646" s="9"/>
      <c r="M1646" s="9" t="s">
        <v>2586</v>
      </c>
      <c r="N1646" s="9" t="s">
        <v>2587</v>
      </c>
      <c r="O1646" s="9" t="s">
        <v>2588</v>
      </c>
      <c r="P1646" s="9" t="str">
        <f>HYPERLINK("https://ceds.ed.gov/cedselementdetails.aspx?termid=13088")</f>
        <v>https://ceds.ed.gov/cedselementdetails.aspx?termid=13088</v>
      </c>
      <c r="Q1646" s="9" t="str">
        <f>HYPERLINK("https://ceds.ed.gov/elementComment.aspx?elementName=Electronic Mail Address &amp;elementID=13088", "Click here to submit comment")</f>
        <v>Click here to submit comment</v>
      </c>
    </row>
    <row r="1647" spans="1:17" ht="90" x14ac:dyDescent="0.25">
      <c r="A1647" s="9" t="s">
        <v>6811</v>
      </c>
      <c r="B1647" s="9" t="s">
        <v>6771</v>
      </c>
      <c r="C1647" s="9" t="s">
        <v>6773</v>
      </c>
      <c r="D1647" s="9" t="s">
        <v>6742</v>
      </c>
      <c r="E1647" s="9" t="s">
        <v>2589</v>
      </c>
      <c r="F1647" s="9" t="s">
        <v>2590</v>
      </c>
      <c r="G1647" s="10" t="s">
        <v>6484</v>
      </c>
      <c r="H1647" s="9" t="s">
        <v>6109</v>
      </c>
      <c r="I1647" s="9"/>
      <c r="J1647" s="9"/>
      <c r="K1647" s="9"/>
      <c r="L1647" s="9"/>
      <c r="M1647" s="9" t="s">
        <v>2591</v>
      </c>
      <c r="N1647" s="9" t="s">
        <v>2592</v>
      </c>
      <c r="O1647" s="9" t="s">
        <v>2593</v>
      </c>
      <c r="P1647" s="9" t="str">
        <f>HYPERLINK("https://ceds.ed.gov/cedselementdetails.aspx?termid=13089")</f>
        <v>https://ceds.ed.gov/cedselementdetails.aspx?termid=13089</v>
      </c>
      <c r="Q1647" s="9" t="str">
        <f>HYPERLINK("https://ceds.ed.gov/elementComment.aspx?elementName=Electronic Mail Address Type &amp;elementID=13089", "Click here to submit comment")</f>
        <v>Click here to submit comment</v>
      </c>
    </row>
    <row r="1648" spans="1:17" ht="240" x14ac:dyDescent="0.25">
      <c r="A1648" s="9" t="s">
        <v>6811</v>
      </c>
      <c r="B1648" s="9" t="s">
        <v>6771</v>
      </c>
      <c r="C1648" s="9" t="s">
        <v>6748</v>
      </c>
      <c r="D1648" s="9" t="s">
        <v>6742</v>
      </c>
      <c r="E1648" s="9" t="s">
        <v>1530</v>
      </c>
      <c r="F1648" s="9" t="s">
        <v>1531</v>
      </c>
      <c r="G1648" s="9" t="s">
        <v>12</v>
      </c>
      <c r="H1648" s="9" t="s">
        <v>6151</v>
      </c>
      <c r="I1648" s="9"/>
      <c r="J1648" s="9" t="s">
        <v>73</v>
      </c>
      <c r="K1648" s="9"/>
      <c r="L1648" s="9"/>
      <c r="M1648" s="9" t="s">
        <v>1532</v>
      </c>
      <c r="N1648" s="9"/>
      <c r="O1648" s="9" t="s">
        <v>1530</v>
      </c>
      <c r="P1648" s="9" t="str">
        <f>HYPERLINK("https://ceds.ed.gov/cedselementdetails.aspx?termid=13033")</f>
        <v>https://ceds.ed.gov/cedselementdetails.aspx?termid=13033</v>
      </c>
      <c r="Q1648" s="9" t="str">
        <f>HYPERLINK("https://ceds.ed.gov/elementComment.aspx?elementName=Birthdate &amp;elementID=13033", "Click here to submit comment")</f>
        <v>Click here to submit comment</v>
      </c>
    </row>
    <row r="1649" spans="1:17" ht="255" x14ac:dyDescent="0.25">
      <c r="A1649" s="9" t="s">
        <v>6811</v>
      </c>
      <c r="B1649" s="9" t="s">
        <v>6771</v>
      </c>
      <c r="C1649" s="9" t="s">
        <v>6748</v>
      </c>
      <c r="D1649" s="9" t="s">
        <v>6742</v>
      </c>
      <c r="E1649" s="9" t="s">
        <v>5468</v>
      </c>
      <c r="F1649" s="9" t="s">
        <v>5469</v>
      </c>
      <c r="G1649" s="10" t="s">
        <v>6694</v>
      </c>
      <c r="H1649" s="9" t="s">
        <v>6277</v>
      </c>
      <c r="I1649" s="9"/>
      <c r="J1649" s="9"/>
      <c r="K1649" s="9"/>
      <c r="L1649" s="9" t="s">
        <v>5470</v>
      </c>
      <c r="M1649" s="9" t="s">
        <v>5471</v>
      </c>
      <c r="N1649" s="9"/>
      <c r="O1649" s="9" t="s">
        <v>5468</v>
      </c>
      <c r="P1649" s="9" t="str">
        <f>HYPERLINK("https://ceds.ed.gov/cedselementdetails.aspx?termid=13255")</f>
        <v>https://ceds.ed.gov/cedselementdetails.aspx?termid=13255</v>
      </c>
      <c r="Q1649" s="9" t="str">
        <f>HYPERLINK("https://ceds.ed.gov/elementComment.aspx?elementName=Sex &amp;elementID=13255", "Click here to submit comment")</f>
        <v>Click here to submit comment</v>
      </c>
    </row>
    <row r="1650" spans="1:17" ht="120" x14ac:dyDescent="0.25">
      <c r="A1650" s="9" t="s">
        <v>6811</v>
      </c>
      <c r="B1650" s="9" t="s">
        <v>6771</v>
      </c>
      <c r="C1650" s="9" t="s">
        <v>6748</v>
      </c>
      <c r="D1650" s="9" t="s">
        <v>6742</v>
      </c>
      <c r="E1650" s="9" t="s">
        <v>5633</v>
      </c>
      <c r="F1650" s="9" t="s">
        <v>5634</v>
      </c>
      <c r="G1650" s="9" t="s">
        <v>12</v>
      </c>
      <c r="H1650" s="9" t="s">
        <v>37</v>
      </c>
      <c r="I1650" s="9"/>
      <c r="J1650" s="9" t="s">
        <v>5635</v>
      </c>
      <c r="K1650" s="9"/>
      <c r="L1650" s="9"/>
      <c r="M1650" s="9" t="s">
        <v>5636</v>
      </c>
      <c r="N1650" s="9"/>
      <c r="O1650" s="9" t="s">
        <v>5637</v>
      </c>
      <c r="P1650" s="9" t="str">
        <f>HYPERLINK("https://ceds.ed.gov/cedselementdetails.aspx?termid=13707")</f>
        <v>https://ceds.ed.gov/cedselementdetails.aspx?termid=13707</v>
      </c>
      <c r="Q1650" s="9" t="str">
        <f>HYPERLINK("https://ceds.ed.gov/elementComment.aspx?elementName=Standard Occupational Classification &amp;elementID=13707", "Click here to submit comment")</f>
        <v>Click here to submit comment</v>
      </c>
    </row>
    <row r="1651" spans="1:17" ht="105" x14ac:dyDescent="0.25">
      <c r="A1651" s="18" t="s">
        <v>6811</v>
      </c>
      <c r="B1651" s="18" t="s">
        <v>6771</v>
      </c>
      <c r="C1651" s="18" t="s">
        <v>6772</v>
      </c>
      <c r="D1651" s="18" t="s">
        <v>6742</v>
      </c>
      <c r="E1651" s="18" t="s">
        <v>5732</v>
      </c>
      <c r="F1651" s="18" t="s">
        <v>5733</v>
      </c>
      <c r="G1651" s="18" t="s">
        <v>12</v>
      </c>
      <c r="H1651" s="18" t="s">
        <v>6290</v>
      </c>
      <c r="I1651" s="18"/>
      <c r="J1651" s="18" t="s">
        <v>119</v>
      </c>
      <c r="K1651" s="18"/>
      <c r="L1651" s="9" t="s">
        <v>120</v>
      </c>
      <c r="M1651" s="18" t="s">
        <v>5734</v>
      </c>
      <c r="N1651" s="18"/>
      <c r="O1651" s="18" t="s">
        <v>5735</v>
      </c>
      <c r="P1651" s="18" t="str">
        <f>HYPERLINK("https://ceds.ed.gov/cedselementdetails.aspx?termid=13157")</f>
        <v>https://ceds.ed.gov/cedselementdetails.aspx?termid=13157</v>
      </c>
      <c r="Q1651" s="18" t="str">
        <f>HYPERLINK("https://ceds.ed.gov/elementComment.aspx?elementName=Student Identifier &amp;elementID=13157", "Click here to submit comment")</f>
        <v>Click here to submit comment</v>
      </c>
    </row>
    <row r="1652" spans="1:17" x14ac:dyDescent="0.25">
      <c r="A1652" s="18"/>
      <c r="B1652" s="18"/>
      <c r="C1652" s="18"/>
      <c r="D1652" s="18"/>
      <c r="E1652" s="18"/>
      <c r="F1652" s="18"/>
      <c r="G1652" s="18"/>
      <c r="H1652" s="18"/>
      <c r="I1652" s="18"/>
      <c r="J1652" s="18"/>
      <c r="K1652" s="18"/>
      <c r="L1652" s="9"/>
      <c r="M1652" s="18"/>
      <c r="N1652" s="18"/>
      <c r="O1652" s="18"/>
      <c r="P1652" s="18"/>
      <c r="Q1652" s="18"/>
    </row>
    <row r="1653" spans="1:17" ht="90" x14ac:dyDescent="0.25">
      <c r="A1653" s="18"/>
      <c r="B1653" s="18"/>
      <c r="C1653" s="18"/>
      <c r="D1653" s="18"/>
      <c r="E1653" s="18"/>
      <c r="F1653" s="18"/>
      <c r="G1653" s="18"/>
      <c r="H1653" s="18"/>
      <c r="I1653" s="18"/>
      <c r="J1653" s="18"/>
      <c r="K1653" s="18"/>
      <c r="L1653" s="9" t="s">
        <v>121</v>
      </c>
      <c r="M1653" s="18"/>
      <c r="N1653" s="18"/>
      <c r="O1653" s="18"/>
      <c r="P1653" s="18"/>
      <c r="Q1653" s="18"/>
    </row>
    <row r="1654" spans="1:17" ht="210" x14ac:dyDescent="0.25">
      <c r="A1654" s="9" t="s">
        <v>6811</v>
      </c>
      <c r="B1654" s="9" t="s">
        <v>6771</v>
      </c>
      <c r="C1654" s="9" t="s">
        <v>6772</v>
      </c>
      <c r="D1654" s="9" t="s">
        <v>6742</v>
      </c>
      <c r="E1654" s="9" t="s">
        <v>5728</v>
      </c>
      <c r="F1654" s="9" t="s">
        <v>5729</v>
      </c>
      <c r="G1654" s="10" t="s">
        <v>6706</v>
      </c>
      <c r="H1654" s="9" t="s">
        <v>6290</v>
      </c>
      <c r="I1654" s="9"/>
      <c r="J1654" s="9"/>
      <c r="K1654" s="9"/>
      <c r="L1654" s="9"/>
      <c r="M1654" s="9" t="s">
        <v>5730</v>
      </c>
      <c r="N1654" s="9"/>
      <c r="O1654" s="9" t="s">
        <v>5731</v>
      </c>
      <c r="P1654" s="9" t="str">
        <f>HYPERLINK("https://ceds.ed.gov/cedselementdetails.aspx?termid=13163")</f>
        <v>https://ceds.ed.gov/cedselementdetails.aspx?termid=13163</v>
      </c>
      <c r="Q1654" s="9" t="str">
        <f>HYPERLINK("https://ceds.ed.gov/elementComment.aspx?elementName=Student Identification System &amp;elementID=13163", "Click here to submit comment")</f>
        <v>Click here to submit comment</v>
      </c>
    </row>
    <row r="1655" spans="1:17" ht="105" x14ac:dyDescent="0.25">
      <c r="A1655" s="18" t="s">
        <v>6811</v>
      </c>
      <c r="B1655" s="18" t="s">
        <v>6771</v>
      </c>
      <c r="C1655" s="18" t="s">
        <v>6772</v>
      </c>
      <c r="D1655" s="18" t="s">
        <v>6742</v>
      </c>
      <c r="E1655" s="18" t="s">
        <v>1719</v>
      </c>
      <c r="F1655" s="18" t="s">
        <v>1720</v>
      </c>
      <c r="G1655" s="18" t="s">
        <v>12</v>
      </c>
      <c r="H1655" s="18" t="s">
        <v>6165</v>
      </c>
      <c r="I1655" s="18"/>
      <c r="J1655" s="18" t="s">
        <v>119</v>
      </c>
      <c r="K1655" s="18"/>
      <c r="L1655" s="9" t="s">
        <v>120</v>
      </c>
      <c r="M1655" s="18" t="s">
        <v>1721</v>
      </c>
      <c r="N1655" s="18"/>
      <c r="O1655" s="18" t="s">
        <v>1722</v>
      </c>
      <c r="P1655" s="18" t="str">
        <f>HYPERLINK("https://ceds.ed.gov/cedselementdetails.aspx?termid=13781")</f>
        <v>https://ceds.ed.gov/cedselementdetails.aspx?termid=13781</v>
      </c>
      <c r="Q1655" s="18" t="str">
        <f>HYPERLINK("https://ceds.ed.gov/elementComment.aspx?elementName=Child Identifier &amp;elementID=13781", "Click here to submit comment")</f>
        <v>Click here to submit comment</v>
      </c>
    </row>
    <row r="1656" spans="1:17" x14ac:dyDescent="0.25">
      <c r="A1656" s="18"/>
      <c r="B1656" s="18"/>
      <c r="C1656" s="18"/>
      <c r="D1656" s="18"/>
      <c r="E1656" s="18"/>
      <c r="F1656" s="18"/>
      <c r="G1656" s="18"/>
      <c r="H1656" s="18"/>
      <c r="I1656" s="18"/>
      <c r="J1656" s="18"/>
      <c r="K1656" s="18"/>
      <c r="L1656" s="9"/>
      <c r="M1656" s="18"/>
      <c r="N1656" s="18"/>
      <c r="O1656" s="18"/>
      <c r="P1656" s="18"/>
      <c r="Q1656" s="18"/>
    </row>
    <row r="1657" spans="1:17" ht="90" x14ac:dyDescent="0.25">
      <c r="A1657" s="18"/>
      <c r="B1657" s="18"/>
      <c r="C1657" s="18"/>
      <c r="D1657" s="18"/>
      <c r="E1657" s="18"/>
      <c r="F1657" s="18"/>
      <c r="G1657" s="18"/>
      <c r="H1657" s="18"/>
      <c r="I1657" s="18"/>
      <c r="J1657" s="18"/>
      <c r="K1657" s="18"/>
      <c r="L1657" s="9" t="s">
        <v>121</v>
      </c>
      <c r="M1657" s="18"/>
      <c r="N1657" s="18"/>
      <c r="O1657" s="18"/>
      <c r="P1657" s="18"/>
      <c r="Q1657" s="18"/>
    </row>
    <row r="1658" spans="1:17" ht="105" x14ac:dyDescent="0.25">
      <c r="A1658" s="18" t="s">
        <v>6811</v>
      </c>
      <c r="B1658" s="18" t="s">
        <v>6771</v>
      </c>
      <c r="C1658" s="18" t="s">
        <v>6772</v>
      </c>
      <c r="D1658" s="18" t="s">
        <v>6742</v>
      </c>
      <c r="E1658" s="18" t="s">
        <v>4587</v>
      </c>
      <c r="F1658" s="18" t="s">
        <v>4588</v>
      </c>
      <c r="G1658" s="18" t="s">
        <v>12</v>
      </c>
      <c r="H1658" s="18"/>
      <c r="I1658" s="18"/>
      <c r="J1658" s="18" t="s">
        <v>119</v>
      </c>
      <c r="K1658" s="18"/>
      <c r="L1658" s="9" t="s">
        <v>120</v>
      </c>
      <c r="M1658" s="18" t="s">
        <v>4589</v>
      </c>
      <c r="N1658" s="18"/>
      <c r="O1658" s="18" t="s">
        <v>4590</v>
      </c>
      <c r="P1658" s="18" t="str">
        <f>HYPERLINK("https://ceds.ed.gov/cedselementdetails.aspx?termid=14551")</f>
        <v>https://ceds.ed.gov/cedselementdetails.aspx?termid=14551</v>
      </c>
      <c r="Q1658" s="18" t="str">
        <f>HYPERLINK("https://ceds.ed.gov/elementComment.aspx?elementName=Person Identifier &amp;elementID=14551", "Click here to submit comment")</f>
        <v>Click here to submit comment</v>
      </c>
    </row>
    <row r="1659" spans="1:17" x14ac:dyDescent="0.25">
      <c r="A1659" s="18"/>
      <c r="B1659" s="18"/>
      <c r="C1659" s="18"/>
      <c r="D1659" s="18"/>
      <c r="E1659" s="18"/>
      <c r="F1659" s="18"/>
      <c r="G1659" s="18"/>
      <c r="H1659" s="18"/>
      <c r="I1659" s="18"/>
      <c r="J1659" s="18"/>
      <c r="K1659" s="18"/>
      <c r="L1659" s="9"/>
      <c r="M1659" s="18"/>
      <c r="N1659" s="18"/>
      <c r="O1659" s="18"/>
      <c r="P1659" s="18"/>
      <c r="Q1659" s="18"/>
    </row>
    <row r="1660" spans="1:17" ht="90" x14ac:dyDescent="0.25">
      <c r="A1660" s="18"/>
      <c r="B1660" s="18"/>
      <c r="C1660" s="18"/>
      <c r="D1660" s="18"/>
      <c r="E1660" s="18"/>
      <c r="F1660" s="18"/>
      <c r="G1660" s="18"/>
      <c r="H1660" s="18"/>
      <c r="I1660" s="18"/>
      <c r="J1660" s="18"/>
      <c r="K1660" s="18"/>
      <c r="L1660" s="9" t="s">
        <v>121</v>
      </c>
      <c r="M1660" s="18"/>
      <c r="N1660" s="18"/>
      <c r="O1660" s="18"/>
      <c r="P1660" s="18"/>
      <c r="Q1660" s="18"/>
    </row>
    <row r="1661" spans="1:17" ht="375" x14ac:dyDescent="0.25">
      <c r="A1661" s="9" t="s">
        <v>6811</v>
      </c>
      <c r="B1661" s="9" t="s">
        <v>6771</v>
      </c>
      <c r="C1661" s="9" t="s">
        <v>6772</v>
      </c>
      <c r="D1661" s="9" t="s">
        <v>6742</v>
      </c>
      <c r="E1661" s="9" t="s">
        <v>4583</v>
      </c>
      <c r="F1661" s="9" t="s">
        <v>4584</v>
      </c>
      <c r="G1661" s="10" t="s">
        <v>6635</v>
      </c>
      <c r="H1661" s="9"/>
      <c r="I1661" s="9"/>
      <c r="J1661" s="9"/>
      <c r="K1661" s="9"/>
      <c r="L1661" s="9"/>
      <c r="M1661" s="9" t="s">
        <v>4585</v>
      </c>
      <c r="N1661" s="9"/>
      <c r="O1661" s="9" t="s">
        <v>4586</v>
      </c>
      <c r="P1661" s="9" t="str">
        <f>HYPERLINK("https://ceds.ed.gov/cedselementdetails.aspx?termid=14550")</f>
        <v>https://ceds.ed.gov/cedselementdetails.aspx?termid=14550</v>
      </c>
      <c r="Q1661" s="9" t="str">
        <f>HYPERLINK("https://ceds.ed.gov/elementComment.aspx?elementName=Person Identification System &amp;elementID=14550", "Click here to submit comment")</f>
        <v>Click here to submit comment</v>
      </c>
    </row>
    <row r="1662" spans="1:17" ht="409.5" x14ac:dyDescent="0.25">
      <c r="A1662" s="9" t="s">
        <v>6811</v>
      </c>
      <c r="B1662" s="9" t="s">
        <v>6771</v>
      </c>
      <c r="C1662" s="9" t="s">
        <v>6772</v>
      </c>
      <c r="D1662" s="9" t="s">
        <v>6742</v>
      </c>
      <c r="E1662" s="9" t="s">
        <v>4602</v>
      </c>
      <c r="F1662" s="9" t="s">
        <v>4603</v>
      </c>
      <c r="G1662" s="10" t="s">
        <v>6636</v>
      </c>
      <c r="H1662" s="9" t="s">
        <v>1537</v>
      </c>
      <c r="I1662" s="9"/>
      <c r="J1662" s="9"/>
      <c r="K1662" s="9"/>
      <c r="L1662" s="9"/>
      <c r="M1662" s="9" t="s">
        <v>4604</v>
      </c>
      <c r="N1662" s="9"/>
      <c r="O1662" s="9" t="s">
        <v>4605</v>
      </c>
      <c r="P1662" s="9" t="str">
        <f>HYPERLINK("https://ceds.ed.gov/cedselementdetails.aspx?termid=13415")</f>
        <v>https://ceds.ed.gov/cedselementdetails.aspx?termid=13415</v>
      </c>
      <c r="Q1662" s="9" t="str">
        <f>HYPERLINK("https://ceds.ed.gov/elementComment.aspx?elementName=Person Relationship to Learner Type &amp;elementID=13415", "Click here to submit comment")</f>
        <v>Click here to submit comment</v>
      </c>
    </row>
    <row r="1663" spans="1:17" ht="90" x14ac:dyDescent="0.25">
      <c r="A1663" s="9" t="s">
        <v>6811</v>
      </c>
      <c r="B1663" s="9" t="s">
        <v>6771</v>
      </c>
      <c r="C1663" s="9" t="s">
        <v>6772</v>
      </c>
      <c r="D1663" s="9" t="s">
        <v>6742</v>
      </c>
      <c r="E1663" s="9" t="s">
        <v>4701</v>
      </c>
      <c r="F1663" s="9" t="s">
        <v>4702</v>
      </c>
      <c r="G1663" s="9" t="s">
        <v>6106</v>
      </c>
      <c r="H1663" s="9"/>
      <c r="I1663" s="9"/>
      <c r="J1663" s="9"/>
      <c r="K1663" s="9"/>
      <c r="L1663" s="9"/>
      <c r="M1663" s="9" t="s">
        <v>4703</v>
      </c>
      <c r="N1663" s="9"/>
      <c r="O1663" s="9" t="s">
        <v>4704</v>
      </c>
      <c r="P1663" s="9" t="str">
        <f>HYPERLINK("https://ceds.ed.gov/cedselementdetails.aspx?termid=14397")</f>
        <v>https://ceds.ed.gov/cedselementdetails.aspx?termid=14397</v>
      </c>
      <c r="Q1663" s="9" t="str">
        <f>HYPERLINK("https://ceds.ed.gov/elementComment.aspx?elementName=Primary Contact Indicator &amp;elementID=14397", "Click here to submit comment")</f>
        <v>Click here to submit comment</v>
      </c>
    </row>
    <row r="1664" spans="1:17" ht="45" x14ac:dyDescent="0.25">
      <c r="A1664" s="9" t="s">
        <v>6811</v>
      </c>
      <c r="B1664" s="9" t="s">
        <v>6771</v>
      </c>
      <c r="C1664" s="9" t="s">
        <v>6772</v>
      </c>
      <c r="D1664" s="9" t="s">
        <v>6742</v>
      </c>
      <c r="E1664" s="9" t="s">
        <v>2606</v>
      </c>
      <c r="F1664" s="9" t="s">
        <v>2607</v>
      </c>
      <c r="G1664" s="9" t="s">
        <v>6106</v>
      </c>
      <c r="H1664" s="9"/>
      <c r="I1664" s="9"/>
      <c r="J1664" s="9"/>
      <c r="K1664" s="9"/>
      <c r="L1664" s="9"/>
      <c r="M1664" s="9" t="s">
        <v>2608</v>
      </c>
      <c r="N1664" s="9"/>
      <c r="O1664" s="9" t="s">
        <v>2609</v>
      </c>
      <c r="P1664" s="9" t="str">
        <f>HYPERLINK("https://ceds.ed.gov/cedselementdetails.aspx?termid=14308")</f>
        <v>https://ceds.ed.gov/cedselementdetails.aspx?termid=14308</v>
      </c>
      <c r="Q1664" s="9" t="str">
        <f>HYPERLINK("https://ceds.ed.gov/elementComment.aspx?elementName=Emergency Contact Indicator &amp;elementID=14308", "Click here to submit comment")</f>
        <v>Click here to submit comment</v>
      </c>
    </row>
    <row r="1665" spans="1:17" ht="45" x14ac:dyDescent="0.25">
      <c r="A1665" s="9" t="s">
        <v>6811</v>
      </c>
      <c r="B1665" s="9" t="s">
        <v>6771</v>
      </c>
      <c r="C1665" s="9" t="s">
        <v>6772</v>
      </c>
      <c r="D1665" s="9" t="s">
        <v>6742</v>
      </c>
      <c r="E1665" s="9" t="s">
        <v>4591</v>
      </c>
      <c r="F1665" s="9" t="s">
        <v>4592</v>
      </c>
      <c r="G1665" s="9" t="s">
        <v>12</v>
      </c>
      <c r="H1665" s="9"/>
      <c r="I1665" s="9"/>
      <c r="J1665" s="9" t="s">
        <v>10489</v>
      </c>
      <c r="K1665" s="9"/>
      <c r="L1665" s="9"/>
      <c r="M1665" s="9" t="s">
        <v>4593</v>
      </c>
      <c r="N1665" s="9"/>
      <c r="O1665" s="9" t="s">
        <v>4594</v>
      </c>
      <c r="P1665" s="9" t="str">
        <f>HYPERLINK("https://ceds.ed.gov/cedselementdetails.aspx?termid=14392")</f>
        <v>https://ceds.ed.gov/cedselementdetails.aspx?termid=14392</v>
      </c>
      <c r="Q1665" s="9" t="str">
        <f>HYPERLINK("https://ceds.ed.gov/elementComment.aspx?elementName=Person Relationship to Learner Contact Priority Number &amp;elementID=14392", "Click here to submit comment")</f>
        <v>Click here to submit comment</v>
      </c>
    </row>
    <row r="1666" spans="1:17" ht="60" x14ac:dyDescent="0.25">
      <c r="A1666" s="9" t="s">
        <v>6811</v>
      </c>
      <c r="B1666" s="9" t="s">
        <v>6771</v>
      </c>
      <c r="C1666" s="9" t="s">
        <v>6772</v>
      </c>
      <c r="D1666" s="9" t="s">
        <v>6742</v>
      </c>
      <c r="E1666" s="9" t="s">
        <v>4595</v>
      </c>
      <c r="F1666" s="9" t="s">
        <v>4596</v>
      </c>
      <c r="G1666" s="9" t="s">
        <v>12</v>
      </c>
      <c r="H1666" s="9"/>
      <c r="I1666" s="9"/>
      <c r="J1666" s="9" t="s">
        <v>303</v>
      </c>
      <c r="K1666" s="9"/>
      <c r="L1666" s="9"/>
      <c r="M1666" s="9" t="s">
        <v>4597</v>
      </c>
      <c r="N1666" s="9"/>
      <c r="O1666" s="9" t="s">
        <v>4598</v>
      </c>
      <c r="P1666" s="9" t="str">
        <f>HYPERLINK("https://ceds.ed.gov/cedselementdetails.aspx?termid=14393")</f>
        <v>https://ceds.ed.gov/cedselementdetails.aspx?termid=14393</v>
      </c>
      <c r="Q1666" s="9" t="str">
        <f>HYPERLINK("https://ceds.ed.gov/elementComment.aspx?elementName=Person Relationship to Learner Contact Restrictions Description &amp;elementID=14393", "Click here to submit comment")</f>
        <v>Click here to submit comment</v>
      </c>
    </row>
    <row r="1667" spans="1:17" ht="45" x14ac:dyDescent="0.25">
      <c r="A1667" s="9" t="s">
        <v>6811</v>
      </c>
      <c r="B1667" s="9" t="s">
        <v>6771</v>
      </c>
      <c r="C1667" s="9" t="s">
        <v>6772</v>
      </c>
      <c r="D1667" s="9" t="s">
        <v>6742</v>
      </c>
      <c r="E1667" s="9" t="s">
        <v>12217</v>
      </c>
      <c r="F1667" s="9" t="s">
        <v>4599</v>
      </c>
      <c r="G1667" s="9" t="s">
        <v>6106</v>
      </c>
      <c r="H1667" s="9"/>
      <c r="I1667" s="9"/>
      <c r="J1667" s="9"/>
      <c r="K1667" s="9"/>
      <c r="L1667" s="9"/>
      <c r="M1667" s="9" t="s">
        <v>4600</v>
      </c>
      <c r="N1667" s="9"/>
      <c r="O1667" s="9" t="s">
        <v>4601</v>
      </c>
      <c r="P1667" s="9" t="str">
        <f>HYPERLINK("https://ceds.ed.gov/cedselementdetails.aspx?termid=14394")</f>
        <v>https://ceds.ed.gov/cedselementdetails.aspx?termid=14394</v>
      </c>
      <c r="Q1667" s="9" t="str">
        <f>HYPERLINK("https://ceds.ed.gov/elementComment.aspx?elementName=Person Relationship to Learner Lives with Indicator &amp;elementID=14394", "Click here to submit comment")</f>
        <v>Click here to submit comment</v>
      </c>
    </row>
    <row r="1668" spans="1:17" ht="195" x14ac:dyDescent="0.25">
      <c r="A1668" s="9" t="s">
        <v>6811</v>
      </c>
      <c r="B1668" s="9" t="s">
        <v>6844</v>
      </c>
      <c r="C1668" s="9" t="s">
        <v>6741</v>
      </c>
      <c r="D1668" s="9" t="s">
        <v>6742</v>
      </c>
      <c r="E1668" s="9" t="s">
        <v>2935</v>
      </c>
      <c r="F1668" s="9" t="s">
        <v>2936</v>
      </c>
      <c r="G1668" s="9" t="s">
        <v>12</v>
      </c>
      <c r="H1668" s="9" t="s">
        <v>6211</v>
      </c>
      <c r="I1668" s="9"/>
      <c r="J1668" s="9" t="s">
        <v>1310</v>
      </c>
      <c r="K1668" s="9"/>
      <c r="L1668" s="9" t="s">
        <v>2937</v>
      </c>
      <c r="M1668" s="9" t="s">
        <v>2938</v>
      </c>
      <c r="N1668" s="9"/>
      <c r="O1668" s="9" t="s">
        <v>2939</v>
      </c>
      <c r="P1668" s="9" t="str">
        <f>HYPERLINK("https://ceds.ed.gov/cedselementdetails.aspx?termid=13115")</f>
        <v>https://ceds.ed.gov/cedselementdetails.aspx?termid=13115</v>
      </c>
      <c r="Q1668" s="9" t="str">
        <f>HYPERLINK("https://ceds.ed.gov/elementComment.aspx?elementName=First Name &amp;elementID=13115", "Click here to submit comment")</f>
        <v>Click here to submit comment</v>
      </c>
    </row>
    <row r="1669" spans="1:17" ht="90" customHeight="1" x14ac:dyDescent="0.25">
      <c r="A1669" s="18" t="s">
        <v>6811</v>
      </c>
      <c r="B1669" s="18" t="s">
        <v>6844</v>
      </c>
      <c r="C1669" s="18" t="s">
        <v>6741</v>
      </c>
      <c r="D1669" s="18" t="s">
        <v>6742</v>
      </c>
      <c r="E1669" s="18" t="s">
        <v>4183</v>
      </c>
      <c r="F1669" s="18" t="s">
        <v>4184</v>
      </c>
      <c r="G1669" s="18" t="s">
        <v>12</v>
      </c>
      <c r="H1669" s="18" t="s">
        <v>6211</v>
      </c>
      <c r="I1669" s="18"/>
      <c r="J1669" s="18" t="s">
        <v>1310</v>
      </c>
      <c r="K1669" s="18"/>
      <c r="L1669" s="9" t="s">
        <v>2996</v>
      </c>
      <c r="M1669" s="18" t="s">
        <v>4185</v>
      </c>
      <c r="N1669" s="18"/>
      <c r="O1669" s="18" t="s">
        <v>4186</v>
      </c>
      <c r="P1669" s="18" t="str">
        <f>HYPERLINK("https://ceds.ed.gov/cedselementdetails.aspx?termid=13184")</f>
        <v>https://ceds.ed.gov/cedselementdetails.aspx?termid=13184</v>
      </c>
      <c r="Q1669" s="18" t="str">
        <f>HYPERLINK("https://ceds.ed.gov/elementComment.aspx?elementName=Middle Name &amp;elementID=13184", "Click here to submit comment")</f>
        <v>Click here to submit comment</v>
      </c>
    </row>
    <row r="1670" spans="1:17" ht="90" x14ac:dyDescent="0.25">
      <c r="A1670" s="18"/>
      <c r="B1670" s="18"/>
      <c r="C1670" s="18"/>
      <c r="D1670" s="18"/>
      <c r="E1670" s="18"/>
      <c r="F1670" s="18"/>
      <c r="G1670" s="18"/>
      <c r="H1670" s="18"/>
      <c r="I1670" s="18"/>
      <c r="J1670" s="18"/>
      <c r="K1670" s="18"/>
      <c r="L1670" s="9" t="s">
        <v>2997</v>
      </c>
      <c r="M1670" s="18"/>
      <c r="N1670" s="18"/>
      <c r="O1670" s="18"/>
      <c r="P1670" s="18"/>
      <c r="Q1670" s="18"/>
    </row>
    <row r="1671" spans="1:17" ht="90" customHeight="1" x14ac:dyDescent="0.25">
      <c r="A1671" s="18" t="s">
        <v>6811</v>
      </c>
      <c r="B1671" s="18" t="s">
        <v>6844</v>
      </c>
      <c r="C1671" s="18" t="s">
        <v>6741</v>
      </c>
      <c r="D1671" s="18" t="s">
        <v>6742</v>
      </c>
      <c r="E1671" s="18" t="s">
        <v>3597</v>
      </c>
      <c r="F1671" s="18" t="s">
        <v>3598</v>
      </c>
      <c r="G1671" s="18" t="s">
        <v>12</v>
      </c>
      <c r="H1671" s="18" t="s">
        <v>6211</v>
      </c>
      <c r="I1671" s="18"/>
      <c r="J1671" s="18" t="s">
        <v>1310</v>
      </c>
      <c r="K1671" s="18"/>
      <c r="L1671" s="9" t="s">
        <v>2996</v>
      </c>
      <c r="M1671" s="18" t="s">
        <v>3599</v>
      </c>
      <c r="N1671" s="18" t="s">
        <v>3600</v>
      </c>
      <c r="O1671" s="18" t="s">
        <v>3601</v>
      </c>
      <c r="P1671" s="18" t="str">
        <f>HYPERLINK("https://ceds.ed.gov/cedselementdetails.aspx?termid=13172")</f>
        <v>https://ceds.ed.gov/cedselementdetails.aspx?termid=13172</v>
      </c>
      <c r="Q1671" s="18" t="str">
        <f>HYPERLINK("https://ceds.ed.gov/elementComment.aspx?elementName=Last or Surname &amp;elementID=13172", "Click here to submit comment")</f>
        <v>Click here to submit comment</v>
      </c>
    </row>
    <row r="1672" spans="1:17" ht="90" x14ac:dyDescent="0.25">
      <c r="A1672" s="18"/>
      <c r="B1672" s="18"/>
      <c r="C1672" s="18"/>
      <c r="D1672" s="18"/>
      <c r="E1672" s="18"/>
      <c r="F1672" s="18"/>
      <c r="G1672" s="18"/>
      <c r="H1672" s="18"/>
      <c r="I1672" s="18"/>
      <c r="J1672" s="18"/>
      <c r="K1672" s="18"/>
      <c r="L1672" s="9" t="s">
        <v>2997</v>
      </c>
      <c r="M1672" s="18"/>
      <c r="N1672" s="18"/>
      <c r="O1672" s="18"/>
      <c r="P1672" s="18"/>
      <c r="Q1672" s="18"/>
    </row>
    <row r="1673" spans="1:17" ht="45" customHeight="1" x14ac:dyDescent="0.25">
      <c r="A1673" s="18" t="s">
        <v>6811</v>
      </c>
      <c r="B1673" s="18" t="s">
        <v>6844</v>
      </c>
      <c r="C1673" s="18" t="s">
        <v>6741</v>
      </c>
      <c r="D1673" s="18" t="s">
        <v>6742</v>
      </c>
      <c r="E1673" s="18" t="s">
        <v>2994</v>
      </c>
      <c r="F1673" s="18" t="s">
        <v>2995</v>
      </c>
      <c r="G1673" s="18" t="s">
        <v>12</v>
      </c>
      <c r="H1673" s="18" t="s">
        <v>6212</v>
      </c>
      <c r="I1673" s="18"/>
      <c r="J1673" s="18" t="s">
        <v>2088</v>
      </c>
      <c r="K1673" s="18"/>
      <c r="L1673" s="9" t="s">
        <v>2996</v>
      </c>
      <c r="M1673" s="18" t="s">
        <v>2998</v>
      </c>
      <c r="N1673" s="18"/>
      <c r="O1673" s="18" t="s">
        <v>2999</v>
      </c>
      <c r="P1673" s="18" t="str">
        <f>HYPERLINK("https://ceds.ed.gov/cedselementdetails.aspx?termid=13121")</f>
        <v>https://ceds.ed.gov/cedselementdetails.aspx?termid=13121</v>
      </c>
      <c r="Q1673" s="18" t="str">
        <f>HYPERLINK("https://ceds.ed.gov/elementComment.aspx?elementName=Generation Code or Suffix &amp;elementID=13121", "Click here to submit comment")</f>
        <v>Click here to submit comment</v>
      </c>
    </row>
    <row r="1674" spans="1:17" ht="90" x14ac:dyDescent="0.25">
      <c r="A1674" s="18"/>
      <c r="B1674" s="18"/>
      <c r="C1674" s="18"/>
      <c r="D1674" s="18"/>
      <c r="E1674" s="18"/>
      <c r="F1674" s="18"/>
      <c r="G1674" s="18"/>
      <c r="H1674" s="18"/>
      <c r="I1674" s="18"/>
      <c r="J1674" s="18"/>
      <c r="K1674" s="18"/>
      <c r="L1674" s="9" t="s">
        <v>2997</v>
      </c>
      <c r="M1674" s="18"/>
      <c r="N1674" s="18"/>
      <c r="O1674" s="18"/>
      <c r="P1674" s="18"/>
      <c r="Q1674" s="18"/>
    </row>
    <row r="1675" spans="1:17" ht="105" x14ac:dyDescent="0.25">
      <c r="A1675" s="9" t="s">
        <v>6811</v>
      </c>
      <c r="B1675" s="9" t="s">
        <v>6844</v>
      </c>
      <c r="C1675" s="9" t="s">
        <v>6741</v>
      </c>
      <c r="D1675" s="9" t="s">
        <v>6742</v>
      </c>
      <c r="E1675" s="9" t="s">
        <v>4610</v>
      </c>
      <c r="F1675" s="9" t="s">
        <v>4611</v>
      </c>
      <c r="G1675" s="9" t="s">
        <v>12</v>
      </c>
      <c r="H1675" s="9" t="s">
        <v>6255</v>
      </c>
      <c r="I1675" s="9"/>
      <c r="J1675" s="9" t="s">
        <v>87</v>
      </c>
      <c r="K1675" s="9"/>
      <c r="L1675" s="9"/>
      <c r="M1675" s="9" t="s">
        <v>4612</v>
      </c>
      <c r="N1675" s="9" t="s">
        <v>4613</v>
      </c>
      <c r="O1675" s="9" t="s">
        <v>4614</v>
      </c>
      <c r="P1675" s="9" t="str">
        <f>HYPERLINK("https://ceds.ed.gov/cedselementdetails.aspx?termid=13212")</f>
        <v>https://ceds.ed.gov/cedselementdetails.aspx?termid=13212</v>
      </c>
      <c r="Q1675" s="9" t="str">
        <f>HYPERLINK("https://ceds.ed.gov/elementComment.aspx?elementName=Personal Title or Prefix &amp;elementID=13212", "Click here to submit comment")</f>
        <v>Click here to submit comment</v>
      </c>
    </row>
    <row r="1676" spans="1:17" ht="45" x14ac:dyDescent="0.25">
      <c r="A1676" s="9" t="s">
        <v>6811</v>
      </c>
      <c r="B1676" s="9" t="s">
        <v>6844</v>
      </c>
      <c r="C1676" s="9" t="s">
        <v>6743</v>
      </c>
      <c r="D1676" s="9" t="s">
        <v>6742</v>
      </c>
      <c r="E1676" s="9" t="s">
        <v>4481</v>
      </c>
      <c r="F1676" s="9" t="s">
        <v>4482</v>
      </c>
      <c r="G1676" s="9" t="s">
        <v>12</v>
      </c>
      <c r="H1676" s="9"/>
      <c r="I1676" s="9"/>
      <c r="J1676" s="9" t="s">
        <v>1310</v>
      </c>
      <c r="K1676" s="9"/>
      <c r="L1676" s="9" t="s">
        <v>4483</v>
      </c>
      <c r="M1676" s="9" t="s">
        <v>4484</v>
      </c>
      <c r="N1676" s="9"/>
      <c r="O1676" s="9" t="s">
        <v>4485</v>
      </c>
      <c r="P1676" s="9" t="str">
        <f>HYPERLINK("https://ceds.ed.gov/cedselementdetails.aspx?termid=14486")</f>
        <v>https://ceds.ed.gov/cedselementdetails.aspx?termid=14486</v>
      </c>
      <c r="Q1676" s="9" t="str">
        <f>HYPERLINK("https://ceds.ed.gov/elementComment.aspx?elementName=Other First Name &amp;elementID=14486", "Click here to submit comment")</f>
        <v>Click here to submit comment</v>
      </c>
    </row>
    <row r="1677" spans="1:17" ht="45" x14ac:dyDescent="0.25">
      <c r="A1677" s="9" t="s">
        <v>6811</v>
      </c>
      <c r="B1677" s="9" t="s">
        <v>6844</v>
      </c>
      <c r="C1677" s="9" t="s">
        <v>6743</v>
      </c>
      <c r="D1677" s="9" t="s">
        <v>6742</v>
      </c>
      <c r="E1677" s="9" t="s">
        <v>4491</v>
      </c>
      <c r="F1677" s="9" t="s">
        <v>4492</v>
      </c>
      <c r="G1677" s="9" t="s">
        <v>12</v>
      </c>
      <c r="H1677" s="9"/>
      <c r="I1677" s="9"/>
      <c r="J1677" s="9" t="s">
        <v>1310</v>
      </c>
      <c r="K1677" s="9"/>
      <c r="L1677" s="9" t="s">
        <v>4493</v>
      </c>
      <c r="M1677" s="9" t="s">
        <v>4494</v>
      </c>
      <c r="N1677" s="9"/>
      <c r="O1677" s="9" t="s">
        <v>4495</v>
      </c>
      <c r="P1677" s="9" t="str">
        <f>HYPERLINK("https://ceds.ed.gov/cedselementdetails.aspx?termid=14487")</f>
        <v>https://ceds.ed.gov/cedselementdetails.aspx?termid=14487</v>
      </c>
      <c r="Q1677" s="9" t="str">
        <f>HYPERLINK("https://ceds.ed.gov/elementComment.aspx?elementName=Other Middle Name &amp;elementID=14487", "Click here to submit comment")</f>
        <v>Click here to submit comment</v>
      </c>
    </row>
    <row r="1678" spans="1:17" ht="45" x14ac:dyDescent="0.25">
      <c r="A1678" s="9" t="s">
        <v>6811</v>
      </c>
      <c r="B1678" s="9" t="s">
        <v>6844</v>
      </c>
      <c r="C1678" s="9" t="s">
        <v>6743</v>
      </c>
      <c r="D1678" s="9" t="s">
        <v>6742</v>
      </c>
      <c r="E1678" s="9" t="s">
        <v>4486</v>
      </c>
      <c r="F1678" s="9" t="s">
        <v>4487</v>
      </c>
      <c r="G1678" s="9" t="s">
        <v>12</v>
      </c>
      <c r="H1678" s="9"/>
      <c r="I1678" s="9"/>
      <c r="J1678" s="9" t="s">
        <v>1310</v>
      </c>
      <c r="K1678" s="9"/>
      <c r="L1678" s="9" t="s">
        <v>4488</v>
      </c>
      <c r="M1678" s="9" t="s">
        <v>4489</v>
      </c>
      <c r="N1678" s="9"/>
      <c r="O1678" s="9" t="s">
        <v>4490</v>
      </c>
      <c r="P1678" s="9" t="str">
        <f>HYPERLINK("https://ceds.ed.gov/cedselementdetails.aspx?termid=14485")</f>
        <v>https://ceds.ed.gov/cedselementdetails.aspx?termid=14485</v>
      </c>
      <c r="Q1678" s="9" t="str">
        <f>HYPERLINK("https://ceds.ed.gov/elementComment.aspx?elementName=Other Last Name &amp;elementID=14485", "Click here to submit comment")</f>
        <v>Click here to submit comment</v>
      </c>
    </row>
    <row r="1679" spans="1:17" ht="150" x14ac:dyDescent="0.25">
      <c r="A1679" s="9" t="s">
        <v>6811</v>
      </c>
      <c r="B1679" s="9" t="s">
        <v>6844</v>
      </c>
      <c r="C1679" s="9" t="s">
        <v>6743</v>
      </c>
      <c r="D1679" s="9" t="s">
        <v>6742</v>
      </c>
      <c r="E1679" s="9" t="s">
        <v>4496</v>
      </c>
      <c r="F1679" s="9" t="s">
        <v>4497</v>
      </c>
      <c r="G1679" s="9" t="s">
        <v>12</v>
      </c>
      <c r="H1679" s="9" t="s">
        <v>6212</v>
      </c>
      <c r="I1679" s="9"/>
      <c r="J1679" s="9" t="s">
        <v>119</v>
      </c>
      <c r="K1679" s="9"/>
      <c r="L1679" s="9"/>
      <c r="M1679" s="9" t="s">
        <v>4498</v>
      </c>
      <c r="N1679" s="9"/>
      <c r="O1679" s="9" t="s">
        <v>4499</v>
      </c>
      <c r="P1679" s="9" t="str">
        <f>HYPERLINK("https://ceds.ed.gov/cedselementdetails.aspx?termid=13206")</f>
        <v>https://ceds.ed.gov/cedselementdetails.aspx?termid=13206</v>
      </c>
      <c r="Q1679" s="9" t="str">
        <f>HYPERLINK("https://ceds.ed.gov/elementComment.aspx?elementName=Other Name &amp;elementID=13206", "Click here to submit comment")</f>
        <v>Click here to submit comment</v>
      </c>
    </row>
    <row r="1680" spans="1:17" ht="165" x14ac:dyDescent="0.25">
      <c r="A1680" s="9" t="s">
        <v>6811</v>
      </c>
      <c r="B1680" s="9" t="s">
        <v>6844</v>
      </c>
      <c r="C1680" s="9" t="s">
        <v>6743</v>
      </c>
      <c r="D1680" s="9" t="s">
        <v>6742</v>
      </c>
      <c r="E1680" s="9" t="s">
        <v>4500</v>
      </c>
      <c r="F1680" s="9" t="s">
        <v>4501</v>
      </c>
      <c r="G1680" s="10" t="s">
        <v>6630</v>
      </c>
      <c r="H1680" s="9" t="s">
        <v>6251</v>
      </c>
      <c r="I1680" s="9"/>
      <c r="J1680" s="9" t="s">
        <v>87</v>
      </c>
      <c r="K1680" s="9"/>
      <c r="L1680" s="9"/>
      <c r="M1680" s="9" t="s">
        <v>4502</v>
      </c>
      <c r="N1680" s="9"/>
      <c r="O1680" s="9" t="s">
        <v>4503</v>
      </c>
      <c r="P1680" s="9" t="str">
        <f>HYPERLINK("https://ceds.ed.gov/cedselementdetails.aspx?termid=13627")</f>
        <v>https://ceds.ed.gov/cedselementdetails.aspx?termid=13627</v>
      </c>
      <c r="Q1680" s="9" t="str">
        <f>HYPERLINK("https://ceds.ed.gov/elementComment.aspx?elementName=Other Name Type &amp;elementID=13627", "Click here to submit comment")</f>
        <v>Click here to submit comment</v>
      </c>
    </row>
    <row r="1681" spans="1:17" ht="105" x14ac:dyDescent="0.25">
      <c r="A1681" s="18" t="s">
        <v>6811</v>
      </c>
      <c r="B1681" s="18" t="s">
        <v>6844</v>
      </c>
      <c r="C1681" s="18" t="s">
        <v>6744</v>
      </c>
      <c r="D1681" s="18" t="s">
        <v>6742</v>
      </c>
      <c r="E1681" s="18" t="s">
        <v>5621</v>
      </c>
      <c r="F1681" s="18" t="s">
        <v>5622</v>
      </c>
      <c r="G1681" s="18" t="s">
        <v>12</v>
      </c>
      <c r="H1681" s="18" t="s">
        <v>6284</v>
      </c>
      <c r="I1681" s="18"/>
      <c r="J1681" s="18" t="s">
        <v>119</v>
      </c>
      <c r="K1681" s="18"/>
      <c r="L1681" s="9" t="s">
        <v>120</v>
      </c>
      <c r="M1681" s="18" t="s">
        <v>5623</v>
      </c>
      <c r="N1681" s="18"/>
      <c r="O1681" s="18" t="s">
        <v>5624</v>
      </c>
      <c r="P1681" s="18" t="str">
        <f>HYPERLINK("https://ceds.ed.gov/cedselementdetails.aspx?termid=13156")</f>
        <v>https://ceds.ed.gov/cedselementdetails.aspx?termid=13156</v>
      </c>
      <c r="Q1681" s="18" t="str">
        <f>HYPERLINK("https://ceds.ed.gov/elementComment.aspx?elementName=Staff Member Identifier &amp;elementID=13156", "Click here to submit comment")</f>
        <v>Click here to submit comment</v>
      </c>
    </row>
    <row r="1682" spans="1:17" x14ac:dyDescent="0.25">
      <c r="A1682" s="18"/>
      <c r="B1682" s="18"/>
      <c r="C1682" s="18"/>
      <c r="D1682" s="18"/>
      <c r="E1682" s="18"/>
      <c r="F1682" s="18"/>
      <c r="G1682" s="18"/>
      <c r="H1682" s="18"/>
      <c r="I1682" s="18"/>
      <c r="J1682" s="18"/>
      <c r="K1682" s="18"/>
      <c r="L1682" s="9"/>
      <c r="M1682" s="18"/>
      <c r="N1682" s="18"/>
      <c r="O1682" s="18"/>
      <c r="P1682" s="18"/>
      <c r="Q1682" s="18"/>
    </row>
    <row r="1683" spans="1:17" ht="90" x14ac:dyDescent="0.25">
      <c r="A1683" s="18"/>
      <c r="B1683" s="18"/>
      <c r="C1683" s="18"/>
      <c r="D1683" s="18"/>
      <c r="E1683" s="18"/>
      <c r="F1683" s="18"/>
      <c r="G1683" s="18"/>
      <c r="H1683" s="18"/>
      <c r="I1683" s="18"/>
      <c r="J1683" s="18"/>
      <c r="K1683" s="18"/>
      <c r="L1683" s="9" t="s">
        <v>121</v>
      </c>
      <c r="M1683" s="18"/>
      <c r="N1683" s="18"/>
      <c r="O1683" s="18"/>
      <c r="P1683" s="18"/>
      <c r="Q1683" s="18"/>
    </row>
    <row r="1684" spans="1:17" ht="345" x14ac:dyDescent="0.25">
      <c r="A1684" s="9" t="s">
        <v>6811</v>
      </c>
      <c r="B1684" s="9" t="s">
        <v>6844</v>
      </c>
      <c r="C1684" s="9" t="s">
        <v>6744</v>
      </c>
      <c r="D1684" s="9" t="s">
        <v>6742</v>
      </c>
      <c r="E1684" s="9" t="s">
        <v>5617</v>
      </c>
      <c r="F1684" s="9" t="s">
        <v>5618</v>
      </c>
      <c r="G1684" s="10" t="s">
        <v>6700</v>
      </c>
      <c r="H1684" s="9" t="s">
        <v>6283</v>
      </c>
      <c r="I1684" s="9"/>
      <c r="J1684" s="9"/>
      <c r="K1684" s="9"/>
      <c r="L1684" s="9"/>
      <c r="M1684" s="9" t="s">
        <v>5619</v>
      </c>
      <c r="N1684" s="9"/>
      <c r="O1684" s="9" t="s">
        <v>5620</v>
      </c>
      <c r="P1684" s="9" t="str">
        <f>HYPERLINK("https://ceds.ed.gov/cedselementdetails.aspx?termid=13162")</f>
        <v>https://ceds.ed.gov/cedselementdetails.aspx?termid=13162</v>
      </c>
      <c r="Q1684" s="9" t="str">
        <f>HYPERLINK("https://ceds.ed.gov/elementComment.aspx?elementName=Staff Member Identification System &amp;elementID=13162", "Click here to submit comment")</f>
        <v>Click here to submit comment</v>
      </c>
    </row>
    <row r="1685" spans="1:17" ht="255" x14ac:dyDescent="0.25">
      <c r="A1685" s="9" t="s">
        <v>6811</v>
      </c>
      <c r="B1685" s="9" t="s">
        <v>6844</v>
      </c>
      <c r="C1685" s="9" t="s">
        <v>6744</v>
      </c>
      <c r="D1685" s="9" t="s">
        <v>6742</v>
      </c>
      <c r="E1685" s="9" t="s">
        <v>4606</v>
      </c>
      <c r="F1685" s="9" t="s">
        <v>4607</v>
      </c>
      <c r="G1685" s="10" t="s">
        <v>6637</v>
      </c>
      <c r="H1685" s="9"/>
      <c r="I1685" s="9"/>
      <c r="J1685" s="9"/>
      <c r="K1685" s="9"/>
      <c r="L1685" s="9"/>
      <c r="M1685" s="9" t="s">
        <v>4608</v>
      </c>
      <c r="N1685" s="9"/>
      <c r="O1685" s="9" t="s">
        <v>4609</v>
      </c>
      <c r="P1685" s="9" t="str">
        <f>HYPERLINK("https://ceds.ed.gov/cedselementdetails.aspx?termid=13611")</f>
        <v>https://ceds.ed.gov/cedselementdetails.aspx?termid=13611</v>
      </c>
      <c r="Q1685" s="9" t="str">
        <f>HYPERLINK("https://ceds.ed.gov/elementComment.aspx?elementName=Personal Information Verification &amp;elementID=13611", "Click here to submit comment")</f>
        <v>Click here to submit comment</v>
      </c>
    </row>
    <row r="1686" spans="1:17" ht="105" x14ac:dyDescent="0.25">
      <c r="A1686" s="9" t="s">
        <v>6811</v>
      </c>
      <c r="B1686" s="9" t="s">
        <v>6844</v>
      </c>
      <c r="C1686" s="9" t="s">
        <v>6745</v>
      </c>
      <c r="D1686" s="9" t="s">
        <v>6742</v>
      </c>
      <c r="E1686" s="9" t="s">
        <v>178</v>
      </c>
      <c r="F1686" s="9" t="s">
        <v>179</v>
      </c>
      <c r="G1686" s="10" t="s">
        <v>6321</v>
      </c>
      <c r="H1686" s="9" t="s">
        <v>182</v>
      </c>
      <c r="I1686" s="9"/>
      <c r="J1686" s="9" t="s">
        <v>87</v>
      </c>
      <c r="K1686" s="9"/>
      <c r="L1686" s="9"/>
      <c r="M1686" s="9" t="s">
        <v>180</v>
      </c>
      <c r="N1686" s="9"/>
      <c r="O1686" s="9" t="s">
        <v>181</v>
      </c>
      <c r="P1686" s="9" t="str">
        <f>HYPERLINK("https://ceds.ed.gov/cedselementdetails.aspx?termid=13698")</f>
        <v>https://ceds.ed.gov/cedselementdetails.aspx?termid=13698</v>
      </c>
      <c r="Q1686" s="9" t="str">
        <f>HYPERLINK("https://ceds.ed.gov/elementComment.aspx?elementName=Address Type for Staff &amp;elementID=13698", "Click here to submit comment")</f>
        <v>Click here to submit comment</v>
      </c>
    </row>
    <row r="1687" spans="1:17" ht="225" x14ac:dyDescent="0.25">
      <c r="A1687" s="9" t="s">
        <v>6811</v>
      </c>
      <c r="B1687" s="9" t="s">
        <v>6844</v>
      </c>
      <c r="C1687" s="9" t="s">
        <v>6745</v>
      </c>
      <c r="D1687" s="9" t="s">
        <v>6742</v>
      </c>
      <c r="E1687" s="9" t="s">
        <v>166</v>
      </c>
      <c r="F1687" s="9" t="s">
        <v>167</v>
      </c>
      <c r="G1687" s="9" t="s">
        <v>12</v>
      </c>
      <c r="H1687" s="9" t="s">
        <v>6113</v>
      </c>
      <c r="I1687" s="9"/>
      <c r="J1687" s="9" t="s">
        <v>119</v>
      </c>
      <c r="K1687" s="9"/>
      <c r="L1687" s="9"/>
      <c r="M1687" s="9" t="s">
        <v>168</v>
      </c>
      <c r="N1687" s="9"/>
      <c r="O1687" s="9" t="s">
        <v>169</v>
      </c>
      <c r="P1687" s="9" t="str">
        <f>HYPERLINK("https://ceds.ed.gov/cedselementdetails.aspx?termid=13269")</f>
        <v>https://ceds.ed.gov/cedselementdetails.aspx?termid=13269</v>
      </c>
      <c r="Q1687" s="9" t="str">
        <f>HYPERLINK("https://ceds.ed.gov/elementComment.aspx?elementName=Address Street Number and Name &amp;elementID=13269", "Click here to submit comment")</f>
        <v>Click here to submit comment</v>
      </c>
    </row>
    <row r="1688" spans="1:17" ht="225" x14ac:dyDescent="0.25">
      <c r="A1688" s="9" t="s">
        <v>6811</v>
      </c>
      <c r="B1688" s="9" t="s">
        <v>6844</v>
      </c>
      <c r="C1688" s="9" t="s">
        <v>6745</v>
      </c>
      <c r="D1688" s="9" t="s">
        <v>6742</v>
      </c>
      <c r="E1688" s="9" t="s">
        <v>149</v>
      </c>
      <c r="F1688" s="9" t="s">
        <v>150</v>
      </c>
      <c r="G1688" s="9" t="s">
        <v>12</v>
      </c>
      <c r="H1688" s="9" t="s">
        <v>6113</v>
      </c>
      <c r="I1688" s="9"/>
      <c r="J1688" s="9" t="s">
        <v>87</v>
      </c>
      <c r="K1688" s="9"/>
      <c r="L1688" s="9"/>
      <c r="M1688" s="9" t="s">
        <v>151</v>
      </c>
      <c r="N1688" s="9"/>
      <c r="O1688" s="9" t="s">
        <v>152</v>
      </c>
      <c r="P1688" s="9" t="str">
        <f>HYPERLINK("https://ceds.ed.gov/cedselementdetails.aspx?termid=13019")</f>
        <v>https://ceds.ed.gov/cedselementdetails.aspx?termid=13019</v>
      </c>
      <c r="Q1688" s="9" t="str">
        <f>HYPERLINK("https://ceds.ed.gov/elementComment.aspx?elementName=Address Apartment Room or Suite Number &amp;elementID=13019", "Click here to submit comment")</f>
        <v>Click here to submit comment</v>
      </c>
    </row>
    <row r="1689" spans="1:17" ht="225" x14ac:dyDescent="0.25">
      <c r="A1689" s="9" t="s">
        <v>6811</v>
      </c>
      <c r="B1689" s="9" t="s">
        <v>6844</v>
      </c>
      <c r="C1689" s="9" t="s">
        <v>6745</v>
      </c>
      <c r="D1689" s="9" t="s">
        <v>6742</v>
      </c>
      <c r="E1689" s="9" t="s">
        <v>153</v>
      </c>
      <c r="F1689" s="9" t="s">
        <v>154</v>
      </c>
      <c r="G1689" s="9" t="s">
        <v>12</v>
      </c>
      <c r="H1689" s="9" t="s">
        <v>6113</v>
      </c>
      <c r="I1689" s="9"/>
      <c r="J1689" s="9" t="s">
        <v>87</v>
      </c>
      <c r="K1689" s="9"/>
      <c r="L1689" s="9"/>
      <c r="M1689" s="9" t="s">
        <v>155</v>
      </c>
      <c r="N1689" s="9"/>
      <c r="O1689" s="9" t="s">
        <v>156</v>
      </c>
      <c r="P1689" s="9" t="str">
        <f>HYPERLINK("https://ceds.ed.gov/cedselementdetails.aspx?termid=13040")</f>
        <v>https://ceds.ed.gov/cedselementdetails.aspx?termid=13040</v>
      </c>
      <c r="Q1689" s="9" t="str">
        <f>HYPERLINK("https://ceds.ed.gov/elementComment.aspx?elementName=Address City &amp;elementID=13040", "Click here to submit comment")</f>
        <v>Click here to submit comment</v>
      </c>
    </row>
    <row r="1690" spans="1:17" ht="409.5" x14ac:dyDescent="0.25">
      <c r="A1690" s="9" t="s">
        <v>6811</v>
      </c>
      <c r="B1690" s="9" t="s">
        <v>6844</v>
      </c>
      <c r="C1690" s="9" t="s">
        <v>6745</v>
      </c>
      <c r="D1690" s="9" t="s">
        <v>6742</v>
      </c>
      <c r="E1690" s="9" t="s">
        <v>5647</v>
      </c>
      <c r="F1690" s="9" t="s">
        <v>5648</v>
      </c>
      <c r="G1690" s="10" t="s">
        <v>6702</v>
      </c>
      <c r="H1690" s="9" t="s">
        <v>6285</v>
      </c>
      <c r="I1690" s="9"/>
      <c r="J1690" s="9"/>
      <c r="K1690" s="9"/>
      <c r="L1690" s="9"/>
      <c r="M1690" s="9" t="s">
        <v>5649</v>
      </c>
      <c r="N1690" s="9"/>
      <c r="O1690" s="9" t="s">
        <v>5650</v>
      </c>
      <c r="P1690" s="9" t="str">
        <f>HYPERLINK("https://ceds.ed.gov/cedselementdetails.aspx?termid=13267")</f>
        <v>https://ceds.ed.gov/cedselementdetails.aspx?termid=13267</v>
      </c>
      <c r="Q1690" s="9" t="str">
        <f>HYPERLINK("https://ceds.ed.gov/elementComment.aspx?elementName=State Abbreviation &amp;elementID=13267", "Click here to submit comment")</f>
        <v>Click here to submit comment</v>
      </c>
    </row>
    <row r="1691" spans="1:17" ht="225" x14ac:dyDescent="0.25">
      <c r="A1691" s="9" t="s">
        <v>6811</v>
      </c>
      <c r="B1691" s="9" t="s">
        <v>6844</v>
      </c>
      <c r="C1691" s="9" t="s">
        <v>6745</v>
      </c>
      <c r="D1691" s="9" t="s">
        <v>6742</v>
      </c>
      <c r="E1691" s="9" t="s">
        <v>161</v>
      </c>
      <c r="F1691" s="9" t="s">
        <v>162</v>
      </c>
      <c r="G1691" s="9" t="s">
        <v>12</v>
      </c>
      <c r="H1691" s="9" t="s">
        <v>6113</v>
      </c>
      <c r="I1691" s="9"/>
      <c r="J1691" s="9" t="s">
        <v>163</v>
      </c>
      <c r="K1691" s="9"/>
      <c r="L1691" s="9"/>
      <c r="M1691" s="9" t="s">
        <v>164</v>
      </c>
      <c r="N1691" s="9"/>
      <c r="O1691" s="9" t="s">
        <v>165</v>
      </c>
      <c r="P1691" s="9" t="str">
        <f>HYPERLINK("https://ceds.ed.gov/cedselementdetails.aspx?termid=13214")</f>
        <v>https://ceds.ed.gov/cedselementdetails.aspx?termid=13214</v>
      </c>
      <c r="Q1691" s="9" t="str">
        <f>HYPERLINK("https://ceds.ed.gov/elementComment.aspx?elementName=Address Postal Code &amp;elementID=13214", "Click here to submit comment")</f>
        <v>Click here to submit comment</v>
      </c>
    </row>
    <row r="1692" spans="1:17" ht="225" x14ac:dyDescent="0.25">
      <c r="A1692" s="9" t="s">
        <v>6811</v>
      </c>
      <c r="B1692" s="9" t="s">
        <v>6844</v>
      </c>
      <c r="C1692" s="9" t="s">
        <v>6745</v>
      </c>
      <c r="D1692" s="9" t="s">
        <v>6742</v>
      </c>
      <c r="E1692" s="9" t="s">
        <v>157</v>
      </c>
      <c r="F1692" s="9" t="s">
        <v>158</v>
      </c>
      <c r="G1692" s="9" t="s">
        <v>12</v>
      </c>
      <c r="H1692" s="9" t="s">
        <v>6113</v>
      </c>
      <c r="I1692" s="9"/>
      <c r="J1692" s="9" t="s">
        <v>87</v>
      </c>
      <c r="K1692" s="9"/>
      <c r="L1692" s="9"/>
      <c r="M1692" s="9" t="s">
        <v>159</v>
      </c>
      <c r="N1692" s="9"/>
      <c r="O1692" s="9" t="s">
        <v>160</v>
      </c>
      <c r="P1692" s="9" t="str">
        <f>HYPERLINK("https://ceds.ed.gov/cedselementdetails.aspx?termid=13190")</f>
        <v>https://ceds.ed.gov/cedselementdetails.aspx?termid=13190</v>
      </c>
      <c r="Q1692" s="9" t="str">
        <f>HYPERLINK("https://ceds.ed.gov/elementComment.aspx?elementName=Address County Name &amp;elementID=13190", "Click here to submit comment")</f>
        <v>Click here to submit comment</v>
      </c>
    </row>
    <row r="1693" spans="1:17" ht="409.5" x14ac:dyDescent="0.25">
      <c r="A1693" s="9" t="s">
        <v>6811</v>
      </c>
      <c r="B1693" s="9" t="s">
        <v>6844</v>
      </c>
      <c r="C1693" s="9" t="s">
        <v>6745</v>
      </c>
      <c r="D1693" s="9" t="s">
        <v>6742</v>
      </c>
      <c r="E1693" s="9" t="s">
        <v>1885</v>
      </c>
      <c r="F1693" s="9" t="s">
        <v>1886</v>
      </c>
      <c r="G1693" s="10" t="s">
        <v>11839</v>
      </c>
      <c r="H1693" s="9" t="s">
        <v>6174</v>
      </c>
      <c r="I1693" s="9"/>
      <c r="J1693" s="9"/>
      <c r="K1693" s="9"/>
      <c r="L1693" s="11" t="s">
        <v>1887</v>
      </c>
      <c r="M1693" s="9" t="s">
        <v>1888</v>
      </c>
      <c r="N1693" s="9"/>
      <c r="O1693" s="9" t="s">
        <v>1889</v>
      </c>
      <c r="P1693" s="9" t="str">
        <f>HYPERLINK("https://ceds.ed.gov/cedselementdetails.aspx?termid=13050")</f>
        <v>https://ceds.ed.gov/cedselementdetails.aspx?termid=13050</v>
      </c>
      <c r="Q1693" s="9" t="str">
        <f>HYPERLINK("https://ceds.ed.gov/elementComment.aspx?elementName=Country Code &amp;elementID=13050", "Click here to submit comment")</f>
        <v>Click here to submit comment</v>
      </c>
    </row>
    <row r="1694" spans="1:17" ht="75" x14ac:dyDescent="0.25">
      <c r="A1694" s="9" t="s">
        <v>6811</v>
      </c>
      <c r="B1694" s="9" t="s">
        <v>6844</v>
      </c>
      <c r="C1694" s="9" t="s">
        <v>6745</v>
      </c>
      <c r="D1694" s="9" t="s">
        <v>6742</v>
      </c>
      <c r="E1694" s="9" t="s">
        <v>3606</v>
      </c>
      <c r="F1694" s="9" t="s">
        <v>3607</v>
      </c>
      <c r="G1694" s="9" t="s">
        <v>12</v>
      </c>
      <c r="H1694" s="9"/>
      <c r="I1694" s="9"/>
      <c r="J1694" s="9" t="s">
        <v>1165</v>
      </c>
      <c r="K1694" s="9"/>
      <c r="L1694" s="9"/>
      <c r="M1694" s="9" t="s">
        <v>3608</v>
      </c>
      <c r="N1694" s="9"/>
      <c r="O1694" s="9" t="s">
        <v>3606</v>
      </c>
      <c r="P1694" s="9" t="str">
        <f>HYPERLINK("https://ceds.ed.gov/cedselementdetails.aspx?termid=13599")</f>
        <v>https://ceds.ed.gov/cedselementdetails.aspx?termid=13599</v>
      </c>
      <c r="Q1694" s="9" t="str">
        <f>HYPERLINK("https://ceds.ed.gov/elementComment.aspx?elementName=Latitude &amp;elementID=13599", "Click here to submit comment")</f>
        <v>Click here to submit comment</v>
      </c>
    </row>
    <row r="1695" spans="1:17" ht="75" x14ac:dyDescent="0.25">
      <c r="A1695" s="9" t="s">
        <v>6811</v>
      </c>
      <c r="B1695" s="9" t="s">
        <v>6844</v>
      </c>
      <c r="C1695" s="9" t="s">
        <v>6745</v>
      </c>
      <c r="D1695" s="9" t="s">
        <v>6742</v>
      </c>
      <c r="E1695" s="9" t="s">
        <v>4139</v>
      </c>
      <c r="F1695" s="9" t="s">
        <v>4140</v>
      </c>
      <c r="G1695" s="9" t="s">
        <v>12</v>
      </c>
      <c r="H1695" s="9"/>
      <c r="I1695" s="9"/>
      <c r="J1695" s="9" t="s">
        <v>1165</v>
      </c>
      <c r="K1695" s="9"/>
      <c r="L1695" s="9"/>
      <c r="M1695" s="9" t="s">
        <v>4141</v>
      </c>
      <c r="N1695" s="9"/>
      <c r="O1695" s="9" t="s">
        <v>4139</v>
      </c>
      <c r="P1695" s="9" t="str">
        <f>HYPERLINK("https://ceds.ed.gov/cedselementdetails.aspx?termid=13600")</f>
        <v>https://ceds.ed.gov/cedselementdetails.aspx?termid=13600</v>
      </c>
      <c r="Q1695" s="9" t="str">
        <f>HYPERLINK("https://ceds.ed.gov/elementComment.aspx?elementName=Longitude &amp;elementID=13600", "Click here to submit comment")</f>
        <v>Click here to submit comment</v>
      </c>
    </row>
    <row r="1696" spans="1:17" ht="90" x14ac:dyDescent="0.25">
      <c r="A1696" s="9" t="s">
        <v>6811</v>
      </c>
      <c r="B1696" s="9" t="s">
        <v>6844</v>
      </c>
      <c r="C1696" s="9" t="s">
        <v>6747</v>
      </c>
      <c r="D1696" s="9" t="s">
        <v>6742</v>
      </c>
      <c r="E1696" s="9" t="s">
        <v>5849</v>
      </c>
      <c r="F1696" s="9" t="s">
        <v>5850</v>
      </c>
      <c r="G1696" s="9" t="s">
        <v>12</v>
      </c>
      <c r="H1696" s="9" t="s">
        <v>6109</v>
      </c>
      <c r="I1696" s="9"/>
      <c r="J1696" s="9" t="s">
        <v>5851</v>
      </c>
      <c r="K1696" s="9"/>
      <c r="L1696" s="9"/>
      <c r="M1696" s="9" t="s">
        <v>5852</v>
      </c>
      <c r="N1696" s="9"/>
      <c r="O1696" s="9" t="s">
        <v>5853</v>
      </c>
      <c r="P1696" s="9" t="str">
        <f>HYPERLINK("https://ceds.ed.gov/cedselementdetails.aspx?termid=13279")</f>
        <v>https://ceds.ed.gov/cedselementdetails.aspx?termid=13279</v>
      </c>
      <c r="Q1696" s="9" t="str">
        <f>HYPERLINK("https://ceds.ed.gov/elementComment.aspx?elementName=Telephone Number &amp;elementID=13279", "Click here to submit comment")</f>
        <v>Click here to submit comment</v>
      </c>
    </row>
    <row r="1697" spans="1:17" ht="90" x14ac:dyDescent="0.25">
      <c r="A1697" s="9" t="s">
        <v>6811</v>
      </c>
      <c r="B1697" s="9" t="s">
        <v>6844</v>
      </c>
      <c r="C1697" s="9" t="s">
        <v>6747</v>
      </c>
      <c r="D1697" s="9" t="s">
        <v>6742</v>
      </c>
      <c r="E1697" s="9" t="s">
        <v>5854</v>
      </c>
      <c r="F1697" s="9" t="s">
        <v>5855</v>
      </c>
      <c r="G1697" s="10" t="s">
        <v>6717</v>
      </c>
      <c r="H1697" s="9" t="s">
        <v>6109</v>
      </c>
      <c r="I1697" s="9"/>
      <c r="J1697" s="9" t="s">
        <v>1900</v>
      </c>
      <c r="K1697" s="9"/>
      <c r="L1697" s="9"/>
      <c r="M1697" s="9" t="s">
        <v>5856</v>
      </c>
      <c r="N1697" s="9"/>
      <c r="O1697" s="9" t="s">
        <v>5857</v>
      </c>
      <c r="P1697" s="9" t="str">
        <f>HYPERLINK("https://ceds.ed.gov/cedselementdetails.aspx?termid=13280")</f>
        <v>https://ceds.ed.gov/cedselementdetails.aspx?termid=13280</v>
      </c>
      <c r="Q1697" s="9" t="str">
        <f>HYPERLINK("https://ceds.ed.gov/elementComment.aspx?elementName=Telephone Number Type &amp;elementID=13280", "Click here to submit comment")</f>
        <v>Click here to submit comment</v>
      </c>
    </row>
    <row r="1698" spans="1:17" ht="90" x14ac:dyDescent="0.25">
      <c r="A1698" s="9" t="s">
        <v>6811</v>
      </c>
      <c r="B1698" s="9" t="s">
        <v>6844</v>
      </c>
      <c r="C1698" s="9" t="s">
        <v>6747</v>
      </c>
      <c r="D1698" s="9" t="s">
        <v>6742</v>
      </c>
      <c r="E1698" s="9" t="s">
        <v>4709</v>
      </c>
      <c r="F1698" s="9" t="s">
        <v>4710</v>
      </c>
      <c r="G1698" s="9" t="s">
        <v>6106</v>
      </c>
      <c r="H1698" s="9" t="s">
        <v>6109</v>
      </c>
      <c r="I1698" s="9"/>
      <c r="J1698" s="9"/>
      <c r="K1698" s="9"/>
      <c r="L1698" s="9"/>
      <c r="M1698" s="9" t="s">
        <v>4711</v>
      </c>
      <c r="N1698" s="9"/>
      <c r="O1698" s="9" t="s">
        <v>4712</v>
      </c>
      <c r="P1698" s="9" t="str">
        <f>HYPERLINK("https://ceds.ed.gov/cedselementdetails.aspx?termid=13219")</f>
        <v>https://ceds.ed.gov/cedselementdetails.aspx?termid=13219</v>
      </c>
      <c r="Q1698" s="9" t="str">
        <f>HYPERLINK("https://ceds.ed.gov/elementComment.aspx?elementName=Primary Telephone Number Indicator &amp;elementID=13219", "Click here to submit comment")</f>
        <v>Click here to submit comment</v>
      </c>
    </row>
    <row r="1699" spans="1:17" ht="90" x14ac:dyDescent="0.25">
      <c r="A1699" s="9" t="s">
        <v>6811</v>
      </c>
      <c r="B1699" s="9" t="s">
        <v>6844</v>
      </c>
      <c r="C1699" s="9" t="s">
        <v>6773</v>
      </c>
      <c r="D1699" s="9" t="s">
        <v>6742</v>
      </c>
      <c r="E1699" s="9" t="s">
        <v>2584</v>
      </c>
      <c r="F1699" s="9" t="s">
        <v>2585</v>
      </c>
      <c r="G1699" s="9" t="s">
        <v>12</v>
      </c>
      <c r="H1699" s="9" t="s">
        <v>6109</v>
      </c>
      <c r="I1699" s="9"/>
      <c r="J1699" s="9" t="s">
        <v>11127</v>
      </c>
      <c r="K1699" s="9"/>
      <c r="L1699" s="9"/>
      <c r="M1699" s="9" t="s">
        <v>2586</v>
      </c>
      <c r="N1699" s="9" t="s">
        <v>2587</v>
      </c>
      <c r="O1699" s="9" t="s">
        <v>2588</v>
      </c>
      <c r="P1699" s="9" t="str">
        <f>HYPERLINK("https://ceds.ed.gov/cedselementdetails.aspx?termid=13088")</f>
        <v>https://ceds.ed.gov/cedselementdetails.aspx?termid=13088</v>
      </c>
      <c r="Q1699" s="9" t="str">
        <f>HYPERLINK("https://ceds.ed.gov/elementComment.aspx?elementName=Electronic Mail Address &amp;elementID=13088", "Click here to submit comment")</f>
        <v>Click here to submit comment</v>
      </c>
    </row>
    <row r="1700" spans="1:17" ht="90" x14ac:dyDescent="0.25">
      <c r="A1700" s="9" t="s">
        <v>6811</v>
      </c>
      <c r="B1700" s="9" t="s">
        <v>6844</v>
      </c>
      <c r="C1700" s="9" t="s">
        <v>6773</v>
      </c>
      <c r="D1700" s="9" t="s">
        <v>6742</v>
      </c>
      <c r="E1700" s="9" t="s">
        <v>2589</v>
      </c>
      <c r="F1700" s="9" t="s">
        <v>2590</v>
      </c>
      <c r="G1700" s="10" t="s">
        <v>6484</v>
      </c>
      <c r="H1700" s="9" t="s">
        <v>6109</v>
      </c>
      <c r="I1700" s="9"/>
      <c r="J1700" s="9"/>
      <c r="K1700" s="9"/>
      <c r="L1700" s="9"/>
      <c r="M1700" s="9" t="s">
        <v>2591</v>
      </c>
      <c r="N1700" s="9" t="s">
        <v>2592</v>
      </c>
      <c r="O1700" s="9" t="s">
        <v>2593</v>
      </c>
      <c r="P1700" s="9" t="str">
        <f>HYPERLINK("https://ceds.ed.gov/cedselementdetails.aspx?termid=13089")</f>
        <v>https://ceds.ed.gov/cedselementdetails.aspx?termid=13089</v>
      </c>
      <c r="Q1700" s="9" t="str">
        <f>HYPERLINK("https://ceds.ed.gov/elementComment.aspx?elementName=Electronic Mail Address Type &amp;elementID=13089", "Click here to submit comment")</f>
        <v>Click here to submit comment</v>
      </c>
    </row>
    <row r="1701" spans="1:17" ht="240" x14ac:dyDescent="0.25">
      <c r="A1701" s="9" t="s">
        <v>6811</v>
      </c>
      <c r="B1701" s="9" t="s">
        <v>6844</v>
      </c>
      <c r="C1701" s="9" t="s">
        <v>6748</v>
      </c>
      <c r="D1701" s="9" t="s">
        <v>6742</v>
      </c>
      <c r="E1701" s="9" t="s">
        <v>1530</v>
      </c>
      <c r="F1701" s="9" t="s">
        <v>1531</v>
      </c>
      <c r="G1701" s="9" t="s">
        <v>12</v>
      </c>
      <c r="H1701" s="9" t="s">
        <v>6151</v>
      </c>
      <c r="I1701" s="9"/>
      <c r="J1701" s="9" t="s">
        <v>73</v>
      </c>
      <c r="K1701" s="9"/>
      <c r="L1701" s="9"/>
      <c r="M1701" s="9" t="s">
        <v>1532</v>
      </c>
      <c r="N1701" s="9"/>
      <c r="O1701" s="9" t="s">
        <v>1530</v>
      </c>
      <c r="P1701" s="9" t="str">
        <f>HYPERLINK("https://ceds.ed.gov/cedselementdetails.aspx?termid=13033")</f>
        <v>https://ceds.ed.gov/cedselementdetails.aspx?termid=13033</v>
      </c>
      <c r="Q1701" s="9" t="str">
        <f>HYPERLINK("https://ceds.ed.gov/elementComment.aspx?elementName=Birthdate &amp;elementID=13033", "Click here to submit comment")</f>
        <v>Click here to submit comment</v>
      </c>
    </row>
    <row r="1702" spans="1:17" ht="255" x14ac:dyDescent="0.25">
      <c r="A1702" s="9" t="s">
        <v>6811</v>
      </c>
      <c r="B1702" s="9" t="s">
        <v>6844</v>
      </c>
      <c r="C1702" s="9" t="s">
        <v>6748</v>
      </c>
      <c r="D1702" s="9" t="s">
        <v>6742</v>
      </c>
      <c r="E1702" s="9" t="s">
        <v>5468</v>
      </c>
      <c r="F1702" s="9" t="s">
        <v>5469</v>
      </c>
      <c r="G1702" s="10" t="s">
        <v>6694</v>
      </c>
      <c r="H1702" s="9" t="s">
        <v>6277</v>
      </c>
      <c r="I1702" s="9"/>
      <c r="J1702" s="9"/>
      <c r="K1702" s="9"/>
      <c r="L1702" s="9" t="s">
        <v>5470</v>
      </c>
      <c r="M1702" s="9" t="s">
        <v>5471</v>
      </c>
      <c r="N1702" s="9"/>
      <c r="O1702" s="9" t="s">
        <v>5468</v>
      </c>
      <c r="P1702" s="9" t="str">
        <f>HYPERLINK("https://ceds.ed.gov/cedselementdetails.aspx?termid=13255")</f>
        <v>https://ceds.ed.gov/cedselementdetails.aspx?termid=13255</v>
      </c>
      <c r="Q1702" s="9" t="str">
        <f>HYPERLINK("https://ceds.ed.gov/elementComment.aspx?elementName=Sex &amp;elementID=13255", "Click here to submit comment")</f>
        <v>Click here to submit comment</v>
      </c>
    </row>
    <row r="1703" spans="1:17" ht="165" customHeight="1" x14ac:dyDescent="0.25">
      <c r="A1703" s="18" t="s">
        <v>6811</v>
      </c>
      <c r="B1703" s="18" t="s">
        <v>6844</v>
      </c>
      <c r="C1703" s="18" t="s">
        <v>6748</v>
      </c>
      <c r="D1703" s="18" t="s">
        <v>6742</v>
      </c>
      <c r="E1703" s="18" t="s">
        <v>334</v>
      </c>
      <c r="F1703" s="18" t="s">
        <v>335</v>
      </c>
      <c r="G1703" s="19" t="s">
        <v>6342</v>
      </c>
      <c r="H1703" s="18" t="s">
        <v>6121</v>
      </c>
      <c r="I1703" s="18"/>
      <c r="J1703" s="18"/>
      <c r="K1703" s="18"/>
      <c r="L1703" s="9" t="s">
        <v>336</v>
      </c>
      <c r="M1703" s="18" t="s">
        <v>340</v>
      </c>
      <c r="N1703" s="18"/>
      <c r="O1703" s="18" t="s">
        <v>341</v>
      </c>
      <c r="P1703" s="18" t="str">
        <f>HYPERLINK("https://ceds.ed.gov/cedselementdetails.aspx?termid=13655")</f>
        <v>https://ceds.ed.gov/cedselementdetails.aspx?termid=13655</v>
      </c>
      <c r="Q1703" s="18" t="str">
        <f>HYPERLINK("https://ceds.ed.gov/elementComment.aspx?elementName=American Indian or Alaska Native &amp;elementID=13655", "Click here to submit comment")</f>
        <v>Click here to submit comment</v>
      </c>
    </row>
    <row r="1704" spans="1:17" x14ac:dyDescent="0.25">
      <c r="A1704" s="18"/>
      <c r="B1704" s="18"/>
      <c r="C1704" s="18"/>
      <c r="D1704" s="18"/>
      <c r="E1704" s="18"/>
      <c r="F1704" s="18"/>
      <c r="G1704" s="18"/>
      <c r="H1704" s="18"/>
      <c r="I1704" s="18"/>
      <c r="J1704" s="18"/>
      <c r="K1704" s="18"/>
      <c r="L1704" s="9"/>
      <c r="M1704" s="18"/>
      <c r="N1704" s="18"/>
      <c r="O1704" s="18"/>
      <c r="P1704" s="18"/>
      <c r="Q1704" s="18"/>
    </row>
    <row r="1705" spans="1:17" x14ac:dyDescent="0.25">
      <c r="A1705" s="18"/>
      <c r="B1705" s="18"/>
      <c r="C1705" s="18"/>
      <c r="D1705" s="18"/>
      <c r="E1705" s="18"/>
      <c r="F1705" s="18"/>
      <c r="G1705" s="18"/>
      <c r="H1705" s="18"/>
      <c r="I1705" s="18"/>
      <c r="J1705" s="18"/>
      <c r="K1705" s="18"/>
      <c r="L1705" s="9" t="s">
        <v>337</v>
      </c>
      <c r="M1705" s="18"/>
      <c r="N1705" s="18"/>
      <c r="O1705" s="18"/>
      <c r="P1705" s="18"/>
      <c r="Q1705" s="18"/>
    </row>
    <row r="1706" spans="1:17" ht="30" x14ac:dyDescent="0.25">
      <c r="A1706" s="18"/>
      <c r="B1706" s="18"/>
      <c r="C1706" s="18"/>
      <c r="D1706" s="18"/>
      <c r="E1706" s="18"/>
      <c r="F1706" s="18"/>
      <c r="G1706" s="18"/>
      <c r="H1706" s="18"/>
      <c r="I1706" s="18"/>
      <c r="J1706" s="18"/>
      <c r="K1706" s="18"/>
      <c r="L1706" s="9" t="s">
        <v>338</v>
      </c>
      <c r="M1706" s="18"/>
      <c r="N1706" s="18"/>
      <c r="O1706" s="18"/>
      <c r="P1706" s="18"/>
      <c r="Q1706" s="18"/>
    </row>
    <row r="1707" spans="1:17" x14ac:dyDescent="0.25">
      <c r="A1707" s="18"/>
      <c r="B1707" s="18"/>
      <c r="C1707" s="18"/>
      <c r="D1707" s="18"/>
      <c r="E1707" s="18"/>
      <c r="F1707" s="18"/>
      <c r="G1707" s="18"/>
      <c r="H1707" s="18"/>
      <c r="I1707" s="18"/>
      <c r="J1707" s="18"/>
      <c r="K1707" s="18"/>
      <c r="L1707" s="9" t="s">
        <v>339</v>
      </c>
      <c r="M1707" s="18"/>
      <c r="N1707" s="18"/>
      <c r="O1707" s="18"/>
      <c r="P1707" s="18"/>
      <c r="Q1707" s="18"/>
    </row>
    <row r="1708" spans="1:17" ht="165" customHeight="1" x14ac:dyDescent="0.25">
      <c r="A1708" s="18" t="s">
        <v>6811</v>
      </c>
      <c r="B1708" s="18" t="s">
        <v>6844</v>
      </c>
      <c r="C1708" s="18" t="s">
        <v>6748</v>
      </c>
      <c r="D1708" s="18" t="s">
        <v>6742</v>
      </c>
      <c r="E1708" s="18" t="s">
        <v>376</v>
      </c>
      <c r="F1708" s="18" t="s">
        <v>377</v>
      </c>
      <c r="G1708" s="19" t="s">
        <v>6342</v>
      </c>
      <c r="H1708" s="18" t="s">
        <v>6121</v>
      </c>
      <c r="I1708" s="18"/>
      <c r="J1708" s="18"/>
      <c r="K1708" s="18"/>
      <c r="L1708" s="9" t="s">
        <v>336</v>
      </c>
      <c r="M1708" s="18" t="s">
        <v>378</v>
      </c>
      <c r="N1708" s="18"/>
      <c r="O1708" s="18" t="s">
        <v>376</v>
      </c>
      <c r="P1708" s="18" t="str">
        <f>HYPERLINK("https://ceds.ed.gov/cedselementdetails.aspx?termid=13656")</f>
        <v>https://ceds.ed.gov/cedselementdetails.aspx?termid=13656</v>
      </c>
      <c r="Q1708" s="18" t="str">
        <f>HYPERLINK("https://ceds.ed.gov/elementComment.aspx?elementName=Asian &amp;elementID=13656", "Click here to submit comment")</f>
        <v>Click here to submit comment</v>
      </c>
    </row>
    <row r="1709" spans="1:17" x14ac:dyDescent="0.25">
      <c r="A1709" s="18"/>
      <c r="B1709" s="18"/>
      <c r="C1709" s="18"/>
      <c r="D1709" s="18"/>
      <c r="E1709" s="18"/>
      <c r="F1709" s="18"/>
      <c r="G1709" s="18"/>
      <c r="H1709" s="18"/>
      <c r="I1709" s="18"/>
      <c r="J1709" s="18"/>
      <c r="K1709" s="18"/>
      <c r="L1709" s="9"/>
      <c r="M1709" s="18"/>
      <c r="N1709" s="18"/>
      <c r="O1709" s="18"/>
      <c r="P1709" s="18"/>
      <c r="Q1709" s="18"/>
    </row>
    <row r="1710" spans="1:17" x14ac:dyDescent="0.25">
      <c r="A1710" s="18"/>
      <c r="B1710" s="18"/>
      <c r="C1710" s="18"/>
      <c r="D1710" s="18"/>
      <c r="E1710" s="18"/>
      <c r="F1710" s="18"/>
      <c r="G1710" s="18"/>
      <c r="H1710" s="18"/>
      <c r="I1710" s="18"/>
      <c r="J1710" s="18"/>
      <c r="K1710" s="18"/>
      <c r="L1710" s="9" t="s">
        <v>337</v>
      </c>
      <c r="M1710" s="18"/>
      <c r="N1710" s="18"/>
      <c r="O1710" s="18"/>
      <c r="P1710" s="18"/>
      <c r="Q1710" s="18"/>
    </row>
    <row r="1711" spans="1:17" ht="30" x14ac:dyDescent="0.25">
      <c r="A1711" s="18"/>
      <c r="B1711" s="18"/>
      <c r="C1711" s="18"/>
      <c r="D1711" s="18"/>
      <c r="E1711" s="18"/>
      <c r="F1711" s="18"/>
      <c r="G1711" s="18"/>
      <c r="H1711" s="18"/>
      <c r="I1711" s="18"/>
      <c r="J1711" s="18"/>
      <c r="K1711" s="18"/>
      <c r="L1711" s="9" t="s">
        <v>338</v>
      </c>
      <c r="M1711" s="18"/>
      <c r="N1711" s="18"/>
      <c r="O1711" s="18"/>
      <c r="P1711" s="18"/>
      <c r="Q1711" s="18"/>
    </row>
    <row r="1712" spans="1:17" x14ac:dyDescent="0.25">
      <c r="A1712" s="18"/>
      <c r="B1712" s="18"/>
      <c r="C1712" s="18"/>
      <c r="D1712" s="18"/>
      <c r="E1712" s="18"/>
      <c r="F1712" s="18"/>
      <c r="G1712" s="18"/>
      <c r="H1712" s="18"/>
      <c r="I1712" s="18"/>
      <c r="J1712" s="18"/>
      <c r="K1712" s="18"/>
      <c r="L1712" s="9" t="s">
        <v>339</v>
      </c>
      <c r="M1712" s="18"/>
      <c r="N1712" s="18"/>
      <c r="O1712" s="18"/>
      <c r="P1712" s="18"/>
      <c r="Q1712" s="18"/>
    </row>
    <row r="1713" spans="1:17" ht="165" customHeight="1" x14ac:dyDescent="0.25">
      <c r="A1713" s="18" t="s">
        <v>6811</v>
      </c>
      <c r="B1713" s="18" t="s">
        <v>6844</v>
      </c>
      <c r="C1713" s="18" t="s">
        <v>6748</v>
      </c>
      <c r="D1713" s="18" t="s">
        <v>6742</v>
      </c>
      <c r="E1713" s="18" t="s">
        <v>1538</v>
      </c>
      <c r="F1713" s="18" t="s">
        <v>1539</v>
      </c>
      <c r="G1713" s="19" t="s">
        <v>6342</v>
      </c>
      <c r="H1713" s="18" t="s">
        <v>6121</v>
      </c>
      <c r="I1713" s="18"/>
      <c r="J1713" s="18"/>
      <c r="K1713" s="18"/>
      <c r="L1713" s="9" t="s">
        <v>336</v>
      </c>
      <c r="M1713" s="18" t="s">
        <v>1540</v>
      </c>
      <c r="N1713" s="18"/>
      <c r="O1713" s="18" t="s">
        <v>1541</v>
      </c>
      <c r="P1713" s="18" t="str">
        <f>HYPERLINK("https://ceds.ed.gov/cedselementdetails.aspx?termid=13657")</f>
        <v>https://ceds.ed.gov/cedselementdetails.aspx?termid=13657</v>
      </c>
      <c r="Q1713" s="18" t="str">
        <f>HYPERLINK("https://ceds.ed.gov/elementComment.aspx?elementName=Black or African American &amp;elementID=13657", "Click here to submit comment")</f>
        <v>Click here to submit comment</v>
      </c>
    </row>
    <row r="1714" spans="1:17" x14ac:dyDescent="0.25">
      <c r="A1714" s="18"/>
      <c r="B1714" s="18"/>
      <c r="C1714" s="18"/>
      <c r="D1714" s="18"/>
      <c r="E1714" s="18"/>
      <c r="F1714" s="18"/>
      <c r="G1714" s="18"/>
      <c r="H1714" s="18"/>
      <c r="I1714" s="18"/>
      <c r="J1714" s="18"/>
      <c r="K1714" s="18"/>
      <c r="L1714" s="9"/>
      <c r="M1714" s="18"/>
      <c r="N1714" s="18"/>
      <c r="O1714" s="18"/>
      <c r="P1714" s="18"/>
      <c r="Q1714" s="18"/>
    </row>
    <row r="1715" spans="1:17" x14ac:dyDescent="0.25">
      <c r="A1715" s="18"/>
      <c r="B1715" s="18"/>
      <c r="C1715" s="18"/>
      <c r="D1715" s="18"/>
      <c r="E1715" s="18"/>
      <c r="F1715" s="18"/>
      <c r="G1715" s="18"/>
      <c r="H1715" s="18"/>
      <c r="I1715" s="18"/>
      <c r="J1715" s="18"/>
      <c r="K1715" s="18"/>
      <c r="L1715" s="9" t="s">
        <v>337</v>
      </c>
      <c r="M1715" s="18"/>
      <c r="N1715" s="18"/>
      <c r="O1715" s="18"/>
      <c r="P1715" s="18"/>
      <c r="Q1715" s="18"/>
    </row>
    <row r="1716" spans="1:17" ht="30" x14ac:dyDescent="0.25">
      <c r="A1716" s="18"/>
      <c r="B1716" s="18"/>
      <c r="C1716" s="18"/>
      <c r="D1716" s="18"/>
      <c r="E1716" s="18"/>
      <c r="F1716" s="18"/>
      <c r="G1716" s="18"/>
      <c r="H1716" s="18"/>
      <c r="I1716" s="18"/>
      <c r="J1716" s="18"/>
      <c r="K1716" s="18"/>
      <c r="L1716" s="9" t="s">
        <v>338</v>
      </c>
      <c r="M1716" s="18"/>
      <c r="N1716" s="18"/>
      <c r="O1716" s="18"/>
      <c r="P1716" s="18"/>
      <c r="Q1716" s="18"/>
    </row>
    <row r="1717" spans="1:17" x14ac:dyDescent="0.25">
      <c r="A1717" s="18"/>
      <c r="B1717" s="18"/>
      <c r="C1717" s="18"/>
      <c r="D1717" s="18"/>
      <c r="E1717" s="18"/>
      <c r="F1717" s="18"/>
      <c r="G1717" s="18"/>
      <c r="H1717" s="18"/>
      <c r="I1717" s="18"/>
      <c r="J1717" s="18"/>
      <c r="K1717" s="18"/>
      <c r="L1717" s="9" t="s">
        <v>339</v>
      </c>
      <c r="M1717" s="18"/>
      <c r="N1717" s="18"/>
      <c r="O1717" s="18"/>
      <c r="P1717" s="18"/>
      <c r="Q1717" s="18"/>
    </row>
    <row r="1718" spans="1:17" ht="165" customHeight="1" x14ac:dyDescent="0.25">
      <c r="A1718" s="18" t="s">
        <v>6811</v>
      </c>
      <c r="B1718" s="18" t="s">
        <v>6844</v>
      </c>
      <c r="C1718" s="18" t="s">
        <v>6748</v>
      </c>
      <c r="D1718" s="18" t="s">
        <v>6742</v>
      </c>
      <c r="E1718" s="18" t="s">
        <v>4314</v>
      </c>
      <c r="F1718" s="18" t="s">
        <v>4315</v>
      </c>
      <c r="G1718" s="19" t="s">
        <v>6342</v>
      </c>
      <c r="H1718" s="18" t="s">
        <v>6121</v>
      </c>
      <c r="I1718" s="18"/>
      <c r="J1718" s="18"/>
      <c r="K1718" s="18"/>
      <c r="L1718" s="9" t="s">
        <v>336</v>
      </c>
      <c r="M1718" s="18" t="s">
        <v>4316</v>
      </c>
      <c r="N1718" s="18"/>
      <c r="O1718" s="18" t="s">
        <v>4317</v>
      </c>
      <c r="P1718" s="18" t="str">
        <f>HYPERLINK("https://ceds.ed.gov/cedselementdetails.aspx?termid=13658")</f>
        <v>https://ceds.ed.gov/cedselementdetails.aspx?termid=13658</v>
      </c>
      <c r="Q1718" s="18" t="str">
        <f>HYPERLINK("https://ceds.ed.gov/elementComment.aspx?elementName=Native Hawaiian or Other Pacific Islander &amp;elementID=13658", "Click here to submit comment")</f>
        <v>Click here to submit comment</v>
      </c>
    </row>
    <row r="1719" spans="1:17" x14ac:dyDescent="0.25">
      <c r="A1719" s="18"/>
      <c r="B1719" s="18"/>
      <c r="C1719" s="18"/>
      <c r="D1719" s="18"/>
      <c r="E1719" s="18"/>
      <c r="F1719" s="18"/>
      <c r="G1719" s="18"/>
      <c r="H1719" s="18"/>
      <c r="I1719" s="18"/>
      <c r="J1719" s="18"/>
      <c r="K1719" s="18"/>
      <c r="L1719" s="9"/>
      <c r="M1719" s="18"/>
      <c r="N1719" s="18"/>
      <c r="O1719" s="18"/>
      <c r="P1719" s="18"/>
      <c r="Q1719" s="18"/>
    </row>
    <row r="1720" spans="1:17" x14ac:dyDescent="0.25">
      <c r="A1720" s="18"/>
      <c r="B1720" s="18"/>
      <c r="C1720" s="18"/>
      <c r="D1720" s="18"/>
      <c r="E1720" s="18"/>
      <c r="F1720" s="18"/>
      <c r="G1720" s="18"/>
      <c r="H1720" s="18"/>
      <c r="I1720" s="18"/>
      <c r="J1720" s="18"/>
      <c r="K1720" s="18"/>
      <c r="L1720" s="9" t="s">
        <v>337</v>
      </c>
      <c r="M1720" s="18"/>
      <c r="N1720" s="18"/>
      <c r="O1720" s="18"/>
      <c r="P1720" s="18"/>
      <c r="Q1720" s="18"/>
    </row>
    <row r="1721" spans="1:17" ht="30" x14ac:dyDescent="0.25">
      <c r="A1721" s="18"/>
      <c r="B1721" s="18"/>
      <c r="C1721" s="18"/>
      <c r="D1721" s="18"/>
      <c r="E1721" s="18"/>
      <c r="F1721" s="18"/>
      <c r="G1721" s="18"/>
      <c r="H1721" s="18"/>
      <c r="I1721" s="18"/>
      <c r="J1721" s="18"/>
      <c r="K1721" s="18"/>
      <c r="L1721" s="9" t="s">
        <v>338</v>
      </c>
      <c r="M1721" s="18"/>
      <c r="N1721" s="18"/>
      <c r="O1721" s="18"/>
      <c r="P1721" s="18"/>
      <c r="Q1721" s="18"/>
    </row>
    <row r="1722" spans="1:17" x14ac:dyDescent="0.25">
      <c r="A1722" s="18"/>
      <c r="B1722" s="18"/>
      <c r="C1722" s="18"/>
      <c r="D1722" s="18"/>
      <c r="E1722" s="18"/>
      <c r="F1722" s="18"/>
      <c r="G1722" s="18"/>
      <c r="H1722" s="18"/>
      <c r="I1722" s="18"/>
      <c r="J1722" s="18"/>
      <c r="K1722" s="18"/>
      <c r="L1722" s="9" t="s">
        <v>339</v>
      </c>
      <c r="M1722" s="18"/>
      <c r="N1722" s="18"/>
      <c r="O1722" s="18"/>
      <c r="P1722" s="18"/>
      <c r="Q1722" s="18"/>
    </row>
    <row r="1723" spans="1:17" ht="165" customHeight="1" x14ac:dyDescent="0.25">
      <c r="A1723" s="18" t="s">
        <v>6811</v>
      </c>
      <c r="B1723" s="18" t="s">
        <v>6844</v>
      </c>
      <c r="C1723" s="18" t="s">
        <v>6748</v>
      </c>
      <c r="D1723" s="18" t="s">
        <v>6742</v>
      </c>
      <c r="E1723" s="18" t="s">
        <v>6077</v>
      </c>
      <c r="F1723" s="18" t="s">
        <v>6078</v>
      </c>
      <c r="G1723" s="19" t="s">
        <v>6342</v>
      </c>
      <c r="H1723" s="18" t="s">
        <v>6121</v>
      </c>
      <c r="I1723" s="18"/>
      <c r="J1723" s="18"/>
      <c r="K1723" s="18"/>
      <c r="L1723" s="9" t="s">
        <v>336</v>
      </c>
      <c r="M1723" s="18" t="s">
        <v>6079</v>
      </c>
      <c r="N1723" s="18"/>
      <c r="O1723" s="18" t="s">
        <v>6077</v>
      </c>
      <c r="P1723" s="18" t="str">
        <f>HYPERLINK("https://ceds.ed.gov/cedselementdetails.aspx?termid=13659")</f>
        <v>https://ceds.ed.gov/cedselementdetails.aspx?termid=13659</v>
      </c>
      <c r="Q1723" s="18" t="str">
        <f>HYPERLINK("https://ceds.ed.gov/elementComment.aspx?elementName=White &amp;elementID=13659", "Click here to submit comment")</f>
        <v>Click here to submit comment</v>
      </c>
    </row>
    <row r="1724" spans="1:17" x14ac:dyDescent="0.25">
      <c r="A1724" s="18"/>
      <c r="B1724" s="18"/>
      <c r="C1724" s="18"/>
      <c r="D1724" s="18"/>
      <c r="E1724" s="18"/>
      <c r="F1724" s="18"/>
      <c r="G1724" s="18"/>
      <c r="H1724" s="18"/>
      <c r="I1724" s="18"/>
      <c r="J1724" s="18"/>
      <c r="K1724" s="18"/>
      <c r="L1724" s="9"/>
      <c r="M1724" s="18"/>
      <c r="N1724" s="18"/>
      <c r="O1724" s="18"/>
      <c r="P1724" s="18"/>
      <c r="Q1724" s="18"/>
    </row>
    <row r="1725" spans="1:17" x14ac:dyDescent="0.25">
      <c r="A1725" s="18"/>
      <c r="B1725" s="18"/>
      <c r="C1725" s="18"/>
      <c r="D1725" s="18"/>
      <c r="E1725" s="18"/>
      <c r="F1725" s="18"/>
      <c r="G1725" s="18"/>
      <c r="H1725" s="18"/>
      <c r="I1725" s="18"/>
      <c r="J1725" s="18"/>
      <c r="K1725" s="18"/>
      <c r="L1725" s="9" t="s">
        <v>337</v>
      </c>
      <c r="M1725" s="18"/>
      <c r="N1725" s="18"/>
      <c r="O1725" s="18"/>
      <c r="P1725" s="18"/>
      <c r="Q1725" s="18"/>
    </row>
    <row r="1726" spans="1:17" ht="30" x14ac:dyDescent="0.25">
      <c r="A1726" s="18"/>
      <c r="B1726" s="18"/>
      <c r="C1726" s="18"/>
      <c r="D1726" s="18"/>
      <c r="E1726" s="18"/>
      <c r="F1726" s="18"/>
      <c r="G1726" s="18"/>
      <c r="H1726" s="18"/>
      <c r="I1726" s="18"/>
      <c r="J1726" s="18"/>
      <c r="K1726" s="18"/>
      <c r="L1726" s="9" t="s">
        <v>338</v>
      </c>
      <c r="M1726" s="18"/>
      <c r="N1726" s="18"/>
      <c r="O1726" s="18"/>
      <c r="P1726" s="18"/>
      <c r="Q1726" s="18"/>
    </row>
    <row r="1727" spans="1:17" x14ac:dyDescent="0.25">
      <c r="A1727" s="18"/>
      <c r="B1727" s="18"/>
      <c r="C1727" s="18"/>
      <c r="D1727" s="18"/>
      <c r="E1727" s="18"/>
      <c r="F1727" s="18"/>
      <c r="G1727" s="18"/>
      <c r="H1727" s="18"/>
      <c r="I1727" s="18"/>
      <c r="J1727" s="18"/>
      <c r="K1727" s="18"/>
      <c r="L1727" s="9" t="s">
        <v>339</v>
      </c>
      <c r="M1727" s="18"/>
      <c r="N1727" s="18"/>
      <c r="O1727" s="18"/>
      <c r="P1727" s="18"/>
      <c r="Q1727" s="18"/>
    </row>
    <row r="1728" spans="1:17" ht="165" customHeight="1" x14ac:dyDescent="0.25">
      <c r="A1728" s="18" t="s">
        <v>6811</v>
      </c>
      <c r="B1728" s="18" t="s">
        <v>6844</v>
      </c>
      <c r="C1728" s="18" t="s">
        <v>6748</v>
      </c>
      <c r="D1728" s="18" t="s">
        <v>6742</v>
      </c>
      <c r="E1728" s="18" t="s">
        <v>3145</v>
      </c>
      <c r="F1728" s="18" t="s">
        <v>3146</v>
      </c>
      <c r="G1728" s="19" t="s">
        <v>6342</v>
      </c>
      <c r="H1728" s="18" t="s">
        <v>6121</v>
      </c>
      <c r="I1728" s="18"/>
      <c r="J1728" s="18"/>
      <c r="K1728" s="18"/>
      <c r="L1728" s="9" t="s">
        <v>336</v>
      </c>
      <c r="M1728" s="18" t="s">
        <v>3147</v>
      </c>
      <c r="N1728" s="18"/>
      <c r="O1728" s="18" t="s">
        <v>3148</v>
      </c>
      <c r="P1728" s="18" t="str">
        <f>HYPERLINK("https://ceds.ed.gov/cedselementdetails.aspx?termid=13144")</f>
        <v>https://ceds.ed.gov/cedselementdetails.aspx?termid=13144</v>
      </c>
      <c r="Q1728" s="18" t="str">
        <f>HYPERLINK("https://ceds.ed.gov/elementComment.aspx?elementName=Hispanic or Latino Ethnicity &amp;elementID=13144", "Click here to submit comment")</f>
        <v>Click here to submit comment</v>
      </c>
    </row>
    <row r="1729" spans="1:17" x14ac:dyDescent="0.25">
      <c r="A1729" s="18"/>
      <c r="B1729" s="18"/>
      <c r="C1729" s="18"/>
      <c r="D1729" s="18"/>
      <c r="E1729" s="18"/>
      <c r="F1729" s="18"/>
      <c r="G1729" s="18"/>
      <c r="H1729" s="18"/>
      <c r="I1729" s="18"/>
      <c r="J1729" s="18"/>
      <c r="K1729" s="18"/>
      <c r="L1729" s="9"/>
      <c r="M1729" s="18"/>
      <c r="N1729" s="18"/>
      <c r="O1729" s="18"/>
      <c r="P1729" s="18"/>
      <c r="Q1729" s="18"/>
    </row>
    <row r="1730" spans="1:17" x14ac:dyDescent="0.25">
      <c r="A1730" s="18"/>
      <c r="B1730" s="18"/>
      <c r="C1730" s="18"/>
      <c r="D1730" s="18"/>
      <c r="E1730" s="18"/>
      <c r="F1730" s="18"/>
      <c r="G1730" s="18"/>
      <c r="H1730" s="18"/>
      <c r="I1730" s="18"/>
      <c r="J1730" s="18"/>
      <c r="K1730" s="18"/>
      <c r="L1730" s="9" t="s">
        <v>337</v>
      </c>
      <c r="M1730" s="18"/>
      <c r="N1730" s="18"/>
      <c r="O1730" s="18"/>
      <c r="P1730" s="18"/>
      <c r="Q1730" s="18"/>
    </row>
    <row r="1731" spans="1:17" ht="30" x14ac:dyDescent="0.25">
      <c r="A1731" s="18"/>
      <c r="B1731" s="18"/>
      <c r="C1731" s="18"/>
      <c r="D1731" s="18"/>
      <c r="E1731" s="18"/>
      <c r="F1731" s="18"/>
      <c r="G1731" s="18"/>
      <c r="H1731" s="18"/>
      <c r="I1731" s="18"/>
      <c r="J1731" s="18"/>
      <c r="K1731" s="18"/>
      <c r="L1731" s="9" t="s">
        <v>338</v>
      </c>
      <c r="M1731" s="18"/>
      <c r="N1731" s="18"/>
      <c r="O1731" s="18"/>
      <c r="P1731" s="18"/>
      <c r="Q1731" s="18"/>
    </row>
    <row r="1732" spans="1:17" x14ac:dyDescent="0.25">
      <c r="A1732" s="18"/>
      <c r="B1732" s="18"/>
      <c r="C1732" s="18"/>
      <c r="D1732" s="18"/>
      <c r="E1732" s="18"/>
      <c r="F1732" s="18"/>
      <c r="G1732" s="18"/>
      <c r="H1732" s="18"/>
      <c r="I1732" s="18"/>
      <c r="J1732" s="18"/>
      <c r="K1732" s="18"/>
      <c r="L1732" s="9" t="s">
        <v>339</v>
      </c>
      <c r="M1732" s="18"/>
      <c r="N1732" s="18"/>
      <c r="O1732" s="18"/>
      <c r="P1732" s="18"/>
      <c r="Q1732" s="18"/>
    </row>
    <row r="1733" spans="1:17" ht="105" x14ac:dyDescent="0.25">
      <c r="A1733" s="18" t="s">
        <v>6811</v>
      </c>
      <c r="B1733" s="18" t="s">
        <v>6844</v>
      </c>
      <c r="C1733" s="18" t="s">
        <v>6845</v>
      </c>
      <c r="D1733" s="18" t="s">
        <v>6742</v>
      </c>
      <c r="E1733" s="18" t="s">
        <v>4106</v>
      </c>
      <c r="F1733" s="18" t="s">
        <v>4107</v>
      </c>
      <c r="G1733" s="18" t="s">
        <v>12</v>
      </c>
      <c r="H1733" s="18" t="s">
        <v>6241</v>
      </c>
      <c r="I1733" s="18"/>
      <c r="J1733" s="18" t="s">
        <v>119</v>
      </c>
      <c r="K1733" s="18"/>
      <c r="L1733" s="9" t="s">
        <v>120</v>
      </c>
      <c r="M1733" s="18" t="s">
        <v>4108</v>
      </c>
      <c r="N1733" s="18" t="s">
        <v>4109</v>
      </c>
      <c r="O1733" s="18" t="s">
        <v>4110</v>
      </c>
      <c r="P1733" s="18" t="str">
        <f>HYPERLINK("https://ceds.ed.gov/cedselementdetails.aspx?termid=13153")</f>
        <v>https://ceds.ed.gov/cedselementdetails.aspx?termid=13153</v>
      </c>
      <c r="Q1733" s="18" t="str">
        <f>HYPERLINK("https://ceds.ed.gov/elementComment.aspx?elementName=Local Education Agency Identifier &amp;elementID=13153", "Click here to submit comment")</f>
        <v>Click here to submit comment</v>
      </c>
    </row>
    <row r="1734" spans="1:17" x14ac:dyDescent="0.25">
      <c r="A1734" s="18"/>
      <c r="B1734" s="18"/>
      <c r="C1734" s="18"/>
      <c r="D1734" s="18"/>
      <c r="E1734" s="18"/>
      <c r="F1734" s="18"/>
      <c r="G1734" s="18"/>
      <c r="H1734" s="18"/>
      <c r="I1734" s="18"/>
      <c r="J1734" s="18"/>
      <c r="K1734" s="18"/>
      <c r="L1734" s="9"/>
      <c r="M1734" s="18"/>
      <c r="N1734" s="18"/>
      <c r="O1734" s="18"/>
      <c r="P1734" s="18"/>
      <c r="Q1734" s="18"/>
    </row>
    <row r="1735" spans="1:17" ht="90" x14ac:dyDescent="0.25">
      <c r="A1735" s="18"/>
      <c r="B1735" s="18"/>
      <c r="C1735" s="18"/>
      <c r="D1735" s="18"/>
      <c r="E1735" s="18"/>
      <c r="F1735" s="18"/>
      <c r="G1735" s="18"/>
      <c r="H1735" s="18"/>
      <c r="I1735" s="18"/>
      <c r="J1735" s="18"/>
      <c r="K1735" s="18"/>
      <c r="L1735" s="9" t="s">
        <v>121</v>
      </c>
      <c r="M1735" s="18"/>
      <c r="N1735" s="18"/>
      <c r="O1735" s="18"/>
      <c r="P1735" s="18"/>
      <c r="Q1735" s="18"/>
    </row>
    <row r="1736" spans="1:17" ht="240" x14ac:dyDescent="0.25">
      <c r="A1736" s="9" t="s">
        <v>6811</v>
      </c>
      <c r="B1736" s="9" t="s">
        <v>6844</v>
      </c>
      <c r="C1736" s="9" t="s">
        <v>6845</v>
      </c>
      <c r="D1736" s="9" t="s">
        <v>6742</v>
      </c>
      <c r="E1736" s="9" t="s">
        <v>4101</v>
      </c>
      <c r="F1736" s="9" t="s">
        <v>4102</v>
      </c>
      <c r="G1736" s="10" t="s">
        <v>6605</v>
      </c>
      <c r="H1736" s="9" t="s">
        <v>6241</v>
      </c>
      <c r="I1736" s="9"/>
      <c r="J1736" s="9"/>
      <c r="K1736" s="9"/>
      <c r="L1736" s="9"/>
      <c r="M1736" s="9" t="s">
        <v>4103</v>
      </c>
      <c r="N1736" s="9" t="s">
        <v>4104</v>
      </c>
      <c r="O1736" s="9" t="s">
        <v>4105</v>
      </c>
      <c r="P1736" s="9" t="str">
        <f>HYPERLINK("https://ceds.ed.gov/cedselementdetails.aspx?termid=13159")</f>
        <v>https://ceds.ed.gov/cedselementdetails.aspx?termid=13159</v>
      </c>
      <c r="Q1736" s="9" t="str">
        <f>HYPERLINK("https://ceds.ed.gov/elementComment.aspx?elementName=Local Education Agency Identification System &amp;elementID=13159", "Click here to submit comment")</f>
        <v>Click here to submit comment</v>
      </c>
    </row>
    <row r="1737" spans="1:17" ht="105" x14ac:dyDescent="0.25">
      <c r="A1737" s="18" t="s">
        <v>6811</v>
      </c>
      <c r="B1737" s="18" t="s">
        <v>6844</v>
      </c>
      <c r="C1737" s="18" t="s">
        <v>6845</v>
      </c>
      <c r="D1737" s="18" t="s">
        <v>6742</v>
      </c>
      <c r="E1737" s="18" t="s">
        <v>5340</v>
      </c>
      <c r="F1737" s="18" t="s">
        <v>256</v>
      </c>
      <c r="G1737" s="18" t="s">
        <v>12</v>
      </c>
      <c r="H1737" s="18" t="s">
        <v>6273</v>
      </c>
      <c r="I1737" s="18"/>
      <c r="J1737" s="18" t="s">
        <v>119</v>
      </c>
      <c r="K1737" s="18"/>
      <c r="L1737" s="9" t="s">
        <v>120</v>
      </c>
      <c r="M1737" s="18" t="s">
        <v>5341</v>
      </c>
      <c r="N1737" s="18"/>
      <c r="O1737" s="18" t="s">
        <v>5342</v>
      </c>
      <c r="P1737" s="18" t="str">
        <f>HYPERLINK("https://ceds.ed.gov/cedselementdetails.aspx?termid=13155")</f>
        <v>https://ceds.ed.gov/cedselementdetails.aspx?termid=13155</v>
      </c>
      <c r="Q1737" s="18" t="str">
        <f>HYPERLINK("https://ceds.ed.gov/elementComment.aspx?elementName=School Identifier &amp;elementID=13155", "Click here to submit comment")</f>
        <v>Click here to submit comment</v>
      </c>
    </row>
    <row r="1738" spans="1:17" x14ac:dyDescent="0.25">
      <c r="A1738" s="18"/>
      <c r="B1738" s="18"/>
      <c r="C1738" s="18"/>
      <c r="D1738" s="18"/>
      <c r="E1738" s="18"/>
      <c r="F1738" s="18"/>
      <c r="G1738" s="18"/>
      <c r="H1738" s="18"/>
      <c r="I1738" s="18"/>
      <c r="J1738" s="18"/>
      <c r="K1738" s="18"/>
      <c r="L1738" s="9"/>
      <c r="M1738" s="18"/>
      <c r="N1738" s="18"/>
      <c r="O1738" s="18"/>
      <c r="P1738" s="18"/>
      <c r="Q1738" s="18"/>
    </row>
    <row r="1739" spans="1:17" ht="90" x14ac:dyDescent="0.25">
      <c r="A1739" s="18"/>
      <c r="B1739" s="18"/>
      <c r="C1739" s="18"/>
      <c r="D1739" s="18"/>
      <c r="E1739" s="18"/>
      <c r="F1739" s="18"/>
      <c r="G1739" s="18"/>
      <c r="H1739" s="18"/>
      <c r="I1739" s="18"/>
      <c r="J1739" s="18"/>
      <c r="K1739" s="18"/>
      <c r="L1739" s="9" t="s">
        <v>121</v>
      </c>
      <c r="M1739" s="18"/>
      <c r="N1739" s="18"/>
      <c r="O1739" s="18"/>
      <c r="P1739" s="18"/>
      <c r="Q1739" s="18"/>
    </row>
    <row r="1740" spans="1:17" ht="270" x14ac:dyDescent="0.25">
      <c r="A1740" s="9" t="s">
        <v>6811</v>
      </c>
      <c r="B1740" s="9" t="s">
        <v>6844</v>
      </c>
      <c r="C1740" s="9" t="s">
        <v>6845</v>
      </c>
      <c r="D1740" s="9" t="s">
        <v>6742</v>
      </c>
      <c r="E1740" s="9" t="s">
        <v>5337</v>
      </c>
      <c r="F1740" s="9" t="s">
        <v>252</v>
      </c>
      <c r="G1740" s="10" t="s">
        <v>6685</v>
      </c>
      <c r="H1740" s="9" t="s">
        <v>6273</v>
      </c>
      <c r="I1740" s="9"/>
      <c r="J1740" s="9"/>
      <c r="K1740" s="9"/>
      <c r="L1740" s="9"/>
      <c r="M1740" s="9" t="s">
        <v>5338</v>
      </c>
      <c r="N1740" s="9"/>
      <c r="O1740" s="9" t="s">
        <v>5339</v>
      </c>
      <c r="P1740" s="9" t="str">
        <f>HYPERLINK("https://ceds.ed.gov/cedselementdetails.aspx?termid=13161")</f>
        <v>https://ceds.ed.gov/cedselementdetails.aspx?termid=13161</v>
      </c>
      <c r="Q1740" s="9" t="str">
        <f>HYPERLINK("https://ceds.ed.gov/elementComment.aspx?elementName=School Identification System &amp;elementID=13161", "Click here to submit comment")</f>
        <v>Click here to submit comment</v>
      </c>
    </row>
    <row r="1741" spans="1:17" ht="45" x14ac:dyDescent="0.25">
      <c r="A1741" s="9" t="s">
        <v>6811</v>
      </c>
      <c r="B1741" s="9" t="s">
        <v>6844</v>
      </c>
      <c r="C1741" s="9" t="s">
        <v>6845</v>
      </c>
      <c r="D1741" s="9" t="s">
        <v>6742</v>
      </c>
      <c r="E1741" s="9" t="s">
        <v>1451</v>
      </c>
      <c r="F1741" s="9" t="s">
        <v>1452</v>
      </c>
      <c r="G1741" s="9" t="s">
        <v>12</v>
      </c>
      <c r="H1741" s="9"/>
      <c r="I1741" s="9"/>
      <c r="J1741" s="9" t="s">
        <v>73</v>
      </c>
      <c r="K1741" s="9"/>
      <c r="L1741" s="9"/>
      <c r="M1741" s="9" t="s">
        <v>1453</v>
      </c>
      <c r="N1741" s="9"/>
      <c r="O1741" s="9" t="s">
        <v>1454</v>
      </c>
      <c r="P1741" s="9" t="str">
        <f>HYPERLINK("https://ceds.ed.gov/cedselementdetails.aspx?termid=13517")</f>
        <v>https://ceds.ed.gov/cedselementdetails.aspx?termid=13517</v>
      </c>
      <c r="Q1741" s="9" t="str">
        <f>HYPERLINK("https://ceds.ed.gov/elementComment.aspx?elementName=Assignment Start Date &amp;elementID=13517", "Click here to submit comment")</f>
        <v>Click here to submit comment</v>
      </c>
    </row>
    <row r="1742" spans="1:17" ht="45" x14ac:dyDescent="0.25">
      <c r="A1742" s="9" t="s">
        <v>6811</v>
      </c>
      <c r="B1742" s="9" t="s">
        <v>6844</v>
      </c>
      <c r="C1742" s="9" t="s">
        <v>6845</v>
      </c>
      <c r="D1742" s="9" t="s">
        <v>6742</v>
      </c>
      <c r="E1742" s="9" t="s">
        <v>1447</v>
      </c>
      <c r="F1742" s="9" t="s">
        <v>1448</v>
      </c>
      <c r="G1742" s="9" t="s">
        <v>12</v>
      </c>
      <c r="H1742" s="9"/>
      <c r="I1742" s="9"/>
      <c r="J1742" s="9" t="s">
        <v>73</v>
      </c>
      <c r="K1742" s="9"/>
      <c r="L1742" s="9"/>
      <c r="M1742" s="9" t="s">
        <v>1449</v>
      </c>
      <c r="N1742" s="9"/>
      <c r="O1742" s="9" t="s">
        <v>1450</v>
      </c>
      <c r="P1742" s="9" t="str">
        <f>HYPERLINK("https://ceds.ed.gov/cedselementdetails.aspx?termid=13518")</f>
        <v>https://ceds.ed.gov/cedselementdetails.aspx?termid=13518</v>
      </c>
      <c r="Q1742" s="9" t="str">
        <f>HYPERLINK("https://ceds.ed.gov/elementComment.aspx?elementName=Assignment End Date &amp;elementID=13518", "Click here to submit comment")</f>
        <v>Click here to submit comment</v>
      </c>
    </row>
    <row r="1743" spans="1:17" ht="45" x14ac:dyDescent="0.25">
      <c r="A1743" s="9" t="s">
        <v>6811</v>
      </c>
      <c r="B1743" s="9" t="s">
        <v>6844</v>
      </c>
      <c r="C1743" s="9" t="s">
        <v>6845</v>
      </c>
      <c r="D1743" s="9" t="s">
        <v>6742</v>
      </c>
      <c r="E1743" s="9" t="s">
        <v>5817</v>
      </c>
      <c r="F1743" s="9" t="s">
        <v>5818</v>
      </c>
      <c r="G1743" s="9" t="s">
        <v>12</v>
      </c>
      <c r="H1743" s="9" t="s">
        <v>5791</v>
      </c>
      <c r="I1743" s="9"/>
      <c r="J1743" s="9" t="s">
        <v>73</v>
      </c>
      <c r="K1743" s="9"/>
      <c r="L1743" s="9"/>
      <c r="M1743" s="9" t="s">
        <v>5819</v>
      </c>
      <c r="N1743" s="9"/>
      <c r="O1743" s="9" t="s">
        <v>5820</v>
      </c>
      <c r="P1743" s="9" t="str">
        <f>HYPERLINK("https://ceds.ed.gov/cedselementdetails.aspx?termid=13647")</f>
        <v>https://ceds.ed.gov/cedselementdetails.aspx?termid=13647</v>
      </c>
      <c r="Q1743" s="9" t="str">
        <f>HYPERLINK("https://ceds.ed.gov/elementComment.aspx?elementName=Teaching Assignment Start Date &amp;elementID=13647", "Click here to submit comment")</f>
        <v>Click here to submit comment</v>
      </c>
    </row>
    <row r="1744" spans="1:17" ht="45" x14ac:dyDescent="0.25">
      <c r="A1744" s="9" t="s">
        <v>6811</v>
      </c>
      <c r="B1744" s="9" t="s">
        <v>6844</v>
      </c>
      <c r="C1744" s="9" t="s">
        <v>6845</v>
      </c>
      <c r="D1744" s="9" t="s">
        <v>6742</v>
      </c>
      <c r="E1744" s="9" t="s">
        <v>5809</v>
      </c>
      <c r="F1744" s="9" t="s">
        <v>5810</v>
      </c>
      <c r="G1744" s="9" t="s">
        <v>12</v>
      </c>
      <c r="H1744" s="9" t="s">
        <v>5791</v>
      </c>
      <c r="I1744" s="9"/>
      <c r="J1744" s="9" t="s">
        <v>73</v>
      </c>
      <c r="K1744" s="9"/>
      <c r="L1744" s="9"/>
      <c r="M1744" s="9" t="s">
        <v>5811</v>
      </c>
      <c r="N1744" s="9"/>
      <c r="O1744" s="9" t="s">
        <v>5812</v>
      </c>
      <c r="P1744" s="9" t="str">
        <f>HYPERLINK("https://ceds.ed.gov/cedselementdetails.aspx?termid=13648")</f>
        <v>https://ceds.ed.gov/cedselementdetails.aspx?termid=13648</v>
      </c>
      <c r="Q1744" s="9" t="str">
        <f>HYPERLINK("https://ceds.ed.gov/elementComment.aspx?elementName=Teaching Assignment End Date &amp;elementID=13648", "Click here to submit comment")</f>
        <v>Click here to submit comment</v>
      </c>
    </row>
    <row r="1745" spans="1:17" ht="60" x14ac:dyDescent="0.25">
      <c r="A1745" s="9" t="s">
        <v>6811</v>
      </c>
      <c r="B1745" s="9" t="s">
        <v>6844</v>
      </c>
      <c r="C1745" s="9" t="s">
        <v>6845</v>
      </c>
      <c r="D1745" s="9" t="s">
        <v>6742</v>
      </c>
      <c r="E1745" s="9" t="s">
        <v>5612</v>
      </c>
      <c r="F1745" s="9" t="s">
        <v>5613</v>
      </c>
      <c r="G1745" s="9" t="s">
        <v>12</v>
      </c>
      <c r="H1745" s="9" t="s">
        <v>6282</v>
      </c>
      <c r="I1745" s="9"/>
      <c r="J1745" s="9" t="s">
        <v>11380</v>
      </c>
      <c r="K1745" s="9"/>
      <c r="L1745" s="9"/>
      <c r="M1745" s="9" t="s">
        <v>5614</v>
      </c>
      <c r="N1745" s="9" t="s">
        <v>5615</v>
      </c>
      <c r="O1745" s="9" t="s">
        <v>5616</v>
      </c>
      <c r="P1745" s="9" t="str">
        <f>HYPERLINK("https://ceds.ed.gov/cedselementdetails.aspx?termid=13118")</f>
        <v>https://ceds.ed.gov/cedselementdetails.aspx?termid=13118</v>
      </c>
      <c r="Q1745" s="9" t="str">
        <f>HYPERLINK("https://ceds.ed.gov/elementComment.aspx?elementName=Staff Full Time Equivalency &amp;elementID=13118", "Click here to submit comment")</f>
        <v>Click here to submit comment</v>
      </c>
    </row>
    <row r="1746" spans="1:17" ht="45" x14ac:dyDescent="0.25">
      <c r="A1746" s="9" t="s">
        <v>6811</v>
      </c>
      <c r="B1746" s="9" t="s">
        <v>6844</v>
      </c>
      <c r="C1746" s="9" t="s">
        <v>6845</v>
      </c>
      <c r="D1746" s="9" t="s">
        <v>6742</v>
      </c>
      <c r="E1746" s="9" t="s">
        <v>4697</v>
      </c>
      <c r="F1746" s="9" t="s">
        <v>4698</v>
      </c>
      <c r="G1746" s="9" t="s">
        <v>6106</v>
      </c>
      <c r="H1746" s="9"/>
      <c r="I1746" s="9"/>
      <c r="J1746" s="9"/>
      <c r="K1746" s="9"/>
      <c r="L1746" s="9"/>
      <c r="M1746" s="9" t="s">
        <v>4699</v>
      </c>
      <c r="N1746" s="9"/>
      <c r="O1746" s="9" t="s">
        <v>4700</v>
      </c>
      <c r="P1746" s="9" t="str">
        <f>HYPERLINK("https://ceds.ed.gov/cedselementdetails.aspx?termid=13516")</f>
        <v>https://ceds.ed.gov/cedselementdetails.aspx?termid=13516</v>
      </c>
      <c r="Q1746" s="9" t="str">
        <f>HYPERLINK("https://ceds.ed.gov/elementComment.aspx?elementName=Primary Assignment Indicator &amp;elementID=13516", "Click here to submit comment")</f>
        <v>Click here to submit comment</v>
      </c>
    </row>
    <row r="1747" spans="1:17" ht="409.5" x14ac:dyDescent="0.25">
      <c r="A1747" s="9" t="s">
        <v>6811</v>
      </c>
      <c r="B1747" s="9" t="s">
        <v>6844</v>
      </c>
      <c r="C1747" s="9" t="s">
        <v>6845</v>
      </c>
      <c r="D1747" s="9" t="s">
        <v>6742</v>
      </c>
      <c r="E1747" s="9" t="s">
        <v>3572</v>
      </c>
      <c r="F1747" s="9" t="s">
        <v>3573</v>
      </c>
      <c r="G1747" s="10" t="s">
        <v>6570</v>
      </c>
      <c r="H1747" s="9" t="s">
        <v>6236</v>
      </c>
      <c r="I1747" s="9"/>
      <c r="J1747" s="9"/>
      <c r="K1747" s="9"/>
      <c r="L1747" s="9"/>
      <c r="M1747" s="9" t="s">
        <v>3574</v>
      </c>
      <c r="N1747" s="9"/>
      <c r="O1747" s="9" t="s">
        <v>3575</v>
      </c>
      <c r="P1747" s="9" t="str">
        <f>HYPERLINK("https://ceds.ed.gov/cedselementdetails.aspx?termid=13087")</f>
        <v>https://ceds.ed.gov/cedselementdetails.aspx?termid=13087</v>
      </c>
      <c r="Q1747" s="9" t="str">
        <f>HYPERLINK("https://ceds.ed.gov/elementComment.aspx?elementName=K12 Staff Classification &amp;elementID=13087", "Click here to submit comment")</f>
        <v>Click here to submit comment</v>
      </c>
    </row>
    <row r="1748" spans="1:17" ht="270" x14ac:dyDescent="0.25">
      <c r="A1748" s="9" t="s">
        <v>6811</v>
      </c>
      <c r="B1748" s="9" t="s">
        <v>6844</v>
      </c>
      <c r="C1748" s="9" t="s">
        <v>6845</v>
      </c>
      <c r="D1748" s="9" t="s">
        <v>6742</v>
      </c>
      <c r="E1748" s="9" t="s">
        <v>1798</v>
      </c>
      <c r="F1748" s="9" t="s">
        <v>1799</v>
      </c>
      <c r="G1748" s="10" t="s">
        <v>6409</v>
      </c>
      <c r="H1748" s="9"/>
      <c r="I1748" s="9"/>
      <c r="J1748" s="9"/>
      <c r="K1748" s="9"/>
      <c r="L1748" s="9"/>
      <c r="M1748" s="9" t="s">
        <v>1800</v>
      </c>
      <c r="N1748" s="9"/>
      <c r="O1748" s="9" t="s">
        <v>1801</v>
      </c>
      <c r="P1748" s="9" t="str">
        <f>HYPERLINK("https://ceds.ed.gov/cedselementdetails.aspx?termid=13615")</f>
        <v>https://ceds.ed.gov/cedselementdetails.aspx?termid=13615</v>
      </c>
      <c r="Q1748" s="9" t="str">
        <f>HYPERLINK("https://ceds.ed.gov/elementComment.aspx?elementName=Classroom Position Type &amp;elementID=13615", "Click here to submit comment")</f>
        <v>Click here to submit comment</v>
      </c>
    </row>
    <row r="1749" spans="1:17" ht="45" x14ac:dyDescent="0.25">
      <c r="A1749" s="9" t="s">
        <v>6811</v>
      </c>
      <c r="B1749" s="9" t="s">
        <v>6844</v>
      </c>
      <c r="C1749" s="9" t="s">
        <v>6845</v>
      </c>
      <c r="D1749" s="9" t="s">
        <v>6742</v>
      </c>
      <c r="E1749" s="9" t="s">
        <v>3562</v>
      </c>
      <c r="F1749" s="9" t="s">
        <v>3563</v>
      </c>
      <c r="G1749" s="9" t="s">
        <v>6106</v>
      </c>
      <c r="H1749" s="9"/>
      <c r="I1749" s="9"/>
      <c r="J1749" s="9"/>
      <c r="K1749" s="9"/>
      <c r="L1749" s="9"/>
      <c r="M1749" s="9" t="s">
        <v>3565</v>
      </c>
      <c r="N1749" s="9"/>
      <c r="O1749" s="9" t="s">
        <v>3566</v>
      </c>
      <c r="P1749" s="9" t="str">
        <f>HYPERLINK("https://ceds.ed.gov/cedselementdetails.aspx?termid=13519")</f>
        <v>https://ceds.ed.gov/cedselementdetails.aspx?termid=13519</v>
      </c>
      <c r="Q1749" s="9" t="str">
        <f>HYPERLINK("https://ceds.ed.gov/elementComment.aspx?elementName=Itinerant Teacher &amp;elementID=13519", "Click here to submit comment")</f>
        <v>Click here to submit comment</v>
      </c>
    </row>
    <row r="1750" spans="1:17" ht="120" x14ac:dyDescent="0.25">
      <c r="A1750" s="9" t="s">
        <v>6811</v>
      </c>
      <c r="B1750" s="9" t="s">
        <v>6844</v>
      </c>
      <c r="C1750" s="9" t="s">
        <v>6845</v>
      </c>
      <c r="D1750" s="9" t="s">
        <v>6742</v>
      </c>
      <c r="E1750" s="9" t="s">
        <v>4232</v>
      </c>
      <c r="F1750" s="9" t="s">
        <v>4233</v>
      </c>
      <c r="G1750" s="10" t="s">
        <v>6618</v>
      </c>
      <c r="H1750" s="9" t="s">
        <v>199</v>
      </c>
      <c r="I1750" s="9"/>
      <c r="J1750" s="9"/>
      <c r="K1750" s="9"/>
      <c r="L1750" s="9" t="s">
        <v>4234</v>
      </c>
      <c r="M1750" s="9" t="s">
        <v>4235</v>
      </c>
      <c r="N1750" s="9" t="s">
        <v>4236</v>
      </c>
      <c r="O1750" s="9" t="s">
        <v>4237</v>
      </c>
      <c r="P1750" s="9" t="str">
        <f>HYPERLINK("https://ceds.ed.gov/cedselementdetails.aspx?termid=13188")</f>
        <v>https://ceds.ed.gov/cedselementdetails.aspx?termid=13188</v>
      </c>
      <c r="Q1750" s="9" t="str">
        <f>HYPERLINK("https://ceds.ed.gov/elementComment.aspx?elementName=Migrant Education Program Staff Category &amp;elementID=13188", "Click here to submit comment")</f>
        <v>Click here to submit comment</v>
      </c>
    </row>
    <row r="1751" spans="1:17" ht="150" x14ac:dyDescent="0.25">
      <c r="A1751" s="9" t="s">
        <v>6811</v>
      </c>
      <c r="B1751" s="9" t="s">
        <v>6844</v>
      </c>
      <c r="C1751" s="9" t="s">
        <v>6845</v>
      </c>
      <c r="D1751" s="9" t="s">
        <v>6742</v>
      </c>
      <c r="E1751" s="9" t="s">
        <v>5882</v>
      </c>
      <c r="F1751" s="9" t="s">
        <v>5883</v>
      </c>
      <c r="G1751" s="10" t="s">
        <v>6720</v>
      </c>
      <c r="H1751" s="9" t="s">
        <v>199</v>
      </c>
      <c r="I1751" s="9"/>
      <c r="J1751" s="9"/>
      <c r="K1751" s="9"/>
      <c r="L1751" s="9"/>
      <c r="M1751" s="9" t="s">
        <v>5884</v>
      </c>
      <c r="N1751" s="9"/>
      <c r="O1751" s="9" t="s">
        <v>5885</v>
      </c>
      <c r="P1751" s="9" t="str">
        <f>HYPERLINK("https://ceds.ed.gov/cedselementdetails.aspx?termid=13283")</f>
        <v>https://ceds.ed.gov/cedselementdetails.aspx?termid=13283</v>
      </c>
      <c r="Q1751" s="9" t="str">
        <f>HYPERLINK("https://ceds.ed.gov/elementComment.aspx?elementName=Title I Program Staff Category &amp;elementID=13283", "Click here to submit comment")</f>
        <v>Click here to submit comment</v>
      </c>
    </row>
    <row r="1752" spans="1:17" ht="60" x14ac:dyDescent="0.25">
      <c r="A1752" s="9" t="s">
        <v>6811</v>
      </c>
      <c r="B1752" s="9" t="s">
        <v>6844</v>
      </c>
      <c r="C1752" s="9" t="s">
        <v>6845</v>
      </c>
      <c r="D1752" s="9" t="s">
        <v>6742</v>
      </c>
      <c r="E1752" s="9" t="s">
        <v>5547</v>
      </c>
      <c r="F1752" s="9" t="s">
        <v>5548</v>
      </c>
      <c r="G1752" s="9" t="s">
        <v>6106</v>
      </c>
      <c r="H1752" s="9" t="s">
        <v>199</v>
      </c>
      <c r="I1752" s="9"/>
      <c r="J1752" s="9"/>
      <c r="K1752" s="9"/>
      <c r="L1752" s="9"/>
      <c r="M1752" s="9" t="s">
        <v>5549</v>
      </c>
      <c r="N1752" s="9"/>
      <c r="O1752" s="9" t="s">
        <v>5550</v>
      </c>
      <c r="P1752" s="9" t="str">
        <f>HYPERLINK("https://ceds.ed.gov/cedselementdetails.aspx?termid=13264")</f>
        <v>https://ceds.ed.gov/cedselementdetails.aspx?termid=13264</v>
      </c>
      <c r="Q1752" s="9" t="str">
        <f>HYPERLINK("https://ceds.ed.gov/elementComment.aspx?elementName=Special Education Teacher &amp;elementID=13264", "Click here to submit comment")</f>
        <v>Click here to submit comment</v>
      </c>
    </row>
    <row r="1753" spans="1:17" ht="45" x14ac:dyDescent="0.25">
      <c r="A1753" s="9" t="s">
        <v>6811</v>
      </c>
      <c r="B1753" s="9" t="s">
        <v>6844</v>
      </c>
      <c r="C1753" s="9" t="s">
        <v>6845</v>
      </c>
      <c r="D1753" s="9" t="s">
        <v>6742</v>
      </c>
      <c r="E1753" s="9" t="s">
        <v>5520</v>
      </c>
      <c r="F1753" s="9" t="s">
        <v>5521</v>
      </c>
      <c r="G1753" s="10" t="s">
        <v>6697</v>
      </c>
      <c r="H1753" s="9" t="s">
        <v>199</v>
      </c>
      <c r="I1753" s="9"/>
      <c r="J1753" s="9"/>
      <c r="K1753" s="9"/>
      <c r="L1753" s="9"/>
      <c r="M1753" s="9" t="s">
        <v>5522</v>
      </c>
      <c r="N1753" s="9"/>
      <c r="O1753" s="9" t="s">
        <v>5523</v>
      </c>
      <c r="P1753" s="9" t="str">
        <f>HYPERLINK("https://ceds.ed.gov/cedselementdetails.aspx?termid=13556")</f>
        <v>https://ceds.ed.gov/cedselementdetails.aspx?termid=13556</v>
      </c>
      <c r="Q1753" s="9" t="str">
        <f>HYPERLINK("https://ceds.ed.gov/elementComment.aspx?elementName=Special Education Age Group Taught &amp;elementID=13556", "Click here to submit comment")</f>
        <v>Click here to submit comment</v>
      </c>
    </row>
    <row r="1754" spans="1:17" ht="60" x14ac:dyDescent="0.25">
      <c r="A1754" s="9" t="s">
        <v>6811</v>
      </c>
      <c r="B1754" s="9" t="s">
        <v>6844</v>
      </c>
      <c r="C1754" s="9" t="s">
        <v>6845</v>
      </c>
      <c r="D1754" s="9" t="s">
        <v>6742</v>
      </c>
      <c r="E1754" s="9" t="s">
        <v>5533</v>
      </c>
      <c r="F1754" s="9" t="s">
        <v>5534</v>
      </c>
      <c r="G1754" s="9" t="s">
        <v>6106</v>
      </c>
      <c r="H1754" s="9" t="s">
        <v>199</v>
      </c>
      <c r="I1754" s="9"/>
      <c r="J1754" s="9"/>
      <c r="K1754" s="9"/>
      <c r="L1754" s="9"/>
      <c r="M1754" s="9" t="s">
        <v>5535</v>
      </c>
      <c r="N1754" s="9"/>
      <c r="O1754" s="9" t="s">
        <v>5536</v>
      </c>
      <c r="P1754" s="9" t="str">
        <f>HYPERLINK("https://ceds.ed.gov/cedselementdetails.aspx?termid=13261")</f>
        <v>https://ceds.ed.gov/cedselementdetails.aspx?termid=13261</v>
      </c>
      <c r="Q1754" s="9" t="str">
        <f>HYPERLINK("https://ceds.ed.gov/elementComment.aspx?elementName=Special Education Paraprofessional &amp;elementID=13261", "Click here to submit comment")</f>
        <v>Click here to submit comment</v>
      </c>
    </row>
    <row r="1755" spans="1:17" ht="60" x14ac:dyDescent="0.25">
      <c r="A1755" s="9" t="s">
        <v>6811</v>
      </c>
      <c r="B1755" s="9" t="s">
        <v>6844</v>
      </c>
      <c r="C1755" s="9" t="s">
        <v>6845</v>
      </c>
      <c r="D1755" s="9" t="s">
        <v>6742</v>
      </c>
      <c r="E1755" s="9" t="s">
        <v>5537</v>
      </c>
      <c r="F1755" s="9" t="s">
        <v>5538</v>
      </c>
      <c r="G1755" s="9" t="s">
        <v>6106</v>
      </c>
      <c r="H1755" s="9" t="s">
        <v>199</v>
      </c>
      <c r="I1755" s="9"/>
      <c r="J1755" s="9"/>
      <c r="K1755" s="9"/>
      <c r="L1755" s="9"/>
      <c r="M1755" s="9" t="s">
        <v>5539</v>
      </c>
      <c r="N1755" s="9"/>
      <c r="O1755" s="9" t="s">
        <v>5540</v>
      </c>
      <c r="P1755" s="9" t="str">
        <f>HYPERLINK("https://ceds.ed.gov/cedselementdetails.aspx?termid=13262")</f>
        <v>https://ceds.ed.gov/cedselementdetails.aspx?termid=13262</v>
      </c>
      <c r="Q1755" s="9" t="str">
        <f>HYPERLINK("https://ceds.ed.gov/elementComment.aspx?elementName=Special Education Related Services Personnel &amp;elementID=13262", "Click here to submit comment")</f>
        <v>Click here to submit comment</v>
      </c>
    </row>
    <row r="1756" spans="1:17" ht="270" x14ac:dyDescent="0.25">
      <c r="A1756" s="9" t="s">
        <v>6811</v>
      </c>
      <c r="B1756" s="9" t="s">
        <v>6844</v>
      </c>
      <c r="C1756" s="9" t="s">
        <v>6845</v>
      </c>
      <c r="D1756" s="9" t="s">
        <v>6742</v>
      </c>
      <c r="E1756" s="9" t="s">
        <v>11734</v>
      </c>
      <c r="F1756" s="9" t="s">
        <v>11735</v>
      </c>
      <c r="G1756" s="10" t="s">
        <v>6699</v>
      </c>
      <c r="H1756" s="9" t="s">
        <v>199</v>
      </c>
      <c r="I1756" s="9"/>
      <c r="J1756" s="9"/>
      <c r="K1756" s="9"/>
      <c r="L1756" s="9"/>
      <c r="M1756" s="9" t="s">
        <v>5546</v>
      </c>
      <c r="N1756" s="9"/>
      <c r="O1756" s="9" t="s">
        <v>11737</v>
      </c>
      <c r="P1756" s="9" t="str">
        <f>HYPERLINK("https://ceds.ed.gov/cedselementdetails.aspx?termid=13549")</f>
        <v>https://ceds.ed.gov/cedselementdetails.aspx?termid=13549</v>
      </c>
      <c r="Q1756" s="9" t="str">
        <f>HYPERLINK("https://ceds.ed.gov/elementComment.aspx?elementName=Special Education Support Services Category &amp;elementID=13549", "Click here to submit comment")</f>
        <v>Click here to submit comment</v>
      </c>
    </row>
    <row r="1757" spans="1:17" ht="255" x14ac:dyDescent="0.25">
      <c r="A1757" s="9" t="s">
        <v>6811</v>
      </c>
      <c r="B1757" s="9" t="s">
        <v>6844</v>
      </c>
      <c r="C1757" s="9" t="s">
        <v>6845</v>
      </c>
      <c r="D1757" s="9" t="s">
        <v>6742</v>
      </c>
      <c r="E1757" s="9" t="s">
        <v>4876</v>
      </c>
      <c r="F1757" s="9" t="s">
        <v>4877</v>
      </c>
      <c r="G1757" s="10" t="s">
        <v>6659</v>
      </c>
      <c r="H1757" s="9"/>
      <c r="I1757" s="9"/>
      <c r="J1757" s="9"/>
      <c r="K1757" s="9"/>
      <c r="L1757" s="9"/>
      <c r="M1757" s="9" t="s">
        <v>4878</v>
      </c>
      <c r="N1757" s="9"/>
      <c r="O1757" s="9" t="s">
        <v>4879</v>
      </c>
      <c r="P1757" s="9" t="str">
        <f>HYPERLINK("https://ceds.ed.gov/cedselementdetails.aspx?termid=13220")</f>
        <v>https://ceds.ed.gov/cedselementdetails.aspx?termid=13220</v>
      </c>
      <c r="Q1757" s="9" t="str">
        <f>HYPERLINK("https://ceds.ed.gov/elementComment.aspx?elementName=Professional Educational Job Classification &amp;elementID=13220", "Click here to submit comment")</f>
        <v>Click here to submit comment</v>
      </c>
    </row>
    <row r="1758" spans="1:17" ht="90" x14ac:dyDescent="0.25">
      <c r="A1758" s="9" t="s">
        <v>6811</v>
      </c>
      <c r="B1758" s="9" t="s">
        <v>6844</v>
      </c>
      <c r="C1758" s="9" t="s">
        <v>6804</v>
      </c>
      <c r="D1758" s="9" t="s">
        <v>6742</v>
      </c>
      <c r="E1758" s="9" t="s">
        <v>2111</v>
      </c>
      <c r="F1758" s="9" t="s">
        <v>2112</v>
      </c>
      <c r="G1758" s="10" t="s">
        <v>6436</v>
      </c>
      <c r="H1758" s="9"/>
      <c r="I1758" s="9"/>
      <c r="J1758" s="9"/>
      <c r="K1758" s="9"/>
      <c r="L1758" s="9"/>
      <c r="M1758" s="9" t="s">
        <v>2113</v>
      </c>
      <c r="N1758" s="9"/>
      <c r="O1758" s="9" t="s">
        <v>2114</v>
      </c>
      <c r="P1758" s="9" t="str">
        <f>HYPERLINK("https://ceds.ed.gov/cedselementdetails.aspx?termid=13071")</f>
        <v>https://ceds.ed.gov/cedselementdetails.aspx?termid=13071</v>
      </c>
      <c r="Q1758" s="9" t="str">
        <f>HYPERLINK("https://ceds.ed.gov/elementComment.aspx?elementName=Credential Type &amp;elementID=13071", "Click here to submit comment")</f>
        <v>Click here to submit comment</v>
      </c>
    </row>
    <row r="1759" spans="1:17" ht="225" x14ac:dyDescent="0.25">
      <c r="A1759" s="9" t="s">
        <v>6811</v>
      </c>
      <c r="B1759" s="9" t="s">
        <v>6844</v>
      </c>
      <c r="C1759" s="9" t="s">
        <v>6804</v>
      </c>
      <c r="D1759" s="9" t="s">
        <v>6742</v>
      </c>
      <c r="E1759" s="9" t="s">
        <v>5825</v>
      </c>
      <c r="F1759" s="9" t="s">
        <v>5826</v>
      </c>
      <c r="G1759" s="10" t="s">
        <v>6714</v>
      </c>
      <c r="H1759" s="9" t="s">
        <v>329</v>
      </c>
      <c r="I1759" s="9"/>
      <c r="J1759" s="9"/>
      <c r="K1759" s="9"/>
      <c r="L1759" s="9"/>
      <c r="M1759" s="9" t="s">
        <v>5827</v>
      </c>
      <c r="N1759" s="9"/>
      <c r="O1759" s="9" t="s">
        <v>5828</v>
      </c>
      <c r="P1759" s="9" t="str">
        <f>HYPERLINK("https://ceds.ed.gov/cedselementdetails.aspx?termid=13278")</f>
        <v>https://ceds.ed.gov/cedselementdetails.aspx?termid=13278</v>
      </c>
      <c r="Q1759" s="9" t="str">
        <f>HYPERLINK("https://ceds.ed.gov/elementComment.aspx?elementName=Teaching Credential Type &amp;elementID=13278", "Click here to submit comment")</f>
        <v>Click here to submit comment</v>
      </c>
    </row>
    <row r="1760" spans="1:17" ht="240" x14ac:dyDescent="0.25">
      <c r="A1760" s="9" t="s">
        <v>6811</v>
      </c>
      <c r="B1760" s="9" t="s">
        <v>6844</v>
      </c>
      <c r="C1760" s="9" t="s">
        <v>6804</v>
      </c>
      <c r="D1760" s="9" t="s">
        <v>6742</v>
      </c>
      <c r="E1760" s="9" t="s">
        <v>5821</v>
      </c>
      <c r="F1760" s="9" t="s">
        <v>5822</v>
      </c>
      <c r="G1760" s="10" t="s">
        <v>6713</v>
      </c>
      <c r="H1760" s="9" t="s">
        <v>329</v>
      </c>
      <c r="I1760" s="9"/>
      <c r="J1760" s="9"/>
      <c r="K1760" s="9"/>
      <c r="L1760" s="9"/>
      <c r="M1760" s="9" t="s">
        <v>5823</v>
      </c>
      <c r="N1760" s="9"/>
      <c r="O1760" s="9" t="s">
        <v>5824</v>
      </c>
      <c r="P1760" s="9" t="str">
        <f>HYPERLINK("https://ceds.ed.gov/cedselementdetails.aspx?termid=13277")</f>
        <v>https://ceds.ed.gov/cedselementdetails.aspx?termid=13277</v>
      </c>
      <c r="Q1760" s="9" t="str">
        <f>HYPERLINK("https://ceds.ed.gov/elementComment.aspx?elementName=Teaching Credential Basis &amp;elementID=13277", "Click here to submit comment")</f>
        <v>Click here to submit comment</v>
      </c>
    </row>
    <row r="1761" spans="1:17" ht="45" x14ac:dyDescent="0.25">
      <c r="A1761" s="9" t="s">
        <v>6811</v>
      </c>
      <c r="B1761" s="9" t="s">
        <v>6844</v>
      </c>
      <c r="C1761" s="9" t="s">
        <v>6804</v>
      </c>
      <c r="D1761" s="9" t="s">
        <v>6742</v>
      </c>
      <c r="E1761" s="9" t="s">
        <v>2103</v>
      </c>
      <c r="F1761" s="9" t="s">
        <v>2104</v>
      </c>
      <c r="G1761" s="9" t="s">
        <v>12</v>
      </c>
      <c r="H1761" s="9" t="s">
        <v>182</v>
      </c>
      <c r="I1761" s="9"/>
      <c r="J1761" s="9" t="s">
        <v>73</v>
      </c>
      <c r="K1761" s="9"/>
      <c r="L1761" s="9"/>
      <c r="M1761" s="9" t="s">
        <v>2105</v>
      </c>
      <c r="N1761" s="9"/>
      <c r="O1761" s="9" t="s">
        <v>2106</v>
      </c>
      <c r="P1761" s="9" t="str">
        <f>HYPERLINK("https://ceds.ed.gov/cedselementdetails.aspx?termid=13070")</f>
        <v>https://ceds.ed.gov/cedselementdetails.aspx?termid=13070</v>
      </c>
      <c r="Q1761" s="9" t="str">
        <f>HYPERLINK("https://ceds.ed.gov/elementComment.aspx?elementName=Credential Issuance Date &amp;elementID=13070", "Click here to submit comment")</f>
        <v>Click here to submit comment</v>
      </c>
    </row>
    <row r="1762" spans="1:17" ht="45" x14ac:dyDescent="0.25">
      <c r="A1762" s="9" t="s">
        <v>6811</v>
      </c>
      <c r="B1762" s="9" t="s">
        <v>6844</v>
      </c>
      <c r="C1762" s="9" t="s">
        <v>6804</v>
      </c>
      <c r="D1762" s="9" t="s">
        <v>6742</v>
      </c>
      <c r="E1762" s="9" t="s">
        <v>2099</v>
      </c>
      <c r="F1762" s="9" t="s">
        <v>2100</v>
      </c>
      <c r="G1762" s="9" t="s">
        <v>12</v>
      </c>
      <c r="H1762" s="9" t="s">
        <v>182</v>
      </c>
      <c r="I1762" s="9"/>
      <c r="J1762" s="9" t="s">
        <v>73</v>
      </c>
      <c r="K1762" s="9"/>
      <c r="L1762" s="9"/>
      <c r="M1762" s="9" t="s">
        <v>2101</v>
      </c>
      <c r="N1762" s="9"/>
      <c r="O1762" s="9" t="s">
        <v>2102</v>
      </c>
      <c r="P1762" s="9" t="str">
        <f>HYPERLINK("https://ceds.ed.gov/cedselementdetails.aspx?termid=13069")</f>
        <v>https://ceds.ed.gov/cedselementdetails.aspx?termid=13069</v>
      </c>
      <c r="Q1762" s="9" t="str">
        <f>HYPERLINK("https://ceds.ed.gov/elementComment.aspx?elementName=Credential Expiration Date &amp;elementID=13069", "Click here to submit comment")</f>
        <v>Click here to submit comment</v>
      </c>
    </row>
    <row r="1763" spans="1:17" ht="45" x14ac:dyDescent="0.25">
      <c r="A1763" s="9" t="s">
        <v>6811</v>
      </c>
      <c r="B1763" s="9" t="s">
        <v>6844</v>
      </c>
      <c r="C1763" s="9" t="s">
        <v>6804</v>
      </c>
      <c r="D1763" s="9" t="s">
        <v>6742</v>
      </c>
      <c r="E1763" s="9" t="s">
        <v>6102</v>
      </c>
      <c r="F1763" s="9" t="s">
        <v>6103</v>
      </c>
      <c r="G1763" s="9" t="s">
        <v>12</v>
      </c>
      <c r="H1763" s="9" t="s">
        <v>1858</v>
      </c>
      <c r="I1763" s="9"/>
      <c r="J1763" s="9" t="s">
        <v>1513</v>
      </c>
      <c r="K1763" s="9"/>
      <c r="L1763" s="9"/>
      <c r="M1763" s="9" t="s">
        <v>6104</v>
      </c>
      <c r="N1763" s="9"/>
      <c r="O1763" s="9" t="s">
        <v>6105</v>
      </c>
      <c r="P1763" s="9" t="str">
        <f>HYPERLINK("https://ceds.ed.gov/cedselementdetails.aspx?termid=13302")</f>
        <v>https://ceds.ed.gov/cedselementdetails.aspx?termid=13302</v>
      </c>
      <c r="Q1763" s="9" t="str">
        <f>HYPERLINK("https://ceds.ed.gov/elementComment.aspx?elementName=Years of Prior Teaching Experience &amp;elementID=13302", "Click here to submit comment")</f>
        <v>Click here to submit comment</v>
      </c>
    </row>
    <row r="1764" spans="1:17" ht="409.5" x14ac:dyDescent="0.25">
      <c r="A1764" s="9" t="s">
        <v>6811</v>
      </c>
      <c r="B1764" s="9" t="s">
        <v>6844</v>
      </c>
      <c r="C1764" s="9" t="s">
        <v>6804</v>
      </c>
      <c r="D1764" s="9" t="s">
        <v>6742</v>
      </c>
      <c r="E1764" s="9" t="s">
        <v>3131</v>
      </c>
      <c r="F1764" s="9" t="s">
        <v>3132</v>
      </c>
      <c r="G1764" s="10" t="s">
        <v>6377</v>
      </c>
      <c r="H1764" s="9" t="s">
        <v>6223</v>
      </c>
      <c r="I1764" s="9"/>
      <c r="J1764" s="9"/>
      <c r="K1764" s="9"/>
      <c r="L1764" s="9"/>
      <c r="M1764" s="9" t="s">
        <v>3133</v>
      </c>
      <c r="N1764" s="9"/>
      <c r="O1764" s="9" t="s">
        <v>3134</v>
      </c>
      <c r="P1764" s="9" t="str">
        <f>HYPERLINK("https://ceds.ed.gov/cedselementdetails.aspx?termid=13141")</f>
        <v>https://ceds.ed.gov/cedselementdetails.aspx?termid=13141</v>
      </c>
      <c r="Q1764" s="9" t="str">
        <f>HYPERLINK("https://ceds.ed.gov/elementComment.aspx?elementName=Highest Level of Education Completed &amp;elementID=13141", "Click here to submit comment")</f>
        <v>Click here to submit comment</v>
      </c>
    </row>
    <row r="1765" spans="1:17" ht="60" x14ac:dyDescent="0.25">
      <c r="A1765" s="9" t="s">
        <v>6811</v>
      </c>
      <c r="B1765" s="9" t="s">
        <v>6844</v>
      </c>
      <c r="C1765" s="9" t="s">
        <v>6804</v>
      </c>
      <c r="D1765" s="9" t="s">
        <v>6742</v>
      </c>
      <c r="E1765" s="9" t="s">
        <v>3135</v>
      </c>
      <c r="F1765" s="9" t="s">
        <v>3136</v>
      </c>
      <c r="G1765" s="10" t="s">
        <v>6535</v>
      </c>
      <c r="H1765" s="9" t="s">
        <v>199</v>
      </c>
      <c r="I1765" s="9"/>
      <c r="J1765" s="9"/>
      <c r="K1765" s="9"/>
      <c r="L1765" s="9"/>
      <c r="M1765" s="9" t="s">
        <v>3138</v>
      </c>
      <c r="N1765" s="9"/>
      <c r="O1765" s="9" t="s">
        <v>3139</v>
      </c>
      <c r="P1765" s="9" t="str">
        <f>HYPERLINK("https://ceds.ed.gov/cedselementdetails.aspx?termid=13142")</f>
        <v>https://ceds.ed.gov/cedselementdetails.aspx?termid=13142</v>
      </c>
      <c r="Q1765" s="9" t="str">
        <f>HYPERLINK("https://ceds.ed.gov/elementComment.aspx?elementName=Highly Qualified Teacher Indicator &amp;elementID=13142", "Click here to submit comment")</f>
        <v>Click here to submit comment</v>
      </c>
    </row>
    <row r="1766" spans="1:17" ht="60" x14ac:dyDescent="0.25">
      <c r="A1766" s="9" t="s">
        <v>6811</v>
      </c>
      <c r="B1766" s="9" t="s">
        <v>6844</v>
      </c>
      <c r="C1766" s="9" t="s">
        <v>6804</v>
      </c>
      <c r="D1766" s="9" t="s">
        <v>6742</v>
      </c>
      <c r="E1766" s="9" t="s">
        <v>4517</v>
      </c>
      <c r="F1766" s="9" t="s">
        <v>4518</v>
      </c>
      <c r="G1766" s="10" t="s">
        <v>6631</v>
      </c>
      <c r="H1766" s="9" t="s">
        <v>199</v>
      </c>
      <c r="I1766" s="9"/>
      <c r="J1766" s="9"/>
      <c r="K1766" s="9"/>
      <c r="L1766" s="9"/>
      <c r="M1766" s="9" t="s">
        <v>4519</v>
      </c>
      <c r="N1766" s="9"/>
      <c r="O1766" s="9" t="s">
        <v>4520</v>
      </c>
      <c r="P1766" s="9" t="str">
        <f>HYPERLINK("https://ceds.ed.gov/cedselementdetails.aspx?termid=13207")</f>
        <v>https://ceds.ed.gov/cedselementdetails.aspx?termid=13207</v>
      </c>
      <c r="Q1766" s="9" t="str">
        <f>HYPERLINK("https://ceds.ed.gov/elementComment.aspx?elementName=Paraprofessional Qualification Status &amp;elementID=13207", "Click here to submit comment")</f>
        <v>Click here to submit comment</v>
      </c>
    </row>
    <row r="1767" spans="1:17" ht="270" x14ac:dyDescent="0.25">
      <c r="A1767" s="9" t="s">
        <v>6811</v>
      </c>
      <c r="B1767" s="9" t="s">
        <v>6844</v>
      </c>
      <c r="C1767" s="9" t="s">
        <v>6804</v>
      </c>
      <c r="D1767" s="9" t="s">
        <v>6742</v>
      </c>
      <c r="E1767" s="9" t="s">
        <v>4961</v>
      </c>
      <c r="F1767" s="9" t="s">
        <v>4962</v>
      </c>
      <c r="G1767" s="10" t="s">
        <v>6665</v>
      </c>
      <c r="H1767" s="9"/>
      <c r="I1767" s="9"/>
      <c r="J1767" s="9"/>
      <c r="K1767" s="9"/>
      <c r="L1767" s="9"/>
      <c r="M1767" s="9" t="s">
        <v>4963</v>
      </c>
      <c r="N1767" s="9"/>
      <c r="O1767" s="9" t="s">
        <v>4964</v>
      </c>
      <c r="P1767" s="9" t="str">
        <f>HYPERLINK("https://ceds.ed.gov/cedselementdetails.aspx?termid=13692")</f>
        <v>https://ceds.ed.gov/cedselementdetails.aspx?termid=13692</v>
      </c>
      <c r="Q1767" s="9" t="str">
        <f>HYPERLINK("https://ceds.ed.gov/elementComment.aspx?elementName=Program Sponsor Type &amp;elementID=13692", "Click here to submit comment")</f>
        <v>Click here to submit comment</v>
      </c>
    </row>
    <row r="1768" spans="1:17" ht="75" x14ac:dyDescent="0.25">
      <c r="A1768" s="9" t="s">
        <v>6811</v>
      </c>
      <c r="B1768" s="9" t="s">
        <v>6844</v>
      </c>
      <c r="C1768" s="9" t="s">
        <v>6804</v>
      </c>
      <c r="D1768" s="9" t="s">
        <v>6742</v>
      </c>
      <c r="E1768" s="9" t="s">
        <v>1612</v>
      </c>
      <c r="F1768" s="9" t="s">
        <v>1613</v>
      </c>
      <c r="G1768" s="9" t="s">
        <v>6106</v>
      </c>
      <c r="H1768" s="9"/>
      <c r="I1768" s="9"/>
      <c r="J1768" s="9"/>
      <c r="K1768" s="9"/>
      <c r="L1768" s="9"/>
      <c r="M1768" s="9" t="s">
        <v>1614</v>
      </c>
      <c r="N1768" s="9" t="s">
        <v>1615</v>
      </c>
      <c r="O1768" s="9" t="s">
        <v>1616</v>
      </c>
      <c r="P1768" s="9" t="str">
        <f>HYPERLINK("https://ceds.ed.gov/cedselementdetails.aspx?termid=14284")</f>
        <v>https://ceds.ed.gov/cedselementdetails.aspx?termid=14284</v>
      </c>
      <c r="Q1768" s="9" t="str">
        <f>HYPERLINK("https://ceds.ed.gov/elementComment.aspx?elementName=Career and Technical Education Instructor Industry Certification &amp;elementID=14284", "Click here to submit comment")</f>
        <v>Click here to submit comment</v>
      </c>
    </row>
    <row r="1769" spans="1:17" ht="45" x14ac:dyDescent="0.25">
      <c r="A1769" s="9" t="s">
        <v>6811</v>
      </c>
      <c r="B1769" s="9" t="s">
        <v>6844</v>
      </c>
      <c r="C1769" s="9" t="s">
        <v>6804</v>
      </c>
      <c r="D1769" s="9" t="s">
        <v>6742</v>
      </c>
      <c r="E1769" s="9" t="s">
        <v>2107</v>
      </c>
      <c r="F1769" s="9" t="s">
        <v>2108</v>
      </c>
      <c r="G1769" s="9" t="s">
        <v>12</v>
      </c>
      <c r="H1769" s="9"/>
      <c r="I1769" s="9"/>
      <c r="J1769" s="9" t="s">
        <v>92</v>
      </c>
      <c r="K1769" s="9"/>
      <c r="L1769" s="9"/>
      <c r="M1769" s="9" t="s">
        <v>2109</v>
      </c>
      <c r="N1769" s="9"/>
      <c r="O1769" s="9" t="s">
        <v>2110</v>
      </c>
      <c r="P1769" s="9" t="str">
        <f>HYPERLINK("https://ceds.ed.gov/cedselementdetails.aspx?termid=14566")</f>
        <v>https://ceds.ed.gov/cedselementdetails.aspx?termid=14566</v>
      </c>
      <c r="Q1769" s="9" t="str">
        <f>HYPERLINK("https://ceds.ed.gov/elementComment.aspx?elementName=Credential or License Award Entity &amp;elementID=14566", "Click here to submit comment")</f>
        <v>Click here to submit comment</v>
      </c>
    </row>
    <row r="1770" spans="1:17" ht="45" x14ac:dyDescent="0.25">
      <c r="A1770" s="9" t="s">
        <v>6811</v>
      </c>
      <c r="B1770" s="9" t="s">
        <v>6844</v>
      </c>
      <c r="C1770" s="9" t="s">
        <v>6804</v>
      </c>
      <c r="D1770" s="9" t="s">
        <v>6742</v>
      </c>
      <c r="E1770" s="9" t="s">
        <v>4300</v>
      </c>
      <c r="F1770" s="9" t="s">
        <v>4301</v>
      </c>
      <c r="G1770" s="9" t="s">
        <v>12</v>
      </c>
      <c r="H1770" s="9" t="s">
        <v>182</v>
      </c>
      <c r="I1770" s="9"/>
      <c r="J1770" s="9" t="s">
        <v>92</v>
      </c>
      <c r="K1770" s="9"/>
      <c r="L1770" s="9"/>
      <c r="M1770" s="9" t="s">
        <v>4302</v>
      </c>
      <c r="N1770" s="9"/>
      <c r="O1770" s="9" t="s">
        <v>4303</v>
      </c>
      <c r="P1770" s="9" t="str">
        <f>HYPERLINK("https://ceds.ed.gov/cedselementdetails.aspx?termid=14064")</f>
        <v>https://ceds.ed.gov/cedselementdetails.aspx?termid=14064</v>
      </c>
      <c r="Q1770" s="9" t="str">
        <f>HYPERLINK("https://ceds.ed.gov/elementComment.aspx?elementName=Name of Professional Credential or License &amp;elementID=14064", "Click here to submit comment")</f>
        <v>Click here to submit comment</v>
      </c>
    </row>
    <row r="1771" spans="1:17" ht="409.5" x14ac:dyDescent="0.25">
      <c r="A1771" s="9" t="s">
        <v>6811</v>
      </c>
      <c r="B1771" s="9" t="s">
        <v>6844</v>
      </c>
      <c r="C1771" s="9" t="s">
        <v>6804</v>
      </c>
      <c r="D1771" s="9" t="s">
        <v>6742</v>
      </c>
      <c r="E1771" s="9" t="s">
        <v>5679</v>
      </c>
      <c r="F1771" s="9" t="s">
        <v>5680</v>
      </c>
      <c r="G1771" s="10" t="s">
        <v>6672</v>
      </c>
      <c r="H1771" s="9" t="s">
        <v>182</v>
      </c>
      <c r="I1771" s="9"/>
      <c r="J1771" s="9"/>
      <c r="K1771" s="9"/>
      <c r="L1771" s="9"/>
      <c r="M1771" s="9" t="s">
        <v>5681</v>
      </c>
      <c r="N1771" s="9"/>
      <c r="O1771" s="9" t="s">
        <v>5682</v>
      </c>
      <c r="P1771" s="9" t="str">
        <f>HYPERLINK("https://ceds.ed.gov/cedselementdetails.aspx?termid=13804")</f>
        <v>https://ceds.ed.gov/cedselementdetails.aspx?termid=13804</v>
      </c>
      <c r="Q1771" s="9" t="str">
        <f>HYPERLINK("https://ceds.ed.gov/elementComment.aspx?elementName=State Issuing Professional Credential or License &amp;elementID=13804", "Click here to submit comment")</f>
        <v>Click here to submit comment</v>
      </c>
    </row>
    <row r="1772" spans="1:17" ht="90" x14ac:dyDescent="0.25">
      <c r="A1772" s="9" t="s">
        <v>6811</v>
      </c>
      <c r="B1772" s="9" t="s">
        <v>6844</v>
      </c>
      <c r="C1772" s="9" t="s">
        <v>6803</v>
      </c>
      <c r="D1772" s="9" t="s">
        <v>6742</v>
      </c>
      <c r="E1772" s="9" t="s">
        <v>4619</v>
      </c>
      <c r="F1772" s="9" t="s">
        <v>4620</v>
      </c>
      <c r="G1772" s="9" t="s">
        <v>12</v>
      </c>
      <c r="H1772" s="9" t="s">
        <v>6109</v>
      </c>
      <c r="I1772" s="9"/>
      <c r="J1772" s="9" t="s">
        <v>1347</v>
      </c>
      <c r="K1772" s="9"/>
      <c r="L1772" s="9"/>
      <c r="M1772" s="9" t="s">
        <v>4621</v>
      </c>
      <c r="N1772" s="9"/>
      <c r="O1772" s="9" t="s">
        <v>4622</v>
      </c>
      <c r="P1772" s="9" t="str">
        <f>HYPERLINK("https://ceds.ed.gov/cedselementdetails.aspx?termid=13213")</f>
        <v>https://ceds.ed.gov/cedselementdetails.aspx?termid=13213</v>
      </c>
      <c r="Q1772" s="9" t="str">
        <f>HYPERLINK("https://ceds.ed.gov/elementComment.aspx?elementName=Position Title &amp;elementID=13213", "Click here to submit comment")</f>
        <v>Click here to submit comment</v>
      </c>
    </row>
    <row r="1773" spans="1:17" ht="210" x14ac:dyDescent="0.25">
      <c r="A1773" s="9" t="s">
        <v>6811</v>
      </c>
      <c r="B1773" s="9" t="s">
        <v>6844</v>
      </c>
      <c r="C1773" s="9" t="s">
        <v>6803</v>
      </c>
      <c r="D1773" s="9" t="s">
        <v>6742</v>
      </c>
      <c r="E1773" s="9" t="s">
        <v>3140</v>
      </c>
      <c r="F1773" s="9" t="s">
        <v>3141</v>
      </c>
      <c r="G1773" s="9" t="s">
        <v>12</v>
      </c>
      <c r="H1773" s="9" t="s">
        <v>6225</v>
      </c>
      <c r="I1773" s="9"/>
      <c r="J1773" s="9" t="s">
        <v>73</v>
      </c>
      <c r="K1773" s="9"/>
      <c r="L1773" s="9" t="s">
        <v>3142</v>
      </c>
      <c r="M1773" s="9" t="s">
        <v>3143</v>
      </c>
      <c r="N1773" s="9"/>
      <c r="O1773" s="9" t="s">
        <v>3144</v>
      </c>
      <c r="P1773" s="9" t="str">
        <f>HYPERLINK("https://ceds.ed.gov/cedselementdetails.aspx?termid=13143")</f>
        <v>https://ceds.ed.gov/cedselementdetails.aspx?termid=13143</v>
      </c>
      <c r="Q1773" s="9" t="str">
        <f>HYPERLINK("https://ceds.ed.gov/elementComment.aspx?elementName=Hire Date &amp;elementID=13143", "Click here to submit comment")</f>
        <v>Click here to submit comment</v>
      </c>
    </row>
    <row r="1774" spans="1:17" ht="60" x14ac:dyDescent="0.25">
      <c r="A1774" s="9" t="s">
        <v>6811</v>
      </c>
      <c r="B1774" s="9" t="s">
        <v>6844</v>
      </c>
      <c r="C1774" s="9" t="s">
        <v>6803</v>
      </c>
      <c r="D1774" s="9" t="s">
        <v>6742</v>
      </c>
      <c r="E1774" s="9" t="s">
        <v>2662</v>
      </c>
      <c r="F1774" s="9" t="s">
        <v>2663</v>
      </c>
      <c r="G1774" s="9" t="s">
        <v>12</v>
      </c>
      <c r="H1774" s="9" t="s">
        <v>6199</v>
      </c>
      <c r="I1774" s="9"/>
      <c r="J1774" s="9" t="s">
        <v>73</v>
      </c>
      <c r="K1774" s="9"/>
      <c r="L1774" s="9"/>
      <c r="M1774" s="9" t="s">
        <v>2664</v>
      </c>
      <c r="N1774" s="9"/>
      <c r="O1774" s="9" t="s">
        <v>2665</v>
      </c>
      <c r="P1774" s="9" t="str">
        <f>HYPERLINK("https://ceds.ed.gov/cedselementdetails.aspx?termid=13345")</f>
        <v>https://ceds.ed.gov/cedselementdetails.aspx?termid=13345</v>
      </c>
      <c r="Q1774" s="9" t="str">
        <f>HYPERLINK("https://ceds.ed.gov/elementComment.aspx?elementName=Employment Start Date &amp;elementID=13345", "Click here to submit comment")</f>
        <v>Click here to submit comment</v>
      </c>
    </row>
    <row r="1775" spans="1:17" ht="60" x14ac:dyDescent="0.25">
      <c r="A1775" s="9" t="s">
        <v>6811</v>
      </c>
      <c r="B1775" s="9" t="s">
        <v>6844</v>
      </c>
      <c r="C1775" s="9" t="s">
        <v>6803</v>
      </c>
      <c r="D1775" s="9" t="s">
        <v>6742</v>
      </c>
      <c r="E1775" s="9" t="s">
        <v>2627</v>
      </c>
      <c r="F1775" s="9" t="s">
        <v>2628</v>
      </c>
      <c r="G1775" s="9" t="s">
        <v>12</v>
      </c>
      <c r="H1775" s="9" t="s">
        <v>182</v>
      </c>
      <c r="I1775" s="9"/>
      <c r="J1775" s="9" t="s">
        <v>73</v>
      </c>
      <c r="K1775" s="9"/>
      <c r="L1775" s="9"/>
      <c r="M1775" s="9" t="s">
        <v>2629</v>
      </c>
      <c r="N1775" s="9"/>
      <c r="O1775" s="9" t="s">
        <v>2630</v>
      </c>
      <c r="P1775" s="9" t="str">
        <f>HYPERLINK("https://ceds.ed.gov/cedselementdetails.aspx?termid=13794")</f>
        <v>https://ceds.ed.gov/cedselementdetails.aspx?termid=13794</v>
      </c>
      <c r="Q1775" s="9" t="str">
        <f>HYPERLINK("https://ceds.ed.gov/elementComment.aspx?elementName=Employment End Date &amp;elementID=13794", "Click here to submit comment")</f>
        <v>Click here to submit comment</v>
      </c>
    </row>
    <row r="1776" spans="1:17" ht="210" x14ac:dyDescent="0.25">
      <c r="A1776" s="9" t="s">
        <v>6811</v>
      </c>
      <c r="B1776" s="9" t="s">
        <v>6844</v>
      </c>
      <c r="C1776" s="9" t="s">
        <v>6803</v>
      </c>
      <c r="D1776" s="9" t="s">
        <v>6742</v>
      </c>
      <c r="E1776" s="9" t="s">
        <v>2666</v>
      </c>
      <c r="F1776" s="9" t="s">
        <v>270</v>
      </c>
      <c r="G1776" s="10" t="s">
        <v>6490</v>
      </c>
      <c r="H1776" s="9" t="s">
        <v>6183</v>
      </c>
      <c r="I1776" s="9"/>
      <c r="J1776" s="9"/>
      <c r="K1776" s="9"/>
      <c r="L1776" s="9"/>
      <c r="M1776" s="9" t="s">
        <v>2667</v>
      </c>
      <c r="N1776" s="9"/>
      <c r="O1776" s="9" t="s">
        <v>2668</v>
      </c>
      <c r="P1776" s="9" t="str">
        <f>HYPERLINK("https://ceds.ed.gov/cedselementdetails.aspx?termid=13346")</f>
        <v>https://ceds.ed.gov/cedselementdetails.aspx?termid=13346</v>
      </c>
      <c r="Q1776" s="9" t="str">
        <f>HYPERLINK("https://ceds.ed.gov/elementComment.aspx?elementName=Employment Status &amp;elementID=13346", "Click here to submit comment")</f>
        <v>Click here to submit comment</v>
      </c>
    </row>
    <row r="1777" spans="1:17" ht="405" x14ac:dyDescent="0.25">
      <c r="A1777" s="9" t="s">
        <v>6811</v>
      </c>
      <c r="B1777" s="9" t="s">
        <v>6844</v>
      </c>
      <c r="C1777" s="9" t="s">
        <v>6803</v>
      </c>
      <c r="D1777" s="9" t="s">
        <v>6742</v>
      </c>
      <c r="E1777" s="9" t="s">
        <v>2655</v>
      </c>
      <c r="F1777" s="9" t="s">
        <v>2440</v>
      </c>
      <c r="G1777" s="10" t="s">
        <v>6467</v>
      </c>
      <c r="H1777" s="9"/>
      <c r="I1777" s="9"/>
      <c r="J1777" s="9"/>
      <c r="K1777" s="9"/>
      <c r="L1777" s="9"/>
      <c r="M1777" s="9" t="s">
        <v>2656</v>
      </c>
      <c r="N1777" s="9"/>
      <c r="O1777" s="9" t="s">
        <v>2657</v>
      </c>
      <c r="P1777" s="9" t="str">
        <f>HYPERLINK("https://ceds.ed.gov/cedselementdetails.aspx?termid=13613")</f>
        <v>https://ceds.ed.gov/cedselementdetails.aspx?termid=13613</v>
      </c>
      <c r="Q1777" s="9" t="str">
        <f>HYPERLINK("https://ceds.ed.gov/elementComment.aspx?elementName=Employment Separation Reason &amp;elementID=13613", "Click here to submit comment")</f>
        <v>Click here to submit comment</v>
      </c>
    </row>
    <row r="1778" spans="1:17" ht="75" x14ac:dyDescent="0.25">
      <c r="A1778" s="9" t="s">
        <v>6811</v>
      </c>
      <c r="B1778" s="9" t="s">
        <v>6844</v>
      </c>
      <c r="C1778" s="9" t="s">
        <v>6803</v>
      </c>
      <c r="D1778" s="9" t="s">
        <v>6742</v>
      </c>
      <c r="E1778" s="9" t="s">
        <v>2658</v>
      </c>
      <c r="F1778" s="9" t="s">
        <v>2659</v>
      </c>
      <c r="G1778" s="10" t="s">
        <v>6489</v>
      </c>
      <c r="H1778" s="9"/>
      <c r="I1778" s="9"/>
      <c r="J1778" s="9"/>
      <c r="K1778" s="9"/>
      <c r="L1778" s="9"/>
      <c r="M1778" s="9" t="s">
        <v>2660</v>
      </c>
      <c r="N1778" s="9"/>
      <c r="O1778" s="9" t="s">
        <v>2661</v>
      </c>
      <c r="P1778" s="9" t="str">
        <f>HYPERLINK("https://ceds.ed.gov/cedselementdetails.aspx?termid=13614")</f>
        <v>https://ceds.ed.gov/cedselementdetails.aspx?termid=13614</v>
      </c>
      <c r="Q1778" s="9" t="str">
        <f>HYPERLINK("https://ceds.ed.gov/elementComment.aspx?elementName=Employment Separation Type &amp;elementID=13614", "Click here to submit comment")</f>
        <v>Click here to submit comment</v>
      </c>
    </row>
    <row r="1779" spans="1:17" ht="60" x14ac:dyDescent="0.25">
      <c r="A1779" s="9" t="s">
        <v>6811</v>
      </c>
      <c r="B1779" s="9" t="s">
        <v>6844</v>
      </c>
      <c r="C1779" s="9" t="s">
        <v>6803</v>
      </c>
      <c r="D1779" s="9" t="s">
        <v>6742</v>
      </c>
      <c r="E1779" s="9" t="s">
        <v>12211</v>
      </c>
      <c r="F1779" s="9" t="s">
        <v>1854</v>
      </c>
      <c r="G1779" s="9" t="s">
        <v>12</v>
      </c>
      <c r="H1779" s="9" t="s">
        <v>1858</v>
      </c>
      <c r="I1779" s="9"/>
      <c r="J1779" s="9" t="s">
        <v>1513</v>
      </c>
      <c r="K1779" s="9"/>
      <c r="L1779" s="9"/>
      <c r="M1779" s="9" t="s">
        <v>1856</v>
      </c>
      <c r="N1779" s="9"/>
      <c r="O1779" s="9" t="s">
        <v>1857</v>
      </c>
      <c r="P1779" s="9" t="str">
        <f>HYPERLINK("https://ceds.ed.gov/cedselementdetails.aspx?termid=13047")</f>
        <v>https://ceds.ed.gov/cedselementdetails.aspx?termid=13047</v>
      </c>
      <c r="Q1779" s="9" t="str">
        <f>HYPERLINK("https://ceds.ed.gov/elementComment.aspx?elementName=Contract Days of Service Per Year &amp;elementID=13047", "Click here to submit comment")</f>
        <v>Click here to submit comment</v>
      </c>
    </row>
    <row r="1780" spans="1:17" ht="225" x14ac:dyDescent="0.25">
      <c r="A1780" s="9" t="s">
        <v>6811</v>
      </c>
      <c r="B1780" s="9" t="s">
        <v>6844</v>
      </c>
      <c r="C1780" s="9" t="s">
        <v>6803</v>
      </c>
      <c r="D1780" s="9" t="s">
        <v>6742</v>
      </c>
      <c r="E1780" s="9" t="s">
        <v>5564</v>
      </c>
      <c r="F1780" s="9" t="s">
        <v>5565</v>
      </c>
      <c r="G1780" s="9" t="s">
        <v>12</v>
      </c>
      <c r="H1780" s="9" t="s">
        <v>1858</v>
      </c>
      <c r="I1780" s="9"/>
      <c r="J1780" s="9" t="s">
        <v>1513</v>
      </c>
      <c r="K1780" s="9"/>
      <c r="L1780" s="9" t="s">
        <v>12221</v>
      </c>
      <c r="M1780" s="9" t="s">
        <v>5566</v>
      </c>
      <c r="N1780" s="9"/>
      <c r="O1780" s="9" t="s">
        <v>5567</v>
      </c>
      <c r="P1780" s="9" t="str">
        <f>HYPERLINK("https://ceds.ed.gov/cedselementdetails.aspx?termid=13032")</f>
        <v>https://ceds.ed.gov/cedselementdetails.aspx?termid=13032</v>
      </c>
      <c r="Q1780" s="9" t="str">
        <f>HYPERLINK("https://ceds.ed.gov/elementComment.aspx?elementName=Staff Compensation Base Salary &amp;elementID=13032", "Click here to submit comment")</f>
        <v>Click here to submit comment</v>
      </c>
    </row>
    <row r="1781" spans="1:17" ht="45" x14ac:dyDescent="0.25">
      <c r="A1781" s="9" t="s">
        <v>6811</v>
      </c>
      <c r="B1781" s="9" t="s">
        <v>6844</v>
      </c>
      <c r="C1781" s="9" t="s">
        <v>6803</v>
      </c>
      <c r="D1781" s="9" t="s">
        <v>6742</v>
      </c>
      <c r="E1781" s="9" t="s">
        <v>12219</v>
      </c>
      <c r="F1781" s="9" t="s">
        <v>5286</v>
      </c>
      <c r="G1781" s="9" t="s">
        <v>6106</v>
      </c>
      <c r="H1781" s="9" t="s">
        <v>1858</v>
      </c>
      <c r="I1781" s="9"/>
      <c r="J1781" s="9"/>
      <c r="K1781" s="9"/>
      <c r="L1781" s="9"/>
      <c r="M1781" s="9" t="s">
        <v>5287</v>
      </c>
      <c r="N1781" s="9"/>
      <c r="O1781" s="9" t="s">
        <v>5288</v>
      </c>
      <c r="P1781" s="9" t="str">
        <f>HYPERLINK("https://ceds.ed.gov/cedselementdetails.aspx?termid=13234")</f>
        <v>https://ceds.ed.gov/cedselementdetails.aspx?termid=13234</v>
      </c>
      <c r="Q1781" s="9" t="str">
        <f>HYPERLINK("https://ceds.ed.gov/elementComment.aspx?elementName=Salary for Teaching Assignment Only Indicator &amp;elementID=13234", "Click here to submit comment")</f>
        <v>Click here to submit comment</v>
      </c>
    </row>
    <row r="1782" spans="1:17" ht="135" x14ac:dyDescent="0.25">
      <c r="A1782" s="9" t="s">
        <v>6811</v>
      </c>
      <c r="B1782" s="9" t="s">
        <v>6844</v>
      </c>
      <c r="C1782" s="9" t="s">
        <v>6803</v>
      </c>
      <c r="D1782" s="9" t="s">
        <v>6742</v>
      </c>
      <c r="E1782" s="9" t="s">
        <v>5568</v>
      </c>
      <c r="F1782" s="9" t="s">
        <v>5569</v>
      </c>
      <c r="G1782" s="9" t="s">
        <v>12</v>
      </c>
      <c r="H1782" s="9" t="s">
        <v>1858</v>
      </c>
      <c r="I1782" s="9"/>
      <c r="J1782" s="9" t="s">
        <v>1513</v>
      </c>
      <c r="K1782" s="9"/>
      <c r="L1782" s="9"/>
      <c r="M1782" s="9" t="s">
        <v>5570</v>
      </c>
      <c r="N1782" s="9"/>
      <c r="O1782" s="9" t="s">
        <v>5571</v>
      </c>
      <c r="P1782" s="9" t="str">
        <f>HYPERLINK("https://ceds.ed.gov/cedselementdetails.aspx?termid=13136")</f>
        <v>https://ceds.ed.gov/cedselementdetails.aspx?termid=13136</v>
      </c>
      <c r="Q1782" s="9" t="str">
        <f>HYPERLINK("https://ceds.ed.gov/elementComment.aspx?elementName=Staff Compensation Health Benefits &amp;elementID=13136", "Click here to submit comment")</f>
        <v>Click here to submit comment</v>
      </c>
    </row>
    <row r="1783" spans="1:17" ht="135" x14ac:dyDescent="0.25">
      <c r="A1783" s="9" t="s">
        <v>6811</v>
      </c>
      <c r="B1783" s="9" t="s">
        <v>6844</v>
      </c>
      <c r="C1783" s="9" t="s">
        <v>6803</v>
      </c>
      <c r="D1783" s="9" t="s">
        <v>6742</v>
      </c>
      <c r="E1783" s="9" t="s">
        <v>5576</v>
      </c>
      <c r="F1783" s="9" t="s">
        <v>5577</v>
      </c>
      <c r="G1783" s="9" t="s">
        <v>12</v>
      </c>
      <c r="H1783" s="9" t="s">
        <v>1858</v>
      </c>
      <c r="I1783" s="9"/>
      <c r="J1783" s="9" t="s">
        <v>1513</v>
      </c>
      <c r="K1783" s="9"/>
      <c r="L1783" s="9"/>
      <c r="M1783" s="9" t="s">
        <v>5578</v>
      </c>
      <c r="N1783" s="9"/>
      <c r="O1783" s="9" t="s">
        <v>5579</v>
      </c>
      <c r="P1783" s="9" t="str">
        <f>HYPERLINK("https://ceds.ed.gov/cedselementdetails.aspx?termid=13233")</f>
        <v>https://ceds.ed.gov/cedselementdetails.aspx?termid=13233</v>
      </c>
      <c r="Q1783" s="9" t="str">
        <f>HYPERLINK("https://ceds.ed.gov/elementComment.aspx?elementName=Staff Compensation Retirement Benefits &amp;elementID=13233", "Click here to submit comment")</f>
        <v>Click here to submit comment</v>
      </c>
    </row>
    <row r="1784" spans="1:17" ht="150" x14ac:dyDescent="0.25">
      <c r="A1784" s="9" t="s">
        <v>6811</v>
      </c>
      <c r="B1784" s="9" t="s">
        <v>6844</v>
      </c>
      <c r="C1784" s="9" t="s">
        <v>6803</v>
      </c>
      <c r="D1784" s="9" t="s">
        <v>6742</v>
      </c>
      <c r="E1784" s="9" t="s">
        <v>5572</v>
      </c>
      <c r="F1784" s="9" t="s">
        <v>5573</v>
      </c>
      <c r="G1784" s="9" t="s">
        <v>12</v>
      </c>
      <c r="H1784" s="9" t="s">
        <v>1858</v>
      </c>
      <c r="I1784" s="9"/>
      <c r="J1784" s="9" t="s">
        <v>1513</v>
      </c>
      <c r="K1784" s="9"/>
      <c r="L1784" s="9"/>
      <c r="M1784" s="9" t="s">
        <v>5574</v>
      </c>
      <c r="N1784" s="9"/>
      <c r="O1784" s="9" t="s">
        <v>5575</v>
      </c>
      <c r="P1784" s="9" t="str">
        <f>HYPERLINK("https://ceds.ed.gov/cedselementdetails.aspx?termid=13205")</f>
        <v>https://ceds.ed.gov/cedselementdetails.aspx?termid=13205</v>
      </c>
      <c r="Q1784" s="9" t="str">
        <f>HYPERLINK("https://ceds.ed.gov/elementComment.aspx?elementName=Staff Compensation Other Benefits &amp;elementID=13205", "Click here to submit comment")</f>
        <v>Click here to submit comment</v>
      </c>
    </row>
    <row r="1785" spans="1:17" ht="165" x14ac:dyDescent="0.25">
      <c r="A1785" s="9" t="s">
        <v>6811</v>
      </c>
      <c r="B1785" s="9" t="s">
        <v>6844</v>
      </c>
      <c r="C1785" s="9" t="s">
        <v>6803</v>
      </c>
      <c r="D1785" s="9" t="s">
        <v>6742</v>
      </c>
      <c r="E1785" s="9" t="s">
        <v>5580</v>
      </c>
      <c r="F1785" s="9" t="s">
        <v>5581</v>
      </c>
      <c r="G1785" s="9" t="s">
        <v>12</v>
      </c>
      <c r="H1785" s="9" t="s">
        <v>1858</v>
      </c>
      <c r="I1785" s="9"/>
      <c r="J1785" s="9" t="s">
        <v>1513</v>
      </c>
      <c r="K1785" s="9"/>
      <c r="L1785" s="9"/>
      <c r="M1785" s="9" t="s">
        <v>5582</v>
      </c>
      <c r="N1785" s="9"/>
      <c r="O1785" s="9" t="s">
        <v>5583</v>
      </c>
      <c r="P1785" s="9" t="str">
        <f>HYPERLINK("https://ceds.ed.gov/cedselementdetails.aspx?termid=13293")</f>
        <v>https://ceds.ed.gov/cedselementdetails.aspx?termid=13293</v>
      </c>
      <c r="Q1785" s="9" t="str">
        <f>HYPERLINK("https://ceds.ed.gov/elementComment.aspx?elementName=Staff Compensation Total Benefits &amp;elementID=13293", "Click here to submit comment")</f>
        <v>Click here to submit comment</v>
      </c>
    </row>
    <row r="1786" spans="1:17" ht="60" x14ac:dyDescent="0.25">
      <c r="A1786" s="9" t="s">
        <v>6811</v>
      </c>
      <c r="B1786" s="9" t="s">
        <v>6844</v>
      </c>
      <c r="C1786" s="9" t="s">
        <v>6803</v>
      </c>
      <c r="D1786" s="9" t="s">
        <v>6742</v>
      </c>
      <c r="E1786" s="9" t="s">
        <v>5584</v>
      </c>
      <c r="F1786" s="9" t="s">
        <v>5585</v>
      </c>
      <c r="G1786" s="9" t="s">
        <v>12</v>
      </c>
      <c r="H1786" s="9" t="s">
        <v>1858</v>
      </c>
      <c r="I1786" s="9"/>
      <c r="J1786" s="9" t="s">
        <v>1513</v>
      </c>
      <c r="K1786" s="9"/>
      <c r="L1786" s="9"/>
      <c r="M1786" s="9" t="s">
        <v>5586</v>
      </c>
      <c r="N1786" s="9"/>
      <c r="O1786" s="9" t="s">
        <v>5587</v>
      </c>
      <c r="P1786" s="9" t="str">
        <f>HYPERLINK("https://ceds.ed.gov/cedselementdetails.aspx?termid=13295")</f>
        <v>https://ceds.ed.gov/cedselementdetails.aspx?termid=13295</v>
      </c>
      <c r="Q1786" s="9" t="str">
        <f>HYPERLINK("https://ceds.ed.gov/elementComment.aspx?elementName=Staff Compensation Total Salary &amp;elementID=13295", "Click here to submit comment")</f>
        <v>Click here to submit comment</v>
      </c>
    </row>
    <row r="1787" spans="1:17" ht="60" x14ac:dyDescent="0.25">
      <c r="A1787" s="9" t="s">
        <v>6811</v>
      </c>
      <c r="B1787" s="9" t="s">
        <v>6844</v>
      </c>
      <c r="C1787" s="9" t="s">
        <v>6803</v>
      </c>
      <c r="D1787" s="9" t="s">
        <v>6742</v>
      </c>
      <c r="E1787" s="9" t="s">
        <v>4207</v>
      </c>
      <c r="F1787" s="9" t="s">
        <v>4208</v>
      </c>
      <c r="G1787" s="9" t="s">
        <v>6106</v>
      </c>
      <c r="H1787" s="9" t="s">
        <v>199</v>
      </c>
      <c r="I1787" s="9"/>
      <c r="J1787" s="9"/>
      <c r="K1787" s="9"/>
      <c r="L1787" s="9"/>
      <c r="M1787" s="9" t="s">
        <v>4209</v>
      </c>
      <c r="N1787" s="9" t="s">
        <v>4210</v>
      </c>
      <c r="O1787" s="9" t="s">
        <v>4211</v>
      </c>
      <c r="P1787" s="9" t="str">
        <f>HYPERLINK("https://ceds.ed.gov/cedselementdetails.aspx?termid=13534")</f>
        <v>https://ceds.ed.gov/cedselementdetails.aspx?termid=13534</v>
      </c>
      <c r="Q1787" s="9" t="str">
        <f>HYPERLINK("https://ceds.ed.gov/elementComment.aspx?elementName=Migrant Education Program Personnel Indicator &amp;elementID=13534", "Click here to submit comment")</f>
        <v>Click here to submit comment</v>
      </c>
    </row>
    <row r="1788" spans="1:17" ht="60" x14ac:dyDescent="0.25">
      <c r="A1788" s="9" t="s">
        <v>6811</v>
      </c>
      <c r="B1788" s="9" t="s">
        <v>6844</v>
      </c>
      <c r="C1788" s="9" t="s">
        <v>6803</v>
      </c>
      <c r="D1788" s="9" t="s">
        <v>6742</v>
      </c>
      <c r="E1788" s="9" t="s">
        <v>5918</v>
      </c>
      <c r="F1788" s="9" t="s">
        <v>5919</v>
      </c>
      <c r="G1788" s="9" t="s">
        <v>6106</v>
      </c>
      <c r="H1788" s="9"/>
      <c r="I1788" s="9"/>
      <c r="J1788" s="9"/>
      <c r="K1788" s="9"/>
      <c r="L1788" s="9"/>
      <c r="M1788" s="9" t="s">
        <v>5920</v>
      </c>
      <c r="N1788" s="9"/>
      <c r="O1788" s="9" t="s">
        <v>5921</v>
      </c>
      <c r="P1788" s="9" t="str">
        <f>HYPERLINK("https://ceds.ed.gov/cedselementdetails.aspx?termid=13543")</f>
        <v>https://ceds.ed.gov/cedselementdetails.aspx?termid=13543</v>
      </c>
      <c r="Q1788" s="9" t="str">
        <f>HYPERLINK("https://ceds.ed.gov/elementComment.aspx?elementName=Title I Targeted Assistance Staff Funded &amp;elementID=13543", "Click here to submit comment")</f>
        <v>Click here to submit comment</v>
      </c>
    </row>
    <row r="1789" spans="1:17" ht="45" x14ac:dyDescent="0.25">
      <c r="A1789" s="9" t="s">
        <v>6811</v>
      </c>
      <c r="B1789" s="9" t="s">
        <v>6844</v>
      </c>
      <c r="C1789" s="9" t="s">
        <v>6798</v>
      </c>
      <c r="D1789" s="9" t="s">
        <v>6742</v>
      </c>
      <c r="E1789" s="9" t="s">
        <v>1632</v>
      </c>
      <c r="F1789" s="9" t="s">
        <v>1633</v>
      </c>
      <c r="G1789" s="9" t="s">
        <v>12</v>
      </c>
      <c r="H1789" s="9"/>
      <c r="I1789" s="9"/>
      <c r="J1789" s="9" t="s">
        <v>73</v>
      </c>
      <c r="K1789" s="9"/>
      <c r="L1789" s="9"/>
      <c r="M1789" s="9" t="s">
        <v>1634</v>
      </c>
      <c r="N1789" s="9"/>
      <c r="O1789" s="9" t="s">
        <v>1635</v>
      </c>
      <c r="P1789" s="9" t="str">
        <f>HYPERLINK("https://ceds.ed.gov/cedselementdetails.aspx?termid=14255")</f>
        <v>https://ceds.ed.gov/cedselementdetails.aspx?termid=14255</v>
      </c>
      <c r="Q1789" s="9" t="str">
        <f>HYPERLINK("https://ceds.ed.gov/elementComment.aspx?elementName=Career Education Plan Date &amp;elementID=14255", "Click here to submit comment")</f>
        <v>Click here to submit comment</v>
      </c>
    </row>
    <row r="1790" spans="1:17" ht="75" x14ac:dyDescent="0.25">
      <c r="A1790" s="9" t="s">
        <v>6811</v>
      </c>
      <c r="B1790" s="9" t="s">
        <v>6844</v>
      </c>
      <c r="C1790" s="9" t="s">
        <v>6798</v>
      </c>
      <c r="D1790" s="9" t="s">
        <v>6742</v>
      </c>
      <c r="E1790" s="9" t="s">
        <v>1636</v>
      </c>
      <c r="F1790" s="9" t="s">
        <v>1637</v>
      </c>
      <c r="G1790" s="10" t="s">
        <v>6397</v>
      </c>
      <c r="H1790" s="9"/>
      <c r="I1790" s="9"/>
      <c r="J1790" s="9"/>
      <c r="K1790" s="9"/>
      <c r="L1790" s="9"/>
      <c r="M1790" s="9" t="s">
        <v>1638</v>
      </c>
      <c r="N1790" s="9"/>
      <c r="O1790" s="9" t="s">
        <v>1639</v>
      </c>
      <c r="P1790" s="9" t="str">
        <f>HYPERLINK("https://ceds.ed.gov/cedselementdetails.aspx?termid=14256")</f>
        <v>https://ceds.ed.gov/cedselementdetails.aspx?termid=14256</v>
      </c>
      <c r="Q1790" s="9" t="str">
        <f>HYPERLINK("https://ceds.ed.gov/elementComment.aspx?elementName=Career Education Plan Type &amp;elementID=14256", "Click here to submit comment")</f>
        <v>Click here to submit comment</v>
      </c>
    </row>
    <row r="1791" spans="1:17" ht="45" x14ac:dyDescent="0.25">
      <c r="A1791" s="9" t="s">
        <v>6811</v>
      </c>
      <c r="B1791" s="9" t="s">
        <v>6844</v>
      </c>
      <c r="C1791" s="9" t="s">
        <v>6798</v>
      </c>
      <c r="D1791" s="9" t="s">
        <v>6742</v>
      </c>
      <c r="E1791" s="9" t="s">
        <v>5596</v>
      </c>
      <c r="F1791" s="9" t="s">
        <v>5597</v>
      </c>
      <c r="G1791" s="9" t="s">
        <v>12</v>
      </c>
      <c r="H1791" s="9"/>
      <c r="I1791" s="9"/>
      <c r="J1791" s="9" t="s">
        <v>22</v>
      </c>
      <c r="K1791" s="9"/>
      <c r="L1791" s="9"/>
      <c r="M1791" s="9" t="s">
        <v>5598</v>
      </c>
      <c r="N1791" s="9"/>
      <c r="O1791" s="9" t="s">
        <v>5599</v>
      </c>
      <c r="P1791" s="9" t="str">
        <f>HYPERLINK("https://ceds.ed.gov/cedselementdetails.aspx?termid=13102")</f>
        <v>https://ceds.ed.gov/cedselementdetails.aspx?termid=13102</v>
      </c>
      <c r="Q1791" s="9" t="str">
        <f>HYPERLINK("https://ceds.ed.gov/elementComment.aspx?elementName=Staff Evaluation Outcome &amp;elementID=13102", "Click here to submit comment")</f>
        <v>Click here to submit comment</v>
      </c>
    </row>
    <row r="1792" spans="1:17" ht="60" x14ac:dyDescent="0.25">
      <c r="A1792" s="9" t="s">
        <v>6811</v>
      </c>
      <c r="B1792" s="9" t="s">
        <v>6844</v>
      </c>
      <c r="C1792" s="9" t="s">
        <v>6798</v>
      </c>
      <c r="D1792" s="9" t="s">
        <v>6742</v>
      </c>
      <c r="E1792" s="9" t="s">
        <v>5600</v>
      </c>
      <c r="F1792" s="9" t="s">
        <v>5601</v>
      </c>
      <c r="G1792" s="9" t="s">
        <v>12</v>
      </c>
      <c r="H1792" s="9"/>
      <c r="I1792" s="9"/>
      <c r="J1792" s="9" t="s">
        <v>22</v>
      </c>
      <c r="K1792" s="9"/>
      <c r="L1792" s="9"/>
      <c r="M1792" s="9" t="s">
        <v>5602</v>
      </c>
      <c r="N1792" s="9"/>
      <c r="O1792" s="9" t="s">
        <v>5603</v>
      </c>
      <c r="P1792" s="9" t="str">
        <f>HYPERLINK("https://ceds.ed.gov/cedselementdetails.aspx?termid=13103")</f>
        <v>https://ceds.ed.gov/cedselementdetails.aspx?termid=13103</v>
      </c>
      <c r="Q1792" s="9" t="str">
        <f>HYPERLINK("https://ceds.ed.gov/elementComment.aspx?elementName=Staff Evaluation Scale &amp;elementID=13103", "Click here to submit comment")</f>
        <v>Click here to submit comment</v>
      </c>
    </row>
    <row r="1793" spans="1:17" ht="45" x14ac:dyDescent="0.25">
      <c r="A1793" s="9" t="s">
        <v>6811</v>
      </c>
      <c r="B1793" s="9" t="s">
        <v>6844</v>
      </c>
      <c r="C1793" s="9" t="s">
        <v>6798</v>
      </c>
      <c r="D1793" s="9" t="s">
        <v>6742</v>
      </c>
      <c r="E1793" s="9" t="s">
        <v>5604</v>
      </c>
      <c r="F1793" s="9" t="s">
        <v>5605</v>
      </c>
      <c r="G1793" s="9" t="s">
        <v>12</v>
      </c>
      <c r="H1793" s="9"/>
      <c r="I1793" s="9"/>
      <c r="J1793" s="9" t="s">
        <v>92</v>
      </c>
      <c r="K1793" s="9"/>
      <c r="L1793" s="9"/>
      <c r="M1793" s="9" t="s">
        <v>5606</v>
      </c>
      <c r="N1793" s="9"/>
      <c r="O1793" s="9" t="s">
        <v>5607</v>
      </c>
      <c r="P1793" s="9" t="str">
        <f>HYPERLINK("https://ceds.ed.gov/cedselementdetails.aspx?termid=13104")</f>
        <v>https://ceds.ed.gov/cedselementdetails.aspx?termid=13104</v>
      </c>
      <c r="Q1793" s="9" t="str">
        <f>HYPERLINK("https://ceds.ed.gov/elementComment.aspx?elementName=Staff Evaluation Score or Rating &amp;elementID=13104", "Click here to submit comment")</f>
        <v>Click here to submit comment</v>
      </c>
    </row>
    <row r="1794" spans="1:17" ht="45" x14ac:dyDescent="0.25">
      <c r="A1794" s="9" t="s">
        <v>6811</v>
      </c>
      <c r="B1794" s="9" t="s">
        <v>6844</v>
      </c>
      <c r="C1794" s="9" t="s">
        <v>6798</v>
      </c>
      <c r="D1794" s="9" t="s">
        <v>6742</v>
      </c>
      <c r="E1794" s="9" t="s">
        <v>5608</v>
      </c>
      <c r="F1794" s="9" t="s">
        <v>5609</v>
      </c>
      <c r="G1794" s="9" t="s">
        <v>12</v>
      </c>
      <c r="H1794" s="9"/>
      <c r="I1794" s="9"/>
      <c r="J1794" s="9" t="s">
        <v>92</v>
      </c>
      <c r="K1794" s="9"/>
      <c r="L1794" s="9"/>
      <c r="M1794" s="9" t="s">
        <v>5610</v>
      </c>
      <c r="N1794" s="9"/>
      <c r="O1794" s="9" t="s">
        <v>5611</v>
      </c>
      <c r="P1794" s="9" t="str">
        <f>HYPERLINK("https://ceds.ed.gov/cedselementdetails.aspx?termid=13105")</f>
        <v>https://ceds.ed.gov/cedselementdetails.aspx?termid=13105</v>
      </c>
      <c r="Q1794" s="9" t="str">
        <f>HYPERLINK("https://ceds.ed.gov/elementComment.aspx?elementName=Staff Evaluation System &amp;elementID=13105", "Click here to submit comment")</f>
        <v>Click here to submit comment</v>
      </c>
    </row>
    <row r="1795" spans="1:17" ht="120" x14ac:dyDescent="0.25">
      <c r="A1795" s="9" t="s">
        <v>6811</v>
      </c>
      <c r="B1795" s="9" t="s">
        <v>6844</v>
      </c>
      <c r="C1795" s="9" t="s">
        <v>6798</v>
      </c>
      <c r="D1795" s="9" t="s">
        <v>6742</v>
      </c>
      <c r="E1795" s="9" t="s">
        <v>2752</v>
      </c>
      <c r="F1795" s="9" t="s">
        <v>2753</v>
      </c>
      <c r="G1795" s="10" t="s">
        <v>6502</v>
      </c>
      <c r="H1795" s="9" t="s">
        <v>6139</v>
      </c>
      <c r="I1795" s="9"/>
      <c r="J1795" s="9"/>
      <c r="K1795" s="9"/>
      <c r="L1795" s="9"/>
      <c r="M1795" s="9" t="s">
        <v>2755</v>
      </c>
      <c r="N1795" s="9"/>
      <c r="O1795" s="9" t="s">
        <v>2756</v>
      </c>
      <c r="P1795" s="9" t="str">
        <f>HYPERLINK("https://ceds.ed.gov/cedselementdetails.aspx?termid=13582")</f>
        <v>https://ceds.ed.gov/cedselementdetails.aspx?termid=13582</v>
      </c>
      <c r="Q1795" s="9" t="str">
        <f>HYPERLINK("https://ceds.ed.gov/elementComment.aspx?elementName=Faculty and Administration Performance Level &amp;elementID=13582", "Click here to submit comment")</f>
        <v>Click here to submit comment</v>
      </c>
    </row>
    <row r="1796" spans="1:17" ht="60" x14ac:dyDescent="0.25">
      <c r="A1796" s="9" t="s">
        <v>6811</v>
      </c>
      <c r="B1796" s="9" t="s">
        <v>6844</v>
      </c>
      <c r="C1796" s="9" t="s">
        <v>6798</v>
      </c>
      <c r="D1796" s="9" t="s">
        <v>6742</v>
      </c>
      <c r="E1796" s="9" t="s">
        <v>5845</v>
      </c>
      <c r="F1796" s="9" t="s">
        <v>5846</v>
      </c>
      <c r="G1796" s="9" t="s">
        <v>6106</v>
      </c>
      <c r="H1796" s="9" t="s">
        <v>199</v>
      </c>
      <c r="I1796" s="9"/>
      <c r="J1796" s="9"/>
      <c r="K1796" s="9"/>
      <c r="L1796" s="9"/>
      <c r="M1796" s="9" t="s">
        <v>5847</v>
      </c>
      <c r="N1796" s="9"/>
      <c r="O1796" s="9" t="s">
        <v>5848</v>
      </c>
      <c r="P1796" s="9" t="str">
        <f>HYPERLINK("https://ceds.ed.gov/cedselementdetails.aspx?termid=13537")</f>
        <v>https://ceds.ed.gov/cedselementdetails.aspx?termid=13537</v>
      </c>
      <c r="Q1796" s="9" t="str">
        <f>HYPERLINK("https://ceds.ed.gov/elementComment.aspx?elementName=Technology Skills Standards Met &amp;elementID=13537", "Click here to submit comment")</f>
        <v>Click here to submit comment</v>
      </c>
    </row>
    <row r="1797" spans="1:17" ht="60" x14ac:dyDescent="0.25">
      <c r="A1797" s="9" t="s">
        <v>6811</v>
      </c>
      <c r="B1797" s="9" t="s">
        <v>6844</v>
      </c>
      <c r="C1797" s="9" t="s">
        <v>6798</v>
      </c>
      <c r="D1797" s="9" t="s">
        <v>6742</v>
      </c>
      <c r="E1797" s="9" t="s">
        <v>5990</v>
      </c>
      <c r="F1797" s="9" t="s">
        <v>5991</v>
      </c>
      <c r="G1797" s="9" t="s">
        <v>6106</v>
      </c>
      <c r="H1797" s="9"/>
      <c r="I1797" s="9"/>
      <c r="J1797" s="9"/>
      <c r="K1797" s="9"/>
      <c r="L1797" s="9" t="s">
        <v>5992</v>
      </c>
      <c r="M1797" s="9" t="s">
        <v>5993</v>
      </c>
      <c r="N1797" s="9"/>
      <c r="O1797" s="9" t="s">
        <v>5994</v>
      </c>
      <c r="P1797" s="9" t="str">
        <f>HYPERLINK("https://ceds.ed.gov/cedselementdetails.aspx?termid=14554")</f>
        <v>https://ceds.ed.gov/cedselementdetails.aspx?termid=14554</v>
      </c>
      <c r="Q1797" s="9" t="str">
        <f>HYPERLINK("https://ceds.ed.gov/elementComment.aspx?elementName=Tuition Funded &amp;elementID=14554", "Click here to submit comment")</f>
        <v>Click here to submit comment</v>
      </c>
    </row>
    <row r="1798" spans="1:17" ht="105" x14ac:dyDescent="0.25">
      <c r="A1798" s="18" t="s">
        <v>6811</v>
      </c>
      <c r="B1798" s="18" t="s">
        <v>6844</v>
      </c>
      <c r="C1798" s="18" t="s">
        <v>6805</v>
      </c>
      <c r="D1798" s="18" t="s">
        <v>6742</v>
      </c>
      <c r="E1798" s="18" t="s">
        <v>5621</v>
      </c>
      <c r="F1798" s="18" t="s">
        <v>5622</v>
      </c>
      <c r="G1798" s="18" t="s">
        <v>12</v>
      </c>
      <c r="H1798" s="18" t="s">
        <v>6284</v>
      </c>
      <c r="I1798" s="18"/>
      <c r="J1798" s="18" t="s">
        <v>119</v>
      </c>
      <c r="K1798" s="18"/>
      <c r="L1798" s="9" t="s">
        <v>120</v>
      </c>
      <c r="M1798" s="18" t="s">
        <v>5623</v>
      </c>
      <c r="N1798" s="18"/>
      <c r="O1798" s="18" t="s">
        <v>5624</v>
      </c>
      <c r="P1798" s="18" t="str">
        <f>HYPERLINK("https://ceds.ed.gov/cedselementdetails.aspx?termid=13156")</f>
        <v>https://ceds.ed.gov/cedselementdetails.aspx?termid=13156</v>
      </c>
      <c r="Q1798" s="18" t="str">
        <f>HYPERLINK("https://ceds.ed.gov/elementComment.aspx?elementName=Staff Member Identifier &amp;elementID=13156", "Click here to submit comment")</f>
        <v>Click here to submit comment</v>
      </c>
    </row>
    <row r="1799" spans="1:17" x14ac:dyDescent="0.25">
      <c r="A1799" s="18"/>
      <c r="B1799" s="18"/>
      <c r="C1799" s="18"/>
      <c r="D1799" s="18"/>
      <c r="E1799" s="18"/>
      <c r="F1799" s="18"/>
      <c r="G1799" s="18"/>
      <c r="H1799" s="18"/>
      <c r="I1799" s="18"/>
      <c r="J1799" s="18"/>
      <c r="K1799" s="18"/>
      <c r="L1799" s="9"/>
      <c r="M1799" s="18"/>
      <c r="N1799" s="18"/>
      <c r="O1799" s="18"/>
      <c r="P1799" s="18"/>
      <c r="Q1799" s="18"/>
    </row>
    <row r="1800" spans="1:17" ht="90" x14ac:dyDescent="0.25">
      <c r="A1800" s="18"/>
      <c r="B1800" s="18"/>
      <c r="C1800" s="18"/>
      <c r="D1800" s="18"/>
      <c r="E1800" s="18"/>
      <c r="F1800" s="18"/>
      <c r="G1800" s="18"/>
      <c r="H1800" s="18"/>
      <c r="I1800" s="18"/>
      <c r="J1800" s="18"/>
      <c r="K1800" s="18"/>
      <c r="L1800" s="9" t="s">
        <v>121</v>
      </c>
      <c r="M1800" s="18"/>
      <c r="N1800" s="18"/>
      <c r="O1800" s="18"/>
      <c r="P1800" s="18"/>
      <c r="Q1800" s="18"/>
    </row>
    <row r="1801" spans="1:17" ht="345" x14ac:dyDescent="0.25">
      <c r="A1801" s="9" t="s">
        <v>6811</v>
      </c>
      <c r="B1801" s="9" t="s">
        <v>6844</v>
      </c>
      <c r="C1801" s="9" t="s">
        <v>6805</v>
      </c>
      <c r="D1801" s="9" t="s">
        <v>6742</v>
      </c>
      <c r="E1801" s="9" t="s">
        <v>5617</v>
      </c>
      <c r="F1801" s="9" t="s">
        <v>5618</v>
      </c>
      <c r="G1801" s="10" t="s">
        <v>6700</v>
      </c>
      <c r="H1801" s="9" t="s">
        <v>6283</v>
      </c>
      <c r="I1801" s="9"/>
      <c r="J1801" s="9"/>
      <c r="K1801" s="9"/>
      <c r="L1801" s="9"/>
      <c r="M1801" s="9" t="s">
        <v>5619</v>
      </c>
      <c r="N1801" s="9"/>
      <c r="O1801" s="9" t="s">
        <v>5620</v>
      </c>
      <c r="P1801" s="9" t="str">
        <f>HYPERLINK("https://ceds.ed.gov/cedselementdetails.aspx?termid=13162")</f>
        <v>https://ceds.ed.gov/cedselementdetails.aspx?termid=13162</v>
      </c>
      <c r="Q1801" s="9" t="str">
        <f>HYPERLINK("https://ceds.ed.gov/elementComment.aspx?elementName=Staff Member Identification System &amp;elementID=13162", "Click here to submit comment")</f>
        <v>Click here to submit comment</v>
      </c>
    </row>
    <row r="1802" spans="1:17" ht="90" x14ac:dyDescent="0.25">
      <c r="A1802" s="9" t="s">
        <v>6811</v>
      </c>
      <c r="B1802" s="9" t="s">
        <v>6844</v>
      </c>
      <c r="C1802" s="9" t="s">
        <v>6805</v>
      </c>
      <c r="D1802" s="9" t="s">
        <v>6742</v>
      </c>
      <c r="E1802" s="9" t="s">
        <v>4619</v>
      </c>
      <c r="F1802" s="9" t="s">
        <v>4620</v>
      </c>
      <c r="G1802" s="9" t="s">
        <v>12</v>
      </c>
      <c r="H1802" s="9" t="s">
        <v>6109</v>
      </c>
      <c r="I1802" s="9"/>
      <c r="J1802" s="9" t="s">
        <v>1347</v>
      </c>
      <c r="K1802" s="9"/>
      <c r="L1802" s="9"/>
      <c r="M1802" s="9" t="s">
        <v>4621</v>
      </c>
      <c r="N1802" s="9"/>
      <c r="O1802" s="9" t="s">
        <v>4622</v>
      </c>
      <c r="P1802" s="9" t="str">
        <f>HYPERLINK("https://ceds.ed.gov/cedselementdetails.aspx?termid=13213")</f>
        <v>https://ceds.ed.gov/cedselementdetails.aspx?termid=13213</v>
      </c>
      <c r="Q1802" s="9" t="str">
        <f>HYPERLINK("https://ceds.ed.gov/elementComment.aspx?elementName=Position Title &amp;elementID=13213", "Click here to submit comment")</f>
        <v>Click here to submit comment</v>
      </c>
    </row>
    <row r="1803" spans="1:17" ht="195" x14ac:dyDescent="0.25">
      <c r="A1803" s="9" t="s">
        <v>6811</v>
      </c>
      <c r="B1803" s="9" t="s">
        <v>6844</v>
      </c>
      <c r="C1803" s="9" t="s">
        <v>6805</v>
      </c>
      <c r="D1803" s="9" t="s">
        <v>6742</v>
      </c>
      <c r="E1803" s="9" t="s">
        <v>2935</v>
      </c>
      <c r="F1803" s="9" t="s">
        <v>2936</v>
      </c>
      <c r="G1803" s="9" t="s">
        <v>12</v>
      </c>
      <c r="H1803" s="9" t="s">
        <v>6211</v>
      </c>
      <c r="I1803" s="9"/>
      <c r="J1803" s="9" t="s">
        <v>1310</v>
      </c>
      <c r="K1803" s="9"/>
      <c r="L1803" s="9" t="s">
        <v>2937</v>
      </c>
      <c r="M1803" s="9" t="s">
        <v>2938</v>
      </c>
      <c r="N1803" s="9"/>
      <c r="O1803" s="9" t="s">
        <v>2939</v>
      </c>
      <c r="P1803" s="9" t="str">
        <f>HYPERLINK("https://ceds.ed.gov/cedselementdetails.aspx?termid=13115")</f>
        <v>https://ceds.ed.gov/cedselementdetails.aspx?termid=13115</v>
      </c>
      <c r="Q1803" s="9" t="str">
        <f>HYPERLINK("https://ceds.ed.gov/elementComment.aspx?elementName=First Name &amp;elementID=13115", "Click here to submit comment")</f>
        <v>Click here to submit comment</v>
      </c>
    </row>
    <row r="1804" spans="1:17" ht="90" customHeight="1" x14ac:dyDescent="0.25">
      <c r="A1804" s="18" t="s">
        <v>6811</v>
      </c>
      <c r="B1804" s="18" t="s">
        <v>6844</v>
      </c>
      <c r="C1804" s="18" t="s">
        <v>6805</v>
      </c>
      <c r="D1804" s="18" t="s">
        <v>6742</v>
      </c>
      <c r="E1804" s="18" t="s">
        <v>4183</v>
      </c>
      <c r="F1804" s="18" t="s">
        <v>4184</v>
      </c>
      <c r="G1804" s="18" t="s">
        <v>12</v>
      </c>
      <c r="H1804" s="18" t="s">
        <v>6211</v>
      </c>
      <c r="I1804" s="18"/>
      <c r="J1804" s="18" t="s">
        <v>1310</v>
      </c>
      <c r="K1804" s="18"/>
      <c r="L1804" s="9" t="s">
        <v>2996</v>
      </c>
      <c r="M1804" s="18" t="s">
        <v>4185</v>
      </c>
      <c r="N1804" s="18"/>
      <c r="O1804" s="18" t="s">
        <v>4186</v>
      </c>
      <c r="P1804" s="18" t="str">
        <f>HYPERLINK("https://ceds.ed.gov/cedselementdetails.aspx?termid=13184")</f>
        <v>https://ceds.ed.gov/cedselementdetails.aspx?termid=13184</v>
      </c>
      <c r="Q1804" s="18" t="str">
        <f>HYPERLINK("https://ceds.ed.gov/elementComment.aspx?elementName=Middle Name &amp;elementID=13184", "Click here to submit comment")</f>
        <v>Click here to submit comment</v>
      </c>
    </row>
    <row r="1805" spans="1:17" ht="90" x14ac:dyDescent="0.25">
      <c r="A1805" s="18"/>
      <c r="B1805" s="18"/>
      <c r="C1805" s="18"/>
      <c r="D1805" s="18"/>
      <c r="E1805" s="18"/>
      <c r="F1805" s="18"/>
      <c r="G1805" s="18"/>
      <c r="H1805" s="18"/>
      <c r="I1805" s="18"/>
      <c r="J1805" s="18"/>
      <c r="K1805" s="18"/>
      <c r="L1805" s="9" t="s">
        <v>2997</v>
      </c>
      <c r="M1805" s="18"/>
      <c r="N1805" s="18"/>
      <c r="O1805" s="18"/>
      <c r="P1805" s="18"/>
      <c r="Q1805" s="18"/>
    </row>
    <row r="1806" spans="1:17" ht="90" customHeight="1" x14ac:dyDescent="0.25">
      <c r="A1806" s="18" t="s">
        <v>6811</v>
      </c>
      <c r="B1806" s="18" t="s">
        <v>6844</v>
      </c>
      <c r="C1806" s="18" t="s">
        <v>6805</v>
      </c>
      <c r="D1806" s="18" t="s">
        <v>6742</v>
      </c>
      <c r="E1806" s="18" t="s">
        <v>3597</v>
      </c>
      <c r="F1806" s="18" t="s">
        <v>3598</v>
      </c>
      <c r="G1806" s="18" t="s">
        <v>12</v>
      </c>
      <c r="H1806" s="18" t="s">
        <v>6211</v>
      </c>
      <c r="I1806" s="18"/>
      <c r="J1806" s="18" t="s">
        <v>1310</v>
      </c>
      <c r="K1806" s="18"/>
      <c r="L1806" s="9" t="s">
        <v>2996</v>
      </c>
      <c r="M1806" s="18" t="s">
        <v>3599</v>
      </c>
      <c r="N1806" s="18" t="s">
        <v>3600</v>
      </c>
      <c r="O1806" s="18" t="s">
        <v>3601</v>
      </c>
      <c r="P1806" s="18" t="str">
        <f>HYPERLINK("https://ceds.ed.gov/cedselementdetails.aspx?termid=13172")</f>
        <v>https://ceds.ed.gov/cedselementdetails.aspx?termid=13172</v>
      </c>
      <c r="Q1806" s="18" t="str">
        <f>HYPERLINK("https://ceds.ed.gov/elementComment.aspx?elementName=Last or Surname &amp;elementID=13172", "Click here to submit comment")</f>
        <v>Click here to submit comment</v>
      </c>
    </row>
    <row r="1807" spans="1:17" ht="90" x14ac:dyDescent="0.25">
      <c r="A1807" s="18"/>
      <c r="B1807" s="18"/>
      <c r="C1807" s="18"/>
      <c r="D1807" s="18"/>
      <c r="E1807" s="18"/>
      <c r="F1807" s="18"/>
      <c r="G1807" s="18"/>
      <c r="H1807" s="18"/>
      <c r="I1807" s="18"/>
      <c r="J1807" s="18"/>
      <c r="K1807" s="18"/>
      <c r="L1807" s="9" t="s">
        <v>2997</v>
      </c>
      <c r="M1807" s="18"/>
      <c r="N1807" s="18"/>
      <c r="O1807" s="18"/>
      <c r="P1807" s="18"/>
      <c r="Q1807" s="18"/>
    </row>
    <row r="1808" spans="1:17" ht="105" x14ac:dyDescent="0.25">
      <c r="A1808" s="9" t="s">
        <v>6811</v>
      </c>
      <c r="B1808" s="9" t="s">
        <v>6844</v>
      </c>
      <c r="C1808" s="9" t="s">
        <v>6805</v>
      </c>
      <c r="D1808" s="9" t="s">
        <v>6742</v>
      </c>
      <c r="E1808" s="9" t="s">
        <v>4610</v>
      </c>
      <c r="F1808" s="9" t="s">
        <v>4611</v>
      </c>
      <c r="G1808" s="9" t="s">
        <v>12</v>
      </c>
      <c r="H1808" s="9" t="s">
        <v>6255</v>
      </c>
      <c r="I1808" s="9"/>
      <c r="J1808" s="9" t="s">
        <v>87</v>
      </c>
      <c r="K1808" s="9"/>
      <c r="L1808" s="9"/>
      <c r="M1808" s="9" t="s">
        <v>4612</v>
      </c>
      <c r="N1808" s="9" t="s">
        <v>4613</v>
      </c>
      <c r="O1808" s="9" t="s">
        <v>4614</v>
      </c>
      <c r="P1808" s="9" t="str">
        <f>HYPERLINK("https://ceds.ed.gov/cedselementdetails.aspx?termid=13212")</f>
        <v>https://ceds.ed.gov/cedselementdetails.aspx?termid=13212</v>
      </c>
      <c r="Q1808" s="9" t="str">
        <f>HYPERLINK("https://ceds.ed.gov/elementComment.aspx?elementName=Personal Title or Prefix &amp;elementID=13212", "Click here to submit comment")</f>
        <v>Click here to submit comment</v>
      </c>
    </row>
    <row r="1809" spans="1:17" ht="45" customHeight="1" x14ac:dyDescent="0.25">
      <c r="A1809" s="18" t="s">
        <v>6811</v>
      </c>
      <c r="B1809" s="18" t="s">
        <v>6844</v>
      </c>
      <c r="C1809" s="18" t="s">
        <v>6805</v>
      </c>
      <c r="D1809" s="18" t="s">
        <v>6742</v>
      </c>
      <c r="E1809" s="18" t="s">
        <v>2994</v>
      </c>
      <c r="F1809" s="18" t="s">
        <v>2995</v>
      </c>
      <c r="G1809" s="18" t="s">
        <v>12</v>
      </c>
      <c r="H1809" s="18" t="s">
        <v>6212</v>
      </c>
      <c r="I1809" s="18"/>
      <c r="J1809" s="18" t="s">
        <v>2088</v>
      </c>
      <c r="K1809" s="18"/>
      <c r="L1809" s="9" t="s">
        <v>2996</v>
      </c>
      <c r="M1809" s="18" t="s">
        <v>2998</v>
      </c>
      <c r="N1809" s="18"/>
      <c r="O1809" s="18" t="s">
        <v>2999</v>
      </c>
      <c r="P1809" s="18" t="str">
        <f>HYPERLINK("https://ceds.ed.gov/cedselementdetails.aspx?termid=13121")</f>
        <v>https://ceds.ed.gov/cedselementdetails.aspx?termid=13121</v>
      </c>
      <c r="Q1809" s="18" t="str">
        <f>HYPERLINK("https://ceds.ed.gov/elementComment.aspx?elementName=Generation Code or Suffix &amp;elementID=13121", "Click here to submit comment")</f>
        <v>Click here to submit comment</v>
      </c>
    </row>
    <row r="1810" spans="1:17" ht="90" x14ac:dyDescent="0.25">
      <c r="A1810" s="18"/>
      <c r="B1810" s="18"/>
      <c r="C1810" s="18"/>
      <c r="D1810" s="18"/>
      <c r="E1810" s="18"/>
      <c r="F1810" s="18"/>
      <c r="G1810" s="18"/>
      <c r="H1810" s="18"/>
      <c r="I1810" s="18"/>
      <c r="J1810" s="18"/>
      <c r="K1810" s="18"/>
      <c r="L1810" s="9" t="s">
        <v>2997</v>
      </c>
      <c r="M1810" s="18"/>
      <c r="N1810" s="18"/>
      <c r="O1810" s="18"/>
      <c r="P1810" s="18"/>
      <c r="Q1810" s="18"/>
    </row>
    <row r="1811" spans="1:17" ht="105" x14ac:dyDescent="0.25">
      <c r="A1811" s="9" t="s">
        <v>6811</v>
      </c>
      <c r="B1811" s="9" t="s">
        <v>6844</v>
      </c>
      <c r="C1811" s="9" t="s">
        <v>6805</v>
      </c>
      <c r="D1811" s="9" t="s">
        <v>6742</v>
      </c>
      <c r="E1811" s="9" t="s">
        <v>178</v>
      </c>
      <c r="F1811" s="9" t="s">
        <v>179</v>
      </c>
      <c r="G1811" s="10" t="s">
        <v>6321</v>
      </c>
      <c r="H1811" s="9" t="s">
        <v>182</v>
      </c>
      <c r="I1811" s="9"/>
      <c r="J1811" s="9" t="s">
        <v>87</v>
      </c>
      <c r="K1811" s="9"/>
      <c r="L1811" s="9"/>
      <c r="M1811" s="9" t="s">
        <v>180</v>
      </c>
      <c r="N1811" s="9"/>
      <c r="O1811" s="9" t="s">
        <v>181</v>
      </c>
      <c r="P1811" s="9" t="str">
        <f>HYPERLINK("https://ceds.ed.gov/cedselementdetails.aspx?termid=13698")</f>
        <v>https://ceds.ed.gov/cedselementdetails.aspx?termid=13698</v>
      </c>
      <c r="Q1811" s="9" t="str">
        <f>HYPERLINK("https://ceds.ed.gov/elementComment.aspx?elementName=Address Type for Staff &amp;elementID=13698", "Click here to submit comment")</f>
        <v>Click here to submit comment</v>
      </c>
    </row>
    <row r="1812" spans="1:17" ht="225" x14ac:dyDescent="0.25">
      <c r="A1812" s="9" t="s">
        <v>6811</v>
      </c>
      <c r="B1812" s="9" t="s">
        <v>6844</v>
      </c>
      <c r="C1812" s="9" t="s">
        <v>6805</v>
      </c>
      <c r="D1812" s="9" t="s">
        <v>6742</v>
      </c>
      <c r="E1812" s="9" t="s">
        <v>166</v>
      </c>
      <c r="F1812" s="9" t="s">
        <v>167</v>
      </c>
      <c r="G1812" s="9" t="s">
        <v>12</v>
      </c>
      <c r="H1812" s="9" t="s">
        <v>6113</v>
      </c>
      <c r="I1812" s="9"/>
      <c r="J1812" s="9" t="s">
        <v>119</v>
      </c>
      <c r="K1812" s="9"/>
      <c r="L1812" s="9"/>
      <c r="M1812" s="9" t="s">
        <v>168</v>
      </c>
      <c r="N1812" s="9"/>
      <c r="O1812" s="9" t="s">
        <v>169</v>
      </c>
      <c r="P1812" s="9" t="str">
        <f>HYPERLINK("https://ceds.ed.gov/cedselementdetails.aspx?termid=13269")</f>
        <v>https://ceds.ed.gov/cedselementdetails.aspx?termid=13269</v>
      </c>
      <c r="Q1812" s="9" t="str">
        <f>HYPERLINK("https://ceds.ed.gov/elementComment.aspx?elementName=Address Street Number and Name &amp;elementID=13269", "Click here to submit comment")</f>
        <v>Click here to submit comment</v>
      </c>
    </row>
    <row r="1813" spans="1:17" ht="225" x14ac:dyDescent="0.25">
      <c r="A1813" s="9" t="s">
        <v>6811</v>
      </c>
      <c r="B1813" s="9" t="s">
        <v>6844</v>
      </c>
      <c r="C1813" s="9" t="s">
        <v>6805</v>
      </c>
      <c r="D1813" s="9" t="s">
        <v>6742</v>
      </c>
      <c r="E1813" s="9" t="s">
        <v>149</v>
      </c>
      <c r="F1813" s="9" t="s">
        <v>150</v>
      </c>
      <c r="G1813" s="9" t="s">
        <v>12</v>
      </c>
      <c r="H1813" s="9" t="s">
        <v>6113</v>
      </c>
      <c r="I1813" s="9"/>
      <c r="J1813" s="9" t="s">
        <v>87</v>
      </c>
      <c r="K1813" s="9"/>
      <c r="L1813" s="9"/>
      <c r="M1813" s="9" t="s">
        <v>151</v>
      </c>
      <c r="N1813" s="9"/>
      <c r="O1813" s="9" t="s">
        <v>152</v>
      </c>
      <c r="P1813" s="9" t="str">
        <f>HYPERLINK("https://ceds.ed.gov/cedselementdetails.aspx?termid=13019")</f>
        <v>https://ceds.ed.gov/cedselementdetails.aspx?termid=13019</v>
      </c>
      <c r="Q1813" s="9" t="str">
        <f>HYPERLINK("https://ceds.ed.gov/elementComment.aspx?elementName=Address Apartment Room or Suite Number &amp;elementID=13019", "Click here to submit comment")</f>
        <v>Click here to submit comment</v>
      </c>
    </row>
    <row r="1814" spans="1:17" ht="225" x14ac:dyDescent="0.25">
      <c r="A1814" s="9" t="s">
        <v>6811</v>
      </c>
      <c r="B1814" s="9" t="s">
        <v>6844</v>
      </c>
      <c r="C1814" s="9" t="s">
        <v>6805</v>
      </c>
      <c r="D1814" s="9" t="s">
        <v>6742</v>
      </c>
      <c r="E1814" s="9" t="s">
        <v>153</v>
      </c>
      <c r="F1814" s="9" t="s">
        <v>154</v>
      </c>
      <c r="G1814" s="9" t="s">
        <v>12</v>
      </c>
      <c r="H1814" s="9" t="s">
        <v>6113</v>
      </c>
      <c r="I1814" s="9"/>
      <c r="J1814" s="9" t="s">
        <v>87</v>
      </c>
      <c r="K1814" s="9"/>
      <c r="L1814" s="9"/>
      <c r="M1814" s="9" t="s">
        <v>155</v>
      </c>
      <c r="N1814" s="9"/>
      <c r="O1814" s="9" t="s">
        <v>156</v>
      </c>
      <c r="P1814" s="9" t="str">
        <f>HYPERLINK("https://ceds.ed.gov/cedselementdetails.aspx?termid=13040")</f>
        <v>https://ceds.ed.gov/cedselementdetails.aspx?termid=13040</v>
      </c>
      <c r="Q1814" s="9" t="str">
        <f>HYPERLINK("https://ceds.ed.gov/elementComment.aspx?elementName=Address City &amp;elementID=13040", "Click here to submit comment")</f>
        <v>Click here to submit comment</v>
      </c>
    </row>
    <row r="1815" spans="1:17" ht="409.5" x14ac:dyDescent="0.25">
      <c r="A1815" s="9" t="s">
        <v>6811</v>
      </c>
      <c r="B1815" s="9" t="s">
        <v>6844</v>
      </c>
      <c r="C1815" s="9" t="s">
        <v>6805</v>
      </c>
      <c r="D1815" s="9" t="s">
        <v>6742</v>
      </c>
      <c r="E1815" s="9" t="s">
        <v>5647</v>
      </c>
      <c r="F1815" s="9" t="s">
        <v>5648</v>
      </c>
      <c r="G1815" s="10" t="s">
        <v>6702</v>
      </c>
      <c r="H1815" s="9" t="s">
        <v>6285</v>
      </c>
      <c r="I1815" s="9"/>
      <c r="J1815" s="9"/>
      <c r="K1815" s="9"/>
      <c r="L1815" s="9"/>
      <c r="M1815" s="9" t="s">
        <v>5649</v>
      </c>
      <c r="N1815" s="9"/>
      <c r="O1815" s="9" t="s">
        <v>5650</v>
      </c>
      <c r="P1815" s="9" t="str">
        <f>HYPERLINK("https://ceds.ed.gov/cedselementdetails.aspx?termid=13267")</f>
        <v>https://ceds.ed.gov/cedselementdetails.aspx?termid=13267</v>
      </c>
      <c r="Q1815" s="9" t="str">
        <f>HYPERLINK("https://ceds.ed.gov/elementComment.aspx?elementName=State Abbreviation &amp;elementID=13267", "Click here to submit comment")</f>
        <v>Click here to submit comment</v>
      </c>
    </row>
    <row r="1816" spans="1:17" ht="225" x14ac:dyDescent="0.25">
      <c r="A1816" s="9" t="s">
        <v>6811</v>
      </c>
      <c r="B1816" s="9" t="s">
        <v>6844</v>
      </c>
      <c r="C1816" s="9" t="s">
        <v>6805</v>
      </c>
      <c r="D1816" s="9" t="s">
        <v>6742</v>
      </c>
      <c r="E1816" s="9" t="s">
        <v>161</v>
      </c>
      <c r="F1816" s="9" t="s">
        <v>162</v>
      </c>
      <c r="G1816" s="9" t="s">
        <v>12</v>
      </c>
      <c r="H1816" s="9" t="s">
        <v>6113</v>
      </c>
      <c r="I1816" s="9"/>
      <c r="J1816" s="9" t="s">
        <v>163</v>
      </c>
      <c r="K1816" s="9"/>
      <c r="L1816" s="9"/>
      <c r="M1816" s="9" t="s">
        <v>164</v>
      </c>
      <c r="N1816" s="9"/>
      <c r="O1816" s="9" t="s">
        <v>165</v>
      </c>
      <c r="P1816" s="9" t="str">
        <f>HYPERLINK("https://ceds.ed.gov/cedselementdetails.aspx?termid=13214")</f>
        <v>https://ceds.ed.gov/cedselementdetails.aspx?termid=13214</v>
      </c>
      <c r="Q1816" s="9" t="str">
        <f>HYPERLINK("https://ceds.ed.gov/elementComment.aspx?elementName=Address Postal Code &amp;elementID=13214", "Click here to submit comment")</f>
        <v>Click here to submit comment</v>
      </c>
    </row>
    <row r="1817" spans="1:17" ht="90" x14ac:dyDescent="0.25">
      <c r="A1817" s="9" t="s">
        <v>6811</v>
      </c>
      <c r="B1817" s="9" t="s">
        <v>6844</v>
      </c>
      <c r="C1817" s="9" t="s">
        <v>6805</v>
      </c>
      <c r="D1817" s="9" t="s">
        <v>6742</v>
      </c>
      <c r="E1817" s="9" t="s">
        <v>5854</v>
      </c>
      <c r="F1817" s="9" t="s">
        <v>5855</v>
      </c>
      <c r="G1817" s="10" t="s">
        <v>6717</v>
      </c>
      <c r="H1817" s="9" t="s">
        <v>6109</v>
      </c>
      <c r="I1817" s="9"/>
      <c r="J1817" s="9" t="s">
        <v>1900</v>
      </c>
      <c r="K1817" s="9"/>
      <c r="L1817" s="9"/>
      <c r="M1817" s="9" t="s">
        <v>5856</v>
      </c>
      <c r="N1817" s="9"/>
      <c r="O1817" s="9" t="s">
        <v>5857</v>
      </c>
      <c r="P1817" s="9" t="str">
        <f>HYPERLINK("https://ceds.ed.gov/cedselementdetails.aspx?termid=13280")</f>
        <v>https://ceds.ed.gov/cedselementdetails.aspx?termid=13280</v>
      </c>
      <c r="Q1817" s="9" t="str">
        <f>HYPERLINK("https://ceds.ed.gov/elementComment.aspx?elementName=Telephone Number Type &amp;elementID=13280", "Click here to submit comment")</f>
        <v>Click here to submit comment</v>
      </c>
    </row>
    <row r="1818" spans="1:17" ht="90" x14ac:dyDescent="0.25">
      <c r="A1818" s="9" t="s">
        <v>6811</v>
      </c>
      <c r="B1818" s="9" t="s">
        <v>6844</v>
      </c>
      <c r="C1818" s="9" t="s">
        <v>6805</v>
      </c>
      <c r="D1818" s="9" t="s">
        <v>6742</v>
      </c>
      <c r="E1818" s="9" t="s">
        <v>4709</v>
      </c>
      <c r="F1818" s="9" t="s">
        <v>4710</v>
      </c>
      <c r="G1818" s="9" t="s">
        <v>6106</v>
      </c>
      <c r="H1818" s="9" t="s">
        <v>6109</v>
      </c>
      <c r="I1818" s="9"/>
      <c r="J1818" s="9"/>
      <c r="K1818" s="9"/>
      <c r="L1818" s="9"/>
      <c r="M1818" s="9" t="s">
        <v>4711</v>
      </c>
      <c r="N1818" s="9"/>
      <c r="O1818" s="9" t="s">
        <v>4712</v>
      </c>
      <c r="P1818" s="9" t="str">
        <f>HYPERLINK("https://ceds.ed.gov/cedselementdetails.aspx?termid=13219")</f>
        <v>https://ceds.ed.gov/cedselementdetails.aspx?termid=13219</v>
      </c>
      <c r="Q1818" s="9" t="str">
        <f>HYPERLINK("https://ceds.ed.gov/elementComment.aspx?elementName=Primary Telephone Number Indicator &amp;elementID=13219", "Click here to submit comment")</f>
        <v>Click here to submit comment</v>
      </c>
    </row>
    <row r="1819" spans="1:17" ht="90" x14ac:dyDescent="0.25">
      <c r="A1819" s="9" t="s">
        <v>6811</v>
      </c>
      <c r="B1819" s="9" t="s">
        <v>6844</v>
      </c>
      <c r="C1819" s="9" t="s">
        <v>6805</v>
      </c>
      <c r="D1819" s="9" t="s">
        <v>6742</v>
      </c>
      <c r="E1819" s="9" t="s">
        <v>5849</v>
      </c>
      <c r="F1819" s="9" t="s">
        <v>5850</v>
      </c>
      <c r="G1819" s="9" t="s">
        <v>12</v>
      </c>
      <c r="H1819" s="9" t="s">
        <v>6109</v>
      </c>
      <c r="I1819" s="9"/>
      <c r="J1819" s="9" t="s">
        <v>5851</v>
      </c>
      <c r="K1819" s="9"/>
      <c r="L1819" s="9"/>
      <c r="M1819" s="9" t="s">
        <v>5852</v>
      </c>
      <c r="N1819" s="9"/>
      <c r="O1819" s="9" t="s">
        <v>5853</v>
      </c>
      <c r="P1819" s="9" t="str">
        <f>HYPERLINK("https://ceds.ed.gov/cedselementdetails.aspx?termid=13279")</f>
        <v>https://ceds.ed.gov/cedselementdetails.aspx?termid=13279</v>
      </c>
      <c r="Q1819" s="9" t="str">
        <f>HYPERLINK("https://ceds.ed.gov/elementComment.aspx?elementName=Telephone Number &amp;elementID=13279", "Click here to submit comment")</f>
        <v>Click here to submit comment</v>
      </c>
    </row>
    <row r="1820" spans="1:17" ht="180" x14ac:dyDescent="0.25">
      <c r="A1820" s="9" t="s">
        <v>6811</v>
      </c>
      <c r="B1820" s="9" t="s">
        <v>6844</v>
      </c>
      <c r="C1820" s="9" t="s">
        <v>6805</v>
      </c>
      <c r="D1820" s="9" t="s">
        <v>6742</v>
      </c>
      <c r="E1820" s="9" t="s">
        <v>2557</v>
      </c>
      <c r="F1820" s="9" t="s">
        <v>2558</v>
      </c>
      <c r="G1820" s="10" t="s">
        <v>6481</v>
      </c>
      <c r="H1820" s="9"/>
      <c r="I1820" s="9"/>
      <c r="J1820" s="9"/>
      <c r="K1820" s="9"/>
      <c r="L1820" s="9"/>
      <c r="M1820" s="9" t="s">
        <v>2559</v>
      </c>
      <c r="N1820" s="9"/>
      <c r="O1820" s="9" t="s">
        <v>2560</v>
      </c>
      <c r="P1820" s="9" t="str">
        <f>HYPERLINK("https://ceds.ed.gov/cedselementdetails.aspx?termid=14585")</f>
        <v>https://ceds.ed.gov/cedselementdetails.aspx?termid=14585</v>
      </c>
      <c r="Q1820" s="9" t="str">
        <f>HYPERLINK("https://ceds.ed.gov/elementComment.aspx?elementName=Early Learning Trainer Core Knowledge Area &amp;elementID=14585", "Click here to submit comment")</f>
        <v>Click here to submit comment</v>
      </c>
    </row>
    <row r="1821" spans="1:17" ht="60" x14ac:dyDescent="0.25">
      <c r="A1821" s="9" t="s">
        <v>6811</v>
      </c>
      <c r="B1821" s="9" t="s">
        <v>6844</v>
      </c>
      <c r="C1821" s="9" t="s">
        <v>6805</v>
      </c>
      <c r="D1821" s="9" t="s">
        <v>6742</v>
      </c>
      <c r="E1821" s="9" t="s">
        <v>5952</v>
      </c>
      <c r="F1821" s="9" t="s">
        <v>5953</v>
      </c>
      <c r="G1821" s="9" t="s">
        <v>12</v>
      </c>
      <c r="H1821" s="9"/>
      <c r="I1821" s="9"/>
      <c r="J1821" s="9" t="s">
        <v>762</v>
      </c>
      <c r="K1821" s="9"/>
      <c r="L1821" s="9"/>
      <c r="M1821" s="9" t="s">
        <v>5954</v>
      </c>
      <c r="N1821" s="9"/>
      <c r="O1821" s="9" t="s">
        <v>5955</v>
      </c>
      <c r="P1821" s="9" t="str">
        <f>HYPERLINK("https://ceds.ed.gov/cedselementdetails.aspx?termid=14609")</f>
        <v>https://ceds.ed.gov/cedselementdetails.aspx?termid=14609</v>
      </c>
      <c r="Q1821" s="9" t="str">
        <f>HYPERLINK("https://ceds.ed.gov/elementComment.aspx?elementName=Training and Technical Assistance Level &amp;elementID=14609", "Click here to submit comment")</f>
        <v>Click here to submit comment</v>
      </c>
    </row>
    <row r="1822" spans="1:17" ht="105" x14ac:dyDescent="0.25">
      <c r="A1822" s="9" t="s">
        <v>6811</v>
      </c>
      <c r="B1822" s="9" t="s">
        <v>6844</v>
      </c>
      <c r="C1822" s="9" t="s">
        <v>6806</v>
      </c>
      <c r="D1822" s="9" t="s">
        <v>6742</v>
      </c>
      <c r="E1822" s="9" t="s">
        <v>4762</v>
      </c>
      <c r="F1822" s="9" t="s">
        <v>4763</v>
      </c>
      <c r="G1822" s="9" t="s">
        <v>12</v>
      </c>
      <c r="H1822" s="9" t="s">
        <v>182</v>
      </c>
      <c r="I1822" s="9"/>
      <c r="J1822" s="9" t="s">
        <v>119</v>
      </c>
      <c r="K1822" s="9"/>
      <c r="L1822" s="9" t="s">
        <v>120</v>
      </c>
      <c r="M1822" s="9" t="s">
        <v>4764</v>
      </c>
      <c r="N1822" s="9"/>
      <c r="O1822" s="9" t="s">
        <v>4765</v>
      </c>
      <c r="P1822" s="9" t="str">
        <f>HYPERLINK("https://ceds.ed.gov/cedselementdetails.aspx?termid=13808")</f>
        <v>https://ceds.ed.gov/cedselementdetails.aspx?termid=13808</v>
      </c>
      <c r="Q1822" s="9" t="str">
        <f>HYPERLINK("https://ceds.ed.gov/elementComment.aspx?elementName=Professional Development Activity Identifier &amp;elementID=13808", "Click here to submit comment")</f>
        <v>Click here to submit comment</v>
      </c>
    </row>
    <row r="1823" spans="1:17" ht="45" x14ac:dyDescent="0.25">
      <c r="A1823" s="9" t="s">
        <v>6811</v>
      </c>
      <c r="B1823" s="9" t="s">
        <v>6844</v>
      </c>
      <c r="C1823" s="9" t="s">
        <v>6806</v>
      </c>
      <c r="D1823" s="9" t="s">
        <v>6742</v>
      </c>
      <c r="E1823" s="9" t="s">
        <v>4783</v>
      </c>
      <c r="F1823" s="9" t="s">
        <v>4784</v>
      </c>
      <c r="G1823" s="9" t="s">
        <v>12</v>
      </c>
      <c r="H1823" s="9" t="s">
        <v>182</v>
      </c>
      <c r="I1823" s="9"/>
      <c r="J1823" s="9" t="s">
        <v>92</v>
      </c>
      <c r="K1823" s="9"/>
      <c r="L1823" s="9"/>
      <c r="M1823" s="9" t="s">
        <v>4785</v>
      </c>
      <c r="N1823" s="9"/>
      <c r="O1823" s="9" t="s">
        <v>4786</v>
      </c>
      <c r="P1823" s="9" t="str">
        <f>HYPERLINK("https://ceds.ed.gov/cedselementdetails.aspx?termid=13809")</f>
        <v>https://ceds.ed.gov/cedselementdetails.aspx?termid=13809</v>
      </c>
      <c r="Q1823" s="9" t="str">
        <f>HYPERLINK("https://ceds.ed.gov/elementComment.aspx?elementName=Professional Development Activity Title &amp;elementID=13809", "Click here to submit comment")</f>
        <v>Click here to submit comment</v>
      </c>
    </row>
    <row r="1824" spans="1:17" ht="210" x14ac:dyDescent="0.25">
      <c r="A1824" s="9" t="s">
        <v>6811</v>
      </c>
      <c r="B1824" s="9" t="s">
        <v>6844</v>
      </c>
      <c r="C1824" s="9" t="s">
        <v>6806</v>
      </c>
      <c r="D1824" s="9" t="s">
        <v>6742</v>
      </c>
      <c r="E1824" s="9" t="s">
        <v>4787</v>
      </c>
      <c r="F1824" s="9" t="s">
        <v>4788</v>
      </c>
      <c r="G1824" s="10" t="s">
        <v>6654</v>
      </c>
      <c r="H1824" s="9"/>
      <c r="I1824" s="9"/>
      <c r="J1824" s="9"/>
      <c r="K1824" s="9"/>
      <c r="L1824" s="9" t="s">
        <v>4789</v>
      </c>
      <c r="M1824" s="9" t="s">
        <v>4790</v>
      </c>
      <c r="N1824" s="9"/>
      <c r="O1824" s="9" t="s">
        <v>4791</v>
      </c>
      <c r="P1824" s="9" t="str">
        <f>HYPERLINK("https://ceds.ed.gov/cedselementdetails.aspx?termid=14412")</f>
        <v>https://ceds.ed.gov/cedselementdetails.aspx?termid=14412</v>
      </c>
      <c r="Q1824" s="9" t="str">
        <f>HYPERLINK("https://ceds.ed.gov/elementComment.aspx?elementName=Professional Development Activity Type &amp;elementID=14412", "Click here to submit comment")</f>
        <v>Click here to submit comment</v>
      </c>
    </row>
    <row r="1825" spans="1:17" ht="45" x14ac:dyDescent="0.25">
      <c r="A1825" s="9" t="s">
        <v>6811</v>
      </c>
      <c r="B1825" s="9" t="s">
        <v>6844</v>
      </c>
      <c r="C1825" s="9" t="s">
        <v>6806</v>
      </c>
      <c r="D1825" s="9" t="s">
        <v>6742</v>
      </c>
      <c r="E1825" s="9" t="s">
        <v>4749</v>
      </c>
      <c r="F1825" s="9" t="s">
        <v>4750</v>
      </c>
      <c r="G1825" s="9" t="s">
        <v>12</v>
      </c>
      <c r="H1825" s="9"/>
      <c r="I1825" s="9"/>
      <c r="J1825" s="9" t="s">
        <v>303</v>
      </c>
      <c r="K1825" s="9"/>
      <c r="L1825" s="9"/>
      <c r="M1825" s="9" t="s">
        <v>4751</v>
      </c>
      <c r="N1825" s="9"/>
      <c r="O1825" s="9" t="s">
        <v>4752</v>
      </c>
      <c r="P1825" s="9" t="str">
        <f>HYPERLINK("https://ceds.ed.gov/cedselementdetails.aspx?termid=14408")</f>
        <v>https://ceds.ed.gov/cedselementdetails.aspx?termid=14408</v>
      </c>
      <c r="Q1825" s="9" t="str">
        <f>HYPERLINK("https://ceds.ed.gov/elementComment.aspx?elementName=Professional Development Activity Description &amp;elementID=14408", "Click here to submit comment")</f>
        <v>Click here to submit comment</v>
      </c>
    </row>
    <row r="1826" spans="1:17" ht="409.5" x14ac:dyDescent="0.25">
      <c r="A1826" s="9" t="s">
        <v>6811</v>
      </c>
      <c r="B1826" s="9" t="s">
        <v>6844</v>
      </c>
      <c r="C1826" s="9" t="s">
        <v>6806</v>
      </c>
      <c r="D1826" s="9" t="s">
        <v>6742</v>
      </c>
      <c r="E1826" s="9" t="s">
        <v>4753</v>
      </c>
      <c r="F1826" s="9" t="s">
        <v>4754</v>
      </c>
      <c r="G1826" s="10" t="s">
        <v>6651</v>
      </c>
      <c r="H1826" s="9"/>
      <c r="I1826" s="9"/>
      <c r="J1826" s="9"/>
      <c r="K1826" s="9"/>
      <c r="L1826" s="9" t="s">
        <v>4755</v>
      </c>
      <c r="M1826" s="9" t="s">
        <v>4756</v>
      </c>
      <c r="N1826" s="9"/>
      <c r="O1826" s="9" t="s">
        <v>4757</v>
      </c>
      <c r="P1826" s="9" t="str">
        <f>HYPERLINK("https://ceds.ed.gov/cedselementdetails.aspx?termid=14245")</f>
        <v>https://ceds.ed.gov/cedselementdetails.aspx?termid=14245</v>
      </c>
      <c r="Q1826" s="9" t="str">
        <f>HYPERLINK("https://ceds.ed.gov/elementComment.aspx?elementName=Professional Development Activity Education Levels Addressed &amp;elementID=14245", "Click here to submit comment")</f>
        <v>Click here to submit comment</v>
      </c>
    </row>
    <row r="1827" spans="1:17" ht="45" x14ac:dyDescent="0.25">
      <c r="A1827" s="9" t="s">
        <v>6811</v>
      </c>
      <c r="B1827" s="9" t="s">
        <v>6844</v>
      </c>
      <c r="C1827" s="9" t="s">
        <v>6806</v>
      </c>
      <c r="D1827" s="9" t="s">
        <v>6742</v>
      </c>
      <c r="E1827" s="9" t="s">
        <v>4770</v>
      </c>
      <c r="F1827" s="9" t="s">
        <v>4771</v>
      </c>
      <c r="G1827" s="9" t="s">
        <v>12</v>
      </c>
      <c r="H1827" s="9"/>
      <c r="I1827" s="9"/>
      <c r="J1827" s="9" t="s">
        <v>303</v>
      </c>
      <c r="K1827" s="9"/>
      <c r="L1827" s="9"/>
      <c r="M1827" s="9" t="s">
        <v>4772</v>
      </c>
      <c r="N1827" s="9"/>
      <c r="O1827" s="9" t="s">
        <v>4773</v>
      </c>
      <c r="P1827" s="9" t="str">
        <f>HYPERLINK("https://ceds.ed.gov/cedselementdetails.aspx?termid=14410")</f>
        <v>https://ceds.ed.gov/cedselementdetails.aspx?termid=14410</v>
      </c>
      <c r="Q1827" s="9" t="str">
        <f>HYPERLINK("https://ceds.ed.gov/elementComment.aspx?elementName=Professional Development Activity Objective &amp;elementID=14410", "Click here to submit comment")</f>
        <v>Click here to submit comment</v>
      </c>
    </row>
    <row r="1828" spans="1:17" ht="60" x14ac:dyDescent="0.25">
      <c r="A1828" s="9" t="s">
        <v>6811</v>
      </c>
      <c r="B1828" s="9" t="s">
        <v>6844</v>
      </c>
      <c r="C1828" s="9" t="s">
        <v>6806</v>
      </c>
      <c r="D1828" s="9" t="s">
        <v>6742</v>
      </c>
      <c r="E1828" s="9" t="s">
        <v>4766</v>
      </c>
      <c r="F1828" s="9" t="s">
        <v>4767</v>
      </c>
      <c r="G1828" s="10" t="s">
        <v>6652</v>
      </c>
      <c r="H1828" s="9"/>
      <c r="I1828" s="9"/>
      <c r="J1828" s="9"/>
      <c r="K1828" s="9"/>
      <c r="L1828" s="9"/>
      <c r="M1828" s="9" t="s">
        <v>4768</v>
      </c>
      <c r="N1828" s="9"/>
      <c r="O1828" s="9" t="s">
        <v>4769</v>
      </c>
      <c r="P1828" s="9" t="str">
        <f>HYPERLINK("https://ceds.ed.gov/cedselementdetails.aspx?termid=14409")</f>
        <v>https://ceds.ed.gov/cedselementdetails.aspx?termid=14409</v>
      </c>
      <c r="Q1828" s="9" t="str">
        <f>HYPERLINK("https://ceds.ed.gov/elementComment.aspx?elementName=Professional Development Activity Level &amp;elementID=14409", "Click here to submit comment")</f>
        <v>Click here to submit comment</v>
      </c>
    </row>
    <row r="1829" spans="1:17" ht="75" x14ac:dyDescent="0.25">
      <c r="A1829" s="9" t="s">
        <v>6811</v>
      </c>
      <c r="B1829" s="9" t="s">
        <v>6844</v>
      </c>
      <c r="C1829" s="9" t="s">
        <v>6806</v>
      </c>
      <c r="D1829" s="9" t="s">
        <v>6742</v>
      </c>
      <c r="E1829" s="9" t="s">
        <v>4741</v>
      </c>
      <c r="F1829" s="9" t="s">
        <v>4742</v>
      </c>
      <c r="G1829" s="10" t="s">
        <v>6650</v>
      </c>
      <c r="H1829" s="9"/>
      <c r="I1829" s="9"/>
      <c r="J1829" s="9"/>
      <c r="K1829" s="9"/>
      <c r="L1829" s="9"/>
      <c r="M1829" s="9" t="s">
        <v>4743</v>
      </c>
      <c r="N1829" s="9"/>
      <c r="O1829" s="9" t="s">
        <v>4744</v>
      </c>
      <c r="P1829" s="9" t="str">
        <f>HYPERLINK("https://ceds.ed.gov/cedselementdetails.aspx?termid=14406")</f>
        <v>https://ceds.ed.gov/cedselementdetails.aspx?termid=14406</v>
      </c>
      <c r="Q1829" s="9" t="str">
        <f>HYPERLINK("https://ceds.ed.gov/elementComment.aspx?elementName=Professional Development Activity Credit Type &amp;elementID=14406", "Click here to submit comment")</f>
        <v>Click here to submit comment</v>
      </c>
    </row>
    <row r="1830" spans="1:17" ht="45" x14ac:dyDescent="0.25">
      <c r="A1830" s="9" t="s">
        <v>6811</v>
      </c>
      <c r="B1830" s="9" t="s">
        <v>6844</v>
      </c>
      <c r="C1830" s="9" t="s">
        <v>6806</v>
      </c>
      <c r="D1830" s="9" t="s">
        <v>6742</v>
      </c>
      <c r="E1830" s="9" t="s">
        <v>4745</v>
      </c>
      <c r="F1830" s="9" t="s">
        <v>4746</v>
      </c>
      <c r="G1830" s="9" t="s">
        <v>12</v>
      </c>
      <c r="H1830" s="9"/>
      <c r="I1830" s="9"/>
      <c r="J1830" s="9" t="s">
        <v>1513</v>
      </c>
      <c r="K1830" s="9"/>
      <c r="L1830" s="9"/>
      <c r="M1830" s="9" t="s">
        <v>4747</v>
      </c>
      <c r="N1830" s="9"/>
      <c r="O1830" s="9" t="s">
        <v>4748</v>
      </c>
      <c r="P1830" s="9" t="str">
        <f>HYPERLINK("https://ceds.ed.gov/cedselementdetails.aspx?termid=14407")</f>
        <v>https://ceds.ed.gov/cedselementdetails.aspx?termid=14407</v>
      </c>
      <c r="Q1830" s="9" t="str">
        <f>HYPERLINK("https://ceds.ed.gov/elementComment.aspx?elementName=Professional Development Activity Credits &amp;elementID=14407", "Click here to submit comment")</f>
        <v>Click here to submit comment</v>
      </c>
    </row>
    <row r="1831" spans="1:17" ht="409.5" x14ac:dyDescent="0.25">
      <c r="A1831" s="9" t="s">
        <v>6811</v>
      </c>
      <c r="B1831" s="9" t="s">
        <v>6844</v>
      </c>
      <c r="C1831" s="9" t="s">
        <v>6806</v>
      </c>
      <c r="D1831" s="9" t="s">
        <v>6742</v>
      </c>
      <c r="E1831" s="9" t="s">
        <v>4779</v>
      </c>
      <c r="F1831" s="9" t="s">
        <v>4780</v>
      </c>
      <c r="G1831" s="10" t="s">
        <v>6653</v>
      </c>
      <c r="H1831" s="9"/>
      <c r="I1831" s="9"/>
      <c r="J1831" s="9"/>
      <c r="K1831" s="9"/>
      <c r="L1831" s="9"/>
      <c r="M1831" s="9" t="s">
        <v>4781</v>
      </c>
      <c r="N1831" s="9"/>
      <c r="O1831" s="9" t="s">
        <v>4782</v>
      </c>
      <c r="P1831" s="9" t="str">
        <f>HYPERLINK("https://ceds.ed.gov/cedselementdetails.aspx?termid=14464")</f>
        <v>https://ceds.ed.gov/cedselementdetails.aspx?termid=14464</v>
      </c>
      <c r="Q1831" s="9" t="str">
        <f>HYPERLINK("https://ceds.ed.gov/elementComment.aspx?elementName=Professional Development Activity Target Audience &amp;elementID=14464", "Click here to submit comment")</f>
        <v>Click here to submit comment</v>
      </c>
    </row>
    <row r="1832" spans="1:17" ht="90" x14ac:dyDescent="0.25">
      <c r="A1832" s="9" t="s">
        <v>6811</v>
      </c>
      <c r="B1832" s="9" t="s">
        <v>6844</v>
      </c>
      <c r="C1832" s="9" t="s">
        <v>6806</v>
      </c>
      <c r="D1832" s="9" t="s">
        <v>6742</v>
      </c>
      <c r="E1832" s="9" t="s">
        <v>4856</v>
      </c>
      <c r="F1832" s="9" t="s">
        <v>4857</v>
      </c>
      <c r="G1832" s="11" t="s">
        <v>966</v>
      </c>
      <c r="H1832" s="9"/>
      <c r="I1832" s="9"/>
      <c r="J1832" s="9"/>
      <c r="K1832" s="9"/>
      <c r="L1832" s="11" t="s">
        <v>967</v>
      </c>
      <c r="M1832" s="9" t="s">
        <v>4858</v>
      </c>
      <c r="N1832" s="9"/>
      <c r="O1832" s="9" t="s">
        <v>4859</v>
      </c>
      <c r="P1832" s="9" t="str">
        <f>HYPERLINK("https://ceds.ed.gov/cedselementdetails.aspx?termid=14357")</f>
        <v>https://ceds.ed.gov/cedselementdetails.aspx?termid=14357</v>
      </c>
      <c r="Q1832" s="9" t="str">
        <f>HYPERLINK("https://ceds.ed.gov/elementComment.aspx?elementName=Professional Development Session Language &amp;elementID=14357", "Click here to submit comment")</f>
        <v>Click here to submit comment</v>
      </c>
    </row>
    <row r="1833" spans="1:17" ht="60" x14ac:dyDescent="0.25">
      <c r="A1833" s="9" t="s">
        <v>6811</v>
      </c>
      <c r="B1833" s="9" t="s">
        <v>6844</v>
      </c>
      <c r="C1833" s="9" t="s">
        <v>6806</v>
      </c>
      <c r="D1833" s="9" t="s">
        <v>6742</v>
      </c>
      <c r="E1833" s="9" t="s">
        <v>4758</v>
      </c>
      <c r="F1833" s="9" t="s">
        <v>4759</v>
      </c>
      <c r="G1833" s="9" t="s">
        <v>12</v>
      </c>
      <c r="H1833" s="9"/>
      <c r="I1833" s="9"/>
      <c r="J1833" s="9" t="s">
        <v>73</v>
      </c>
      <c r="K1833" s="9"/>
      <c r="L1833" s="9"/>
      <c r="M1833" s="9" t="s">
        <v>4760</v>
      </c>
      <c r="N1833" s="9"/>
      <c r="O1833" s="9" t="s">
        <v>4761</v>
      </c>
      <c r="P1833" s="9" t="str">
        <f>HYPERLINK("https://ceds.ed.gov/cedselementdetails.aspx?termid=14421")</f>
        <v>https://ceds.ed.gov/cedselementdetails.aspx?termid=14421</v>
      </c>
      <c r="Q1833" s="9" t="str">
        <f>HYPERLINK("https://ceds.ed.gov/elementComment.aspx?elementName=Professional Development Activity Expiration Date &amp;elementID=14421", "Click here to submit comment")</f>
        <v>Click here to submit comment</v>
      </c>
    </row>
    <row r="1834" spans="1:17" ht="90" x14ac:dyDescent="0.25">
      <c r="A1834" s="9" t="s">
        <v>6811</v>
      </c>
      <c r="B1834" s="9" t="s">
        <v>6844</v>
      </c>
      <c r="C1834" s="9" t="s">
        <v>6806</v>
      </c>
      <c r="D1834" s="9" t="s">
        <v>6742</v>
      </c>
      <c r="E1834" s="9" t="s">
        <v>4729</v>
      </c>
      <c r="F1834" s="9" t="s">
        <v>4730</v>
      </c>
      <c r="G1834" s="10" t="s">
        <v>6649</v>
      </c>
      <c r="H1834" s="9"/>
      <c r="I1834" s="9"/>
      <c r="J1834" s="9"/>
      <c r="K1834" s="9"/>
      <c r="L1834" s="9"/>
      <c r="M1834" s="9" t="s">
        <v>4731</v>
      </c>
      <c r="N1834" s="9"/>
      <c r="O1834" s="9" t="s">
        <v>4732</v>
      </c>
      <c r="P1834" s="9" t="str">
        <f>HYPERLINK("https://ceds.ed.gov/cedselementdetails.aspx?termid=14403")</f>
        <v>https://ceds.ed.gov/cedselementdetails.aspx?termid=14403</v>
      </c>
      <c r="Q1834" s="9" t="str">
        <f>HYPERLINK("https://ceds.ed.gov/elementComment.aspx?elementName=Professional Development Activity Approved Purpose &amp;elementID=14403", "Click here to submit comment")</f>
        <v>Click here to submit comment</v>
      </c>
    </row>
    <row r="1835" spans="1:17" ht="45" x14ac:dyDescent="0.25">
      <c r="A1835" s="9" t="s">
        <v>6811</v>
      </c>
      <c r="B1835" s="9" t="s">
        <v>6844</v>
      </c>
      <c r="C1835" s="9" t="s">
        <v>6806</v>
      </c>
      <c r="D1835" s="9" t="s">
        <v>6742</v>
      </c>
      <c r="E1835" s="9" t="s">
        <v>4725</v>
      </c>
      <c r="F1835" s="9" t="s">
        <v>4726</v>
      </c>
      <c r="G1835" s="9" t="s">
        <v>12</v>
      </c>
      <c r="H1835" s="9"/>
      <c r="I1835" s="9"/>
      <c r="J1835" s="9" t="s">
        <v>87</v>
      </c>
      <c r="K1835" s="9"/>
      <c r="L1835" s="9"/>
      <c r="M1835" s="9" t="s">
        <v>4727</v>
      </c>
      <c r="N1835" s="9"/>
      <c r="O1835" s="9" t="s">
        <v>4728</v>
      </c>
      <c r="P1835" s="9" t="str">
        <f>HYPERLINK("https://ceds.ed.gov/cedselementdetails.aspx?termid=14402")</f>
        <v>https://ceds.ed.gov/cedselementdetails.aspx?termid=14402</v>
      </c>
      <c r="Q1835" s="9" t="str">
        <f>HYPERLINK("https://ceds.ed.gov/elementComment.aspx?elementName=Professional Development Activity Approval Code &amp;elementID=14402", "Click here to submit comment")</f>
        <v>Click here to submit comment</v>
      </c>
    </row>
    <row r="1836" spans="1:17" ht="75" x14ac:dyDescent="0.25">
      <c r="A1836" s="9" t="s">
        <v>6811</v>
      </c>
      <c r="B1836" s="9" t="s">
        <v>6844</v>
      </c>
      <c r="C1836" s="9" t="s">
        <v>6806</v>
      </c>
      <c r="D1836" s="9" t="s">
        <v>6742</v>
      </c>
      <c r="E1836" s="9" t="s">
        <v>4733</v>
      </c>
      <c r="F1836" s="9" t="s">
        <v>4734</v>
      </c>
      <c r="G1836" s="9" t="s">
        <v>12</v>
      </c>
      <c r="H1836" s="9"/>
      <c r="I1836" s="9"/>
      <c r="J1836" s="9" t="s">
        <v>87</v>
      </c>
      <c r="K1836" s="9"/>
      <c r="L1836" s="9"/>
      <c r="M1836" s="9" t="s">
        <v>4735</v>
      </c>
      <c r="N1836" s="9"/>
      <c r="O1836" s="9" t="s">
        <v>4736</v>
      </c>
      <c r="P1836" s="9" t="str">
        <f>HYPERLINK("https://ceds.ed.gov/cedselementdetails.aspx?termid=14404")</f>
        <v>https://ceds.ed.gov/cedselementdetails.aspx?termid=14404</v>
      </c>
      <c r="Q1836" s="9" t="str">
        <f>HYPERLINK("https://ceds.ed.gov/elementComment.aspx?elementName=Professional Development Activity Code &amp;elementID=14404", "Click here to submit comment")</f>
        <v>Click here to submit comment</v>
      </c>
    </row>
    <row r="1837" spans="1:17" ht="45" x14ac:dyDescent="0.25">
      <c r="A1837" s="9" t="s">
        <v>6811</v>
      </c>
      <c r="B1837" s="9" t="s">
        <v>6844</v>
      </c>
      <c r="C1837" s="9" t="s">
        <v>6806</v>
      </c>
      <c r="D1837" s="9" t="s">
        <v>6742</v>
      </c>
      <c r="E1837" s="9" t="s">
        <v>4737</v>
      </c>
      <c r="F1837" s="9" t="s">
        <v>4738</v>
      </c>
      <c r="G1837" s="9" t="s">
        <v>12</v>
      </c>
      <c r="H1837" s="9"/>
      <c r="I1837" s="9"/>
      <c r="J1837" s="9" t="s">
        <v>1513</v>
      </c>
      <c r="K1837" s="9"/>
      <c r="L1837" s="9"/>
      <c r="M1837" s="9" t="s">
        <v>4739</v>
      </c>
      <c r="N1837" s="9"/>
      <c r="O1837" s="9" t="s">
        <v>4740</v>
      </c>
      <c r="P1837" s="9" t="str">
        <f>HYPERLINK("https://ceds.ed.gov/cedselementdetails.aspx?termid=14405")</f>
        <v>https://ceds.ed.gov/cedselementdetails.aspx?termid=14405</v>
      </c>
      <c r="Q1837" s="9" t="str">
        <f>HYPERLINK("https://ceds.ed.gov/elementComment.aspx?elementName=Professional Development Activity Cost &amp;elementID=14405", "Click here to submit comment")</f>
        <v>Click here to submit comment</v>
      </c>
    </row>
    <row r="1838" spans="1:17" ht="105" x14ac:dyDescent="0.25">
      <c r="A1838" s="18" t="s">
        <v>6811</v>
      </c>
      <c r="B1838" s="18" t="s">
        <v>6844</v>
      </c>
      <c r="C1838" s="18" t="s">
        <v>6807</v>
      </c>
      <c r="D1838" s="18" t="s">
        <v>6742</v>
      </c>
      <c r="E1838" s="18" t="s">
        <v>4852</v>
      </c>
      <c r="F1838" s="18" t="s">
        <v>4853</v>
      </c>
      <c r="G1838" s="18" t="s">
        <v>12</v>
      </c>
      <c r="H1838" s="18"/>
      <c r="I1838" s="18"/>
      <c r="J1838" s="18" t="s">
        <v>119</v>
      </c>
      <c r="K1838" s="18"/>
      <c r="L1838" s="9" t="s">
        <v>120</v>
      </c>
      <c r="M1838" s="18" t="s">
        <v>4854</v>
      </c>
      <c r="N1838" s="18"/>
      <c r="O1838" s="18" t="s">
        <v>4855</v>
      </c>
      <c r="P1838" s="18" t="str">
        <f>HYPERLINK("https://ceds.ed.gov/cedselementdetails.aspx?termid=14422")</f>
        <v>https://ceds.ed.gov/cedselementdetails.aspx?termid=14422</v>
      </c>
      <c r="Q1838" s="18" t="str">
        <f>HYPERLINK("https://ceds.ed.gov/elementComment.aspx?elementName=Professional Development Session Identifier &amp;elementID=14422", "Click here to submit comment")</f>
        <v>Click here to submit comment</v>
      </c>
    </row>
    <row r="1839" spans="1:17" x14ac:dyDescent="0.25">
      <c r="A1839" s="18"/>
      <c r="B1839" s="18"/>
      <c r="C1839" s="18"/>
      <c r="D1839" s="18"/>
      <c r="E1839" s="18"/>
      <c r="F1839" s="18"/>
      <c r="G1839" s="18"/>
      <c r="H1839" s="18"/>
      <c r="I1839" s="18"/>
      <c r="J1839" s="18"/>
      <c r="K1839" s="18"/>
      <c r="L1839" s="9"/>
      <c r="M1839" s="18"/>
      <c r="N1839" s="18"/>
      <c r="O1839" s="18"/>
      <c r="P1839" s="18"/>
      <c r="Q1839" s="18"/>
    </row>
    <row r="1840" spans="1:17" ht="90" x14ac:dyDescent="0.25">
      <c r="A1840" s="18"/>
      <c r="B1840" s="18"/>
      <c r="C1840" s="18"/>
      <c r="D1840" s="18"/>
      <c r="E1840" s="18"/>
      <c r="F1840" s="18"/>
      <c r="G1840" s="18"/>
      <c r="H1840" s="18"/>
      <c r="I1840" s="18"/>
      <c r="J1840" s="18"/>
      <c r="K1840" s="18"/>
      <c r="L1840" s="9" t="s">
        <v>121</v>
      </c>
      <c r="M1840" s="18"/>
      <c r="N1840" s="18"/>
      <c r="O1840" s="18"/>
      <c r="P1840" s="18"/>
      <c r="Q1840" s="18"/>
    </row>
    <row r="1841" spans="1:17" ht="45" x14ac:dyDescent="0.25">
      <c r="A1841" s="9" t="s">
        <v>6811</v>
      </c>
      <c r="B1841" s="9" t="s">
        <v>6844</v>
      </c>
      <c r="C1841" s="9" t="s">
        <v>6807</v>
      </c>
      <c r="D1841" s="9" t="s">
        <v>6742</v>
      </c>
      <c r="E1841" s="9" t="s">
        <v>4864</v>
      </c>
      <c r="F1841" s="9" t="s">
        <v>4865</v>
      </c>
      <c r="G1841" s="9" t="s">
        <v>12</v>
      </c>
      <c r="H1841" s="9"/>
      <c r="I1841" s="9"/>
      <c r="J1841" s="9" t="s">
        <v>73</v>
      </c>
      <c r="K1841" s="9"/>
      <c r="L1841" s="9"/>
      <c r="M1841" s="9" t="s">
        <v>4866</v>
      </c>
      <c r="N1841" s="9"/>
      <c r="O1841" s="9" t="s">
        <v>4867</v>
      </c>
      <c r="P1841" s="9" t="str">
        <f>HYPERLINK("https://ceds.ed.gov/cedselementdetails.aspx?termid=14426")</f>
        <v>https://ceds.ed.gov/cedselementdetails.aspx?termid=14426</v>
      </c>
      <c r="Q1841" s="9" t="str">
        <f>HYPERLINK("https://ceds.ed.gov/elementComment.aspx?elementName=Professional Development Session Start Date &amp;elementID=14426", "Click here to submit comment")</f>
        <v>Click here to submit comment</v>
      </c>
    </row>
    <row r="1842" spans="1:17" ht="45" x14ac:dyDescent="0.25">
      <c r="A1842" s="9" t="s">
        <v>6811</v>
      </c>
      <c r="B1842" s="9" t="s">
        <v>6844</v>
      </c>
      <c r="C1842" s="9" t="s">
        <v>6807</v>
      </c>
      <c r="D1842" s="9" t="s">
        <v>6742</v>
      </c>
      <c r="E1842" s="9" t="s">
        <v>4835</v>
      </c>
      <c r="F1842" s="9" t="s">
        <v>4836</v>
      </c>
      <c r="G1842" s="9" t="s">
        <v>12</v>
      </c>
      <c r="H1842" s="9"/>
      <c r="I1842" s="9"/>
      <c r="J1842" s="9" t="s">
        <v>73</v>
      </c>
      <c r="K1842" s="9"/>
      <c r="L1842" s="9"/>
      <c r="M1842" s="9" t="s">
        <v>4837</v>
      </c>
      <c r="N1842" s="9"/>
      <c r="O1842" s="9" t="s">
        <v>4838</v>
      </c>
      <c r="P1842" s="9" t="str">
        <f>HYPERLINK("https://ceds.ed.gov/cedselementdetails.aspx?termid=14417")</f>
        <v>https://ceds.ed.gov/cedselementdetails.aspx?termid=14417</v>
      </c>
      <c r="Q1842" s="9" t="str">
        <f>HYPERLINK("https://ceds.ed.gov/elementComment.aspx?elementName=Professional Development Session End Date &amp;elementID=14417", "Click here to submit comment")</f>
        <v>Click here to submit comment</v>
      </c>
    </row>
    <row r="1843" spans="1:17" ht="45" x14ac:dyDescent="0.25">
      <c r="A1843" s="9" t="s">
        <v>6811</v>
      </c>
      <c r="B1843" s="9" t="s">
        <v>6844</v>
      </c>
      <c r="C1843" s="9" t="s">
        <v>6807</v>
      </c>
      <c r="D1843" s="9" t="s">
        <v>6742</v>
      </c>
      <c r="E1843" s="9" t="s">
        <v>4868</v>
      </c>
      <c r="F1843" s="9" t="s">
        <v>4869</v>
      </c>
      <c r="G1843" s="9" t="s">
        <v>12</v>
      </c>
      <c r="H1843" s="9"/>
      <c r="I1843" s="9"/>
      <c r="J1843" s="9" t="s">
        <v>4841</v>
      </c>
      <c r="K1843" s="9"/>
      <c r="L1843" s="9"/>
      <c r="M1843" s="9" t="s">
        <v>4870</v>
      </c>
      <c r="N1843" s="9"/>
      <c r="O1843" s="9" t="s">
        <v>4871</v>
      </c>
      <c r="P1843" s="9" t="str">
        <f>HYPERLINK("https://ceds.ed.gov/cedselementdetails.aspx?termid=14427")</f>
        <v>https://ceds.ed.gov/cedselementdetails.aspx?termid=14427</v>
      </c>
      <c r="Q1843" s="9" t="str">
        <f>HYPERLINK("https://ceds.ed.gov/elementComment.aspx?elementName=Professional Development Session Start Time &amp;elementID=14427", "Click here to submit comment")</f>
        <v>Click here to submit comment</v>
      </c>
    </row>
    <row r="1844" spans="1:17" ht="45" x14ac:dyDescent="0.25">
      <c r="A1844" s="9" t="s">
        <v>6811</v>
      </c>
      <c r="B1844" s="9" t="s">
        <v>6844</v>
      </c>
      <c r="C1844" s="9" t="s">
        <v>6807</v>
      </c>
      <c r="D1844" s="9" t="s">
        <v>6742</v>
      </c>
      <c r="E1844" s="9" t="s">
        <v>4839</v>
      </c>
      <c r="F1844" s="9" t="s">
        <v>4840</v>
      </c>
      <c r="G1844" s="9" t="s">
        <v>12</v>
      </c>
      <c r="H1844" s="9"/>
      <c r="I1844" s="9"/>
      <c r="J1844" s="9" t="s">
        <v>4841</v>
      </c>
      <c r="K1844" s="9"/>
      <c r="L1844" s="9"/>
      <c r="M1844" s="9" t="s">
        <v>4842</v>
      </c>
      <c r="N1844" s="9"/>
      <c r="O1844" s="9" t="s">
        <v>4843</v>
      </c>
      <c r="P1844" s="9" t="str">
        <f>HYPERLINK("https://ceds.ed.gov/cedselementdetails.aspx?termid=14418")</f>
        <v>https://ceds.ed.gov/cedselementdetails.aspx?termid=14418</v>
      </c>
      <c r="Q1844" s="9" t="str">
        <f>HYPERLINK("https://ceds.ed.gov/elementComment.aspx?elementName=Professional Development Session End Time &amp;elementID=14418", "Click here to submit comment")</f>
        <v>Click here to submit comment</v>
      </c>
    </row>
    <row r="1845" spans="1:17" ht="45" x14ac:dyDescent="0.25">
      <c r="A1845" s="9" t="s">
        <v>6811</v>
      </c>
      <c r="B1845" s="9" t="s">
        <v>6844</v>
      </c>
      <c r="C1845" s="9" t="s">
        <v>6807</v>
      </c>
      <c r="D1845" s="9" t="s">
        <v>6742</v>
      </c>
      <c r="E1845" s="9" t="s">
        <v>4831</v>
      </c>
      <c r="F1845" s="9" t="s">
        <v>4832</v>
      </c>
      <c r="G1845" s="9" t="s">
        <v>12</v>
      </c>
      <c r="H1845" s="9"/>
      <c r="I1845" s="9"/>
      <c r="J1845" s="9" t="s">
        <v>10489</v>
      </c>
      <c r="K1845" s="9"/>
      <c r="L1845" s="9"/>
      <c r="M1845" s="9" t="s">
        <v>4833</v>
      </c>
      <c r="N1845" s="9"/>
      <c r="O1845" s="9" t="s">
        <v>4834</v>
      </c>
      <c r="P1845" s="9" t="str">
        <f>HYPERLINK("https://ceds.ed.gov/cedselementdetails.aspx?termid=14416")</f>
        <v>https://ceds.ed.gov/cedselementdetails.aspx?termid=14416</v>
      </c>
      <c r="Q1845" s="9" t="str">
        <f>HYPERLINK("https://ceds.ed.gov/elementComment.aspx?elementName=Professional Development Session Capacity &amp;elementID=14416", "Click here to submit comment")</f>
        <v>Click here to submit comment</v>
      </c>
    </row>
    <row r="1846" spans="1:17" ht="75" x14ac:dyDescent="0.25">
      <c r="A1846" s="9" t="s">
        <v>6811</v>
      </c>
      <c r="B1846" s="9" t="s">
        <v>6844</v>
      </c>
      <c r="C1846" s="9" t="s">
        <v>6807</v>
      </c>
      <c r="D1846" s="9" t="s">
        <v>6742</v>
      </c>
      <c r="E1846" s="9" t="s">
        <v>4796</v>
      </c>
      <c r="F1846" s="9" t="s">
        <v>4797</v>
      </c>
      <c r="G1846" s="10" t="s">
        <v>6655</v>
      </c>
      <c r="H1846" s="9"/>
      <c r="I1846" s="9"/>
      <c r="J1846" s="9"/>
      <c r="K1846" s="9"/>
      <c r="L1846" s="9"/>
      <c r="M1846" s="9" t="s">
        <v>4798</v>
      </c>
      <c r="N1846" s="9"/>
      <c r="O1846" s="9" t="s">
        <v>4799</v>
      </c>
      <c r="P1846" s="9" t="str">
        <f>HYPERLINK("https://ceds.ed.gov/cedselementdetails.aspx?termid=14401")</f>
        <v>https://ceds.ed.gov/cedselementdetails.aspx?termid=14401</v>
      </c>
      <c r="Q1846" s="9" t="str">
        <f>HYPERLINK("https://ceds.ed.gov/elementComment.aspx?elementName=Professional Development Delivery Method &amp;elementID=14401", "Click here to submit comment")</f>
        <v>Click here to submit comment</v>
      </c>
    </row>
    <row r="1847" spans="1:17" ht="180" x14ac:dyDescent="0.25">
      <c r="A1847" s="9" t="s">
        <v>6811</v>
      </c>
      <c r="B1847" s="9" t="s">
        <v>6844</v>
      </c>
      <c r="C1847" s="9" t="s">
        <v>6807</v>
      </c>
      <c r="D1847" s="9" t="s">
        <v>6742</v>
      </c>
      <c r="E1847" s="9" t="s">
        <v>4808</v>
      </c>
      <c r="F1847" s="9" t="s">
        <v>4809</v>
      </c>
      <c r="G1847" s="10" t="s">
        <v>6657</v>
      </c>
      <c r="H1847" s="9"/>
      <c r="I1847" s="9"/>
      <c r="J1847" s="9"/>
      <c r="K1847" s="9"/>
      <c r="L1847" s="9"/>
      <c r="M1847" s="9" t="s">
        <v>4810</v>
      </c>
      <c r="N1847" s="9"/>
      <c r="O1847" s="9" t="s">
        <v>4811</v>
      </c>
      <c r="P1847" s="9" t="str">
        <f>HYPERLINK("https://ceds.ed.gov/cedselementdetails.aspx?termid=14429")</f>
        <v>https://ceds.ed.gov/cedselementdetails.aspx?termid=14429</v>
      </c>
      <c r="Q1847" s="9" t="str">
        <f>HYPERLINK("https://ceds.ed.gov/elementComment.aspx?elementName=Professional Development Instructional Delivery Mode &amp;elementID=14429", "Click here to submit comment")</f>
        <v>Click here to submit comment</v>
      </c>
    </row>
    <row r="1848" spans="1:17" ht="45" x14ac:dyDescent="0.25">
      <c r="A1848" s="9" t="s">
        <v>6811</v>
      </c>
      <c r="B1848" s="9" t="s">
        <v>6844</v>
      </c>
      <c r="C1848" s="9" t="s">
        <v>6807</v>
      </c>
      <c r="D1848" s="9" t="s">
        <v>6742</v>
      </c>
      <c r="E1848" s="9" t="s">
        <v>5556</v>
      </c>
      <c r="F1848" s="9" t="s">
        <v>5557</v>
      </c>
      <c r="G1848" s="9" t="s">
        <v>12</v>
      </c>
      <c r="H1848" s="9"/>
      <c r="I1848" s="9"/>
      <c r="J1848" s="9" t="s">
        <v>92</v>
      </c>
      <c r="K1848" s="9"/>
      <c r="L1848" s="9"/>
      <c r="M1848" s="9" t="s">
        <v>5558</v>
      </c>
      <c r="N1848" s="9"/>
      <c r="O1848" s="9" t="s">
        <v>5559</v>
      </c>
      <c r="P1848" s="9" t="str">
        <f>HYPERLINK("https://ceds.ed.gov/cedselementdetails.aspx?termid=14461")</f>
        <v>https://ceds.ed.gov/cedselementdetails.aspx?termid=14461</v>
      </c>
      <c r="Q1848" s="9" t="str">
        <f>HYPERLINK("https://ceds.ed.gov/elementComment.aspx?elementName=Sponsoring Agency Name &amp;elementID=14461", "Click here to submit comment")</f>
        <v>Click here to submit comment</v>
      </c>
    </row>
    <row r="1849" spans="1:17" ht="105" x14ac:dyDescent="0.25">
      <c r="A1849" s="18" t="s">
        <v>6811</v>
      </c>
      <c r="B1849" s="18" t="s">
        <v>6844</v>
      </c>
      <c r="C1849" s="18" t="s">
        <v>6807</v>
      </c>
      <c r="D1849" s="18" t="s">
        <v>6742</v>
      </c>
      <c r="E1849" s="18" t="s">
        <v>4812</v>
      </c>
      <c r="F1849" s="18" t="s">
        <v>4813</v>
      </c>
      <c r="G1849" s="18" t="s">
        <v>12</v>
      </c>
      <c r="H1849" s="18"/>
      <c r="I1849" s="18"/>
      <c r="J1849" s="18" t="s">
        <v>119</v>
      </c>
      <c r="K1849" s="18"/>
      <c r="L1849" s="9" t="s">
        <v>120</v>
      </c>
      <c r="M1849" s="18" t="s">
        <v>4814</v>
      </c>
      <c r="N1849" s="18"/>
      <c r="O1849" s="18" t="s">
        <v>4815</v>
      </c>
      <c r="P1849" s="18" t="str">
        <f>HYPERLINK("https://ceds.ed.gov/cedselementdetails.aspx?termid=14414")</f>
        <v>https://ceds.ed.gov/cedselementdetails.aspx?termid=14414</v>
      </c>
      <c r="Q1849" s="18" t="str">
        <f>HYPERLINK("https://ceds.ed.gov/elementComment.aspx?elementName=Professional Development Instructor Identifier &amp;elementID=14414", "Click here to submit comment")</f>
        <v>Click here to submit comment</v>
      </c>
    </row>
    <row r="1850" spans="1:17" x14ac:dyDescent="0.25">
      <c r="A1850" s="18"/>
      <c r="B1850" s="18"/>
      <c r="C1850" s="18"/>
      <c r="D1850" s="18"/>
      <c r="E1850" s="18"/>
      <c r="F1850" s="18"/>
      <c r="G1850" s="18"/>
      <c r="H1850" s="18"/>
      <c r="I1850" s="18"/>
      <c r="J1850" s="18"/>
      <c r="K1850" s="18"/>
      <c r="L1850" s="9"/>
      <c r="M1850" s="18"/>
      <c r="N1850" s="18"/>
      <c r="O1850" s="18"/>
      <c r="P1850" s="18"/>
      <c r="Q1850" s="18"/>
    </row>
    <row r="1851" spans="1:17" ht="90" x14ac:dyDescent="0.25">
      <c r="A1851" s="18"/>
      <c r="B1851" s="18"/>
      <c r="C1851" s="18"/>
      <c r="D1851" s="18"/>
      <c r="E1851" s="18"/>
      <c r="F1851" s="18"/>
      <c r="G1851" s="18"/>
      <c r="H1851" s="18"/>
      <c r="I1851" s="18"/>
      <c r="J1851" s="18"/>
      <c r="K1851" s="18"/>
      <c r="L1851" s="9" t="s">
        <v>121</v>
      </c>
      <c r="M1851" s="18"/>
      <c r="N1851" s="18"/>
      <c r="O1851" s="18"/>
      <c r="P1851" s="18"/>
      <c r="Q1851" s="18"/>
    </row>
    <row r="1852" spans="1:17" ht="45" x14ac:dyDescent="0.25">
      <c r="A1852" s="9" t="s">
        <v>6811</v>
      </c>
      <c r="B1852" s="9" t="s">
        <v>6844</v>
      </c>
      <c r="C1852" s="9" t="s">
        <v>6807</v>
      </c>
      <c r="D1852" s="9" t="s">
        <v>6742</v>
      </c>
      <c r="E1852" s="9" t="s">
        <v>4804</v>
      </c>
      <c r="F1852" s="9" t="s">
        <v>4805</v>
      </c>
      <c r="G1852" s="9" t="s">
        <v>12</v>
      </c>
      <c r="H1852" s="9"/>
      <c r="I1852" s="9"/>
      <c r="J1852" s="9" t="s">
        <v>87</v>
      </c>
      <c r="K1852" s="9"/>
      <c r="L1852" s="9"/>
      <c r="M1852" s="9" t="s">
        <v>4806</v>
      </c>
      <c r="N1852" s="9"/>
      <c r="O1852" s="9" t="s">
        <v>4807</v>
      </c>
      <c r="P1852" s="9" t="str">
        <f>HYPERLINK("https://ceds.ed.gov/cedselementdetails.aspx?termid=14413")</f>
        <v>https://ceds.ed.gov/cedselementdetails.aspx?termid=14413</v>
      </c>
      <c r="Q1852" s="9" t="str">
        <f>HYPERLINK("https://ceds.ed.gov/elementComment.aspx?elementName=Professional Development Funding Source &amp;elementID=14413", "Click here to submit comment")</f>
        <v>Click here to submit comment</v>
      </c>
    </row>
    <row r="1853" spans="1:17" ht="45" x14ac:dyDescent="0.25">
      <c r="A1853" s="9" t="s">
        <v>6811</v>
      </c>
      <c r="B1853" s="9" t="s">
        <v>6844</v>
      </c>
      <c r="C1853" s="9" t="s">
        <v>6807</v>
      </c>
      <c r="D1853" s="9" t="s">
        <v>6742</v>
      </c>
      <c r="E1853" s="9" t="s">
        <v>4844</v>
      </c>
      <c r="F1853" s="9" t="s">
        <v>4845</v>
      </c>
      <c r="G1853" s="9" t="s">
        <v>12</v>
      </c>
      <c r="H1853" s="9"/>
      <c r="I1853" s="9"/>
      <c r="J1853" s="9" t="s">
        <v>87</v>
      </c>
      <c r="K1853" s="9"/>
      <c r="L1853" s="9"/>
      <c r="M1853" s="9" t="s">
        <v>4846</v>
      </c>
      <c r="N1853" s="9"/>
      <c r="O1853" s="9" t="s">
        <v>4847</v>
      </c>
      <c r="P1853" s="9" t="str">
        <f>HYPERLINK("https://ceds.ed.gov/cedselementdetails.aspx?termid=14419")</f>
        <v>https://ceds.ed.gov/cedselementdetails.aspx?termid=14419</v>
      </c>
      <c r="Q1853" s="9" t="str">
        <f>HYPERLINK("https://ceds.ed.gov/elementComment.aspx?elementName=Professional Development Session Evaluation Method &amp;elementID=14419", "Click here to submit comment")</f>
        <v>Click here to submit comment</v>
      </c>
    </row>
    <row r="1854" spans="1:17" ht="45" x14ac:dyDescent="0.25">
      <c r="A1854" s="9" t="s">
        <v>6811</v>
      </c>
      <c r="B1854" s="9" t="s">
        <v>6844</v>
      </c>
      <c r="C1854" s="9" t="s">
        <v>6807</v>
      </c>
      <c r="D1854" s="9" t="s">
        <v>6742</v>
      </c>
      <c r="E1854" s="9" t="s">
        <v>4848</v>
      </c>
      <c r="F1854" s="9" t="s">
        <v>4849</v>
      </c>
      <c r="G1854" s="9" t="s">
        <v>12</v>
      </c>
      <c r="H1854" s="9"/>
      <c r="I1854" s="9"/>
      <c r="J1854" s="9" t="s">
        <v>87</v>
      </c>
      <c r="K1854" s="9"/>
      <c r="L1854" s="9"/>
      <c r="M1854" s="9" t="s">
        <v>4850</v>
      </c>
      <c r="N1854" s="9"/>
      <c r="O1854" s="9" t="s">
        <v>4851</v>
      </c>
      <c r="P1854" s="9" t="str">
        <f>HYPERLINK("https://ceds.ed.gov/cedselementdetails.aspx?termid=14420")</f>
        <v>https://ceds.ed.gov/cedselementdetails.aspx?termid=14420</v>
      </c>
      <c r="Q1854" s="9" t="str">
        <f>HYPERLINK("https://ceds.ed.gov/elementComment.aspx?elementName=Professional Development Session Evaluation Score &amp;elementID=14420", "Click here to submit comment")</f>
        <v>Click here to submit comment</v>
      </c>
    </row>
    <row r="1855" spans="1:17" ht="60" x14ac:dyDescent="0.25">
      <c r="A1855" s="9" t="s">
        <v>6811</v>
      </c>
      <c r="B1855" s="9" t="s">
        <v>6844</v>
      </c>
      <c r="C1855" s="9" t="s">
        <v>6807</v>
      </c>
      <c r="D1855" s="9" t="s">
        <v>6742</v>
      </c>
      <c r="E1855" s="9" t="s">
        <v>4872</v>
      </c>
      <c r="F1855" s="9" t="s">
        <v>4873</v>
      </c>
      <c r="G1855" s="10" t="s">
        <v>6658</v>
      </c>
      <c r="H1855" s="9"/>
      <c r="I1855" s="9"/>
      <c r="J1855" s="9"/>
      <c r="K1855" s="9"/>
      <c r="L1855" s="9"/>
      <c r="M1855" s="9" t="s">
        <v>4874</v>
      </c>
      <c r="N1855" s="9"/>
      <c r="O1855" s="9" t="s">
        <v>4875</v>
      </c>
      <c r="P1855" s="9" t="str">
        <f>HYPERLINK("https://ceds.ed.gov/cedselementdetails.aspx?termid=14428")</f>
        <v>https://ceds.ed.gov/cedselementdetails.aspx?termid=14428</v>
      </c>
      <c r="Q1855" s="9" t="str">
        <f>HYPERLINK("https://ceds.ed.gov/elementComment.aspx?elementName=Professional Development Session Status &amp;elementID=14428", "Click here to submit comment")</f>
        <v>Click here to submit comment</v>
      </c>
    </row>
    <row r="1856" spans="1:17" ht="45" x14ac:dyDescent="0.25">
      <c r="A1856" s="9" t="s">
        <v>6811</v>
      </c>
      <c r="B1856" s="9" t="s">
        <v>6844</v>
      </c>
      <c r="C1856" s="9" t="s">
        <v>6808</v>
      </c>
      <c r="D1856" s="9" t="s">
        <v>6742</v>
      </c>
      <c r="E1856" s="9" t="s">
        <v>4860</v>
      </c>
      <c r="F1856" s="9" t="s">
        <v>4861</v>
      </c>
      <c r="G1856" s="9" t="s">
        <v>12</v>
      </c>
      <c r="H1856" s="9"/>
      <c r="I1856" s="9"/>
      <c r="J1856" s="9" t="s">
        <v>92</v>
      </c>
      <c r="K1856" s="9"/>
      <c r="L1856" s="9"/>
      <c r="M1856" s="9" t="s">
        <v>4862</v>
      </c>
      <c r="N1856" s="9"/>
      <c r="O1856" s="9" t="s">
        <v>4863</v>
      </c>
      <c r="P1856" s="9" t="str">
        <f>HYPERLINK("https://ceds.ed.gov/cedselementdetails.aspx?termid=14424")</f>
        <v>https://ceds.ed.gov/cedselementdetails.aspx?termid=14424</v>
      </c>
      <c r="Q1856" s="9" t="str">
        <f>HYPERLINK("https://ceds.ed.gov/elementComment.aspx?elementName=Professional Development Session Location Name &amp;elementID=14424", "Click here to submit comment")</f>
        <v>Click here to submit comment</v>
      </c>
    </row>
    <row r="1857" spans="1:17" ht="225" x14ac:dyDescent="0.25">
      <c r="A1857" s="9" t="s">
        <v>6811</v>
      </c>
      <c r="B1857" s="9" t="s">
        <v>6844</v>
      </c>
      <c r="C1857" s="9" t="s">
        <v>6808</v>
      </c>
      <c r="D1857" s="9" t="s">
        <v>6742</v>
      </c>
      <c r="E1857" s="9" t="s">
        <v>166</v>
      </c>
      <c r="F1857" s="9" t="s">
        <v>167</v>
      </c>
      <c r="G1857" s="9" t="s">
        <v>12</v>
      </c>
      <c r="H1857" s="9" t="s">
        <v>6113</v>
      </c>
      <c r="I1857" s="9"/>
      <c r="J1857" s="9" t="s">
        <v>119</v>
      </c>
      <c r="K1857" s="9"/>
      <c r="L1857" s="9"/>
      <c r="M1857" s="9" t="s">
        <v>168</v>
      </c>
      <c r="N1857" s="9"/>
      <c r="O1857" s="9" t="s">
        <v>169</v>
      </c>
      <c r="P1857" s="9" t="str">
        <f>HYPERLINK("https://ceds.ed.gov/cedselementdetails.aspx?termid=13269")</f>
        <v>https://ceds.ed.gov/cedselementdetails.aspx?termid=13269</v>
      </c>
      <c r="Q1857" s="9" t="str">
        <f>HYPERLINK("https://ceds.ed.gov/elementComment.aspx?elementName=Address Street Number and Name &amp;elementID=13269", "Click here to submit comment")</f>
        <v>Click here to submit comment</v>
      </c>
    </row>
    <row r="1858" spans="1:17" ht="225" x14ac:dyDescent="0.25">
      <c r="A1858" s="9" t="s">
        <v>6811</v>
      </c>
      <c r="B1858" s="9" t="s">
        <v>6844</v>
      </c>
      <c r="C1858" s="9" t="s">
        <v>6808</v>
      </c>
      <c r="D1858" s="9" t="s">
        <v>6742</v>
      </c>
      <c r="E1858" s="9" t="s">
        <v>149</v>
      </c>
      <c r="F1858" s="9" t="s">
        <v>150</v>
      </c>
      <c r="G1858" s="9" t="s">
        <v>12</v>
      </c>
      <c r="H1858" s="9" t="s">
        <v>6113</v>
      </c>
      <c r="I1858" s="9"/>
      <c r="J1858" s="9" t="s">
        <v>87</v>
      </c>
      <c r="K1858" s="9"/>
      <c r="L1858" s="9"/>
      <c r="M1858" s="9" t="s">
        <v>151</v>
      </c>
      <c r="N1858" s="9"/>
      <c r="O1858" s="9" t="s">
        <v>152</v>
      </c>
      <c r="P1858" s="9" t="str">
        <f>HYPERLINK("https://ceds.ed.gov/cedselementdetails.aspx?termid=13019")</f>
        <v>https://ceds.ed.gov/cedselementdetails.aspx?termid=13019</v>
      </c>
      <c r="Q1858" s="9" t="str">
        <f>HYPERLINK("https://ceds.ed.gov/elementComment.aspx?elementName=Address Apartment Room or Suite Number &amp;elementID=13019", "Click here to submit comment")</f>
        <v>Click here to submit comment</v>
      </c>
    </row>
    <row r="1859" spans="1:17" ht="225" x14ac:dyDescent="0.25">
      <c r="A1859" s="9" t="s">
        <v>6811</v>
      </c>
      <c r="B1859" s="9" t="s">
        <v>6844</v>
      </c>
      <c r="C1859" s="9" t="s">
        <v>6808</v>
      </c>
      <c r="D1859" s="9" t="s">
        <v>6742</v>
      </c>
      <c r="E1859" s="9" t="s">
        <v>153</v>
      </c>
      <c r="F1859" s="9" t="s">
        <v>154</v>
      </c>
      <c r="G1859" s="9" t="s">
        <v>12</v>
      </c>
      <c r="H1859" s="9" t="s">
        <v>6113</v>
      </c>
      <c r="I1859" s="9"/>
      <c r="J1859" s="9" t="s">
        <v>87</v>
      </c>
      <c r="K1859" s="9"/>
      <c r="L1859" s="9"/>
      <c r="M1859" s="9" t="s">
        <v>155</v>
      </c>
      <c r="N1859" s="9"/>
      <c r="O1859" s="9" t="s">
        <v>156</v>
      </c>
      <c r="P1859" s="9" t="str">
        <f>HYPERLINK("https://ceds.ed.gov/cedselementdetails.aspx?termid=13040")</f>
        <v>https://ceds.ed.gov/cedselementdetails.aspx?termid=13040</v>
      </c>
      <c r="Q1859" s="9" t="str">
        <f>HYPERLINK("https://ceds.ed.gov/elementComment.aspx?elementName=Address City &amp;elementID=13040", "Click here to submit comment")</f>
        <v>Click here to submit comment</v>
      </c>
    </row>
    <row r="1860" spans="1:17" ht="409.5" x14ac:dyDescent="0.25">
      <c r="A1860" s="9" t="s">
        <v>6811</v>
      </c>
      <c r="B1860" s="9" t="s">
        <v>6844</v>
      </c>
      <c r="C1860" s="9" t="s">
        <v>6808</v>
      </c>
      <c r="D1860" s="9" t="s">
        <v>6742</v>
      </c>
      <c r="E1860" s="9" t="s">
        <v>5647</v>
      </c>
      <c r="F1860" s="9" t="s">
        <v>5648</v>
      </c>
      <c r="G1860" s="10" t="s">
        <v>6702</v>
      </c>
      <c r="H1860" s="9" t="s">
        <v>6285</v>
      </c>
      <c r="I1860" s="9"/>
      <c r="J1860" s="9"/>
      <c r="K1860" s="9"/>
      <c r="L1860" s="9"/>
      <c r="M1860" s="9" t="s">
        <v>5649</v>
      </c>
      <c r="N1860" s="9"/>
      <c r="O1860" s="9" t="s">
        <v>5650</v>
      </c>
      <c r="P1860" s="9" t="str">
        <f>HYPERLINK("https://ceds.ed.gov/cedselementdetails.aspx?termid=13267")</f>
        <v>https://ceds.ed.gov/cedselementdetails.aspx?termid=13267</v>
      </c>
      <c r="Q1860" s="9" t="str">
        <f>HYPERLINK("https://ceds.ed.gov/elementComment.aspx?elementName=State Abbreviation &amp;elementID=13267", "Click here to submit comment")</f>
        <v>Click here to submit comment</v>
      </c>
    </row>
    <row r="1861" spans="1:17" ht="225" x14ac:dyDescent="0.25">
      <c r="A1861" s="9" t="s">
        <v>6811</v>
      </c>
      <c r="B1861" s="9" t="s">
        <v>6844</v>
      </c>
      <c r="C1861" s="9" t="s">
        <v>6808</v>
      </c>
      <c r="D1861" s="9" t="s">
        <v>6742</v>
      </c>
      <c r="E1861" s="9" t="s">
        <v>161</v>
      </c>
      <c r="F1861" s="9" t="s">
        <v>162</v>
      </c>
      <c r="G1861" s="9" t="s">
        <v>12</v>
      </c>
      <c r="H1861" s="9" t="s">
        <v>6113</v>
      </c>
      <c r="I1861" s="9"/>
      <c r="J1861" s="9" t="s">
        <v>163</v>
      </c>
      <c r="K1861" s="9"/>
      <c r="L1861" s="9"/>
      <c r="M1861" s="9" t="s">
        <v>164</v>
      </c>
      <c r="N1861" s="9"/>
      <c r="O1861" s="9" t="s">
        <v>165</v>
      </c>
      <c r="P1861" s="9" t="str">
        <f>HYPERLINK("https://ceds.ed.gov/cedselementdetails.aspx?termid=13214")</f>
        <v>https://ceds.ed.gov/cedselementdetails.aspx?termid=13214</v>
      </c>
      <c r="Q1861" s="9" t="str">
        <f>HYPERLINK("https://ceds.ed.gov/elementComment.aspx?elementName=Address Postal Code &amp;elementID=13214", "Click here to submit comment")</f>
        <v>Click here to submit comment</v>
      </c>
    </row>
    <row r="1862" spans="1:17" ht="90" x14ac:dyDescent="0.25">
      <c r="A1862" s="9" t="s">
        <v>6811</v>
      </c>
      <c r="B1862" s="9" t="s">
        <v>6844</v>
      </c>
      <c r="C1862" s="9" t="s">
        <v>6808</v>
      </c>
      <c r="D1862" s="9" t="s">
        <v>6742</v>
      </c>
      <c r="E1862" s="9" t="s">
        <v>5849</v>
      </c>
      <c r="F1862" s="9" t="s">
        <v>5850</v>
      </c>
      <c r="G1862" s="9" t="s">
        <v>12</v>
      </c>
      <c r="H1862" s="9" t="s">
        <v>6109</v>
      </c>
      <c r="I1862" s="9"/>
      <c r="J1862" s="9" t="s">
        <v>5851</v>
      </c>
      <c r="K1862" s="9"/>
      <c r="L1862" s="9"/>
      <c r="M1862" s="9" t="s">
        <v>5852</v>
      </c>
      <c r="N1862" s="9"/>
      <c r="O1862" s="9" t="s">
        <v>5853</v>
      </c>
      <c r="P1862" s="9" t="str">
        <f>HYPERLINK("https://ceds.ed.gov/cedselementdetails.aspx?termid=13279")</f>
        <v>https://ceds.ed.gov/cedselementdetails.aspx?termid=13279</v>
      </c>
      <c r="Q1862" s="9" t="str">
        <f>HYPERLINK("https://ceds.ed.gov/elementComment.aspx?elementName=Telephone Number &amp;elementID=13279", "Click here to submit comment")</f>
        <v>Click here to submit comment</v>
      </c>
    </row>
    <row r="1863" spans="1:17" ht="45" x14ac:dyDescent="0.25">
      <c r="A1863" s="9" t="s">
        <v>6811</v>
      </c>
      <c r="B1863" s="9" t="s">
        <v>6844</v>
      </c>
      <c r="C1863" s="9" t="s">
        <v>6830</v>
      </c>
      <c r="D1863" s="9" t="s">
        <v>6742</v>
      </c>
      <c r="E1863" s="9" t="s">
        <v>1455</v>
      </c>
      <c r="F1863" s="9" t="s">
        <v>1456</v>
      </c>
      <c r="G1863" s="9" t="s">
        <v>12</v>
      </c>
      <c r="H1863" s="9"/>
      <c r="I1863" s="9"/>
      <c r="J1863" s="9" t="s">
        <v>73</v>
      </c>
      <c r="K1863" s="9"/>
      <c r="L1863" s="9"/>
      <c r="M1863" s="9" t="s">
        <v>1458</v>
      </c>
      <c r="N1863" s="9"/>
      <c r="O1863" s="9" t="s">
        <v>1459</v>
      </c>
      <c r="P1863" s="9" t="str">
        <f>HYPERLINK("https://ceds.ed.gov/cedselementdetails.aspx?termid=14630")</f>
        <v>https://ceds.ed.gov/cedselementdetails.aspx?termid=14630</v>
      </c>
      <c r="Q1863" s="9" t="str">
        <f>HYPERLINK("https://ceds.ed.gov/elementComment.aspx?elementName=Attendance Event Date &amp;elementID=14630", "Click here to submit comment")</f>
        <v>Click here to submit comment</v>
      </c>
    </row>
    <row r="1864" spans="1:17" ht="105" x14ac:dyDescent="0.25">
      <c r="A1864" s="9" t="s">
        <v>6811</v>
      </c>
      <c r="B1864" s="9" t="s">
        <v>6844</v>
      </c>
      <c r="C1864" s="9" t="s">
        <v>6830</v>
      </c>
      <c r="D1864" s="9" t="s">
        <v>6742</v>
      </c>
      <c r="E1864" s="9" t="s">
        <v>1464</v>
      </c>
      <c r="F1864" s="9" t="s">
        <v>1465</v>
      </c>
      <c r="G1864" s="10" t="s">
        <v>6390</v>
      </c>
      <c r="H1864" s="9"/>
      <c r="I1864" s="9"/>
      <c r="J1864" s="9"/>
      <c r="K1864" s="9"/>
      <c r="L1864" s="9"/>
      <c r="M1864" s="9" t="s">
        <v>1466</v>
      </c>
      <c r="N1864" s="9"/>
      <c r="O1864" s="9" t="s">
        <v>1467</v>
      </c>
      <c r="P1864" s="9" t="str">
        <f>HYPERLINK("https://ceds.ed.gov/cedselementdetails.aspx?termid=13076")</f>
        <v>https://ceds.ed.gov/cedselementdetails.aspx?termid=13076</v>
      </c>
      <c r="Q1864" s="9" t="str">
        <f>HYPERLINK("https://ceds.ed.gov/elementComment.aspx?elementName=Attendance Status &amp;elementID=13076", "Click here to submit comment")</f>
        <v>Click here to submit comment</v>
      </c>
    </row>
    <row r="1865" spans="1:17" ht="345" x14ac:dyDescent="0.25">
      <c r="A1865" s="9" t="s">
        <v>6811</v>
      </c>
      <c r="B1865" s="9" t="s">
        <v>6844</v>
      </c>
      <c r="C1865" s="9" t="s">
        <v>6830</v>
      </c>
      <c r="D1865" s="9" t="s">
        <v>6742</v>
      </c>
      <c r="E1865" s="9" t="s">
        <v>4051</v>
      </c>
      <c r="F1865" s="9" t="s">
        <v>4052</v>
      </c>
      <c r="G1865" s="10" t="s">
        <v>6599</v>
      </c>
      <c r="H1865" s="9"/>
      <c r="I1865" s="9"/>
      <c r="J1865" s="9"/>
      <c r="K1865" s="9"/>
      <c r="L1865" s="9"/>
      <c r="M1865" s="9" t="s">
        <v>4054</v>
      </c>
      <c r="N1865" s="9"/>
      <c r="O1865" s="9" t="s">
        <v>4055</v>
      </c>
      <c r="P1865" s="9" t="str">
        <f>HYPERLINK("https://ceds.ed.gov/cedselementdetails.aspx?termid=13617")</f>
        <v>https://ceds.ed.gov/cedselementdetails.aspx?termid=13617</v>
      </c>
      <c r="Q1865" s="9" t="str">
        <f>HYPERLINK("https://ceds.ed.gov/elementComment.aspx?elementName=Leave Event Type &amp;elementID=13617", "Click here to submit comment")</f>
        <v>Click here to submit comment</v>
      </c>
    </row>
    <row r="1866" spans="1:17" ht="409.5" x14ac:dyDescent="0.25">
      <c r="A1866" s="9" t="s">
        <v>6811</v>
      </c>
      <c r="B1866" s="9" t="s">
        <v>6844</v>
      </c>
      <c r="C1866" s="9" t="s">
        <v>6774</v>
      </c>
      <c r="D1866" s="9" t="s">
        <v>6742</v>
      </c>
      <c r="E1866" s="9" t="s">
        <v>3131</v>
      </c>
      <c r="F1866" s="9" t="s">
        <v>3132</v>
      </c>
      <c r="G1866" s="10" t="s">
        <v>6377</v>
      </c>
      <c r="H1866" s="9" t="s">
        <v>6223</v>
      </c>
      <c r="I1866" s="9"/>
      <c r="J1866" s="9"/>
      <c r="K1866" s="9"/>
      <c r="L1866" s="9"/>
      <c r="M1866" s="9" t="s">
        <v>3133</v>
      </c>
      <c r="N1866" s="9"/>
      <c r="O1866" s="9" t="s">
        <v>3134</v>
      </c>
      <c r="P1866" s="9" t="str">
        <f>HYPERLINK("https://ceds.ed.gov/cedselementdetails.aspx?termid=13141")</f>
        <v>https://ceds.ed.gov/cedselementdetails.aspx?termid=13141</v>
      </c>
      <c r="Q1866" s="9" t="str">
        <f>HYPERLINK("https://ceds.ed.gov/elementComment.aspx?elementName=Highest Level of Education Completed &amp;elementID=13141", "Click here to submit comment")</f>
        <v>Click here to submit comment</v>
      </c>
    </row>
    <row r="1867" spans="1:17" ht="225" x14ac:dyDescent="0.25">
      <c r="A1867" s="9" t="s">
        <v>6811</v>
      </c>
      <c r="B1867" s="9" t="s">
        <v>6844</v>
      </c>
      <c r="C1867" s="9" t="s">
        <v>6774</v>
      </c>
      <c r="D1867" s="9" t="s">
        <v>6742</v>
      </c>
      <c r="E1867" s="9" t="s">
        <v>4296</v>
      </c>
      <c r="F1867" s="9" t="s">
        <v>4297</v>
      </c>
      <c r="G1867" s="9" t="s">
        <v>12</v>
      </c>
      <c r="H1867" s="9" t="s">
        <v>6245</v>
      </c>
      <c r="I1867" s="9"/>
      <c r="J1867" s="9" t="s">
        <v>92</v>
      </c>
      <c r="K1867" s="9"/>
      <c r="L1867" s="9"/>
      <c r="M1867" s="9" t="s">
        <v>4298</v>
      </c>
      <c r="N1867" s="9"/>
      <c r="O1867" s="9" t="s">
        <v>4299</v>
      </c>
      <c r="P1867" s="9" t="str">
        <f>HYPERLINK("https://ceds.ed.gov/cedselementdetails.aspx?termid=13191")</f>
        <v>https://ceds.ed.gov/cedselementdetails.aspx?termid=13191</v>
      </c>
      <c r="Q1867" s="9" t="str">
        <f>HYPERLINK("https://ceds.ed.gov/elementComment.aspx?elementName=Name of Institution &amp;elementID=13191", "Click here to submit comment")</f>
        <v>Click here to submit comment</v>
      </c>
    </row>
    <row r="1868" spans="1:17" ht="90" x14ac:dyDescent="0.25">
      <c r="A1868" s="9" t="s">
        <v>6811</v>
      </c>
      <c r="B1868" s="9" t="s">
        <v>6844</v>
      </c>
      <c r="C1868" s="9" t="s">
        <v>6774</v>
      </c>
      <c r="D1868" s="9" t="s">
        <v>6742</v>
      </c>
      <c r="E1868" s="9" t="s">
        <v>5476</v>
      </c>
      <c r="F1868" s="9" t="s">
        <v>5477</v>
      </c>
      <c r="G1868" s="9" t="s">
        <v>12</v>
      </c>
      <c r="H1868" s="9"/>
      <c r="I1868" s="9"/>
      <c r="J1868" s="9" t="s">
        <v>87</v>
      </c>
      <c r="K1868" s="9"/>
      <c r="L1868" s="9" t="s">
        <v>5478</v>
      </c>
      <c r="M1868" s="9" t="s">
        <v>5479</v>
      </c>
      <c r="N1868" s="9"/>
      <c r="O1868" s="9" t="s">
        <v>5480</v>
      </c>
      <c r="P1868" s="9" t="str">
        <f>HYPERLINK("https://ceds.ed.gov/cedselementdetails.aspx?termid=14459")</f>
        <v>https://ceds.ed.gov/cedselementdetails.aspx?termid=14459</v>
      </c>
      <c r="Q1868" s="9" t="str">
        <f>HYPERLINK("https://ceds.ed.gov/elementComment.aspx?elementName=Short Name of Institution &amp;elementID=14459", "Click here to submit comment")</f>
        <v>Click here to submit comment</v>
      </c>
    </row>
    <row r="1869" spans="1:17" ht="120" x14ac:dyDescent="0.25">
      <c r="A1869" s="9" t="s">
        <v>6811</v>
      </c>
      <c r="B1869" s="9" t="s">
        <v>6844</v>
      </c>
      <c r="C1869" s="9" t="s">
        <v>6774</v>
      </c>
      <c r="D1869" s="9" t="s">
        <v>6742</v>
      </c>
      <c r="E1869" s="9" t="s">
        <v>3127</v>
      </c>
      <c r="F1869" s="9" t="s">
        <v>3128</v>
      </c>
      <c r="G1869" s="10" t="s">
        <v>6534</v>
      </c>
      <c r="H1869" s="9" t="s">
        <v>182</v>
      </c>
      <c r="I1869" s="9"/>
      <c r="J1869" s="9"/>
      <c r="K1869" s="9"/>
      <c r="L1869" s="9"/>
      <c r="M1869" s="9" t="s">
        <v>3129</v>
      </c>
      <c r="N1869" s="9"/>
      <c r="O1869" s="9" t="s">
        <v>3130</v>
      </c>
      <c r="P1869" s="9" t="str">
        <f>HYPERLINK("https://ceds.ed.gov/cedselementdetails.aspx?termid=13817")</f>
        <v>https://ceds.ed.gov/cedselementdetails.aspx?termid=13817</v>
      </c>
      <c r="Q1869" s="9" t="str">
        <f>HYPERLINK("https://ceds.ed.gov/elementComment.aspx?elementName=Higher Education Institution Accreditation Status &amp;elementID=13817", "Click here to submit comment")</f>
        <v>Click here to submit comment</v>
      </c>
    </row>
    <row r="1870" spans="1:17" ht="60" x14ac:dyDescent="0.25">
      <c r="A1870" s="9" t="s">
        <v>6811</v>
      </c>
      <c r="B1870" s="9" t="s">
        <v>6844</v>
      </c>
      <c r="C1870" s="9" t="s">
        <v>6774</v>
      </c>
      <c r="D1870" s="9" t="s">
        <v>6742</v>
      </c>
      <c r="E1870" s="9" t="s">
        <v>2207</v>
      </c>
      <c r="F1870" s="9" t="s">
        <v>2208</v>
      </c>
      <c r="G1870" s="9" t="s">
        <v>12</v>
      </c>
      <c r="H1870" s="9" t="s">
        <v>6183</v>
      </c>
      <c r="I1870" s="9"/>
      <c r="J1870" s="9" t="s">
        <v>1347</v>
      </c>
      <c r="K1870" s="9"/>
      <c r="L1870" s="9"/>
      <c r="M1870" s="9" t="s">
        <v>2209</v>
      </c>
      <c r="N1870" s="9"/>
      <c r="O1870" s="9" t="s">
        <v>2210</v>
      </c>
      <c r="P1870" s="9" t="str">
        <f>HYPERLINK("https://ceds.ed.gov/cedselementdetails.aspx?termid=13341")</f>
        <v>https://ceds.ed.gov/cedselementdetails.aspx?termid=13341</v>
      </c>
      <c r="Q1870" s="9" t="str">
        <f>HYPERLINK("https://ceds.ed.gov/elementComment.aspx?elementName=Degree or Certificate Title or Subject &amp;elementID=13341", "Click here to submit comment")</f>
        <v>Click here to submit comment</v>
      </c>
    </row>
    <row r="1871" spans="1:17" ht="405" x14ac:dyDescent="0.25">
      <c r="A1871" s="9" t="s">
        <v>6811</v>
      </c>
      <c r="B1871" s="9" t="s">
        <v>6844</v>
      </c>
      <c r="C1871" s="9" t="s">
        <v>6774</v>
      </c>
      <c r="D1871" s="9" t="s">
        <v>6742</v>
      </c>
      <c r="E1871" s="9" t="s">
        <v>2211</v>
      </c>
      <c r="F1871" s="9" t="s">
        <v>2212</v>
      </c>
      <c r="G1871" s="10" t="s">
        <v>6440</v>
      </c>
      <c r="H1871" s="9" t="s">
        <v>6183</v>
      </c>
      <c r="I1871" s="9"/>
      <c r="J1871" s="9"/>
      <c r="K1871" s="9"/>
      <c r="L1871" s="9"/>
      <c r="M1871" s="9" t="s">
        <v>2213</v>
      </c>
      <c r="N1871" s="9"/>
      <c r="O1871" s="9" t="s">
        <v>2214</v>
      </c>
      <c r="P1871" s="9" t="str">
        <f>HYPERLINK("https://ceds.ed.gov/cedselementdetails.aspx?termid=13342")</f>
        <v>https://ceds.ed.gov/cedselementdetails.aspx?termid=13342</v>
      </c>
      <c r="Q1871" s="9" t="str">
        <f>HYPERLINK("https://ceds.ed.gov/elementComment.aspx?elementName=Degree or Certificate Type &amp;elementID=13342", "Click here to submit comment")</f>
        <v>Click here to submit comment</v>
      </c>
    </row>
    <row r="1872" spans="1:17" ht="60" x14ac:dyDescent="0.25">
      <c r="A1872" s="9" t="s">
        <v>6811</v>
      </c>
      <c r="B1872" s="9" t="s">
        <v>6844</v>
      </c>
      <c r="C1872" s="9" t="s">
        <v>6774</v>
      </c>
      <c r="D1872" s="9" t="s">
        <v>6742</v>
      </c>
      <c r="E1872" s="9" t="s">
        <v>2199</v>
      </c>
      <c r="F1872" s="9" t="s">
        <v>2200</v>
      </c>
      <c r="G1872" s="9" t="s">
        <v>12</v>
      </c>
      <c r="H1872" s="9" t="s">
        <v>6183</v>
      </c>
      <c r="I1872" s="9"/>
      <c r="J1872" s="9" t="s">
        <v>73</v>
      </c>
      <c r="K1872" s="9"/>
      <c r="L1872" s="9"/>
      <c r="M1872" s="9" t="s">
        <v>2201</v>
      </c>
      <c r="N1872" s="9"/>
      <c r="O1872" s="9" t="s">
        <v>2202</v>
      </c>
      <c r="P1872" s="9" t="str">
        <f>HYPERLINK("https://ceds.ed.gov/cedselementdetails.aspx?termid=13343")</f>
        <v>https://ceds.ed.gov/cedselementdetails.aspx?termid=13343</v>
      </c>
      <c r="Q1872" s="9" t="str">
        <f>HYPERLINK("https://ceds.ed.gov/elementComment.aspx?elementName=Degree or Certificate Conferring Date &amp;elementID=13343", "Click here to submit comment")</f>
        <v>Click here to submit comment</v>
      </c>
    </row>
    <row r="1873" spans="1:17" ht="75" x14ac:dyDescent="0.25">
      <c r="A1873" s="9" t="s">
        <v>6811</v>
      </c>
      <c r="B1873" s="9" t="s">
        <v>6844</v>
      </c>
      <c r="C1873" s="9" t="s">
        <v>6774</v>
      </c>
      <c r="D1873" s="9" t="s">
        <v>6742</v>
      </c>
      <c r="E1873" s="9" t="s">
        <v>4416</v>
      </c>
      <c r="F1873" s="9" t="s">
        <v>4417</v>
      </c>
      <c r="G1873" s="9" t="s">
        <v>12</v>
      </c>
      <c r="H1873" s="9" t="s">
        <v>182</v>
      </c>
      <c r="I1873" s="9"/>
      <c r="J1873" s="9" t="s">
        <v>1513</v>
      </c>
      <c r="K1873" s="9"/>
      <c r="L1873" s="9"/>
      <c r="M1873" s="9" t="s">
        <v>4418</v>
      </c>
      <c r="N1873" s="9"/>
      <c r="O1873" s="9" t="s">
        <v>4419</v>
      </c>
      <c r="P1873" s="9" t="str">
        <f>HYPERLINK("https://ceds.ed.gov/cedselementdetails.aspx?termid=13815")</f>
        <v>https://ceds.ed.gov/cedselementdetails.aspx?termid=13815</v>
      </c>
      <c r="Q1873" s="9" t="str">
        <f>HYPERLINK("https://ceds.ed.gov/elementComment.aspx?elementName=Number of School-age Education Postsecondary Credit Hours &amp;elementID=13815", "Click here to submit comment")</f>
        <v>Click here to submit comment</v>
      </c>
    </row>
    <row r="1874" spans="1:17" ht="75" x14ac:dyDescent="0.25">
      <c r="A1874" s="9" t="s">
        <v>6811</v>
      </c>
      <c r="B1874" s="9" t="s">
        <v>6844</v>
      </c>
      <c r="C1874" s="9" t="s">
        <v>6774</v>
      </c>
      <c r="D1874" s="9" t="s">
        <v>6742</v>
      </c>
      <c r="E1874" s="9" t="s">
        <v>5588</v>
      </c>
      <c r="F1874" s="9" t="s">
        <v>5589</v>
      </c>
      <c r="G1874" s="9" t="s">
        <v>12</v>
      </c>
      <c r="H1874" s="9" t="s">
        <v>182</v>
      </c>
      <c r="I1874" s="9"/>
      <c r="J1874" s="9" t="s">
        <v>73</v>
      </c>
      <c r="K1874" s="9"/>
      <c r="L1874" s="9"/>
      <c r="M1874" s="9" t="s">
        <v>5590</v>
      </c>
      <c r="N1874" s="9"/>
      <c r="O1874" s="9" t="s">
        <v>5591</v>
      </c>
      <c r="P1874" s="9" t="str">
        <f>HYPERLINK("https://ceds.ed.gov/cedselementdetails.aspx?termid=13792")</f>
        <v>https://ceds.ed.gov/cedselementdetails.aspx?termid=13792</v>
      </c>
      <c r="Q1874" s="9" t="str">
        <f>HYPERLINK("https://ceds.ed.gov/elementComment.aspx?elementName=Staff Education Entry Date &amp;elementID=13792", "Click here to submit comment")</f>
        <v>Click here to submit comment</v>
      </c>
    </row>
    <row r="1875" spans="1:17" ht="75" x14ac:dyDescent="0.25">
      <c r="A1875" s="9" t="s">
        <v>6811</v>
      </c>
      <c r="B1875" s="9" t="s">
        <v>6844</v>
      </c>
      <c r="C1875" s="9" t="s">
        <v>6774</v>
      </c>
      <c r="D1875" s="9" t="s">
        <v>6742</v>
      </c>
      <c r="E1875" s="9" t="s">
        <v>5592</v>
      </c>
      <c r="F1875" s="9" t="s">
        <v>5593</v>
      </c>
      <c r="G1875" s="9" t="s">
        <v>12</v>
      </c>
      <c r="H1875" s="9" t="s">
        <v>182</v>
      </c>
      <c r="I1875" s="9"/>
      <c r="J1875" s="9" t="s">
        <v>73</v>
      </c>
      <c r="K1875" s="9"/>
      <c r="L1875" s="9"/>
      <c r="M1875" s="9" t="s">
        <v>5594</v>
      </c>
      <c r="N1875" s="9"/>
      <c r="O1875" s="9" t="s">
        <v>5595</v>
      </c>
      <c r="P1875" s="9" t="str">
        <f>HYPERLINK("https://ceds.ed.gov/cedselementdetails.aspx?termid=13793")</f>
        <v>https://ceds.ed.gov/cedselementdetails.aspx?termid=13793</v>
      </c>
      <c r="Q1875" s="9" t="str">
        <f>HYPERLINK("https://ceds.ed.gov/elementComment.aspx?elementName=Staff Education Withdrawal Date &amp;elementID=13793", "Click here to submit comment")</f>
        <v>Click here to submit comment</v>
      </c>
    </row>
    <row r="1876" spans="1:17" ht="90" x14ac:dyDescent="0.25">
      <c r="A1876" s="9" t="s">
        <v>6811</v>
      </c>
      <c r="B1876" s="9" t="s">
        <v>6844</v>
      </c>
      <c r="C1876" s="9" t="s">
        <v>6774</v>
      </c>
      <c r="D1876" s="9" t="s">
        <v>6742</v>
      </c>
      <c r="E1876" s="9" t="s">
        <v>2576</v>
      </c>
      <c r="F1876" s="9" t="s">
        <v>2577</v>
      </c>
      <c r="G1876" s="10" t="s">
        <v>6483</v>
      </c>
      <c r="H1876" s="9"/>
      <c r="I1876" s="9"/>
      <c r="J1876" s="9"/>
      <c r="K1876" s="9"/>
      <c r="L1876" s="9"/>
      <c r="M1876" s="9" t="s">
        <v>2578</v>
      </c>
      <c r="N1876" s="9"/>
      <c r="O1876" s="9" t="s">
        <v>2579</v>
      </c>
      <c r="P1876" s="9" t="str">
        <f>HYPERLINK("https://ceds.ed.gov/cedselementdetails.aspx?termid=14586")</f>
        <v>https://ceds.ed.gov/cedselementdetails.aspx?termid=14586</v>
      </c>
      <c r="Q1876" s="9" t="str">
        <f>HYPERLINK("https://ceds.ed.gov/elementComment.aspx?elementName=Education Verification Method &amp;elementID=14586", "Click here to submit comment")</f>
        <v>Click here to submit comment</v>
      </c>
    </row>
    <row r="1877" spans="1:17" ht="375" x14ac:dyDescent="0.25">
      <c r="A1877" s="9" t="s">
        <v>6811</v>
      </c>
      <c r="B1877" s="9" t="s">
        <v>6844</v>
      </c>
      <c r="C1877" s="9" t="s">
        <v>6819</v>
      </c>
      <c r="D1877" s="9" t="s">
        <v>6742</v>
      </c>
      <c r="E1877" s="9" t="s">
        <v>5837</v>
      </c>
      <c r="F1877" s="9" t="s">
        <v>5838</v>
      </c>
      <c r="G1877" s="10" t="s">
        <v>6715</v>
      </c>
      <c r="H1877" s="9"/>
      <c r="I1877" s="9"/>
      <c r="J1877" s="9"/>
      <c r="K1877" s="9"/>
      <c r="L1877" s="9"/>
      <c r="M1877" s="9" t="s">
        <v>5839</v>
      </c>
      <c r="N1877" s="9"/>
      <c r="O1877" s="9" t="s">
        <v>5840</v>
      </c>
      <c r="P1877" s="9" t="str">
        <f>HYPERLINK("https://ceds.ed.gov/cedselementdetails.aspx?termid=14467")</f>
        <v>https://ceds.ed.gov/cedselementdetails.aspx?termid=14467</v>
      </c>
      <c r="Q1877" s="9" t="str">
        <f>HYPERLINK("https://ceds.ed.gov/elementComment.aspx?elementName=Technical Assistance Type &amp;elementID=14467", "Click here to submit comment")</f>
        <v>Click here to submit comment</v>
      </c>
    </row>
    <row r="1878" spans="1:17" ht="45" x14ac:dyDescent="0.25">
      <c r="A1878" s="9" t="s">
        <v>6811</v>
      </c>
      <c r="B1878" s="9" t="s">
        <v>6844</v>
      </c>
      <c r="C1878" s="9" t="s">
        <v>6819</v>
      </c>
      <c r="D1878" s="9" t="s">
        <v>6742</v>
      </c>
      <c r="E1878" s="9" t="s">
        <v>5829</v>
      </c>
      <c r="F1878" s="9" t="s">
        <v>5830</v>
      </c>
      <c r="G1878" s="9" t="s">
        <v>6106</v>
      </c>
      <c r="H1878" s="9"/>
      <c r="I1878" s="9"/>
      <c r="J1878" s="9"/>
      <c r="K1878" s="9"/>
      <c r="L1878" s="9"/>
      <c r="M1878" s="9" t="s">
        <v>5831</v>
      </c>
      <c r="N1878" s="9"/>
      <c r="O1878" s="9" t="s">
        <v>5832</v>
      </c>
      <c r="P1878" s="9" t="str">
        <f>HYPERLINK("https://ceds.ed.gov/cedselementdetails.aspx?termid=14465")</f>
        <v>https://ceds.ed.gov/cedselementdetails.aspx?termid=14465</v>
      </c>
      <c r="Q1878" s="9" t="str">
        <f>HYPERLINK("https://ceds.ed.gov/elementComment.aspx?elementName=Technical Assistance Approved Indicator &amp;elementID=14465", "Click here to submit comment")</f>
        <v>Click here to submit comment</v>
      </c>
    </row>
    <row r="1879" spans="1:17" ht="75" x14ac:dyDescent="0.25">
      <c r="A1879" s="9" t="s">
        <v>6811</v>
      </c>
      <c r="B1879" s="9" t="s">
        <v>6844</v>
      </c>
      <c r="C1879" s="9" t="s">
        <v>6819</v>
      </c>
      <c r="D1879" s="9" t="s">
        <v>6742</v>
      </c>
      <c r="E1879" s="9" t="s">
        <v>5833</v>
      </c>
      <c r="F1879" s="9" t="s">
        <v>5834</v>
      </c>
      <c r="G1879" s="10" t="s">
        <v>6655</v>
      </c>
      <c r="H1879" s="9"/>
      <c r="I1879" s="9"/>
      <c r="J1879" s="9"/>
      <c r="K1879" s="9"/>
      <c r="L1879" s="9"/>
      <c r="M1879" s="9" t="s">
        <v>5835</v>
      </c>
      <c r="N1879" s="9"/>
      <c r="O1879" s="9" t="s">
        <v>5836</v>
      </c>
      <c r="P1879" s="9" t="str">
        <f>HYPERLINK("https://ceds.ed.gov/cedselementdetails.aspx?termid=14466")</f>
        <v>https://ceds.ed.gov/cedselementdetails.aspx?termid=14466</v>
      </c>
      <c r="Q1879" s="9" t="str">
        <f>HYPERLINK("https://ceds.ed.gov/elementComment.aspx?elementName=Technical Assistance Delivery Type &amp;elementID=14466", "Click here to submit comment")</f>
        <v>Click here to submit comment</v>
      </c>
    </row>
    <row r="1880" spans="1:17" ht="105" x14ac:dyDescent="0.25">
      <c r="A1880" s="18" t="s">
        <v>6811</v>
      </c>
      <c r="B1880" s="18" t="s">
        <v>6846</v>
      </c>
      <c r="C1880" s="18"/>
      <c r="D1880" s="18" t="s">
        <v>6742</v>
      </c>
      <c r="E1880" s="18" t="s">
        <v>1982</v>
      </c>
      <c r="F1880" s="18" t="s">
        <v>1983</v>
      </c>
      <c r="G1880" s="18" t="s">
        <v>12</v>
      </c>
      <c r="H1880" s="18" t="s">
        <v>6176</v>
      </c>
      <c r="I1880" s="18"/>
      <c r="J1880" s="18" t="s">
        <v>119</v>
      </c>
      <c r="K1880" s="18"/>
      <c r="L1880" s="9" t="s">
        <v>120</v>
      </c>
      <c r="M1880" s="18" t="s">
        <v>1984</v>
      </c>
      <c r="N1880" s="18"/>
      <c r="O1880" s="18" t="s">
        <v>1985</v>
      </c>
      <c r="P1880" s="18" t="str">
        <f>HYPERLINK("https://ceds.ed.gov/cedselementdetails.aspx?termid=13055")</f>
        <v>https://ceds.ed.gov/cedselementdetails.aspx?termid=13055</v>
      </c>
      <c r="Q1880" s="18" t="str">
        <f>HYPERLINK("https://ceds.ed.gov/elementComment.aspx?elementName=Course Identifier &amp;elementID=13055", "Click here to submit comment")</f>
        <v>Click here to submit comment</v>
      </c>
    </row>
    <row r="1881" spans="1:17" x14ac:dyDescent="0.25">
      <c r="A1881" s="18"/>
      <c r="B1881" s="18"/>
      <c r="C1881" s="18"/>
      <c r="D1881" s="18"/>
      <c r="E1881" s="18"/>
      <c r="F1881" s="18"/>
      <c r="G1881" s="18"/>
      <c r="H1881" s="18"/>
      <c r="I1881" s="18"/>
      <c r="J1881" s="18"/>
      <c r="K1881" s="18"/>
      <c r="L1881" s="9"/>
      <c r="M1881" s="18"/>
      <c r="N1881" s="18"/>
      <c r="O1881" s="18"/>
      <c r="P1881" s="18"/>
      <c r="Q1881" s="18"/>
    </row>
    <row r="1882" spans="1:17" ht="90" x14ac:dyDescent="0.25">
      <c r="A1882" s="18"/>
      <c r="B1882" s="18"/>
      <c r="C1882" s="18"/>
      <c r="D1882" s="18"/>
      <c r="E1882" s="18"/>
      <c r="F1882" s="18"/>
      <c r="G1882" s="18"/>
      <c r="H1882" s="18"/>
      <c r="I1882" s="18"/>
      <c r="J1882" s="18"/>
      <c r="K1882" s="18"/>
      <c r="L1882" s="9" t="s">
        <v>121</v>
      </c>
      <c r="M1882" s="18"/>
      <c r="N1882" s="18"/>
      <c r="O1882" s="18"/>
      <c r="P1882" s="18"/>
      <c r="Q1882" s="18"/>
    </row>
    <row r="1883" spans="1:17" ht="195" x14ac:dyDescent="0.25">
      <c r="A1883" s="9" t="s">
        <v>6811</v>
      </c>
      <c r="B1883" s="9" t="s">
        <v>6846</v>
      </c>
      <c r="C1883" s="9"/>
      <c r="D1883" s="9" t="s">
        <v>6742</v>
      </c>
      <c r="E1883" s="9" t="s">
        <v>1933</v>
      </c>
      <c r="F1883" s="9" t="s">
        <v>1934</v>
      </c>
      <c r="G1883" s="10" t="s">
        <v>6421</v>
      </c>
      <c r="H1883" s="9" t="s">
        <v>6150</v>
      </c>
      <c r="I1883" s="9"/>
      <c r="J1883" s="9"/>
      <c r="K1883" s="9"/>
      <c r="L1883" s="9"/>
      <c r="M1883" s="9" t="s">
        <v>1935</v>
      </c>
      <c r="N1883" s="9"/>
      <c r="O1883" s="9" t="s">
        <v>1936</v>
      </c>
      <c r="P1883" s="9" t="str">
        <f>HYPERLINK("https://ceds.ed.gov/cedselementdetails.aspx?termid=13056")</f>
        <v>https://ceds.ed.gov/cedselementdetails.aspx?termid=13056</v>
      </c>
      <c r="Q1883" s="9" t="str">
        <f>HYPERLINK("https://ceds.ed.gov/elementComment.aspx?elementName=Course Code System &amp;elementID=13056", "Click here to submit comment")</f>
        <v>Click here to submit comment</v>
      </c>
    </row>
    <row r="1884" spans="1:17" ht="225" x14ac:dyDescent="0.25">
      <c r="A1884" s="9" t="s">
        <v>6811</v>
      </c>
      <c r="B1884" s="9" t="s">
        <v>6846</v>
      </c>
      <c r="C1884" s="9"/>
      <c r="D1884" s="9" t="s">
        <v>6742</v>
      </c>
      <c r="E1884" s="9" t="s">
        <v>2091</v>
      </c>
      <c r="F1884" s="9" t="s">
        <v>2092</v>
      </c>
      <c r="G1884" s="9" t="s">
        <v>12</v>
      </c>
      <c r="H1884" s="9" t="s">
        <v>6150</v>
      </c>
      <c r="I1884" s="9"/>
      <c r="J1884" s="9" t="s">
        <v>92</v>
      </c>
      <c r="K1884" s="9"/>
      <c r="L1884" s="9"/>
      <c r="M1884" s="9" t="s">
        <v>2093</v>
      </c>
      <c r="N1884" s="9"/>
      <c r="O1884" s="9" t="s">
        <v>2094</v>
      </c>
      <c r="P1884" s="9" t="str">
        <f>HYPERLINK("https://ceds.ed.gov/cedselementdetails.aspx?termid=13067")</f>
        <v>https://ceds.ed.gov/cedselementdetails.aspx?termid=13067</v>
      </c>
      <c r="Q1884" s="9" t="str">
        <f>HYPERLINK("https://ceds.ed.gov/elementComment.aspx?elementName=Course Title &amp;elementID=13067", "Click here to submit comment")</f>
        <v>Click here to submit comment</v>
      </c>
    </row>
    <row r="1885" spans="1:17" ht="45" x14ac:dyDescent="0.25">
      <c r="A1885" s="9" t="s">
        <v>6811</v>
      </c>
      <c r="B1885" s="9" t="s">
        <v>6846</v>
      </c>
      <c r="C1885" s="9"/>
      <c r="D1885" s="9" t="s">
        <v>6742</v>
      </c>
      <c r="E1885" s="9" t="s">
        <v>1955</v>
      </c>
      <c r="F1885" s="9" t="s">
        <v>1956</v>
      </c>
      <c r="G1885" s="9" t="s">
        <v>12</v>
      </c>
      <c r="H1885" s="9"/>
      <c r="I1885" s="9"/>
      <c r="J1885" s="9" t="s">
        <v>92</v>
      </c>
      <c r="K1885" s="9"/>
      <c r="L1885" s="9"/>
      <c r="M1885" s="9" t="s">
        <v>1957</v>
      </c>
      <c r="N1885" s="9"/>
      <c r="O1885" s="9" t="s">
        <v>1958</v>
      </c>
      <c r="P1885" s="9" t="str">
        <f>HYPERLINK("https://ceds.ed.gov/cedselementdetails.aspx?termid=13508")</f>
        <v>https://ceds.ed.gov/cedselementdetails.aspx?termid=13508</v>
      </c>
      <c r="Q1885" s="9" t="str">
        <f>HYPERLINK("https://ceds.ed.gov/elementComment.aspx?elementName=Course Description &amp;elementID=13508", "Click here to submit comment")</f>
        <v>Click here to submit comment</v>
      </c>
    </row>
    <row r="1886" spans="1:17" ht="45" x14ac:dyDescent="0.25">
      <c r="A1886" s="9" t="s">
        <v>6811</v>
      </c>
      <c r="B1886" s="9" t="s">
        <v>6846</v>
      </c>
      <c r="C1886" s="9"/>
      <c r="D1886" s="9" t="s">
        <v>6742</v>
      </c>
      <c r="E1886" s="9" t="s">
        <v>1951</v>
      </c>
      <c r="F1886" s="9" t="s">
        <v>1952</v>
      </c>
      <c r="G1886" s="9" t="s">
        <v>12</v>
      </c>
      <c r="H1886" s="9"/>
      <c r="I1886" s="9"/>
      <c r="J1886" s="9" t="s">
        <v>92</v>
      </c>
      <c r="K1886" s="9"/>
      <c r="L1886" s="9"/>
      <c r="M1886" s="9" t="s">
        <v>1953</v>
      </c>
      <c r="N1886" s="9"/>
      <c r="O1886" s="9" t="s">
        <v>1954</v>
      </c>
      <c r="P1886" s="9" t="str">
        <f>HYPERLINK("https://ceds.ed.gov/cedselementdetails.aspx?termid=14525")</f>
        <v>https://ceds.ed.gov/cedselementdetails.aspx?termid=14525</v>
      </c>
      <c r="Q1886" s="9" t="str">
        <f>HYPERLINK("https://ceds.ed.gov/elementComment.aspx?elementName=Course Department Name &amp;elementID=14525", "Click here to submit comment")</f>
        <v>Click here to submit comment</v>
      </c>
    </row>
    <row r="1887" spans="1:17" ht="165" x14ac:dyDescent="0.25">
      <c r="A1887" s="9" t="s">
        <v>6811</v>
      </c>
      <c r="B1887" s="9" t="s">
        <v>6846</v>
      </c>
      <c r="C1887" s="9"/>
      <c r="D1887" s="9" t="s">
        <v>6742</v>
      </c>
      <c r="E1887" s="9" t="s">
        <v>1945</v>
      </c>
      <c r="F1887" s="9" t="s">
        <v>1946</v>
      </c>
      <c r="G1887" s="10" t="s">
        <v>6424</v>
      </c>
      <c r="H1887" s="9" t="s">
        <v>25</v>
      </c>
      <c r="I1887" s="9"/>
      <c r="J1887" s="9"/>
      <c r="K1887" s="9"/>
      <c r="L1887" s="9"/>
      <c r="M1887" s="9" t="s">
        <v>1947</v>
      </c>
      <c r="N1887" s="9"/>
      <c r="O1887" s="9" t="s">
        <v>1948</v>
      </c>
      <c r="P1887" s="9" t="str">
        <f>HYPERLINK("https://ceds.ed.gov/cedselementdetails.aspx?termid=13057")</f>
        <v>https://ceds.ed.gov/cedselementdetails.aspx?termid=13057</v>
      </c>
      <c r="Q1887" s="9" t="str">
        <f>HYPERLINK("https://ceds.ed.gov/elementComment.aspx?elementName=Course Credit Units &amp;elementID=13057", "Click here to submit comment")</f>
        <v>Click here to submit comment</v>
      </c>
    </row>
    <row r="1888" spans="1:17" ht="105" x14ac:dyDescent="0.25">
      <c r="A1888" s="9" t="s">
        <v>6811</v>
      </c>
      <c r="B1888" s="9" t="s">
        <v>6846</v>
      </c>
      <c r="C1888" s="9"/>
      <c r="D1888" s="9" t="s">
        <v>6742</v>
      </c>
      <c r="E1888" s="9" t="s">
        <v>11092</v>
      </c>
      <c r="F1888" s="9" t="s">
        <v>11093</v>
      </c>
      <c r="G1888" s="9" t="s">
        <v>12</v>
      </c>
      <c r="H1888" s="9" t="s">
        <v>25</v>
      </c>
      <c r="I1888" s="9"/>
      <c r="J1888" s="9" t="s">
        <v>1513</v>
      </c>
      <c r="K1888" s="9"/>
      <c r="L1888" s="9" t="s">
        <v>1949</v>
      </c>
      <c r="M1888" s="9" t="s">
        <v>1950</v>
      </c>
      <c r="N1888" s="9"/>
      <c r="O1888" s="9" t="s">
        <v>11095</v>
      </c>
      <c r="P1888" s="9" t="str">
        <f>HYPERLINK("https://ceds.ed.gov/cedselementdetails.aspx?termid=13058")</f>
        <v>https://ceds.ed.gov/cedselementdetails.aspx?termid=13058</v>
      </c>
      <c r="Q1888" s="9" t="str">
        <f>HYPERLINK("https://ceds.ed.gov/elementComment.aspx?elementName=Credit Value &amp;elementID=13058", "Click here to submit comment")</f>
        <v>Click here to submit comment</v>
      </c>
    </row>
    <row r="1889" spans="1:17" ht="255" x14ac:dyDescent="0.25">
      <c r="A1889" s="9" t="s">
        <v>6811</v>
      </c>
      <c r="B1889" s="9" t="s">
        <v>6846</v>
      </c>
      <c r="C1889" s="9"/>
      <c r="D1889" s="9" t="s">
        <v>6742</v>
      </c>
      <c r="E1889" s="9" t="s">
        <v>145</v>
      </c>
      <c r="F1889" s="9" t="s">
        <v>146</v>
      </c>
      <c r="G1889" s="10" t="s">
        <v>6318</v>
      </c>
      <c r="H1889" s="9"/>
      <c r="I1889" s="9"/>
      <c r="J1889" s="9"/>
      <c r="K1889" s="9"/>
      <c r="L1889" s="9"/>
      <c r="M1889" s="9" t="s">
        <v>147</v>
      </c>
      <c r="N1889" s="9"/>
      <c r="O1889" s="9" t="s">
        <v>148</v>
      </c>
      <c r="P1889" s="9" t="str">
        <f>HYPERLINK("https://ceds.ed.gov/cedselementdetails.aspx?termid=13589")</f>
        <v>https://ceds.ed.gov/cedselementdetails.aspx?termid=13589</v>
      </c>
      <c r="Q1889" s="9" t="str">
        <f>HYPERLINK("https://ceds.ed.gov/elementComment.aspx?elementName=Additional Credit Type &amp;elementID=13589", "Click here to submit comment")</f>
        <v>Click here to submit comment</v>
      </c>
    </row>
    <row r="1890" spans="1:17" ht="150" x14ac:dyDescent="0.25">
      <c r="A1890" s="9" t="s">
        <v>6811</v>
      </c>
      <c r="B1890" s="9" t="s">
        <v>6846</v>
      </c>
      <c r="C1890" s="9"/>
      <c r="D1890" s="9" t="s">
        <v>6742</v>
      </c>
      <c r="E1890" s="9" t="s">
        <v>1511</v>
      </c>
      <c r="F1890" s="9" t="s">
        <v>1512</v>
      </c>
      <c r="G1890" s="9" t="s">
        <v>12</v>
      </c>
      <c r="H1890" s="9" t="s">
        <v>6150</v>
      </c>
      <c r="I1890" s="9"/>
      <c r="J1890" s="9" t="s">
        <v>1513</v>
      </c>
      <c r="K1890" s="9"/>
      <c r="L1890" s="9"/>
      <c r="M1890" s="9" t="s">
        <v>1514</v>
      </c>
      <c r="N1890" s="9"/>
      <c r="O1890" s="9" t="s">
        <v>1515</v>
      </c>
      <c r="P1890" s="9" t="str">
        <f>HYPERLINK("https://ceds.ed.gov/cedselementdetails.aspx?termid=13030")</f>
        <v>https://ceds.ed.gov/cedselementdetails.aspx?termid=13030</v>
      </c>
      <c r="Q1890" s="9" t="str">
        <f>HYPERLINK("https://ceds.ed.gov/elementComment.aspx?elementName=Available Carnegie Unit Credit &amp;elementID=13030", "Click here to submit comment")</f>
        <v>Click here to submit comment</v>
      </c>
    </row>
    <row r="1891" spans="1:17" ht="120" x14ac:dyDescent="0.25">
      <c r="A1891" s="9" t="s">
        <v>6811</v>
      </c>
      <c r="B1891" s="9" t="s">
        <v>6846</v>
      </c>
      <c r="C1891" s="9"/>
      <c r="D1891" s="9" t="s">
        <v>6742</v>
      </c>
      <c r="E1891" s="9" t="s">
        <v>1973</v>
      </c>
      <c r="F1891" s="9" t="s">
        <v>1974</v>
      </c>
      <c r="G1891" s="10" t="s">
        <v>6425</v>
      </c>
      <c r="H1891" s="9" t="s">
        <v>6150</v>
      </c>
      <c r="I1891" s="9"/>
      <c r="J1891" s="9"/>
      <c r="K1891" s="9"/>
      <c r="L1891" s="9"/>
      <c r="M1891" s="9" t="s">
        <v>1975</v>
      </c>
      <c r="N1891" s="9" t="s">
        <v>1976</v>
      </c>
      <c r="O1891" s="9" t="s">
        <v>1977</v>
      </c>
      <c r="P1891" s="9" t="str">
        <f>HYPERLINK("https://ceds.ed.gov/cedselementdetails.aspx?termid=13060")</f>
        <v>https://ceds.ed.gov/cedselementdetails.aspx?termid=13060</v>
      </c>
      <c r="Q1891" s="9" t="str">
        <f>HYPERLINK("https://ceds.ed.gov/elementComment.aspx?elementName=Course Grade Point Average Applicability &amp;elementID=13060", "Click here to submit comment")</f>
        <v>Click here to submit comment</v>
      </c>
    </row>
    <row r="1892" spans="1:17" ht="330" x14ac:dyDescent="0.25">
      <c r="A1892" s="9" t="s">
        <v>6811</v>
      </c>
      <c r="B1892" s="9" t="s">
        <v>6846</v>
      </c>
      <c r="C1892" s="9"/>
      <c r="D1892" s="9" t="s">
        <v>6742</v>
      </c>
      <c r="E1892" s="9" t="s">
        <v>2003</v>
      </c>
      <c r="F1892" s="9" t="s">
        <v>2004</v>
      </c>
      <c r="G1892" s="10" t="s">
        <v>11840</v>
      </c>
      <c r="H1892" s="9" t="s">
        <v>6176</v>
      </c>
      <c r="I1892" s="9" t="s">
        <v>91</v>
      </c>
      <c r="J1892" s="9"/>
      <c r="K1892" s="9"/>
      <c r="L1892" s="9"/>
      <c r="M1892" s="9" t="s">
        <v>2005</v>
      </c>
      <c r="N1892" s="9"/>
      <c r="O1892" s="9" t="s">
        <v>2006</v>
      </c>
      <c r="P1892" s="9" t="str">
        <f>HYPERLINK("https://ceds.ed.gov/cedselementdetails.aspx?termid=13061")</f>
        <v>https://ceds.ed.gov/cedselementdetails.aspx?termid=13061</v>
      </c>
      <c r="Q1892" s="9" t="str">
        <f>HYPERLINK("https://ceds.ed.gov/elementComment.aspx?elementName=Course Level Characteristic &amp;elementID=13061", "Click here to submit comment")</f>
        <v>Click here to submit comment</v>
      </c>
    </row>
    <row r="1893" spans="1:17" ht="409.5" x14ac:dyDescent="0.25">
      <c r="A1893" s="9" t="s">
        <v>6811</v>
      </c>
      <c r="B1893" s="9" t="s">
        <v>6846</v>
      </c>
      <c r="C1893" s="9"/>
      <c r="D1893" s="9" t="s">
        <v>6742</v>
      </c>
      <c r="E1893" s="9" t="s">
        <v>1920</v>
      </c>
      <c r="F1893" s="9" t="s">
        <v>1921</v>
      </c>
      <c r="G1893" s="10" t="s">
        <v>6420</v>
      </c>
      <c r="H1893" s="9"/>
      <c r="I1893" s="9"/>
      <c r="J1893" s="9"/>
      <c r="K1893" s="9"/>
      <c r="L1893" s="9" t="s">
        <v>1922</v>
      </c>
      <c r="M1893" s="9" t="s">
        <v>1923</v>
      </c>
      <c r="N1893" s="9"/>
      <c r="O1893" s="9" t="s">
        <v>1924</v>
      </c>
      <c r="P1893" s="9" t="str">
        <f>HYPERLINK("https://ceds.ed.gov/cedselementdetails.aspx?termid=14267")</f>
        <v>https://ceds.ed.gov/cedselementdetails.aspx?termid=14267</v>
      </c>
      <c r="Q1893" s="9" t="str">
        <f>HYPERLINK("https://ceds.ed.gov/elementComment.aspx?elementName=Course Applicable Education Level &amp;elementID=14267", "Click here to submit comment")</f>
        <v>Click here to submit comment</v>
      </c>
    </row>
    <row r="1894" spans="1:17" ht="120" x14ac:dyDescent="0.25">
      <c r="A1894" s="9" t="s">
        <v>6811</v>
      </c>
      <c r="B1894" s="9" t="s">
        <v>6846</v>
      </c>
      <c r="C1894" s="9"/>
      <c r="D1894" s="9" t="s">
        <v>6742</v>
      </c>
      <c r="E1894" s="9" t="s">
        <v>3101</v>
      </c>
      <c r="F1894" s="9" t="s">
        <v>3102</v>
      </c>
      <c r="G1894" s="9" t="s">
        <v>6106</v>
      </c>
      <c r="H1894" s="9" t="s">
        <v>6150</v>
      </c>
      <c r="I1894" s="9"/>
      <c r="J1894" s="9"/>
      <c r="K1894" s="9"/>
      <c r="L1894" s="9"/>
      <c r="M1894" s="9" t="s">
        <v>3103</v>
      </c>
      <c r="N1894" s="9"/>
      <c r="O1894" s="9" t="s">
        <v>3104</v>
      </c>
      <c r="P1894" s="9" t="str">
        <f>HYPERLINK("https://ceds.ed.gov/cedselementdetails.aspx?termid=13137")</f>
        <v>https://ceds.ed.gov/cedselementdetails.aspx?termid=13137</v>
      </c>
      <c r="Q1894" s="9" t="str">
        <f>HYPERLINK("https://ceds.ed.gov/elementComment.aspx?elementName=High School Course Requirement &amp;elementID=13137", "Click here to submit comment")</f>
        <v>Click here to submit comment</v>
      </c>
    </row>
    <row r="1895" spans="1:17" ht="45" x14ac:dyDescent="0.25">
      <c r="A1895" s="9" t="s">
        <v>6811</v>
      </c>
      <c r="B1895" s="9" t="s">
        <v>6846</v>
      </c>
      <c r="C1895" s="9"/>
      <c r="D1895" s="9" t="s">
        <v>6742</v>
      </c>
      <c r="E1895" s="9" t="s">
        <v>10945</v>
      </c>
      <c r="F1895" s="9" t="s">
        <v>10946</v>
      </c>
      <c r="G1895" s="9" t="s">
        <v>12</v>
      </c>
      <c r="H1895" s="9"/>
      <c r="I1895" s="9"/>
      <c r="J1895" s="9" t="s">
        <v>589</v>
      </c>
      <c r="K1895" s="9"/>
      <c r="L1895" s="9"/>
      <c r="M1895" s="9" t="s">
        <v>10947</v>
      </c>
      <c r="N1895" s="9"/>
      <c r="O1895" s="9" t="s">
        <v>10948</v>
      </c>
      <c r="P1895" s="9" t="str">
        <f>HYPERLINK("https://ceds.ed.gov/cedselementdetails.aspx?termid=14648")</f>
        <v>https://ceds.ed.gov/cedselementdetails.aspx?termid=14648</v>
      </c>
      <c r="Q1895" s="9" t="str">
        <f>HYPERLINK("https://ceds.ed.gov/elementComment.aspx?elementName=Course Repeatability Maximum Number &amp;elementID=14648", "Click here to submit comment")</f>
        <v>Click here to submit comment</v>
      </c>
    </row>
    <row r="1896" spans="1:17" ht="75" x14ac:dyDescent="0.25">
      <c r="A1896" s="9" t="s">
        <v>6811</v>
      </c>
      <c r="B1896" s="9" t="s">
        <v>6846</v>
      </c>
      <c r="C1896" s="9"/>
      <c r="D1896" s="9" t="s">
        <v>6742</v>
      </c>
      <c r="E1896" s="9" t="s">
        <v>3567</v>
      </c>
      <c r="F1896" s="9" t="s">
        <v>3568</v>
      </c>
      <c r="G1896" s="10" t="s">
        <v>6569</v>
      </c>
      <c r="H1896" s="9"/>
      <c r="I1896" s="9"/>
      <c r="J1896" s="9"/>
      <c r="K1896" s="9"/>
      <c r="L1896" s="9"/>
      <c r="M1896" s="9" t="s">
        <v>3570</v>
      </c>
      <c r="N1896" s="9"/>
      <c r="O1896" s="9" t="s">
        <v>3571</v>
      </c>
      <c r="P1896" s="9" t="str">
        <f>HYPERLINK("https://ceds.ed.gov/cedselementdetails.aspx?termid=14355")</f>
        <v>https://ceds.ed.gov/cedselementdetails.aspx?termid=14355</v>
      </c>
      <c r="Q1896" s="9" t="str">
        <f>HYPERLINK("https://ceds.ed.gov/elementComment.aspx?elementName=K12 End of Course Requirement &amp;elementID=14355", "Click here to submit comment")</f>
        <v>Click here to submit comment</v>
      </c>
    </row>
    <row r="1897" spans="1:17" ht="45" x14ac:dyDescent="0.25">
      <c r="A1897" s="9" t="s">
        <v>6811</v>
      </c>
      <c r="B1897" s="9" t="s">
        <v>6846</v>
      </c>
      <c r="C1897" s="9"/>
      <c r="D1897" s="9" t="s">
        <v>6742</v>
      </c>
      <c r="E1897" s="9" t="s">
        <v>1868</v>
      </c>
      <c r="F1897" s="9" t="s">
        <v>1869</v>
      </c>
      <c r="G1897" s="9" t="s">
        <v>6106</v>
      </c>
      <c r="H1897" s="9"/>
      <c r="I1897" s="9"/>
      <c r="J1897" s="9"/>
      <c r="K1897" s="9"/>
      <c r="L1897" s="9"/>
      <c r="M1897" s="9" t="s">
        <v>1870</v>
      </c>
      <c r="N1897" s="9"/>
      <c r="O1897" s="9" t="s">
        <v>1871</v>
      </c>
      <c r="P1897" s="9" t="str">
        <f>HYPERLINK("https://ceds.ed.gov/cedselementdetails.aspx?termid=13509")</f>
        <v>https://ceds.ed.gov/cedselementdetails.aspx?termid=13509</v>
      </c>
      <c r="Q1897" s="9" t="str">
        <f>HYPERLINK("https://ceds.ed.gov/elementComment.aspx?elementName=Core Academic Course &amp;elementID=13509", "Click here to submit comment")</f>
        <v>Click here to submit comment</v>
      </c>
    </row>
    <row r="1898" spans="1:17" ht="150" x14ac:dyDescent="0.25">
      <c r="A1898" s="9" t="s">
        <v>6811</v>
      </c>
      <c r="B1898" s="9" t="s">
        <v>6846</v>
      </c>
      <c r="C1898" s="9"/>
      <c r="D1898" s="9" t="s">
        <v>6742</v>
      </c>
      <c r="E1898" s="9" t="s">
        <v>2164</v>
      </c>
      <c r="F1898" s="9" t="s">
        <v>2165</v>
      </c>
      <c r="G1898" s="10" t="s">
        <v>6438</v>
      </c>
      <c r="H1898" s="9"/>
      <c r="I1898" s="9"/>
      <c r="J1898" s="9"/>
      <c r="K1898" s="9"/>
      <c r="L1898" s="9"/>
      <c r="M1898" s="9" t="s">
        <v>2166</v>
      </c>
      <c r="N1898" s="9"/>
      <c r="O1898" s="9" t="s">
        <v>2167</v>
      </c>
      <c r="P1898" s="9" t="str">
        <f>HYPERLINK("https://ceds.ed.gov/cedselementdetails.aspx?termid=13688")</f>
        <v>https://ceds.ed.gov/cedselementdetails.aspx?termid=13688</v>
      </c>
      <c r="Q1898" s="9" t="str">
        <f>HYPERLINK("https://ceds.ed.gov/elementComment.aspx?elementName=Curriculum Framework Type &amp;elementID=13688", "Click here to submit comment")</f>
        <v>Click here to submit comment</v>
      </c>
    </row>
    <row r="1899" spans="1:17" ht="45" x14ac:dyDescent="0.25">
      <c r="A1899" s="9" t="s">
        <v>6811</v>
      </c>
      <c r="B1899" s="9" t="s">
        <v>6846</v>
      </c>
      <c r="C1899" s="9"/>
      <c r="D1899" s="9" t="s">
        <v>6742</v>
      </c>
      <c r="E1899" s="9" t="s">
        <v>1916</v>
      </c>
      <c r="F1899" s="9" t="s">
        <v>1917</v>
      </c>
      <c r="G1899" s="9" t="s">
        <v>6106</v>
      </c>
      <c r="H1899" s="9"/>
      <c r="I1899" s="9"/>
      <c r="J1899" s="9"/>
      <c r="K1899" s="9"/>
      <c r="L1899" s="9"/>
      <c r="M1899" s="9" t="s">
        <v>1918</v>
      </c>
      <c r="N1899" s="9"/>
      <c r="O1899" s="9" t="s">
        <v>1919</v>
      </c>
      <c r="P1899" s="9" t="str">
        <f>HYPERLINK("https://ceds.ed.gov/cedselementdetails.aspx?termid=13013")</f>
        <v>https://ceds.ed.gov/cedselementdetails.aspx?termid=13013</v>
      </c>
      <c r="Q1899" s="9" t="str">
        <f>HYPERLINK("https://ceds.ed.gov/elementComment.aspx?elementName=Course Aligned with Standards &amp;elementID=13013", "Click here to submit comment")</f>
        <v>Click here to submit comment</v>
      </c>
    </row>
    <row r="1900" spans="1:17" ht="409.5" x14ac:dyDescent="0.25">
      <c r="A1900" s="9" t="s">
        <v>6811</v>
      </c>
      <c r="B1900" s="9" t="s">
        <v>6846</v>
      </c>
      <c r="C1900" s="9"/>
      <c r="D1900" s="9" t="s">
        <v>6742</v>
      </c>
      <c r="E1900" s="9" t="s">
        <v>281</v>
      </c>
      <c r="F1900" s="9" t="s">
        <v>282</v>
      </c>
      <c r="G1900" s="10" t="s">
        <v>6337</v>
      </c>
      <c r="H1900" s="9"/>
      <c r="I1900" s="9"/>
      <c r="J1900" s="9" t="s">
        <v>92</v>
      </c>
      <c r="K1900" s="9"/>
      <c r="L1900" s="9"/>
      <c r="M1900" s="9" t="s">
        <v>283</v>
      </c>
      <c r="N1900" s="9" t="s">
        <v>284</v>
      </c>
      <c r="O1900" s="9" t="s">
        <v>285</v>
      </c>
      <c r="P1900" s="9" t="str">
        <f>HYPERLINK("https://ceds.ed.gov/cedselementdetails.aspx?termid=14244")</f>
        <v>https://ceds.ed.gov/cedselementdetails.aspx?termid=14244</v>
      </c>
      <c r="Q1900" s="9" t="str">
        <f>HYPERLINK("https://ceds.ed.gov/elementComment.aspx?elementName=Advanced Placement Course Code &amp;elementID=14244", "Click here to submit comment")</f>
        <v>Click here to submit comment</v>
      </c>
    </row>
    <row r="1901" spans="1:17" ht="105" customHeight="1" x14ac:dyDescent="0.25">
      <c r="A1901" s="18" t="s">
        <v>6811</v>
      </c>
      <c r="B1901" s="18" t="s">
        <v>6846</v>
      </c>
      <c r="C1901" s="18"/>
      <c r="D1901" s="18" t="s">
        <v>6742</v>
      </c>
      <c r="E1901" s="18" t="s">
        <v>1542</v>
      </c>
      <c r="F1901" s="18" t="s">
        <v>1543</v>
      </c>
      <c r="G1901" s="19" t="s">
        <v>6393</v>
      </c>
      <c r="H1901" s="18"/>
      <c r="I1901" s="18"/>
      <c r="J1901" s="18"/>
      <c r="K1901" s="18"/>
      <c r="L1901" s="9" t="s">
        <v>1544</v>
      </c>
      <c r="M1901" s="18" t="s">
        <v>1546</v>
      </c>
      <c r="N1901" s="18"/>
      <c r="O1901" s="18" t="s">
        <v>1547</v>
      </c>
      <c r="P1901" s="18" t="str">
        <f>HYPERLINK("https://ceds.ed.gov/cedselementdetails.aspx?termid=14253")</f>
        <v>https://ceds.ed.gov/cedselementdetails.aspx?termid=14253</v>
      </c>
      <c r="Q1901" s="18" t="str">
        <f>HYPERLINK("https://ceds.ed.gov/elementComment.aspx?elementName=Blended Learning Model Type &amp;elementID=14253", "Click here to submit comment")</f>
        <v>Click here to submit comment</v>
      </c>
    </row>
    <row r="1902" spans="1:17" x14ac:dyDescent="0.25">
      <c r="A1902" s="18"/>
      <c r="B1902" s="18"/>
      <c r="C1902" s="18"/>
      <c r="D1902" s="18"/>
      <c r="E1902" s="18"/>
      <c r="F1902" s="18"/>
      <c r="G1902" s="18"/>
      <c r="H1902" s="18"/>
      <c r="I1902" s="18"/>
      <c r="J1902" s="18"/>
      <c r="K1902" s="18"/>
      <c r="L1902" s="9"/>
      <c r="M1902" s="18"/>
      <c r="N1902" s="18"/>
      <c r="O1902" s="18"/>
      <c r="P1902" s="18"/>
      <c r="Q1902" s="18"/>
    </row>
    <row r="1903" spans="1:17" ht="45" x14ac:dyDescent="0.25">
      <c r="A1903" s="18"/>
      <c r="B1903" s="18"/>
      <c r="C1903" s="18"/>
      <c r="D1903" s="18"/>
      <c r="E1903" s="18"/>
      <c r="F1903" s="18"/>
      <c r="G1903" s="18"/>
      <c r="H1903" s="18"/>
      <c r="I1903" s="18"/>
      <c r="J1903" s="18"/>
      <c r="K1903" s="18"/>
      <c r="L1903" s="9" t="s">
        <v>1545</v>
      </c>
      <c r="M1903" s="18"/>
      <c r="N1903" s="18"/>
      <c r="O1903" s="18"/>
      <c r="P1903" s="18"/>
      <c r="Q1903" s="18"/>
    </row>
    <row r="1904" spans="1:17" ht="360" x14ac:dyDescent="0.25">
      <c r="A1904" s="9" t="s">
        <v>6811</v>
      </c>
      <c r="B1904" s="9" t="s">
        <v>6846</v>
      </c>
      <c r="C1904" s="9"/>
      <c r="D1904" s="9" t="s">
        <v>6742</v>
      </c>
      <c r="E1904" s="9" t="s">
        <v>1627</v>
      </c>
      <c r="F1904" s="9" t="s">
        <v>1628</v>
      </c>
      <c r="G1904" s="10" t="s">
        <v>6396</v>
      </c>
      <c r="H1904" s="9"/>
      <c r="I1904" s="9"/>
      <c r="J1904" s="9"/>
      <c r="K1904" s="9"/>
      <c r="L1904" s="9" t="s">
        <v>1629</v>
      </c>
      <c r="M1904" s="9" t="s">
        <v>1630</v>
      </c>
      <c r="N1904" s="9"/>
      <c r="O1904" s="9" t="s">
        <v>1631</v>
      </c>
      <c r="P1904" s="9" t="str">
        <f>HYPERLINK("https://ceds.ed.gov/cedselementdetails.aspx?termid=14254")</f>
        <v>https://ceds.ed.gov/cedselementdetails.aspx?termid=14254</v>
      </c>
      <c r="Q1904" s="9" t="str">
        <f>HYPERLINK("https://ceds.ed.gov/elementComment.aspx?elementName=Career Cluster &amp;elementID=14254", "Click here to submit comment")</f>
        <v>Click here to submit comment</v>
      </c>
    </row>
    <row r="1905" spans="1:17" ht="240" x14ac:dyDescent="0.25">
      <c r="A1905" s="9" t="s">
        <v>6811</v>
      </c>
      <c r="B1905" s="9" t="s">
        <v>6846</v>
      </c>
      <c r="C1905" s="9"/>
      <c r="D1905" s="9" t="s">
        <v>6742</v>
      </c>
      <c r="E1905" s="9" t="s">
        <v>6080</v>
      </c>
      <c r="F1905" s="9" t="s">
        <v>6081</v>
      </c>
      <c r="G1905" s="10" t="s">
        <v>6737</v>
      </c>
      <c r="H1905" s="9"/>
      <c r="I1905" s="9"/>
      <c r="J1905" s="9"/>
      <c r="K1905" s="9"/>
      <c r="L1905" s="9"/>
      <c r="M1905" s="9" t="s">
        <v>6082</v>
      </c>
      <c r="N1905" s="9"/>
      <c r="O1905" s="9" t="s">
        <v>6083</v>
      </c>
      <c r="P1905" s="9" t="str">
        <f>HYPERLINK("https://ceds.ed.gov/cedselementdetails.aspx?termid=14471")</f>
        <v>https://ceds.ed.gov/cedselementdetails.aspx?termid=14471</v>
      </c>
      <c r="Q1905" s="9" t="str">
        <f>HYPERLINK("https://ceds.ed.gov/elementComment.aspx?elementName=Work-based Learning Opportunity Type &amp;elementID=14471", "Click here to submit comment")</f>
        <v>Click here to submit comment</v>
      </c>
    </row>
    <row r="1906" spans="1:17" ht="45" x14ac:dyDescent="0.25">
      <c r="A1906" s="9" t="s">
        <v>6811</v>
      </c>
      <c r="B1906" s="9" t="s">
        <v>6846</v>
      </c>
      <c r="C1906" s="9"/>
      <c r="D1906" s="9" t="s">
        <v>6742</v>
      </c>
      <c r="E1906" s="9" t="s">
        <v>1929</v>
      </c>
      <c r="F1906" s="9" t="s">
        <v>1930</v>
      </c>
      <c r="G1906" s="9" t="s">
        <v>12</v>
      </c>
      <c r="H1906" s="9"/>
      <c r="I1906" s="9"/>
      <c r="J1906" s="9" t="s">
        <v>68</v>
      </c>
      <c r="K1906" s="9"/>
      <c r="L1906" s="9"/>
      <c r="M1906" s="9" t="s">
        <v>1931</v>
      </c>
      <c r="N1906" s="9"/>
      <c r="O1906" s="9" t="s">
        <v>1932</v>
      </c>
      <c r="P1906" s="9" t="str">
        <f>HYPERLINK("https://ceds.ed.gov/cedselementdetails.aspx?termid=14268")</f>
        <v>https://ceds.ed.gov/cedselementdetails.aspx?termid=14268</v>
      </c>
      <c r="Q1906" s="9" t="str">
        <f>HYPERLINK("https://ceds.ed.gov/elementComment.aspx?elementName=Course Certification Description &amp;elementID=14268", "Click here to submit comment")</f>
        <v>Click here to submit comment</v>
      </c>
    </row>
    <row r="1907" spans="1:17" ht="75" x14ac:dyDescent="0.25">
      <c r="A1907" s="9" t="s">
        <v>6811</v>
      </c>
      <c r="B1907" s="9" t="s">
        <v>6846</v>
      </c>
      <c r="C1907" s="9"/>
      <c r="D1907" s="9" t="s">
        <v>6742</v>
      </c>
      <c r="E1907" s="9" t="s">
        <v>0</v>
      </c>
      <c r="F1907" s="9" t="s">
        <v>1</v>
      </c>
      <c r="G1907" s="9" t="s">
        <v>6106</v>
      </c>
      <c r="H1907" s="9" t="s">
        <v>4</v>
      </c>
      <c r="I1907" s="9"/>
      <c r="J1907" s="9"/>
      <c r="K1907" s="9"/>
      <c r="L1907" s="9"/>
      <c r="M1907" s="9" t="s">
        <v>2</v>
      </c>
      <c r="N1907" s="9"/>
      <c r="O1907" s="9" t="s">
        <v>3</v>
      </c>
      <c r="P1907" s="9" t="str">
        <f>HYPERLINK("https://ceds.ed.gov/cedselementdetails.aspx?termid=13000")</f>
        <v>https://ceds.ed.gov/cedselementdetails.aspx?termid=13000</v>
      </c>
      <c r="Q1907" s="9" t="str">
        <f>HYPERLINK("https://ceds.ed.gov/elementComment.aspx?elementName=Ability Grouping Status &amp;elementID=13000", "Click here to submit comment")</f>
        <v>Click here to submit comment</v>
      </c>
    </row>
    <row r="1908" spans="1:17" ht="90" x14ac:dyDescent="0.25">
      <c r="A1908" s="9" t="s">
        <v>6811</v>
      </c>
      <c r="B1908" s="9" t="s">
        <v>6846</v>
      </c>
      <c r="C1908" s="9"/>
      <c r="D1908" s="9" t="s">
        <v>6742</v>
      </c>
      <c r="E1908" s="9" t="s">
        <v>3458</v>
      </c>
      <c r="F1908" s="9" t="s">
        <v>3459</v>
      </c>
      <c r="G1908" s="11" t="s">
        <v>966</v>
      </c>
      <c r="H1908" s="9" t="s">
        <v>188</v>
      </c>
      <c r="I1908" s="9"/>
      <c r="J1908" s="9"/>
      <c r="K1908" s="9"/>
      <c r="L1908" s="11" t="s">
        <v>967</v>
      </c>
      <c r="M1908" s="9" t="s">
        <v>3460</v>
      </c>
      <c r="N1908" s="9"/>
      <c r="O1908" s="9" t="s">
        <v>3461</v>
      </c>
      <c r="P1908" s="9" t="str">
        <f>HYPERLINK("https://ceds.ed.gov/cedselementdetails.aspx?termid=13438")</f>
        <v>https://ceds.ed.gov/cedselementdetails.aspx?termid=13438</v>
      </c>
      <c r="Q1908" s="9" t="str">
        <f>HYPERLINK("https://ceds.ed.gov/elementComment.aspx?elementName=Instruction Language &amp;elementID=13438", "Click here to submit comment")</f>
        <v>Click here to submit comment</v>
      </c>
    </row>
    <row r="1909" spans="1:17" ht="45" x14ac:dyDescent="0.25">
      <c r="A1909" s="9" t="s">
        <v>6811</v>
      </c>
      <c r="B1909" s="9" t="s">
        <v>6846</v>
      </c>
      <c r="C1909" s="9"/>
      <c r="D1909" s="9" t="s">
        <v>6742</v>
      </c>
      <c r="E1909" s="9" t="s">
        <v>1998</v>
      </c>
      <c r="F1909" s="9" t="s">
        <v>1999</v>
      </c>
      <c r="G1909" s="10" t="s">
        <v>6429</v>
      </c>
      <c r="H1909" s="9"/>
      <c r="I1909" s="9"/>
      <c r="J1909" s="9"/>
      <c r="K1909" s="9"/>
      <c r="L1909" s="9" t="s">
        <v>2000</v>
      </c>
      <c r="M1909" s="9" t="s">
        <v>2001</v>
      </c>
      <c r="N1909" s="9"/>
      <c r="O1909" s="9" t="s">
        <v>2002</v>
      </c>
      <c r="P1909" s="9" t="str">
        <f>HYPERLINK("https://ceds.ed.gov/cedselementdetails.aspx?termid=14277")</f>
        <v>https://ceds.ed.gov/cedselementdetails.aspx?termid=14277</v>
      </c>
      <c r="Q1909" s="9" t="str">
        <f>HYPERLINK("https://ceds.ed.gov/elementComment.aspx?elementName=Course Interaction Mode &amp;elementID=14277", "Click here to submit comment")</f>
        <v>Click here to submit comment</v>
      </c>
    </row>
    <row r="1910" spans="1:17" ht="45" x14ac:dyDescent="0.25">
      <c r="A1910" s="9" t="s">
        <v>6811</v>
      </c>
      <c r="B1910" s="9" t="s">
        <v>6846</v>
      </c>
      <c r="C1910" s="9"/>
      <c r="D1910" s="9" t="s">
        <v>6742</v>
      </c>
      <c r="E1910" s="9" t="s">
        <v>2762</v>
      </c>
      <c r="F1910" s="9" t="s">
        <v>2763</v>
      </c>
      <c r="G1910" s="9" t="s">
        <v>6106</v>
      </c>
      <c r="H1910" s="9"/>
      <c r="I1910" s="9"/>
      <c r="J1910" s="9"/>
      <c r="K1910" s="9"/>
      <c r="L1910" s="9"/>
      <c r="M1910" s="9" t="s">
        <v>2764</v>
      </c>
      <c r="N1910" s="9"/>
      <c r="O1910" s="9" t="s">
        <v>2765</v>
      </c>
      <c r="P1910" s="9" t="str">
        <f>HYPERLINK("https://ceds.ed.gov/cedselementdetails.aspx?termid=14311")</f>
        <v>https://ceds.ed.gov/cedselementdetails.aspx?termid=14311</v>
      </c>
      <c r="Q1910" s="9" t="str">
        <f>HYPERLINK("https://ceds.ed.gov/elementComment.aspx?elementName=Family and Consumer Sciences Course Indicator &amp;elementID=14311", "Click here to submit comment")</f>
        <v>Click here to submit comment</v>
      </c>
    </row>
    <row r="1911" spans="1:17" ht="45" x14ac:dyDescent="0.25">
      <c r="A1911" s="9" t="s">
        <v>6811</v>
      </c>
      <c r="B1911" s="9" t="s">
        <v>6846</v>
      </c>
      <c r="C1911" s="9"/>
      <c r="D1911" s="9" t="s">
        <v>6742</v>
      </c>
      <c r="E1911" s="9" t="s">
        <v>4304</v>
      </c>
      <c r="F1911" s="9" t="s">
        <v>4305</v>
      </c>
      <c r="G1911" s="9" t="s">
        <v>6106</v>
      </c>
      <c r="H1911" s="9"/>
      <c r="I1911" s="9"/>
      <c r="J1911" s="9"/>
      <c r="K1911" s="9"/>
      <c r="L1911" s="9"/>
      <c r="M1911" s="9" t="s">
        <v>4306</v>
      </c>
      <c r="N1911" s="9" t="s">
        <v>4307</v>
      </c>
      <c r="O1911" s="9" t="s">
        <v>4308</v>
      </c>
      <c r="P1911" s="9" t="str">
        <f>HYPERLINK("https://ceds.ed.gov/cedselementdetails.aspx?termid=14382")</f>
        <v>https://ceds.ed.gov/cedselementdetails.aspx?termid=14382</v>
      </c>
      <c r="Q1911" s="9" t="str">
        <f>HYPERLINK("https://ceds.ed.gov/elementComment.aspx?elementName=National Collegiate Athletic Association Eligibility &amp;elementID=14382", "Click here to submit comment")</f>
        <v>Click here to submit comment</v>
      </c>
    </row>
    <row r="1912" spans="1:17" ht="120" x14ac:dyDescent="0.25">
      <c r="A1912" s="9" t="s">
        <v>6811</v>
      </c>
      <c r="B1912" s="9" t="s">
        <v>6846</v>
      </c>
      <c r="C1912" s="9"/>
      <c r="D1912" s="9" t="s">
        <v>6742</v>
      </c>
      <c r="E1912" s="9" t="s">
        <v>5308</v>
      </c>
      <c r="F1912" s="9" t="s">
        <v>5309</v>
      </c>
      <c r="G1912" s="11" t="s">
        <v>11707</v>
      </c>
      <c r="H1912" s="9"/>
      <c r="I1912" s="9"/>
      <c r="J1912" s="9"/>
      <c r="K1912" s="9"/>
      <c r="L1912" s="9" t="s">
        <v>5310</v>
      </c>
      <c r="M1912" s="9" t="s">
        <v>5311</v>
      </c>
      <c r="N1912" s="9" t="s">
        <v>5312</v>
      </c>
      <c r="O1912" s="9" t="s">
        <v>5313</v>
      </c>
      <c r="P1912" s="9" t="str">
        <f>HYPERLINK("https://ceds.ed.gov/cedselementdetails.aspx?termid=14490")</f>
        <v>https://ceds.ed.gov/cedselementdetails.aspx?termid=14490</v>
      </c>
      <c r="Q1912" s="9" t="str">
        <f>HYPERLINK("https://ceds.ed.gov/elementComment.aspx?elementName=School Courses for the Exchange of Data Course Code &amp;elementID=14490", "Click here to submit comment")</f>
        <v>Click here to submit comment</v>
      </c>
    </row>
    <row r="1913" spans="1:17" ht="105" x14ac:dyDescent="0.25">
      <c r="A1913" s="9" t="s">
        <v>6811</v>
      </c>
      <c r="B1913" s="9" t="s">
        <v>6846</v>
      </c>
      <c r="C1913" s="9"/>
      <c r="D1913" s="9" t="s">
        <v>6742</v>
      </c>
      <c r="E1913" s="9" t="s">
        <v>5314</v>
      </c>
      <c r="F1913" s="9" t="s">
        <v>5315</v>
      </c>
      <c r="G1913" s="10" t="s">
        <v>6684</v>
      </c>
      <c r="H1913" s="9"/>
      <c r="I1913" s="9"/>
      <c r="J1913" s="9"/>
      <c r="K1913" s="9"/>
      <c r="L1913" s="9"/>
      <c r="M1913" s="9" t="s">
        <v>5316</v>
      </c>
      <c r="N1913" s="9" t="s">
        <v>5317</v>
      </c>
      <c r="O1913" s="9" t="s">
        <v>5318</v>
      </c>
      <c r="P1913" s="9" t="str">
        <f>HYPERLINK("https://ceds.ed.gov/cedselementdetails.aspx?termid=14488")</f>
        <v>https://ceds.ed.gov/cedselementdetails.aspx?termid=14488</v>
      </c>
      <c r="Q1913" s="9" t="str">
        <f>HYPERLINK("https://ceds.ed.gov/elementComment.aspx?elementName=School Courses for the Exchange of Data Course Level &amp;elementID=14488", "Click here to submit comment")</f>
        <v>Click here to submit comment</v>
      </c>
    </row>
    <row r="1914" spans="1:17" ht="409.5" x14ac:dyDescent="0.25">
      <c r="A1914" s="9" t="s">
        <v>6811</v>
      </c>
      <c r="B1914" s="9" t="s">
        <v>6846</v>
      </c>
      <c r="C1914" s="9"/>
      <c r="D1914" s="9" t="s">
        <v>6742</v>
      </c>
      <c r="E1914" s="9" t="s">
        <v>5319</v>
      </c>
      <c r="F1914" s="9" t="s">
        <v>5320</v>
      </c>
      <c r="G1914" s="10" t="s">
        <v>11908</v>
      </c>
      <c r="H1914" s="9"/>
      <c r="I1914" s="9"/>
      <c r="J1914" s="9"/>
      <c r="K1914" s="9"/>
      <c r="L1914" s="9" t="s">
        <v>5321</v>
      </c>
      <c r="M1914" s="9" t="s">
        <v>5322</v>
      </c>
      <c r="N1914" s="9" t="s">
        <v>5323</v>
      </c>
      <c r="O1914" s="9" t="s">
        <v>5324</v>
      </c>
      <c r="P1914" s="9" t="str">
        <f>HYPERLINK("https://ceds.ed.gov/cedselementdetails.aspx?termid=14491")</f>
        <v>https://ceds.ed.gov/cedselementdetails.aspx?termid=14491</v>
      </c>
      <c r="Q1914" s="9" t="str">
        <f>HYPERLINK("https://ceds.ed.gov/elementComment.aspx?elementName=School Courses for the Exchange of Data Course Subject Area &amp;elementID=14491", "Click here to submit comment")</f>
        <v>Click here to submit comment</v>
      </c>
    </row>
    <row r="1915" spans="1:17" ht="105" x14ac:dyDescent="0.25">
      <c r="A1915" s="9" t="s">
        <v>6811</v>
      </c>
      <c r="B1915" s="9" t="s">
        <v>6846</v>
      </c>
      <c r="C1915" s="9"/>
      <c r="D1915" s="9" t="s">
        <v>6742</v>
      </c>
      <c r="E1915" s="9" t="s">
        <v>5325</v>
      </c>
      <c r="F1915" s="9" t="s">
        <v>5326</v>
      </c>
      <c r="G1915" s="9" t="s">
        <v>12</v>
      </c>
      <c r="H1915" s="9"/>
      <c r="I1915" s="9"/>
      <c r="J1915" s="9" t="s">
        <v>11709</v>
      </c>
      <c r="K1915" s="9"/>
      <c r="L1915" s="9" t="s">
        <v>5327</v>
      </c>
      <c r="M1915" s="9" t="s">
        <v>5328</v>
      </c>
      <c r="N1915" s="9" t="s">
        <v>5329</v>
      </c>
      <c r="O1915" s="9" t="s">
        <v>5330</v>
      </c>
      <c r="P1915" s="9" t="str">
        <f>HYPERLINK("https://ceds.ed.gov/cedselementdetails.aspx?termid=14452")</f>
        <v>https://ceds.ed.gov/cedselementdetails.aspx?termid=14452</v>
      </c>
      <c r="Q1915" s="9" t="str">
        <f>HYPERLINK("https://ceds.ed.gov/elementComment.aspx?elementName=School Courses for the Exchange of Data Grade Span &amp;elementID=14452", "Click here to submit comment")</f>
        <v>Click here to submit comment</v>
      </c>
    </row>
    <row r="1916" spans="1:17" ht="120" x14ac:dyDescent="0.25">
      <c r="A1916" s="9" t="s">
        <v>6811</v>
      </c>
      <c r="B1916" s="9" t="s">
        <v>6846</v>
      </c>
      <c r="C1916" s="9"/>
      <c r="D1916" s="9" t="s">
        <v>6742</v>
      </c>
      <c r="E1916" s="9" t="s">
        <v>5331</v>
      </c>
      <c r="F1916" s="9" t="s">
        <v>5332</v>
      </c>
      <c r="G1916" s="9" t="s">
        <v>12</v>
      </c>
      <c r="H1916" s="9" t="s">
        <v>6150</v>
      </c>
      <c r="I1916" s="9"/>
      <c r="J1916" s="9" t="s">
        <v>2088</v>
      </c>
      <c r="K1916" s="9"/>
      <c r="L1916" s="9" t="s">
        <v>5333</v>
      </c>
      <c r="M1916" s="9" t="s">
        <v>5334</v>
      </c>
      <c r="N1916" s="9" t="s">
        <v>5335</v>
      </c>
      <c r="O1916" s="9" t="s">
        <v>5336</v>
      </c>
      <c r="P1916" s="9" t="str">
        <f>HYPERLINK("https://ceds.ed.gov/cedselementdetails.aspx?termid=13250")</f>
        <v>https://ceds.ed.gov/cedselementdetails.aspx?termid=13250</v>
      </c>
      <c r="Q1916" s="9" t="str">
        <f>HYPERLINK("https://ceds.ed.gov/elementComment.aspx?elementName=School Courses for the Exchange of Data Sequence of Course &amp;elementID=13250", "Click here to submit comment")</f>
        <v>Click here to submit comment</v>
      </c>
    </row>
    <row r="1917" spans="1:17" ht="90" x14ac:dyDescent="0.25">
      <c r="A1917" s="9" t="s">
        <v>6811</v>
      </c>
      <c r="B1917" s="9" t="s">
        <v>6846</v>
      </c>
      <c r="C1917" s="9"/>
      <c r="D1917" s="9" t="s">
        <v>6742</v>
      </c>
      <c r="E1917" s="9" t="s">
        <v>1968</v>
      </c>
      <c r="F1917" s="9" t="s">
        <v>1969</v>
      </c>
      <c r="G1917" s="9" t="s">
        <v>12</v>
      </c>
      <c r="H1917" s="9"/>
      <c r="I1917" s="9"/>
      <c r="J1917" s="9" t="s">
        <v>87</v>
      </c>
      <c r="K1917" s="9"/>
      <c r="L1917" s="9" t="s">
        <v>1970</v>
      </c>
      <c r="M1917" s="9" t="s">
        <v>1971</v>
      </c>
      <c r="N1917" s="9"/>
      <c r="O1917" s="9" t="s">
        <v>1972</v>
      </c>
      <c r="P1917" s="9" t="str">
        <f>HYPERLINK("https://ceds.ed.gov/cedselementdetails.aspx?termid=14272")</f>
        <v>https://ceds.ed.gov/cedselementdetails.aspx?termid=14272</v>
      </c>
      <c r="Q1917" s="9" t="str">
        <f>HYPERLINK("https://ceds.ed.gov/elementComment.aspx?elementName=Course Funding Program &amp;elementID=14272", "Click here to submit comment")</f>
        <v>Click here to submit comment</v>
      </c>
    </row>
    <row r="1918" spans="1:17" ht="60" x14ac:dyDescent="0.25">
      <c r="A1918" s="9" t="s">
        <v>6811</v>
      </c>
      <c r="B1918" s="9" t="s">
        <v>6846</v>
      </c>
      <c r="C1918" s="9"/>
      <c r="D1918" s="9" t="s">
        <v>6742</v>
      </c>
      <c r="E1918" s="9" t="s">
        <v>5990</v>
      </c>
      <c r="F1918" s="9" t="s">
        <v>5991</v>
      </c>
      <c r="G1918" s="9" t="s">
        <v>6106</v>
      </c>
      <c r="H1918" s="9"/>
      <c r="I1918" s="9"/>
      <c r="J1918" s="9"/>
      <c r="K1918" s="9"/>
      <c r="L1918" s="9" t="s">
        <v>5992</v>
      </c>
      <c r="M1918" s="9" t="s">
        <v>5993</v>
      </c>
      <c r="N1918" s="9"/>
      <c r="O1918" s="9" t="s">
        <v>5994</v>
      </c>
      <c r="P1918" s="9" t="str">
        <f>HYPERLINK("https://ceds.ed.gov/cedselementdetails.aspx?termid=14554")</f>
        <v>https://ceds.ed.gov/cedselementdetails.aspx?termid=14554</v>
      </c>
      <c r="Q1918" s="9" t="str">
        <f>HYPERLINK("https://ceds.ed.gov/elementComment.aspx?elementName=Tuition Funded &amp;elementID=14554", "Click here to submit comment")</f>
        <v>Click here to submit comment</v>
      </c>
    </row>
    <row r="1919" spans="1:17" ht="105" x14ac:dyDescent="0.25">
      <c r="A1919" s="18" t="s">
        <v>6811</v>
      </c>
      <c r="B1919" s="18" t="s">
        <v>6847</v>
      </c>
      <c r="C1919" s="18"/>
      <c r="D1919" s="18" t="s">
        <v>6742</v>
      </c>
      <c r="E1919" s="18" t="s">
        <v>2062</v>
      </c>
      <c r="F1919" s="18" t="s">
        <v>2063</v>
      </c>
      <c r="G1919" s="18" t="s">
        <v>12</v>
      </c>
      <c r="H1919" s="18"/>
      <c r="I1919" s="18"/>
      <c r="J1919" s="18" t="s">
        <v>119</v>
      </c>
      <c r="K1919" s="18"/>
      <c r="L1919" s="9" t="s">
        <v>120</v>
      </c>
      <c r="M1919" s="18" t="s">
        <v>2064</v>
      </c>
      <c r="N1919" s="18"/>
      <c r="O1919" s="18" t="s">
        <v>2065</v>
      </c>
      <c r="P1919" s="18" t="str">
        <f>HYPERLINK("https://ceds.ed.gov/cedselementdetails.aspx?termid=13979")</f>
        <v>https://ceds.ed.gov/cedselementdetails.aspx?termid=13979</v>
      </c>
      <c r="Q1919" s="18" t="str">
        <f>HYPERLINK("https://ceds.ed.gov/elementComment.aspx?elementName=Course Section Identifier &amp;elementID=13979", "Click here to submit comment")</f>
        <v>Click here to submit comment</v>
      </c>
    </row>
    <row r="1920" spans="1:17" x14ac:dyDescent="0.25">
      <c r="A1920" s="18"/>
      <c r="B1920" s="18"/>
      <c r="C1920" s="18"/>
      <c r="D1920" s="18"/>
      <c r="E1920" s="18"/>
      <c r="F1920" s="18"/>
      <c r="G1920" s="18"/>
      <c r="H1920" s="18"/>
      <c r="I1920" s="18"/>
      <c r="J1920" s="18"/>
      <c r="K1920" s="18"/>
      <c r="L1920" s="9"/>
      <c r="M1920" s="18"/>
      <c r="N1920" s="18"/>
      <c r="O1920" s="18"/>
      <c r="P1920" s="18"/>
      <c r="Q1920" s="18"/>
    </row>
    <row r="1921" spans="1:17" ht="90" x14ac:dyDescent="0.25">
      <c r="A1921" s="18"/>
      <c r="B1921" s="18"/>
      <c r="C1921" s="18"/>
      <c r="D1921" s="18"/>
      <c r="E1921" s="18"/>
      <c r="F1921" s="18"/>
      <c r="G1921" s="18"/>
      <c r="H1921" s="18"/>
      <c r="I1921" s="18"/>
      <c r="J1921" s="18"/>
      <c r="K1921" s="18"/>
      <c r="L1921" s="9" t="s">
        <v>121</v>
      </c>
      <c r="M1921" s="18"/>
      <c r="N1921" s="18"/>
      <c r="O1921" s="18"/>
      <c r="P1921" s="18"/>
      <c r="Q1921" s="18"/>
    </row>
    <row r="1922" spans="1:17" ht="120" x14ac:dyDescent="0.25">
      <c r="A1922" s="9" t="s">
        <v>6811</v>
      </c>
      <c r="B1922" s="9" t="s">
        <v>6847</v>
      </c>
      <c r="C1922" s="9"/>
      <c r="D1922" s="9" t="s">
        <v>6742</v>
      </c>
      <c r="E1922" s="9" t="s">
        <v>5428</v>
      </c>
      <c r="F1922" s="9" t="s">
        <v>5429</v>
      </c>
      <c r="G1922" s="9" t="s">
        <v>12</v>
      </c>
      <c r="H1922" s="9" t="s">
        <v>6150</v>
      </c>
      <c r="I1922" s="9"/>
      <c r="J1922" s="9" t="s">
        <v>73</v>
      </c>
      <c r="K1922" s="9"/>
      <c r="L1922" s="9"/>
      <c r="M1922" s="9" t="s">
        <v>5430</v>
      </c>
      <c r="N1922" s="9"/>
      <c r="O1922" s="9" t="s">
        <v>5431</v>
      </c>
      <c r="P1922" s="9" t="str">
        <f>HYPERLINK("https://ceds.ed.gov/cedselementdetails.aspx?termid=13251")</f>
        <v>https://ceds.ed.gov/cedselementdetails.aspx?termid=13251</v>
      </c>
      <c r="Q1922" s="9" t="str">
        <f>HYPERLINK("https://ceds.ed.gov/elementComment.aspx?elementName=Session Begin Date &amp;elementID=13251", "Click here to submit comment")</f>
        <v>Click here to submit comment</v>
      </c>
    </row>
    <row r="1923" spans="1:17" ht="120" x14ac:dyDescent="0.25">
      <c r="A1923" s="9" t="s">
        <v>6811</v>
      </c>
      <c r="B1923" s="9" t="s">
        <v>6847</v>
      </c>
      <c r="C1923" s="9"/>
      <c r="D1923" s="9" t="s">
        <v>6742</v>
      </c>
      <c r="E1923" s="9" t="s">
        <v>5444</v>
      </c>
      <c r="F1923" s="9" t="s">
        <v>5445</v>
      </c>
      <c r="G1923" s="9" t="s">
        <v>12</v>
      </c>
      <c r="H1923" s="9" t="s">
        <v>6150</v>
      </c>
      <c r="I1923" s="9"/>
      <c r="J1923" s="9" t="s">
        <v>73</v>
      </c>
      <c r="K1923" s="9"/>
      <c r="L1923" s="9"/>
      <c r="M1923" s="9" t="s">
        <v>5446</v>
      </c>
      <c r="N1923" s="9"/>
      <c r="O1923" s="9" t="s">
        <v>5447</v>
      </c>
      <c r="P1923" s="9" t="str">
        <f>HYPERLINK("https://ceds.ed.gov/cedselementdetails.aspx?termid=13253")</f>
        <v>https://ceds.ed.gov/cedselementdetails.aspx?termid=13253</v>
      </c>
      <c r="Q1923" s="9" t="str">
        <f>HYPERLINK("https://ceds.ed.gov/elementComment.aspx?elementName=Session End Date &amp;elementID=13253", "Click here to submit comment")</f>
        <v>Click here to submit comment</v>
      </c>
    </row>
    <row r="1924" spans="1:17" ht="45" x14ac:dyDescent="0.25">
      <c r="A1924" s="9" t="s">
        <v>6811</v>
      </c>
      <c r="B1924" s="9" t="s">
        <v>6847</v>
      </c>
      <c r="C1924" s="9"/>
      <c r="D1924" s="9" t="s">
        <v>6742</v>
      </c>
      <c r="E1924" s="9" t="s">
        <v>5440</v>
      </c>
      <c r="F1924" s="9" t="s">
        <v>5441</v>
      </c>
      <c r="G1924" s="9" t="s">
        <v>12</v>
      </c>
      <c r="H1924" s="9" t="s">
        <v>6161</v>
      </c>
      <c r="I1924" s="9"/>
      <c r="J1924" s="9" t="s">
        <v>2270</v>
      </c>
      <c r="K1924" s="9"/>
      <c r="L1924" s="9"/>
      <c r="M1924" s="9" t="s">
        <v>5442</v>
      </c>
      <c r="N1924" s="9"/>
      <c r="O1924" s="9" t="s">
        <v>5443</v>
      </c>
      <c r="P1924" s="9" t="str">
        <f>HYPERLINK("https://ceds.ed.gov/cedselementdetails.aspx?termid=13252")</f>
        <v>https://ceds.ed.gov/cedselementdetails.aspx?termid=13252</v>
      </c>
      <c r="Q1924" s="9" t="str">
        <f>HYPERLINK("https://ceds.ed.gov/elementComment.aspx?elementName=Session Designator &amp;elementID=13252", "Click here to submit comment")</f>
        <v>Click here to submit comment</v>
      </c>
    </row>
    <row r="1925" spans="1:17" ht="180" x14ac:dyDescent="0.25">
      <c r="A1925" s="9" t="s">
        <v>6811</v>
      </c>
      <c r="B1925" s="9" t="s">
        <v>6847</v>
      </c>
      <c r="C1925" s="9"/>
      <c r="D1925" s="9" t="s">
        <v>6742</v>
      </c>
      <c r="E1925" s="9" t="s">
        <v>5464</v>
      </c>
      <c r="F1925" s="9" t="s">
        <v>5465</v>
      </c>
      <c r="G1925" s="10" t="s">
        <v>6693</v>
      </c>
      <c r="H1925" s="9" t="s">
        <v>6150</v>
      </c>
      <c r="I1925" s="9"/>
      <c r="J1925" s="9"/>
      <c r="K1925" s="9"/>
      <c r="L1925" s="9"/>
      <c r="M1925" s="9" t="s">
        <v>5466</v>
      </c>
      <c r="N1925" s="9"/>
      <c r="O1925" s="9" t="s">
        <v>5467</v>
      </c>
      <c r="P1925" s="9" t="str">
        <f>HYPERLINK("https://ceds.ed.gov/cedselementdetails.aspx?termid=13254")</f>
        <v>https://ceds.ed.gov/cedselementdetails.aspx?termid=13254</v>
      </c>
      <c r="Q1925" s="9" t="str">
        <f>HYPERLINK("https://ceds.ed.gov/elementComment.aspx?elementName=Session Type &amp;elementID=13254", "Click here to submit comment")</f>
        <v>Click here to submit comment</v>
      </c>
    </row>
    <row r="1926" spans="1:17" ht="60" x14ac:dyDescent="0.25">
      <c r="A1926" s="9" t="s">
        <v>6811</v>
      </c>
      <c r="B1926" s="9" t="s">
        <v>6847</v>
      </c>
      <c r="C1926" s="9"/>
      <c r="D1926" s="9" t="s">
        <v>6742</v>
      </c>
      <c r="E1926" s="9" t="s">
        <v>5432</v>
      </c>
      <c r="F1926" s="9" t="s">
        <v>5433</v>
      </c>
      <c r="G1926" s="9" t="s">
        <v>12</v>
      </c>
      <c r="H1926" s="9"/>
      <c r="I1926" s="9"/>
      <c r="J1926" s="9" t="s">
        <v>87</v>
      </c>
      <c r="K1926" s="9"/>
      <c r="L1926" s="9"/>
      <c r="M1926" s="9" t="s">
        <v>5434</v>
      </c>
      <c r="N1926" s="9"/>
      <c r="O1926" s="9" t="s">
        <v>5435</v>
      </c>
      <c r="P1926" s="9" t="str">
        <f>HYPERLINK("https://ceds.ed.gov/cedselementdetails.aspx?termid=14236")</f>
        <v>https://ceds.ed.gov/cedselementdetails.aspx?termid=14236</v>
      </c>
      <c r="Q1926" s="9" t="str">
        <f>HYPERLINK("https://ceds.ed.gov/elementComment.aspx?elementName=Session Code &amp;elementID=14236", "Click here to submit comment")</f>
        <v>Click here to submit comment</v>
      </c>
    </row>
    <row r="1927" spans="1:17" ht="45" x14ac:dyDescent="0.25">
      <c r="A1927" s="9" t="s">
        <v>6811</v>
      </c>
      <c r="B1927" s="9" t="s">
        <v>6847</v>
      </c>
      <c r="C1927" s="9"/>
      <c r="D1927" s="9" t="s">
        <v>6742</v>
      </c>
      <c r="E1927" s="9" t="s">
        <v>5436</v>
      </c>
      <c r="F1927" s="9" t="s">
        <v>5437</v>
      </c>
      <c r="G1927" s="9" t="s">
        <v>12</v>
      </c>
      <c r="H1927" s="9"/>
      <c r="I1927" s="9"/>
      <c r="J1927" s="9" t="s">
        <v>303</v>
      </c>
      <c r="K1927" s="9"/>
      <c r="L1927" s="9"/>
      <c r="M1927" s="9" t="s">
        <v>5438</v>
      </c>
      <c r="N1927" s="9"/>
      <c r="O1927" s="9" t="s">
        <v>5439</v>
      </c>
      <c r="P1927" s="9" t="str">
        <f>HYPERLINK("https://ceds.ed.gov/cedselementdetails.aspx?termid=14237")</f>
        <v>https://ceds.ed.gov/cedselementdetails.aspx?termid=14237</v>
      </c>
      <c r="Q1927" s="9" t="str">
        <f>HYPERLINK("https://ceds.ed.gov/elementComment.aspx?elementName=Session Description &amp;elementID=14237", "Click here to submit comment")</f>
        <v>Click here to submit comment</v>
      </c>
    </row>
    <row r="1928" spans="1:17" ht="409.5" x14ac:dyDescent="0.25">
      <c r="A1928" s="9" t="s">
        <v>6811</v>
      </c>
      <c r="B1928" s="9" t="s">
        <v>6847</v>
      </c>
      <c r="C1928" s="9"/>
      <c r="D1928" s="9" t="s">
        <v>6742</v>
      </c>
      <c r="E1928" s="9" t="s">
        <v>281</v>
      </c>
      <c r="F1928" s="9" t="s">
        <v>282</v>
      </c>
      <c r="G1928" s="10" t="s">
        <v>6337</v>
      </c>
      <c r="H1928" s="9"/>
      <c r="I1928" s="9"/>
      <c r="J1928" s="9" t="s">
        <v>92</v>
      </c>
      <c r="K1928" s="9"/>
      <c r="L1928" s="9"/>
      <c r="M1928" s="9" t="s">
        <v>283</v>
      </c>
      <c r="N1928" s="9" t="s">
        <v>284</v>
      </c>
      <c r="O1928" s="9" t="s">
        <v>285</v>
      </c>
      <c r="P1928" s="9" t="str">
        <f>HYPERLINK("https://ceds.ed.gov/cedselementdetails.aspx?termid=14244")</f>
        <v>https://ceds.ed.gov/cedselementdetails.aspx?termid=14244</v>
      </c>
      <c r="Q1928" s="9" t="str">
        <f>HYPERLINK("https://ceds.ed.gov/elementComment.aspx?elementName=Advanced Placement Course Code &amp;elementID=14244", "Click here to submit comment")</f>
        <v>Click here to submit comment</v>
      </c>
    </row>
    <row r="1929" spans="1:17" ht="45" x14ac:dyDescent="0.25">
      <c r="A1929" s="9" t="s">
        <v>6811</v>
      </c>
      <c r="B1929" s="9" t="s">
        <v>6847</v>
      </c>
      <c r="C1929" s="9"/>
      <c r="D1929" s="9" t="s">
        <v>6742</v>
      </c>
      <c r="E1929" s="9" t="s">
        <v>1955</v>
      </c>
      <c r="F1929" s="9" t="s">
        <v>1956</v>
      </c>
      <c r="G1929" s="9" t="s">
        <v>12</v>
      </c>
      <c r="H1929" s="9"/>
      <c r="I1929" s="9"/>
      <c r="J1929" s="9" t="s">
        <v>92</v>
      </c>
      <c r="K1929" s="9"/>
      <c r="L1929" s="9"/>
      <c r="M1929" s="9" t="s">
        <v>1957</v>
      </c>
      <c r="N1929" s="9"/>
      <c r="O1929" s="9" t="s">
        <v>1958</v>
      </c>
      <c r="P1929" s="9" t="str">
        <f>HYPERLINK("https://ceds.ed.gov/cedselementdetails.aspx?termid=13508")</f>
        <v>https://ceds.ed.gov/cedselementdetails.aspx?termid=13508</v>
      </c>
      <c r="Q1929" s="9" t="str">
        <f>HYPERLINK("https://ceds.ed.gov/elementComment.aspx?elementName=Course Description &amp;elementID=13508", "Click here to submit comment")</f>
        <v>Click here to submit comment</v>
      </c>
    </row>
    <row r="1930" spans="1:17" ht="409.5" x14ac:dyDescent="0.25">
      <c r="A1930" s="9" t="s">
        <v>6811</v>
      </c>
      <c r="B1930" s="9" t="s">
        <v>6847</v>
      </c>
      <c r="C1930" s="9"/>
      <c r="D1930" s="9" t="s">
        <v>6742</v>
      </c>
      <c r="E1930" s="9" t="s">
        <v>1920</v>
      </c>
      <c r="F1930" s="9" t="s">
        <v>1921</v>
      </c>
      <c r="G1930" s="10" t="s">
        <v>6420</v>
      </c>
      <c r="H1930" s="9"/>
      <c r="I1930" s="9"/>
      <c r="J1930" s="9"/>
      <c r="K1930" s="9"/>
      <c r="L1930" s="9" t="s">
        <v>1922</v>
      </c>
      <c r="M1930" s="9" t="s">
        <v>1923</v>
      </c>
      <c r="N1930" s="9"/>
      <c r="O1930" s="9" t="s">
        <v>1924</v>
      </c>
      <c r="P1930" s="9" t="str">
        <f>HYPERLINK("https://ceds.ed.gov/cedselementdetails.aspx?termid=14267")</f>
        <v>https://ceds.ed.gov/cedselementdetails.aspx?termid=14267</v>
      </c>
      <c r="Q1930" s="9" t="str">
        <f>HYPERLINK("https://ceds.ed.gov/elementComment.aspx?elementName=Course Applicable Education Level &amp;elementID=14267", "Click here to submit comment")</f>
        <v>Click here to submit comment</v>
      </c>
    </row>
    <row r="1931" spans="1:17" ht="360" x14ac:dyDescent="0.25">
      <c r="A1931" s="9" t="s">
        <v>6811</v>
      </c>
      <c r="B1931" s="9" t="s">
        <v>6847</v>
      </c>
      <c r="C1931" s="9"/>
      <c r="D1931" s="9" t="s">
        <v>6742</v>
      </c>
      <c r="E1931" s="9" t="s">
        <v>1627</v>
      </c>
      <c r="F1931" s="9" t="s">
        <v>1628</v>
      </c>
      <c r="G1931" s="10" t="s">
        <v>6396</v>
      </c>
      <c r="H1931" s="9"/>
      <c r="I1931" s="9"/>
      <c r="J1931" s="9"/>
      <c r="K1931" s="9"/>
      <c r="L1931" s="9" t="s">
        <v>1629</v>
      </c>
      <c r="M1931" s="9" t="s">
        <v>1630</v>
      </c>
      <c r="N1931" s="9"/>
      <c r="O1931" s="9" t="s">
        <v>1631</v>
      </c>
      <c r="P1931" s="9" t="str">
        <f>HYPERLINK("https://ceds.ed.gov/cedselementdetails.aspx?termid=14254")</f>
        <v>https://ceds.ed.gov/cedselementdetails.aspx?termid=14254</v>
      </c>
      <c r="Q1931" s="9" t="str">
        <f>HYPERLINK("https://ceds.ed.gov/elementComment.aspx?elementName=Career Cluster &amp;elementID=14254", "Click here to submit comment")</f>
        <v>Click here to submit comment</v>
      </c>
    </row>
    <row r="1932" spans="1:17" ht="45" x14ac:dyDescent="0.25">
      <c r="A1932" s="9" t="s">
        <v>6811</v>
      </c>
      <c r="B1932" s="9" t="s">
        <v>6847</v>
      </c>
      <c r="C1932" s="9"/>
      <c r="D1932" s="9" t="s">
        <v>6742</v>
      </c>
      <c r="E1932" s="9" t="s">
        <v>1916</v>
      </c>
      <c r="F1932" s="9" t="s">
        <v>1917</v>
      </c>
      <c r="G1932" s="9" t="s">
        <v>6106</v>
      </c>
      <c r="H1932" s="9"/>
      <c r="I1932" s="9"/>
      <c r="J1932" s="9"/>
      <c r="K1932" s="9"/>
      <c r="L1932" s="9"/>
      <c r="M1932" s="9" t="s">
        <v>1918</v>
      </c>
      <c r="N1932" s="9"/>
      <c r="O1932" s="9" t="s">
        <v>1919</v>
      </c>
      <c r="P1932" s="9" t="str">
        <f>HYPERLINK("https://ceds.ed.gov/cedselementdetails.aspx?termid=13013")</f>
        <v>https://ceds.ed.gov/cedselementdetails.aspx?termid=13013</v>
      </c>
      <c r="Q1932" s="9" t="str">
        <f>HYPERLINK("https://ceds.ed.gov/elementComment.aspx?elementName=Course Aligned with Standards &amp;elementID=13013", "Click here to submit comment")</f>
        <v>Click here to submit comment</v>
      </c>
    </row>
    <row r="1933" spans="1:17" ht="45" x14ac:dyDescent="0.25">
      <c r="A1933" s="9" t="s">
        <v>6811</v>
      </c>
      <c r="B1933" s="9" t="s">
        <v>6847</v>
      </c>
      <c r="C1933" s="9"/>
      <c r="D1933" s="9" t="s">
        <v>6742</v>
      </c>
      <c r="E1933" s="9" t="s">
        <v>5452</v>
      </c>
      <c r="F1933" s="9" t="s">
        <v>5453</v>
      </c>
      <c r="G1933" s="9" t="s">
        <v>6106</v>
      </c>
      <c r="H1933" s="9"/>
      <c r="I1933" s="9"/>
      <c r="J1933" s="9"/>
      <c r="K1933" s="9"/>
      <c r="L1933" s="9"/>
      <c r="M1933" s="9" t="s">
        <v>5454</v>
      </c>
      <c r="N1933" s="9"/>
      <c r="O1933" s="9" t="s">
        <v>5455</v>
      </c>
      <c r="P1933" s="9" t="str">
        <f>HYPERLINK("https://ceds.ed.gov/cedselementdetails.aspx?termid=14238")</f>
        <v>https://ceds.ed.gov/cedselementdetails.aspx?termid=14238</v>
      </c>
      <c r="Q1933" s="9" t="str">
        <f>HYPERLINK("https://ceds.ed.gov/elementComment.aspx?elementName=Session Marking Term Indicator &amp;elementID=14238", "Click here to submit comment")</f>
        <v>Click here to submit comment</v>
      </c>
    </row>
    <row r="1934" spans="1:17" ht="45" x14ac:dyDescent="0.25">
      <c r="A1934" s="9" t="s">
        <v>6811</v>
      </c>
      <c r="B1934" s="9" t="s">
        <v>6847</v>
      </c>
      <c r="C1934" s="9"/>
      <c r="D1934" s="9" t="s">
        <v>6742</v>
      </c>
      <c r="E1934" s="9" t="s">
        <v>5456</v>
      </c>
      <c r="F1934" s="9" t="s">
        <v>5457</v>
      </c>
      <c r="G1934" s="9" t="s">
        <v>6106</v>
      </c>
      <c r="H1934" s="9"/>
      <c r="I1934" s="9"/>
      <c r="J1934" s="9"/>
      <c r="K1934" s="9"/>
      <c r="L1934" s="9"/>
      <c r="M1934" s="9" t="s">
        <v>5458</v>
      </c>
      <c r="N1934" s="9"/>
      <c r="O1934" s="9" t="s">
        <v>5459</v>
      </c>
      <c r="P1934" s="9" t="str">
        <f>HYPERLINK("https://ceds.ed.gov/cedselementdetails.aspx?termid=14239")</f>
        <v>https://ceds.ed.gov/cedselementdetails.aspx?termid=14239</v>
      </c>
      <c r="Q1934" s="9" t="str">
        <f>HYPERLINK("https://ceds.ed.gov/elementComment.aspx?elementName=Session Scheduling Term Indicator &amp;elementID=14239", "Click here to submit comment")</f>
        <v>Click here to submit comment</v>
      </c>
    </row>
    <row r="1935" spans="1:17" ht="45" x14ac:dyDescent="0.25">
      <c r="A1935" s="9" t="s">
        <v>6811</v>
      </c>
      <c r="B1935" s="9" t="s">
        <v>6847</v>
      </c>
      <c r="C1935" s="9"/>
      <c r="D1935" s="9" t="s">
        <v>6742</v>
      </c>
      <c r="E1935" s="9" t="s">
        <v>5424</v>
      </c>
      <c r="F1935" s="9" t="s">
        <v>5425</v>
      </c>
      <c r="G1935" s="9" t="s">
        <v>6106</v>
      </c>
      <c r="H1935" s="9"/>
      <c r="I1935" s="9"/>
      <c r="J1935" s="9"/>
      <c r="K1935" s="9"/>
      <c r="L1935" s="9"/>
      <c r="M1935" s="9" t="s">
        <v>5426</v>
      </c>
      <c r="N1935" s="9"/>
      <c r="O1935" s="9" t="s">
        <v>5427</v>
      </c>
      <c r="P1935" s="9" t="str">
        <f>HYPERLINK("https://ceds.ed.gov/cedselementdetails.aspx?termid=14240")</f>
        <v>https://ceds.ed.gov/cedselementdetails.aspx?termid=14240</v>
      </c>
      <c r="Q1935" s="9" t="str">
        <f>HYPERLINK("https://ceds.ed.gov/elementComment.aspx?elementName=Session Attendance Term Indicator &amp;elementID=14240", "Click here to submit comment")</f>
        <v>Click here to submit comment</v>
      </c>
    </row>
    <row r="1936" spans="1:17" ht="165" x14ac:dyDescent="0.25">
      <c r="A1936" s="9" t="s">
        <v>6811</v>
      </c>
      <c r="B1936" s="9" t="s">
        <v>6847</v>
      </c>
      <c r="C1936" s="9"/>
      <c r="D1936" s="9" t="s">
        <v>6742</v>
      </c>
      <c r="E1936" s="9" t="s">
        <v>12212</v>
      </c>
      <c r="F1936" s="9" t="s">
        <v>2082</v>
      </c>
      <c r="G1936" s="9" t="s">
        <v>12</v>
      </c>
      <c r="H1936" s="9" t="s">
        <v>2085</v>
      </c>
      <c r="I1936" s="9"/>
      <c r="J1936" s="9" t="s">
        <v>10489</v>
      </c>
      <c r="K1936" s="9"/>
      <c r="L1936" s="9"/>
      <c r="M1936" s="9" t="s">
        <v>2083</v>
      </c>
      <c r="N1936" s="9"/>
      <c r="O1936" s="9" t="s">
        <v>2084</v>
      </c>
      <c r="P1936" s="9" t="str">
        <f>HYPERLINK("https://ceds.ed.gov/cedselementdetails.aspx?termid=13101")</f>
        <v>https://ceds.ed.gov/cedselementdetails.aspx?termid=13101</v>
      </c>
      <c r="Q1936" s="9" t="str">
        <f>HYPERLINK("https://ceds.ed.gov/elementComment.aspx?elementName=Course Section Time Required for Completion &amp;elementID=13101", "Click here to submit comment")</f>
        <v>Click here to submit comment</v>
      </c>
    </row>
    <row r="1937" spans="1:17" ht="45" x14ac:dyDescent="0.25">
      <c r="A1937" s="9" t="s">
        <v>6811</v>
      </c>
      <c r="B1937" s="9" t="s">
        <v>6847</v>
      </c>
      <c r="C1937" s="9"/>
      <c r="D1937" s="9" t="s">
        <v>6742</v>
      </c>
      <c r="E1937" s="9" t="s">
        <v>1757</v>
      </c>
      <c r="F1937" s="9" t="s">
        <v>1758</v>
      </c>
      <c r="G1937" s="9" t="s">
        <v>12</v>
      </c>
      <c r="H1937" s="9" t="s">
        <v>6167</v>
      </c>
      <c r="I1937" s="9"/>
      <c r="J1937" s="9" t="s">
        <v>406</v>
      </c>
      <c r="K1937" s="9"/>
      <c r="L1937" s="9"/>
      <c r="M1937" s="9" t="s">
        <v>1759</v>
      </c>
      <c r="N1937" s="9"/>
      <c r="O1937" s="9" t="s">
        <v>1760</v>
      </c>
      <c r="P1937" s="9" t="str">
        <f>HYPERLINK("https://ceds.ed.gov/cedselementdetails.aspx?termid=13510")</f>
        <v>https://ceds.ed.gov/cedselementdetails.aspx?termid=13510</v>
      </c>
      <c r="Q1937" s="9" t="str">
        <f>HYPERLINK("https://ceds.ed.gov/elementComment.aspx?elementName=Class Beginning Time &amp;elementID=13510", "Click here to submit comment")</f>
        <v>Click here to submit comment</v>
      </c>
    </row>
    <row r="1938" spans="1:17" ht="45" x14ac:dyDescent="0.25">
      <c r="A1938" s="9" t="s">
        <v>6811</v>
      </c>
      <c r="B1938" s="9" t="s">
        <v>6847</v>
      </c>
      <c r="C1938" s="9"/>
      <c r="D1938" s="9" t="s">
        <v>6742</v>
      </c>
      <c r="E1938" s="9" t="s">
        <v>1761</v>
      </c>
      <c r="F1938" s="9" t="s">
        <v>1762</v>
      </c>
      <c r="G1938" s="9" t="s">
        <v>12</v>
      </c>
      <c r="H1938" s="9" t="s">
        <v>6167</v>
      </c>
      <c r="I1938" s="9"/>
      <c r="J1938" s="9" t="s">
        <v>406</v>
      </c>
      <c r="K1938" s="9"/>
      <c r="L1938" s="9"/>
      <c r="M1938" s="9" t="s">
        <v>1763</v>
      </c>
      <c r="N1938" s="9"/>
      <c r="O1938" s="9" t="s">
        <v>1764</v>
      </c>
      <c r="P1938" s="9" t="str">
        <f>HYPERLINK("https://ceds.ed.gov/cedselementdetails.aspx?termid=13511")</f>
        <v>https://ceds.ed.gov/cedselementdetails.aspx?termid=13511</v>
      </c>
      <c r="Q1938" s="9" t="str">
        <f>HYPERLINK("https://ceds.ed.gov/elementComment.aspx?elementName=Class Ending Time &amp;elementID=13511", "Click here to submit comment")</f>
        <v>Click here to submit comment</v>
      </c>
    </row>
    <row r="1939" spans="1:17" ht="60" x14ac:dyDescent="0.25">
      <c r="A1939" s="9" t="s">
        <v>6811</v>
      </c>
      <c r="B1939" s="9" t="s">
        <v>6847</v>
      </c>
      <c r="C1939" s="9"/>
      <c r="D1939" s="9" t="s">
        <v>6742</v>
      </c>
      <c r="E1939" s="9" t="s">
        <v>1765</v>
      </c>
      <c r="F1939" s="9" t="s">
        <v>1766</v>
      </c>
      <c r="G1939" s="9" t="s">
        <v>12</v>
      </c>
      <c r="H1939" s="9"/>
      <c r="I1939" s="9"/>
      <c r="J1939" s="9" t="s">
        <v>92</v>
      </c>
      <c r="K1939" s="9"/>
      <c r="L1939" s="9"/>
      <c r="M1939" s="9" t="s">
        <v>1767</v>
      </c>
      <c r="N1939" s="9"/>
      <c r="O1939" s="9" t="s">
        <v>1768</v>
      </c>
      <c r="P1939" s="9" t="str">
        <f>HYPERLINK("https://ceds.ed.gov/cedselementdetails.aspx?termid=13512")</f>
        <v>https://ceds.ed.gov/cedselementdetails.aspx?termid=13512</v>
      </c>
      <c r="Q1939" s="9" t="str">
        <f>HYPERLINK("https://ceds.ed.gov/elementComment.aspx?elementName=Class Meeting Days &amp;elementID=13512", "Click here to submit comment")</f>
        <v>Click here to submit comment</v>
      </c>
    </row>
    <row r="1940" spans="1:17" ht="75" x14ac:dyDescent="0.25">
      <c r="A1940" s="9" t="s">
        <v>6811</v>
      </c>
      <c r="B1940" s="9" t="s">
        <v>6847</v>
      </c>
      <c r="C1940" s="9"/>
      <c r="D1940" s="9" t="s">
        <v>6742</v>
      </c>
      <c r="E1940" s="9" t="s">
        <v>1769</v>
      </c>
      <c r="F1940" s="9" t="s">
        <v>1770</v>
      </c>
      <c r="G1940" s="9" t="s">
        <v>12</v>
      </c>
      <c r="H1940" s="9"/>
      <c r="I1940" s="9"/>
      <c r="J1940" s="9" t="s">
        <v>87</v>
      </c>
      <c r="K1940" s="9"/>
      <c r="L1940" s="9"/>
      <c r="M1940" s="9" t="s">
        <v>1771</v>
      </c>
      <c r="N1940" s="9"/>
      <c r="O1940" s="9" t="s">
        <v>1772</v>
      </c>
      <c r="P1940" s="9" t="str">
        <f>HYPERLINK("https://ceds.ed.gov/cedselementdetails.aspx?termid=13513")</f>
        <v>https://ceds.ed.gov/cedselementdetails.aspx?termid=13513</v>
      </c>
      <c r="Q1940" s="9" t="str">
        <f>HYPERLINK("https://ceds.ed.gov/elementComment.aspx?elementName=Class Period &amp;elementID=13513", "Click here to submit comment")</f>
        <v>Click here to submit comment</v>
      </c>
    </row>
    <row r="1941" spans="1:17" ht="105" x14ac:dyDescent="0.25">
      <c r="A1941" s="18" t="s">
        <v>6811</v>
      </c>
      <c r="B1941" s="18" t="s">
        <v>6847</v>
      </c>
      <c r="C1941" s="18"/>
      <c r="D1941" s="18" t="s">
        <v>6742</v>
      </c>
      <c r="E1941" s="18" t="s">
        <v>5870</v>
      </c>
      <c r="F1941" s="18" t="s">
        <v>5871</v>
      </c>
      <c r="G1941" s="18" t="s">
        <v>12</v>
      </c>
      <c r="H1941" s="18"/>
      <c r="I1941" s="18"/>
      <c r="J1941" s="18" t="s">
        <v>119</v>
      </c>
      <c r="K1941" s="18"/>
      <c r="L1941" s="9" t="s">
        <v>120</v>
      </c>
      <c r="M1941" s="18" t="s">
        <v>5872</v>
      </c>
      <c r="N1941" s="18"/>
      <c r="O1941" s="18" t="s">
        <v>5873</v>
      </c>
      <c r="P1941" s="18" t="str">
        <f>HYPERLINK("https://ceds.ed.gov/cedselementdetails.aspx?termid=13514")</f>
        <v>https://ceds.ed.gov/cedselementdetails.aspx?termid=13514</v>
      </c>
      <c r="Q1941" s="18" t="str">
        <f>HYPERLINK("https://ceds.ed.gov/elementComment.aspx?elementName=Timetable Day Identifier &amp;elementID=13514", "Click here to submit comment")</f>
        <v>Click here to submit comment</v>
      </c>
    </row>
    <row r="1942" spans="1:17" x14ac:dyDescent="0.25">
      <c r="A1942" s="18"/>
      <c r="B1942" s="18"/>
      <c r="C1942" s="18"/>
      <c r="D1942" s="18"/>
      <c r="E1942" s="18"/>
      <c r="F1942" s="18"/>
      <c r="G1942" s="18"/>
      <c r="H1942" s="18"/>
      <c r="I1942" s="18"/>
      <c r="J1942" s="18"/>
      <c r="K1942" s="18"/>
      <c r="L1942" s="9"/>
      <c r="M1942" s="18"/>
      <c r="N1942" s="18"/>
      <c r="O1942" s="18"/>
      <c r="P1942" s="18"/>
      <c r="Q1942" s="18"/>
    </row>
    <row r="1943" spans="1:17" ht="90" x14ac:dyDescent="0.25">
      <c r="A1943" s="18"/>
      <c r="B1943" s="18"/>
      <c r="C1943" s="18"/>
      <c r="D1943" s="18"/>
      <c r="E1943" s="18"/>
      <c r="F1943" s="18"/>
      <c r="G1943" s="18"/>
      <c r="H1943" s="18"/>
      <c r="I1943" s="18"/>
      <c r="J1943" s="18"/>
      <c r="K1943" s="18"/>
      <c r="L1943" s="9" t="s">
        <v>121</v>
      </c>
      <c r="M1943" s="18"/>
      <c r="N1943" s="18"/>
      <c r="O1943" s="18"/>
      <c r="P1943" s="18"/>
      <c r="Q1943" s="18"/>
    </row>
    <row r="1944" spans="1:17" ht="45" x14ac:dyDescent="0.25">
      <c r="A1944" s="9" t="s">
        <v>6811</v>
      </c>
      <c r="B1944" s="9" t="s">
        <v>6847</v>
      </c>
      <c r="C1944" s="9"/>
      <c r="D1944" s="9" t="s">
        <v>6742</v>
      </c>
      <c r="E1944" s="9" t="s">
        <v>2070</v>
      </c>
      <c r="F1944" s="9" t="s">
        <v>2071</v>
      </c>
      <c r="G1944" s="9" t="s">
        <v>12</v>
      </c>
      <c r="H1944" s="9"/>
      <c r="I1944" s="9"/>
      <c r="J1944" s="9" t="s">
        <v>10489</v>
      </c>
      <c r="K1944" s="9"/>
      <c r="L1944" s="9"/>
      <c r="M1944" s="9" t="s">
        <v>2072</v>
      </c>
      <c r="N1944" s="9"/>
      <c r="O1944" s="9" t="s">
        <v>2073</v>
      </c>
      <c r="P1944" s="9" t="str">
        <f>HYPERLINK("https://ceds.ed.gov/cedselementdetails.aspx?termid=14636")</f>
        <v>https://ceds.ed.gov/cedselementdetails.aspx?termid=14636</v>
      </c>
      <c r="Q1944" s="9" t="str">
        <f>HYPERLINK("https://ceds.ed.gov/elementComment.aspx?elementName=Course Section Maximum Capacity &amp;elementID=14636", "Click here to submit comment")</f>
        <v>Click here to submit comment</v>
      </c>
    </row>
    <row r="1945" spans="1:17" ht="90" x14ac:dyDescent="0.25">
      <c r="A1945" s="9" t="s">
        <v>6811</v>
      </c>
      <c r="B1945" s="9" t="s">
        <v>6847</v>
      </c>
      <c r="C1945" s="9"/>
      <c r="D1945" s="9" t="s">
        <v>6742</v>
      </c>
      <c r="E1945" s="9" t="s">
        <v>3458</v>
      </c>
      <c r="F1945" s="9" t="s">
        <v>3459</v>
      </c>
      <c r="G1945" s="11" t="s">
        <v>966</v>
      </c>
      <c r="H1945" s="9" t="s">
        <v>188</v>
      </c>
      <c r="I1945" s="9"/>
      <c r="J1945" s="9"/>
      <c r="K1945" s="9"/>
      <c r="L1945" s="11" t="s">
        <v>967</v>
      </c>
      <c r="M1945" s="9" t="s">
        <v>3460</v>
      </c>
      <c r="N1945" s="9"/>
      <c r="O1945" s="9" t="s">
        <v>3461</v>
      </c>
      <c r="P1945" s="9" t="str">
        <f>HYPERLINK("https://ceds.ed.gov/cedselementdetails.aspx?termid=13438")</f>
        <v>https://ceds.ed.gov/cedselementdetails.aspx?termid=13438</v>
      </c>
      <c r="Q1945" s="9" t="str">
        <f>HYPERLINK("https://ceds.ed.gov/elementComment.aspx?elementName=Instruction Language &amp;elementID=13438", "Click here to submit comment")</f>
        <v>Click here to submit comment</v>
      </c>
    </row>
    <row r="1946" spans="1:17" ht="105" x14ac:dyDescent="0.25">
      <c r="A1946" s="18" t="s">
        <v>6811</v>
      </c>
      <c r="B1946" s="18" t="s">
        <v>6847</v>
      </c>
      <c r="C1946" s="18"/>
      <c r="D1946" s="18" t="s">
        <v>6742</v>
      </c>
      <c r="E1946" s="18" t="s">
        <v>1794</v>
      </c>
      <c r="F1946" s="18" t="s">
        <v>1795</v>
      </c>
      <c r="G1946" s="18" t="s">
        <v>12</v>
      </c>
      <c r="H1946" s="18"/>
      <c r="I1946" s="18"/>
      <c r="J1946" s="18" t="s">
        <v>119</v>
      </c>
      <c r="K1946" s="18"/>
      <c r="L1946" s="9" t="s">
        <v>120</v>
      </c>
      <c r="M1946" s="18" t="s">
        <v>1796</v>
      </c>
      <c r="N1946" s="18"/>
      <c r="O1946" s="18" t="s">
        <v>1797</v>
      </c>
      <c r="P1946" s="18" t="str">
        <f>HYPERLINK("https://ceds.ed.gov/cedselementdetails.aspx?termid=13507")</f>
        <v>https://ceds.ed.gov/cedselementdetails.aspx?termid=13507</v>
      </c>
      <c r="Q1946" s="18" t="str">
        <f>HYPERLINK("https://ceds.ed.gov/elementComment.aspx?elementName=Classroom Identifier &amp;elementID=13507", "Click here to submit comment")</f>
        <v>Click here to submit comment</v>
      </c>
    </row>
    <row r="1947" spans="1:17" x14ac:dyDescent="0.25">
      <c r="A1947" s="18"/>
      <c r="B1947" s="18"/>
      <c r="C1947" s="18"/>
      <c r="D1947" s="18"/>
      <c r="E1947" s="18"/>
      <c r="F1947" s="18"/>
      <c r="G1947" s="18"/>
      <c r="H1947" s="18"/>
      <c r="I1947" s="18"/>
      <c r="J1947" s="18"/>
      <c r="K1947" s="18"/>
      <c r="L1947" s="9"/>
      <c r="M1947" s="18"/>
      <c r="N1947" s="18"/>
      <c r="O1947" s="18"/>
      <c r="P1947" s="18"/>
      <c r="Q1947" s="18"/>
    </row>
    <row r="1948" spans="1:17" ht="90" x14ac:dyDescent="0.25">
      <c r="A1948" s="18"/>
      <c r="B1948" s="18"/>
      <c r="C1948" s="18"/>
      <c r="D1948" s="18"/>
      <c r="E1948" s="18"/>
      <c r="F1948" s="18"/>
      <c r="G1948" s="18"/>
      <c r="H1948" s="18"/>
      <c r="I1948" s="18"/>
      <c r="J1948" s="18"/>
      <c r="K1948" s="18"/>
      <c r="L1948" s="9" t="s">
        <v>121</v>
      </c>
      <c r="M1948" s="18"/>
      <c r="N1948" s="18"/>
      <c r="O1948" s="18"/>
      <c r="P1948" s="18"/>
      <c r="Q1948" s="18"/>
    </row>
    <row r="1949" spans="1:17" ht="180" x14ac:dyDescent="0.25">
      <c r="A1949" s="9" t="s">
        <v>6811</v>
      </c>
      <c r="B1949" s="9" t="s">
        <v>6847</v>
      </c>
      <c r="C1949" s="9"/>
      <c r="D1949" s="9" t="s">
        <v>6742</v>
      </c>
      <c r="E1949" s="9" t="s">
        <v>5089</v>
      </c>
      <c r="F1949" s="9" t="s">
        <v>5090</v>
      </c>
      <c r="G1949" s="10" t="s">
        <v>6676</v>
      </c>
      <c r="H1949" s="9"/>
      <c r="I1949" s="9"/>
      <c r="J1949" s="9"/>
      <c r="K1949" s="9"/>
      <c r="L1949" s="9"/>
      <c r="M1949" s="9" t="s">
        <v>5091</v>
      </c>
      <c r="N1949" s="9"/>
      <c r="O1949" s="9" t="s">
        <v>5092</v>
      </c>
      <c r="P1949" s="9" t="str">
        <f>HYPERLINK("https://ceds.ed.gov/cedselementdetails.aspx?termid=13515")</f>
        <v>https://ceds.ed.gov/cedselementdetails.aspx?termid=13515</v>
      </c>
      <c r="Q1949" s="9" t="str">
        <f>HYPERLINK("https://ceds.ed.gov/elementComment.aspx?elementName=Receiving Location of Instruction &amp;elementID=13515", "Click here to submit comment")</f>
        <v>Click here to submit comment</v>
      </c>
    </row>
    <row r="1950" spans="1:17" ht="270" x14ac:dyDescent="0.25">
      <c r="A1950" s="9" t="s">
        <v>6811</v>
      </c>
      <c r="B1950" s="9" t="s">
        <v>6847</v>
      </c>
      <c r="C1950" s="9"/>
      <c r="D1950" s="9" t="s">
        <v>6742</v>
      </c>
      <c r="E1950" s="9" t="s">
        <v>1798</v>
      </c>
      <c r="F1950" s="9" t="s">
        <v>1799</v>
      </c>
      <c r="G1950" s="10" t="s">
        <v>6409</v>
      </c>
      <c r="H1950" s="9"/>
      <c r="I1950" s="9"/>
      <c r="J1950" s="9"/>
      <c r="K1950" s="9"/>
      <c r="L1950" s="9"/>
      <c r="M1950" s="9" t="s">
        <v>1800</v>
      </c>
      <c r="N1950" s="9"/>
      <c r="O1950" s="9" t="s">
        <v>1801</v>
      </c>
      <c r="P1950" s="9" t="str">
        <f>HYPERLINK("https://ceds.ed.gov/cedselementdetails.aspx?termid=13615")</f>
        <v>https://ceds.ed.gov/cedselementdetails.aspx?termid=13615</v>
      </c>
      <c r="Q1950" s="9" t="str">
        <f>HYPERLINK("https://ceds.ed.gov/elementComment.aspx?elementName=Classroom Position Type &amp;elementID=13615", "Click here to submit comment")</f>
        <v>Click here to submit comment</v>
      </c>
    </row>
    <row r="1951" spans="1:17" ht="105" x14ac:dyDescent="0.25">
      <c r="A1951" s="9" t="s">
        <v>6811</v>
      </c>
      <c r="B1951" s="9" t="s">
        <v>6847</v>
      </c>
      <c r="C1951" s="9"/>
      <c r="D1951" s="9" t="s">
        <v>6742</v>
      </c>
      <c r="E1951" s="9" t="s">
        <v>6024</v>
      </c>
      <c r="F1951" s="9" t="s">
        <v>6025</v>
      </c>
      <c r="G1951" s="9" t="s">
        <v>6106</v>
      </c>
      <c r="H1951" s="9"/>
      <c r="I1951" s="9"/>
      <c r="J1951" s="9"/>
      <c r="K1951" s="9"/>
      <c r="L1951" s="9"/>
      <c r="M1951" s="9" t="s">
        <v>6026</v>
      </c>
      <c r="N1951" s="9"/>
      <c r="O1951" s="9" t="s">
        <v>6027</v>
      </c>
      <c r="P1951" s="9" t="str">
        <f>HYPERLINK("https://ceds.ed.gov/cedselementdetails.aspx?termid=14167")</f>
        <v>https://ceds.ed.gov/cedselementdetails.aspx?termid=14167</v>
      </c>
      <c r="Q1951" s="9" t="str">
        <f>HYPERLINK("https://ceds.ed.gov/elementComment.aspx?elementName=Virtual Indicator &amp;elementID=14167", "Click here to submit comment")</f>
        <v>Click here to submit comment</v>
      </c>
    </row>
    <row r="1952" spans="1:17" ht="150" x14ac:dyDescent="0.25">
      <c r="A1952" s="9" t="s">
        <v>6811</v>
      </c>
      <c r="B1952" s="9" t="s">
        <v>6847</v>
      </c>
      <c r="C1952" s="9"/>
      <c r="D1952" s="9" t="s">
        <v>6742</v>
      </c>
      <c r="E1952" s="9" t="s">
        <v>2066</v>
      </c>
      <c r="F1952" s="9" t="s">
        <v>2067</v>
      </c>
      <c r="G1952" s="10" t="s">
        <v>6434</v>
      </c>
      <c r="H1952" s="9"/>
      <c r="I1952" s="9"/>
      <c r="J1952" s="9"/>
      <c r="K1952" s="9"/>
      <c r="L1952" s="9"/>
      <c r="M1952" s="9" t="s">
        <v>2068</v>
      </c>
      <c r="N1952" s="9"/>
      <c r="O1952" s="9" t="s">
        <v>2069</v>
      </c>
      <c r="P1952" s="9" t="str">
        <f>HYPERLINK("https://ceds.ed.gov/cedselementdetails.aspx?termid=14168")</f>
        <v>https://ceds.ed.gov/cedselementdetails.aspx?termid=14168</v>
      </c>
      <c r="Q1952" s="9" t="str">
        <f>HYPERLINK("https://ceds.ed.gov/elementComment.aspx?elementName=Course Section Instructional Delivery Mode &amp;elementID=14168", "Click here to submit comment")</f>
        <v>Click here to submit comment</v>
      </c>
    </row>
    <row r="1953" spans="1:17" ht="105" customHeight="1" x14ac:dyDescent="0.25">
      <c r="A1953" s="18" t="s">
        <v>6811</v>
      </c>
      <c r="B1953" s="18" t="s">
        <v>6847</v>
      </c>
      <c r="C1953" s="18"/>
      <c r="D1953" s="18" t="s">
        <v>6742</v>
      </c>
      <c r="E1953" s="18" t="s">
        <v>1542</v>
      </c>
      <c r="F1953" s="18" t="s">
        <v>1543</v>
      </c>
      <c r="G1953" s="19" t="s">
        <v>6393</v>
      </c>
      <c r="H1953" s="18"/>
      <c r="I1953" s="18"/>
      <c r="J1953" s="18"/>
      <c r="K1953" s="18"/>
      <c r="L1953" s="9" t="s">
        <v>1544</v>
      </c>
      <c r="M1953" s="18" t="s">
        <v>1546</v>
      </c>
      <c r="N1953" s="18"/>
      <c r="O1953" s="18" t="s">
        <v>1547</v>
      </c>
      <c r="P1953" s="18" t="str">
        <f>HYPERLINK("https://ceds.ed.gov/cedselementdetails.aspx?termid=14253")</f>
        <v>https://ceds.ed.gov/cedselementdetails.aspx?termid=14253</v>
      </c>
      <c r="Q1953" s="18" t="str">
        <f>HYPERLINK("https://ceds.ed.gov/elementComment.aspx?elementName=Blended Learning Model Type &amp;elementID=14253", "Click here to submit comment")</f>
        <v>Click here to submit comment</v>
      </c>
    </row>
    <row r="1954" spans="1:17" x14ac:dyDescent="0.25">
      <c r="A1954" s="18"/>
      <c r="B1954" s="18"/>
      <c r="C1954" s="18"/>
      <c r="D1954" s="18"/>
      <c r="E1954" s="18"/>
      <c r="F1954" s="18"/>
      <c r="G1954" s="18"/>
      <c r="H1954" s="18"/>
      <c r="I1954" s="18"/>
      <c r="J1954" s="18"/>
      <c r="K1954" s="18"/>
      <c r="L1954" s="9"/>
      <c r="M1954" s="18"/>
      <c r="N1954" s="18"/>
      <c r="O1954" s="18"/>
      <c r="P1954" s="18"/>
      <c r="Q1954" s="18"/>
    </row>
    <row r="1955" spans="1:17" ht="45" x14ac:dyDescent="0.25">
      <c r="A1955" s="18"/>
      <c r="B1955" s="18"/>
      <c r="C1955" s="18"/>
      <c r="D1955" s="18"/>
      <c r="E1955" s="18"/>
      <c r="F1955" s="18"/>
      <c r="G1955" s="18"/>
      <c r="H1955" s="18"/>
      <c r="I1955" s="18"/>
      <c r="J1955" s="18"/>
      <c r="K1955" s="18"/>
      <c r="L1955" s="9" t="s">
        <v>1545</v>
      </c>
      <c r="M1955" s="18"/>
      <c r="N1955" s="18"/>
      <c r="O1955" s="18"/>
      <c r="P1955" s="18"/>
      <c r="Q1955" s="18"/>
    </row>
    <row r="1956" spans="1:17" ht="45" x14ac:dyDescent="0.25">
      <c r="A1956" s="9" t="s">
        <v>6811</v>
      </c>
      <c r="B1956" s="9" t="s">
        <v>6847</v>
      </c>
      <c r="C1956" s="9"/>
      <c r="D1956" s="9" t="s">
        <v>6742</v>
      </c>
      <c r="E1956" s="9" t="s">
        <v>1998</v>
      </c>
      <c r="F1956" s="9" t="s">
        <v>1999</v>
      </c>
      <c r="G1956" s="10" t="s">
        <v>6429</v>
      </c>
      <c r="H1956" s="9"/>
      <c r="I1956" s="9"/>
      <c r="J1956" s="9"/>
      <c r="K1956" s="9"/>
      <c r="L1956" s="9" t="s">
        <v>2000</v>
      </c>
      <c r="M1956" s="9" t="s">
        <v>2001</v>
      </c>
      <c r="N1956" s="9"/>
      <c r="O1956" s="9" t="s">
        <v>2002</v>
      </c>
      <c r="P1956" s="9" t="str">
        <f>HYPERLINK("https://ceds.ed.gov/cedselementdetails.aspx?termid=14277")</f>
        <v>https://ceds.ed.gov/cedselementdetails.aspx?termid=14277</v>
      </c>
      <c r="Q1956" s="9" t="str">
        <f>HYPERLINK("https://ceds.ed.gov/elementComment.aspx?elementName=Course Interaction Mode &amp;elementID=14277", "Click here to submit comment")</f>
        <v>Click here to submit comment</v>
      </c>
    </row>
    <row r="1957" spans="1:17" ht="60" x14ac:dyDescent="0.25">
      <c r="A1957" s="9" t="s">
        <v>6811</v>
      </c>
      <c r="B1957" s="9" t="s">
        <v>6847</v>
      </c>
      <c r="C1957" s="9"/>
      <c r="D1957" s="9" t="s">
        <v>6742</v>
      </c>
      <c r="E1957" s="9" t="s">
        <v>2078</v>
      </c>
      <c r="F1957" s="9" t="s">
        <v>2079</v>
      </c>
      <c r="G1957" s="10" t="s">
        <v>6435</v>
      </c>
      <c r="H1957" s="9" t="s">
        <v>6179</v>
      </c>
      <c r="I1957" s="9"/>
      <c r="J1957" s="9"/>
      <c r="K1957" s="9"/>
      <c r="L1957" s="9"/>
      <c r="M1957" s="9" t="s">
        <v>2080</v>
      </c>
      <c r="N1957" s="9"/>
      <c r="O1957" s="9" t="s">
        <v>2081</v>
      </c>
      <c r="P1957" s="9" t="str">
        <f>HYPERLINK("https://ceds.ed.gov/cedselementdetails.aspx?termid=13258")</f>
        <v>https://ceds.ed.gov/cedselementdetails.aspx?termid=13258</v>
      </c>
      <c r="Q1957" s="9" t="str">
        <f>HYPERLINK("https://ceds.ed.gov/elementComment.aspx?elementName=Course Section Single Sex Class Status &amp;elementID=13258", "Click here to submit comment")</f>
        <v>Click here to submit comment</v>
      </c>
    </row>
    <row r="1958" spans="1:17" ht="75" x14ac:dyDescent="0.25">
      <c r="A1958" s="9" t="s">
        <v>6811</v>
      </c>
      <c r="B1958" s="9" t="s">
        <v>6847</v>
      </c>
      <c r="C1958" s="9"/>
      <c r="D1958" s="9" t="s">
        <v>6742</v>
      </c>
      <c r="E1958" s="9" t="s">
        <v>0</v>
      </c>
      <c r="F1958" s="9" t="s">
        <v>1</v>
      </c>
      <c r="G1958" s="9" t="s">
        <v>6106</v>
      </c>
      <c r="H1958" s="9" t="s">
        <v>4</v>
      </c>
      <c r="I1958" s="9"/>
      <c r="J1958" s="9"/>
      <c r="K1958" s="9"/>
      <c r="L1958" s="9"/>
      <c r="M1958" s="9" t="s">
        <v>2</v>
      </c>
      <c r="N1958" s="9"/>
      <c r="O1958" s="9" t="s">
        <v>3</v>
      </c>
      <c r="P1958" s="9" t="str">
        <f>HYPERLINK("https://ceds.ed.gov/cedselementdetails.aspx?termid=13000")</f>
        <v>https://ceds.ed.gov/cedselementdetails.aspx?termid=13000</v>
      </c>
      <c r="Q1958" s="9" t="str">
        <f>HYPERLINK("https://ceds.ed.gov/elementComment.aspx?elementName=Ability Grouping Status &amp;elementID=13000", "Click here to submit comment")</f>
        <v>Click here to submit comment</v>
      </c>
    </row>
    <row r="1959" spans="1:17" ht="120" x14ac:dyDescent="0.25">
      <c r="A1959" s="9" t="s">
        <v>6811</v>
      </c>
      <c r="B1959" s="9" t="s">
        <v>6847</v>
      </c>
      <c r="C1959" s="9"/>
      <c r="D1959" s="9" t="s">
        <v>6742</v>
      </c>
      <c r="E1959" s="9" t="s">
        <v>1973</v>
      </c>
      <c r="F1959" s="9" t="s">
        <v>1974</v>
      </c>
      <c r="G1959" s="10" t="s">
        <v>6425</v>
      </c>
      <c r="H1959" s="9" t="s">
        <v>6150</v>
      </c>
      <c r="I1959" s="9"/>
      <c r="J1959" s="9"/>
      <c r="K1959" s="9"/>
      <c r="L1959" s="9"/>
      <c r="M1959" s="9" t="s">
        <v>1975</v>
      </c>
      <c r="N1959" s="9" t="s">
        <v>1976</v>
      </c>
      <c r="O1959" s="9" t="s">
        <v>1977</v>
      </c>
      <c r="P1959" s="9" t="str">
        <f>HYPERLINK("https://ceds.ed.gov/cedselementdetails.aspx?termid=13060")</f>
        <v>https://ceds.ed.gov/cedselementdetails.aspx?termid=13060</v>
      </c>
      <c r="Q1959" s="9" t="str">
        <f>HYPERLINK("https://ceds.ed.gov/elementComment.aspx?elementName=Course Grade Point Average Applicability &amp;elementID=13060", "Click here to submit comment")</f>
        <v>Click here to submit comment</v>
      </c>
    </row>
    <row r="1960" spans="1:17" ht="255" x14ac:dyDescent="0.25">
      <c r="A1960" s="9" t="s">
        <v>6811</v>
      </c>
      <c r="B1960" s="9" t="s">
        <v>6847</v>
      </c>
      <c r="C1960" s="9"/>
      <c r="D1960" s="9" t="s">
        <v>6742</v>
      </c>
      <c r="E1960" s="9" t="s">
        <v>145</v>
      </c>
      <c r="F1960" s="9" t="s">
        <v>146</v>
      </c>
      <c r="G1960" s="10" t="s">
        <v>6318</v>
      </c>
      <c r="H1960" s="9"/>
      <c r="I1960" s="9"/>
      <c r="J1960" s="9"/>
      <c r="K1960" s="9"/>
      <c r="L1960" s="9"/>
      <c r="M1960" s="9" t="s">
        <v>147</v>
      </c>
      <c r="N1960" s="9"/>
      <c r="O1960" s="9" t="s">
        <v>148</v>
      </c>
      <c r="P1960" s="9" t="str">
        <f>HYPERLINK("https://ceds.ed.gov/cedselementdetails.aspx?termid=13589")</f>
        <v>https://ceds.ed.gov/cedselementdetails.aspx?termid=13589</v>
      </c>
      <c r="Q1960" s="9" t="str">
        <f>HYPERLINK("https://ceds.ed.gov/elementComment.aspx?elementName=Additional Credit Type &amp;elementID=13589", "Click here to submit comment")</f>
        <v>Click here to submit comment</v>
      </c>
    </row>
    <row r="1961" spans="1:17" ht="45" x14ac:dyDescent="0.25">
      <c r="A1961" s="9" t="s">
        <v>6811</v>
      </c>
      <c r="B1961" s="9" t="s">
        <v>6847</v>
      </c>
      <c r="C1961" s="9"/>
      <c r="D1961" s="9" t="s">
        <v>6742</v>
      </c>
      <c r="E1961" s="9" t="s">
        <v>1929</v>
      </c>
      <c r="F1961" s="9" t="s">
        <v>1930</v>
      </c>
      <c r="G1961" s="9" t="s">
        <v>12</v>
      </c>
      <c r="H1961" s="9"/>
      <c r="I1961" s="9"/>
      <c r="J1961" s="9" t="s">
        <v>68</v>
      </c>
      <c r="K1961" s="9"/>
      <c r="L1961" s="9"/>
      <c r="M1961" s="9" t="s">
        <v>1931</v>
      </c>
      <c r="N1961" s="9"/>
      <c r="O1961" s="9" t="s">
        <v>1932</v>
      </c>
      <c r="P1961" s="9" t="str">
        <f>HYPERLINK("https://ceds.ed.gov/cedselementdetails.aspx?termid=14268")</f>
        <v>https://ceds.ed.gov/cedselementdetails.aspx?termid=14268</v>
      </c>
      <c r="Q1961" s="9" t="str">
        <f>HYPERLINK("https://ceds.ed.gov/elementComment.aspx?elementName=Course Certification Description &amp;elementID=14268", "Click here to submit comment")</f>
        <v>Click here to submit comment</v>
      </c>
    </row>
    <row r="1962" spans="1:17" ht="45" x14ac:dyDescent="0.25">
      <c r="A1962" s="9" t="s">
        <v>6811</v>
      </c>
      <c r="B1962" s="9" t="s">
        <v>6847</v>
      </c>
      <c r="C1962" s="9"/>
      <c r="D1962" s="9" t="s">
        <v>6742</v>
      </c>
      <c r="E1962" s="9" t="s">
        <v>2762</v>
      </c>
      <c r="F1962" s="9" t="s">
        <v>2763</v>
      </c>
      <c r="G1962" s="9" t="s">
        <v>6106</v>
      </c>
      <c r="H1962" s="9"/>
      <c r="I1962" s="9"/>
      <c r="J1962" s="9"/>
      <c r="K1962" s="9"/>
      <c r="L1962" s="9"/>
      <c r="M1962" s="9" t="s">
        <v>2764</v>
      </c>
      <c r="N1962" s="9"/>
      <c r="O1962" s="9" t="s">
        <v>2765</v>
      </c>
      <c r="P1962" s="9" t="str">
        <f>HYPERLINK("https://ceds.ed.gov/cedselementdetails.aspx?termid=14311")</f>
        <v>https://ceds.ed.gov/cedselementdetails.aspx?termid=14311</v>
      </c>
      <c r="Q1962" s="9" t="str">
        <f>HYPERLINK("https://ceds.ed.gov/elementComment.aspx?elementName=Family and Consumer Sciences Course Indicator &amp;elementID=14311", "Click here to submit comment")</f>
        <v>Click here to submit comment</v>
      </c>
    </row>
    <row r="1963" spans="1:17" ht="45" x14ac:dyDescent="0.25">
      <c r="A1963" s="9" t="s">
        <v>6811</v>
      </c>
      <c r="B1963" s="9" t="s">
        <v>6847</v>
      </c>
      <c r="C1963" s="9"/>
      <c r="D1963" s="9" t="s">
        <v>6742</v>
      </c>
      <c r="E1963" s="9" t="s">
        <v>4304</v>
      </c>
      <c r="F1963" s="9" t="s">
        <v>4305</v>
      </c>
      <c r="G1963" s="9" t="s">
        <v>6106</v>
      </c>
      <c r="H1963" s="9"/>
      <c r="I1963" s="9"/>
      <c r="J1963" s="9"/>
      <c r="K1963" s="9"/>
      <c r="L1963" s="9"/>
      <c r="M1963" s="9" t="s">
        <v>4306</v>
      </c>
      <c r="N1963" s="9" t="s">
        <v>4307</v>
      </c>
      <c r="O1963" s="9" t="s">
        <v>4308</v>
      </c>
      <c r="P1963" s="9" t="str">
        <f>HYPERLINK("https://ceds.ed.gov/cedselementdetails.aspx?termid=14382")</f>
        <v>https://ceds.ed.gov/cedselementdetails.aspx?termid=14382</v>
      </c>
      <c r="Q1963" s="9" t="str">
        <f>HYPERLINK("https://ceds.ed.gov/elementComment.aspx?elementName=National Collegiate Athletic Association Eligibility &amp;elementID=14382", "Click here to submit comment")</f>
        <v>Click here to submit comment</v>
      </c>
    </row>
    <row r="1964" spans="1:17" ht="90" x14ac:dyDescent="0.25">
      <c r="A1964" s="9" t="s">
        <v>6811</v>
      </c>
      <c r="B1964" s="9" t="s">
        <v>6847</v>
      </c>
      <c r="C1964" s="9"/>
      <c r="D1964" s="9" t="s">
        <v>6742</v>
      </c>
      <c r="E1964" s="9" t="s">
        <v>1968</v>
      </c>
      <c r="F1964" s="9" t="s">
        <v>1969</v>
      </c>
      <c r="G1964" s="9" t="s">
        <v>12</v>
      </c>
      <c r="H1964" s="9"/>
      <c r="I1964" s="9"/>
      <c r="J1964" s="9" t="s">
        <v>87</v>
      </c>
      <c r="K1964" s="9"/>
      <c r="L1964" s="9" t="s">
        <v>1970</v>
      </c>
      <c r="M1964" s="9" t="s">
        <v>1971</v>
      </c>
      <c r="N1964" s="9"/>
      <c r="O1964" s="9" t="s">
        <v>1972</v>
      </c>
      <c r="P1964" s="9" t="str">
        <f>HYPERLINK("https://ceds.ed.gov/cedselementdetails.aspx?termid=14272")</f>
        <v>https://ceds.ed.gov/cedselementdetails.aspx?termid=14272</v>
      </c>
      <c r="Q1964" s="9" t="str">
        <f>HYPERLINK("https://ceds.ed.gov/elementComment.aspx?elementName=Course Funding Program &amp;elementID=14272", "Click here to submit comment")</f>
        <v>Click here to submit comment</v>
      </c>
    </row>
    <row r="1965" spans="1:17" ht="60" x14ac:dyDescent="0.25">
      <c r="A1965" s="9" t="s">
        <v>6811</v>
      </c>
      <c r="B1965" s="9" t="s">
        <v>6847</v>
      </c>
      <c r="C1965" s="9"/>
      <c r="D1965" s="9" t="s">
        <v>6742</v>
      </c>
      <c r="E1965" s="9" t="s">
        <v>5990</v>
      </c>
      <c r="F1965" s="9" t="s">
        <v>5991</v>
      </c>
      <c r="G1965" s="9" t="s">
        <v>6106</v>
      </c>
      <c r="H1965" s="9"/>
      <c r="I1965" s="9"/>
      <c r="J1965" s="9"/>
      <c r="K1965" s="9"/>
      <c r="L1965" s="9" t="s">
        <v>5992</v>
      </c>
      <c r="M1965" s="9" t="s">
        <v>5993</v>
      </c>
      <c r="N1965" s="9"/>
      <c r="O1965" s="9" t="s">
        <v>5994</v>
      </c>
      <c r="P1965" s="9" t="str">
        <f>HYPERLINK("https://ceds.ed.gov/cedselementdetails.aspx?termid=14554")</f>
        <v>https://ceds.ed.gov/cedselementdetails.aspx?termid=14554</v>
      </c>
      <c r="Q1965" s="9" t="str">
        <f>HYPERLINK("https://ceds.ed.gov/elementComment.aspx?elementName=Tuition Funded &amp;elementID=14554", "Click here to submit comment")</f>
        <v>Click here to submit comment</v>
      </c>
    </row>
    <row r="1966" spans="1:17" ht="390" x14ac:dyDescent="0.25">
      <c r="A1966" s="9" t="s">
        <v>6811</v>
      </c>
      <c r="B1966" s="9" t="s">
        <v>6847</v>
      </c>
      <c r="C1966" s="9"/>
      <c r="D1966" s="9" t="s">
        <v>6746</v>
      </c>
      <c r="E1966" s="9" t="s">
        <v>2007</v>
      </c>
      <c r="F1966" s="9" t="s">
        <v>2008</v>
      </c>
      <c r="G1966" s="10" t="s">
        <v>11841</v>
      </c>
      <c r="H1966" s="9"/>
      <c r="I1966" s="9" t="s">
        <v>91</v>
      </c>
      <c r="J1966" s="9"/>
      <c r="K1966" s="9"/>
      <c r="L1966" s="9"/>
      <c r="M1966" s="9" t="s">
        <v>2009</v>
      </c>
      <c r="N1966" s="9"/>
      <c r="O1966" s="9" t="s">
        <v>2010</v>
      </c>
      <c r="P1966" s="9" t="str">
        <f>HYPERLINK("https://ceds.ed.gov/cedselementdetails.aspx?termid=14278")</f>
        <v>https://ceds.ed.gov/cedselementdetails.aspx?termid=14278</v>
      </c>
      <c r="Q1966" s="9" t="str">
        <f>HYPERLINK("https://ceds.ed.gov/elementComment.aspx?elementName=Course Level Type &amp;elementID=14278", "Click here to submit comment")</f>
        <v>Click here to submit comment</v>
      </c>
    </row>
    <row r="1967" spans="1:17" ht="105" x14ac:dyDescent="0.25">
      <c r="A1967" s="18" t="s">
        <v>6811</v>
      </c>
      <c r="B1967" s="18" t="s">
        <v>6847</v>
      </c>
      <c r="C1967" s="18" t="s">
        <v>6848</v>
      </c>
      <c r="D1967" s="18" t="s">
        <v>6742</v>
      </c>
      <c r="E1967" s="18" t="s">
        <v>1982</v>
      </c>
      <c r="F1967" s="18" t="s">
        <v>1983</v>
      </c>
      <c r="G1967" s="18" t="s">
        <v>12</v>
      </c>
      <c r="H1967" s="18" t="s">
        <v>6176</v>
      </c>
      <c r="I1967" s="18"/>
      <c r="J1967" s="18" t="s">
        <v>119</v>
      </c>
      <c r="K1967" s="18"/>
      <c r="L1967" s="9" t="s">
        <v>120</v>
      </c>
      <c r="M1967" s="18" t="s">
        <v>1984</v>
      </c>
      <c r="N1967" s="18"/>
      <c r="O1967" s="18" t="s">
        <v>1985</v>
      </c>
      <c r="P1967" s="18" t="str">
        <f>HYPERLINK("https://ceds.ed.gov/cedselementdetails.aspx?termid=13055")</f>
        <v>https://ceds.ed.gov/cedselementdetails.aspx?termid=13055</v>
      </c>
      <c r="Q1967" s="18" t="str">
        <f>HYPERLINK("https://ceds.ed.gov/elementComment.aspx?elementName=Course Identifier &amp;elementID=13055", "Click here to submit comment")</f>
        <v>Click here to submit comment</v>
      </c>
    </row>
    <row r="1968" spans="1:17" x14ac:dyDescent="0.25">
      <c r="A1968" s="18"/>
      <c r="B1968" s="18"/>
      <c r="C1968" s="18"/>
      <c r="D1968" s="18"/>
      <c r="E1968" s="18"/>
      <c r="F1968" s="18"/>
      <c r="G1968" s="18"/>
      <c r="H1968" s="18"/>
      <c r="I1968" s="18"/>
      <c r="J1968" s="18"/>
      <c r="K1968" s="18"/>
      <c r="L1968" s="9"/>
      <c r="M1968" s="18"/>
      <c r="N1968" s="18"/>
      <c r="O1968" s="18"/>
      <c r="P1968" s="18"/>
      <c r="Q1968" s="18"/>
    </row>
    <row r="1969" spans="1:17" ht="90" x14ac:dyDescent="0.25">
      <c r="A1969" s="18"/>
      <c r="B1969" s="18"/>
      <c r="C1969" s="18"/>
      <c r="D1969" s="18"/>
      <c r="E1969" s="18"/>
      <c r="F1969" s="18"/>
      <c r="G1969" s="18"/>
      <c r="H1969" s="18"/>
      <c r="I1969" s="18"/>
      <c r="J1969" s="18"/>
      <c r="K1969" s="18"/>
      <c r="L1969" s="9" t="s">
        <v>121</v>
      </c>
      <c r="M1969" s="18"/>
      <c r="N1969" s="18"/>
      <c r="O1969" s="18"/>
      <c r="P1969" s="18"/>
      <c r="Q1969" s="18"/>
    </row>
    <row r="1970" spans="1:17" ht="195" x14ac:dyDescent="0.25">
      <c r="A1970" s="9" t="s">
        <v>6811</v>
      </c>
      <c r="B1970" s="9" t="s">
        <v>6847</v>
      </c>
      <c r="C1970" s="9" t="s">
        <v>6848</v>
      </c>
      <c r="D1970" s="9" t="s">
        <v>6742</v>
      </c>
      <c r="E1970" s="9" t="s">
        <v>1933</v>
      </c>
      <c r="F1970" s="9" t="s">
        <v>1934</v>
      </c>
      <c r="G1970" s="10" t="s">
        <v>6421</v>
      </c>
      <c r="H1970" s="9" t="s">
        <v>6150</v>
      </c>
      <c r="I1970" s="9"/>
      <c r="J1970" s="9"/>
      <c r="K1970" s="9"/>
      <c r="L1970" s="9"/>
      <c r="M1970" s="9" t="s">
        <v>1935</v>
      </c>
      <c r="N1970" s="9"/>
      <c r="O1970" s="9" t="s">
        <v>1936</v>
      </c>
      <c r="P1970" s="9" t="str">
        <f>HYPERLINK("https://ceds.ed.gov/cedselementdetails.aspx?termid=13056")</f>
        <v>https://ceds.ed.gov/cedselementdetails.aspx?termid=13056</v>
      </c>
      <c r="Q1970" s="9" t="str">
        <f>HYPERLINK("https://ceds.ed.gov/elementComment.aspx?elementName=Course Code System &amp;elementID=13056", "Click here to submit comment")</f>
        <v>Click here to submit comment</v>
      </c>
    </row>
    <row r="1971" spans="1:17" ht="225" x14ac:dyDescent="0.25">
      <c r="A1971" s="9" t="s">
        <v>6811</v>
      </c>
      <c r="B1971" s="9" t="s">
        <v>6847</v>
      </c>
      <c r="C1971" s="9" t="s">
        <v>6848</v>
      </c>
      <c r="D1971" s="9" t="s">
        <v>6742</v>
      </c>
      <c r="E1971" s="9" t="s">
        <v>2091</v>
      </c>
      <c r="F1971" s="9" t="s">
        <v>2092</v>
      </c>
      <c r="G1971" s="9" t="s">
        <v>12</v>
      </c>
      <c r="H1971" s="9" t="s">
        <v>6150</v>
      </c>
      <c r="I1971" s="9"/>
      <c r="J1971" s="9" t="s">
        <v>92</v>
      </c>
      <c r="K1971" s="9"/>
      <c r="L1971" s="9"/>
      <c r="M1971" s="9" t="s">
        <v>2093</v>
      </c>
      <c r="N1971" s="9"/>
      <c r="O1971" s="9" t="s">
        <v>2094</v>
      </c>
      <c r="P1971" s="9" t="str">
        <f>HYPERLINK("https://ceds.ed.gov/cedselementdetails.aspx?termid=13067")</f>
        <v>https://ceds.ed.gov/cedselementdetails.aspx?termid=13067</v>
      </c>
      <c r="Q1971" s="9" t="str">
        <f>HYPERLINK("https://ceds.ed.gov/elementComment.aspx?elementName=Course Title &amp;elementID=13067", "Click here to submit comment")</f>
        <v>Click here to submit comment</v>
      </c>
    </row>
    <row r="1972" spans="1:17" ht="120" x14ac:dyDescent="0.25">
      <c r="A1972" s="9" t="s">
        <v>6811</v>
      </c>
      <c r="B1972" s="9" t="s">
        <v>6847</v>
      </c>
      <c r="C1972" s="9" t="s">
        <v>6848</v>
      </c>
      <c r="D1972" s="9" t="s">
        <v>6742</v>
      </c>
      <c r="E1972" s="9" t="s">
        <v>5331</v>
      </c>
      <c r="F1972" s="9" t="s">
        <v>5332</v>
      </c>
      <c r="G1972" s="9" t="s">
        <v>12</v>
      </c>
      <c r="H1972" s="9" t="s">
        <v>6150</v>
      </c>
      <c r="I1972" s="9"/>
      <c r="J1972" s="9" t="s">
        <v>2088</v>
      </c>
      <c r="K1972" s="9"/>
      <c r="L1972" s="9" t="s">
        <v>5333</v>
      </c>
      <c r="M1972" s="9" t="s">
        <v>5334</v>
      </c>
      <c r="N1972" s="9" t="s">
        <v>5335</v>
      </c>
      <c r="O1972" s="9" t="s">
        <v>5336</v>
      </c>
      <c r="P1972" s="9" t="str">
        <f>HYPERLINK("https://ceds.ed.gov/cedselementdetails.aspx?termid=13250")</f>
        <v>https://ceds.ed.gov/cedselementdetails.aspx?termid=13250</v>
      </c>
      <c r="Q1972" s="9" t="str">
        <f>HYPERLINK("https://ceds.ed.gov/elementComment.aspx?elementName=School Courses for the Exchange of Data Sequence of Course &amp;elementID=13250", "Click here to submit comment")</f>
        <v>Click here to submit comment</v>
      </c>
    </row>
    <row r="1973" spans="1:17" ht="45" x14ac:dyDescent="0.25">
      <c r="A1973" s="9" t="s">
        <v>6811</v>
      </c>
      <c r="B1973" s="9" t="s">
        <v>6847</v>
      </c>
      <c r="C1973" s="9" t="s">
        <v>6848</v>
      </c>
      <c r="D1973" s="9" t="s">
        <v>6742</v>
      </c>
      <c r="E1973" s="9" t="s">
        <v>10945</v>
      </c>
      <c r="F1973" s="9" t="s">
        <v>10946</v>
      </c>
      <c r="G1973" s="9" t="s">
        <v>12</v>
      </c>
      <c r="H1973" s="9"/>
      <c r="I1973" s="9"/>
      <c r="J1973" s="9" t="s">
        <v>589</v>
      </c>
      <c r="K1973" s="9"/>
      <c r="L1973" s="9"/>
      <c r="M1973" s="9" t="s">
        <v>10947</v>
      </c>
      <c r="N1973" s="9"/>
      <c r="O1973" s="9" t="s">
        <v>10948</v>
      </c>
      <c r="P1973" s="9" t="str">
        <f>HYPERLINK("https://ceds.ed.gov/cedselementdetails.aspx?termid=14648")</f>
        <v>https://ceds.ed.gov/cedselementdetails.aspx?termid=14648</v>
      </c>
      <c r="Q1973" s="9" t="str">
        <f>HYPERLINK("https://ceds.ed.gov/elementComment.aspx?elementName=Course Repeatability Maximum Number &amp;elementID=14648", "Click here to submit comment")</f>
        <v>Click here to submit comment</v>
      </c>
    </row>
    <row r="1974" spans="1:17" ht="330" x14ac:dyDescent="0.25">
      <c r="A1974" s="9" t="s">
        <v>6811</v>
      </c>
      <c r="B1974" s="9" t="s">
        <v>6847</v>
      </c>
      <c r="C1974" s="9" t="s">
        <v>6848</v>
      </c>
      <c r="D1974" s="9" t="s">
        <v>6742</v>
      </c>
      <c r="E1974" s="9" t="s">
        <v>2003</v>
      </c>
      <c r="F1974" s="9" t="s">
        <v>2004</v>
      </c>
      <c r="G1974" s="10" t="s">
        <v>11840</v>
      </c>
      <c r="H1974" s="9" t="s">
        <v>6176</v>
      </c>
      <c r="I1974" s="9" t="s">
        <v>91</v>
      </c>
      <c r="J1974" s="9"/>
      <c r="K1974" s="9"/>
      <c r="L1974" s="9"/>
      <c r="M1974" s="9" t="s">
        <v>2005</v>
      </c>
      <c r="N1974" s="9"/>
      <c r="O1974" s="9" t="s">
        <v>2006</v>
      </c>
      <c r="P1974" s="9" t="str">
        <f>HYPERLINK("https://ceds.ed.gov/cedselementdetails.aspx?termid=13061")</f>
        <v>https://ceds.ed.gov/cedselementdetails.aspx?termid=13061</v>
      </c>
      <c r="Q1974" s="9" t="str">
        <f>HYPERLINK("https://ceds.ed.gov/elementComment.aspx?elementName=Course Level Characteristic &amp;elementID=13061", "Click here to submit comment")</f>
        <v>Click here to submit comment</v>
      </c>
    </row>
    <row r="1975" spans="1:17" ht="360" x14ac:dyDescent="0.25">
      <c r="A1975" s="9" t="s">
        <v>6811</v>
      </c>
      <c r="B1975" s="9" t="s">
        <v>6847</v>
      </c>
      <c r="C1975" s="9" t="s">
        <v>6848</v>
      </c>
      <c r="D1975" s="9" t="s">
        <v>6742</v>
      </c>
      <c r="E1975" s="9" t="s">
        <v>11089</v>
      </c>
      <c r="F1975" s="9" t="s">
        <v>2119</v>
      </c>
      <c r="G1975" s="10" t="s">
        <v>11847</v>
      </c>
      <c r="H1975" s="9" t="s">
        <v>6109</v>
      </c>
      <c r="I1975" s="9"/>
      <c r="J1975" s="9"/>
      <c r="K1975" s="9"/>
      <c r="L1975" s="9"/>
      <c r="M1975" s="9" t="s">
        <v>2120</v>
      </c>
      <c r="N1975" s="9"/>
      <c r="O1975" s="9" t="s">
        <v>11091</v>
      </c>
      <c r="P1975" s="9" t="str">
        <f>HYPERLINK("https://ceds.ed.gov/cedselementdetails.aspx?termid=13072")</f>
        <v>https://ceds.ed.gov/cedselementdetails.aspx?termid=13072</v>
      </c>
      <c r="Q1975" s="9" t="str">
        <f>HYPERLINK("https://ceds.ed.gov/elementComment.aspx?elementName=Credit Unit Type &amp;elementID=13072", "Click here to submit comment")</f>
        <v>Click here to submit comment</v>
      </c>
    </row>
    <row r="1976" spans="1:17" ht="150" x14ac:dyDescent="0.25">
      <c r="A1976" s="9" t="s">
        <v>6811</v>
      </c>
      <c r="B1976" s="9" t="s">
        <v>6847</v>
      </c>
      <c r="C1976" s="9" t="s">
        <v>6848</v>
      </c>
      <c r="D1976" s="9" t="s">
        <v>6742</v>
      </c>
      <c r="E1976" s="9" t="s">
        <v>1511</v>
      </c>
      <c r="F1976" s="9" t="s">
        <v>1512</v>
      </c>
      <c r="G1976" s="9" t="s">
        <v>12</v>
      </c>
      <c r="H1976" s="9" t="s">
        <v>6150</v>
      </c>
      <c r="I1976" s="9"/>
      <c r="J1976" s="9" t="s">
        <v>1513</v>
      </c>
      <c r="K1976" s="9"/>
      <c r="L1976" s="9"/>
      <c r="M1976" s="9" t="s">
        <v>1514</v>
      </c>
      <c r="N1976" s="9"/>
      <c r="O1976" s="9" t="s">
        <v>1515</v>
      </c>
      <c r="P1976" s="9" t="str">
        <f>HYPERLINK("https://ceds.ed.gov/cedselementdetails.aspx?termid=13030")</f>
        <v>https://ceds.ed.gov/cedselementdetails.aspx?termid=13030</v>
      </c>
      <c r="Q1976" s="9" t="str">
        <f>HYPERLINK("https://ceds.ed.gov/elementComment.aspx?elementName=Available Carnegie Unit Credit &amp;elementID=13030", "Click here to submit comment")</f>
        <v>Click here to submit comment</v>
      </c>
    </row>
    <row r="1977" spans="1:17" ht="120" x14ac:dyDescent="0.25">
      <c r="A1977" s="9" t="s">
        <v>6811</v>
      </c>
      <c r="B1977" s="9" t="s">
        <v>6847</v>
      </c>
      <c r="C1977" s="9" t="s">
        <v>6848</v>
      </c>
      <c r="D1977" s="9" t="s">
        <v>6742</v>
      </c>
      <c r="E1977" s="9" t="s">
        <v>3101</v>
      </c>
      <c r="F1977" s="9" t="s">
        <v>3102</v>
      </c>
      <c r="G1977" s="9" t="s">
        <v>6106</v>
      </c>
      <c r="H1977" s="9" t="s">
        <v>6150</v>
      </c>
      <c r="I1977" s="9"/>
      <c r="J1977" s="9"/>
      <c r="K1977" s="9"/>
      <c r="L1977" s="9"/>
      <c r="M1977" s="9" t="s">
        <v>3103</v>
      </c>
      <c r="N1977" s="9"/>
      <c r="O1977" s="9" t="s">
        <v>3104</v>
      </c>
      <c r="P1977" s="9" t="str">
        <f>HYPERLINK("https://ceds.ed.gov/cedselementdetails.aspx?termid=13137")</f>
        <v>https://ceds.ed.gov/cedselementdetails.aspx?termid=13137</v>
      </c>
      <c r="Q1977" s="9" t="str">
        <f>HYPERLINK("https://ceds.ed.gov/elementComment.aspx?elementName=High School Course Requirement &amp;elementID=13137", "Click here to submit comment")</f>
        <v>Click here to submit comment</v>
      </c>
    </row>
    <row r="1978" spans="1:17" ht="45" x14ac:dyDescent="0.25">
      <c r="A1978" s="9" t="s">
        <v>6811</v>
      </c>
      <c r="B1978" s="9" t="s">
        <v>6847</v>
      </c>
      <c r="C1978" s="9" t="s">
        <v>6848</v>
      </c>
      <c r="D1978" s="9" t="s">
        <v>6742</v>
      </c>
      <c r="E1978" s="9" t="s">
        <v>11699</v>
      </c>
      <c r="F1978" s="9" t="s">
        <v>11700</v>
      </c>
      <c r="G1978" s="9" t="s">
        <v>12</v>
      </c>
      <c r="H1978" s="9"/>
      <c r="I1978" s="9" t="s">
        <v>91</v>
      </c>
      <c r="J1978" s="9" t="s">
        <v>92</v>
      </c>
      <c r="K1978" s="9" t="s">
        <v>10738</v>
      </c>
      <c r="L1978" s="9"/>
      <c r="M1978" s="9" t="s">
        <v>5133</v>
      </c>
      <c r="N1978" s="9" t="s">
        <v>11701</v>
      </c>
      <c r="O1978" s="9" t="s">
        <v>11702</v>
      </c>
      <c r="P1978" s="9" t="str">
        <f>HYPERLINK("https://ceds.ed.gov/cedselementdetails.aspx?termid=13231")</f>
        <v>https://ceds.ed.gov/cedselementdetails.aspx?termid=13231</v>
      </c>
      <c r="Q1978" s="9" t="str">
        <f>HYPERLINK("https://ceds.ed.gov/elementComment.aspx?elementName=Related Competency Items &amp;elementID=13231", "Click here to submit comment")</f>
        <v>Click here to submit comment</v>
      </c>
    </row>
    <row r="1979" spans="1:17" ht="409.5" x14ac:dyDescent="0.25">
      <c r="A1979" s="9" t="s">
        <v>6811</v>
      </c>
      <c r="B1979" s="9" t="s">
        <v>6847</v>
      </c>
      <c r="C1979" s="9" t="s">
        <v>6848</v>
      </c>
      <c r="D1979" s="9" t="s">
        <v>6742</v>
      </c>
      <c r="E1979" s="9" t="s">
        <v>2031</v>
      </c>
      <c r="F1979" s="9" t="s">
        <v>2032</v>
      </c>
      <c r="G1979" s="10" t="s">
        <v>6374</v>
      </c>
      <c r="H1979" s="9" t="s">
        <v>6177</v>
      </c>
      <c r="I1979" s="9"/>
      <c r="J1979" s="9"/>
      <c r="K1979" s="9"/>
      <c r="L1979" s="9"/>
      <c r="M1979" s="9" t="s">
        <v>2033</v>
      </c>
      <c r="N1979" s="9"/>
      <c r="O1979" s="9" t="s">
        <v>2034</v>
      </c>
      <c r="P1979" s="9" t="str">
        <f>HYPERLINK("https://ceds.ed.gov/cedselementdetails.aspx?termid=13027")</f>
        <v>https://ceds.ed.gov/cedselementdetails.aspx?termid=13027</v>
      </c>
      <c r="Q1979" s="9" t="str">
        <f>HYPERLINK("https://ceds.ed.gov/elementComment.aspx?elementName=Course Section Assessment Reporting Method &amp;elementID=13027", "Click here to submit comment")</f>
        <v>Click here to submit comment</v>
      </c>
    </row>
    <row r="1980" spans="1:17" ht="45" x14ac:dyDescent="0.25">
      <c r="A1980" s="9" t="s">
        <v>6811</v>
      </c>
      <c r="B1980" s="9" t="s">
        <v>6847</v>
      </c>
      <c r="C1980" s="9" t="s">
        <v>6848</v>
      </c>
      <c r="D1980" s="9" t="s">
        <v>6742</v>
      </c>
      <c r="E1980" s="9" t="s">
        <v>1951</v>
      </c>
      <c r="F1980" s="9" t="s">
        <v>1952</v>
      </c>
      <c r="G1980" s="9" t="s">
        <v>12</v>
      </c>
      <c r="H1980" s="9"/>
      <c r="I1980" s="9"/>
      <c r="J1980" s="9" t="s">
        <v>92</v>
      </c>
      <c r="K1980" s="9"/>
      <c r="L1980" s="9"/>
      <c r="M1980" s="9" t="s">
        <v>1953</v>
      </c>
      <c r="N1980" s="9"/>
      <c r="O1980" s="9" t="s">
        <v>1954</v>
      </c>
      <c r="P1980" s="9" t="str">
        <f>HYPERLINK("https://ceds.ed.gov/cedselementdetails.aspx?termid=14525")</f>
        <v>https://ceds.ed.gov/cedselementdetails.aspx?termid=14525</v>
      </c>
      <c r="Q1980" s="9" t="str">
        <f>HYPERLINK("https://ceds.ed.gov/elementComment.aspx?elementName=Course Department Name &amp;elementID=14525", "Click here to submit comment")</f>
        <v>Click here to submit comment</v>
      </c>
    </row>
    <row r="1981" spans="1:17" ht="105" x14ac:dyDescent="0.25">
      <c r="A1981" s="18" t="s">
        <v>6811</v>
      </c>
      <c r="B1981" s="18" t="s">
        <v>6847</v>
      </c>
      <c r="C1981" s="18" t="s">
        <v>6761</v>
      </c>
      <c r="D1981" s="18" t="s">
        <v>6742</v>
      </c>
      <c r="E1981" s="18" t="s">
        <v>5732</v>
      </c>
      <c r="F1981" s="18" t="s">
        <v>5733</v>
      </c>
      <c r="G1981" s="18" t="s">
        <v>12</v>
      </c>
      <c r="H1981" s="18" t="s">
        <v>6290</v>
      </c>
      <c r="I1981" s="18"/>
      <c r="J1981" s="18" t="s">
        <v>119</v>
      </c>
      <c r="K1981" s="18"/>
      <c r="L1981" s="9" t="s">
        <v>120</v>
      </c>
      <c r="M1981" s="18" t="s">
        <v>5734</v>
      </c>
      <c r="N1981" s="18"/>
      <c r="O1981" s="18" t="s">
        <v>5735</v>
      </c>
      <c r="P1981" s="18" t="str">
        <f>HYPERLINK("https://ceds.ed.gov/cedselementdetails.aspx?termid=13157")</f>
        <v>https://ceds.ed.gov/cedselementdetails.aspx?termid=13157</v>
      </c>
      <c r="Q1981" s="18" t="str">
        <f>HYPERLINK("https://ceds.ed.gov/elementComment.aspx?elementName=Student Identifier &amp;elementID=13157", "Click here to submit comment")</f>
        <v>Click here to submit comment</v>
      </c>
    </row>
    <row r="1982" spans="1:17" x14ac:dyDescent="0.25">
      <c r="A1982" s="18"/>
      <c r="B1982" s="18"/>
      <c r="C1982" s="18"/>
      <c r="D1982" s="18"/>
      <c r="E1982" s="18"/>
      <c r="F1982" s="18"/>
      <c r="G1982" s="18"/>
      <c r="H1982" s="18"/>
      <c r="I1982" s="18"/>
      <c r="J1982" s="18"/>
      <c r="K1982" s="18"/>
      <c r="L1982" s="9"/>
      <c r="M1982" s="18"/>
      <c r="N1982" s="18"/>
      <c r="O1982" s="18"/>
      <c r="P1982" s="18"/>
      <c r="Q1982" s="18"/>
    </row>
    <row r="1983" spans="1:17" ht="90" x14ac:dyDescent="0.25">
      <c r="A1983" s="18"/>
      <c r="B1983" s="18"/>
      <c r="C1983" s="18"/>
      <c r="D1983" s="18"/>
      <c r="E1983" s="18"/>
      <c r="F1983" s="18"/>
      <c r="G1983" s="18"/>
      <c r="H1983" s="18"/>
      <c r="I1983" s="18"/>
      <c r="J1983" s="18"/>
      <c r="K1983" s="18"/>
      <c r="L1983" s="9" t="s">
        <v>121</v>
      </c>
      <c r="M1983" s="18"/>
      <c r="N1983" s="18"/>
      <c r="O1983" s="18"/>
      <c r="P1983" s="18"/>
      <c r="Q1983" s="18"/>
    </row>
    <row r="1984" spans="1:17" ht="210" x14ac:dyDescent="0.25">
      <c r="A1984" s="9" t="s">
        <v>6811</v>
      </c>
      <c r="B1984" s="9" t="s">
        <v>6847</v>
      </c>
      <c r="C1984" s="9" t="s">
        <v>6761</v>
      </c>
      <c r="D1984" s="9" t="s">
        <v>6742</v>
      </c>
      <c r="E1984" s="9" t="s">
        <v>5728</v>
      </c>
      <c r="F1984" s="9" t="s">
        <v>5729</v>
      </c>
      <c r="G1984" s="10" t="s">
        <v>6706</v>
      </c>
      <c r="H1984" s="9" t="s">
        <v>6290</v>
      </c>
      <c r="I1984" s="9"/>
      <c r="J1984" s="9"/>
      <c r="K1984" s="9"/>
      <c r="L1984" s="9"/>
      <c r="M1984" s="9" t="s">
        <v>5730</v>
      </c>
      <c r="N1984" s="9"/>
      <c r="O1984" s="9" t="s">
        <v>5731</v>
      </c>
      <c r="P1984" s="9" t="str">
        <f>HYPERLINK("https://ceds.ed.gov/cedselementdetails.aspx?termid=13163")</f>
        <v>https://ceds.ed.gov/cedselementdetails.aspx?termid=13163</v>
      </c>
      <c r="Q1984" s="9" t="str">
        <f>HYPERLINK("https://ceds.ed.gov/elementComment.aspx?elementName=Student Identification System &amp;elementID=13163", "Click here to submit comment")</f>
        <v>Click here to submit comment</v>
      </c>
    </row>
    <row r="1985" spans="1:17" ht="195" x14ac:dyDescent="0.25">
      <c r="A1985" s="9" t="s">
        <v>6811</v>
      </c>
      <c r="B1985" s="9" t="s">
        <v>6847</v>
      </c>
      <c r="C1985" s="9" t="s">
        <v>6761</v>
      </c>
      <c r="D1985" s="9" t="s">
        <v>6742</v>
      </c>
      <c r="E1985" s="9" t="s">
        <v>2682</v>
      </c>
      <c r="F1985" s="9" t="s">
        <v>2683</v>
      </c>
      <c r="G1985" s="9" t="s">
        <v>12</v>
      </c>
      <c r="H1985" s="9" t="s">
        <v>6202</v>
      </c>
      <c r="I1985" s="9"/>
      <c r="J1985" s="9" t="s">
        <v>73</v>
      </c>
      <c r="K1985" s="9"/>
      <c r="L1985" s="9"/>
      <c r="M1985" s="9" t="s">
        <v>2684</v>
      </c>
      <c r="N1985" s="9"/>
      <c r="O1985" s="9" t="s">
        <v>2685</v>
      </c>
      <c r="P1985" s="9" t="str">
        <f>HYPERLINK("https://ceds.ed.gov/cedselementdetails.aspx?termid=13097")</f>
        <v>https://ceds.ed.gov/cedselementdetails.aspx?termid=13097</v>
      </c>
      <c r="Q1985" s="9" t="str">
        <f>HYPERLINK("https://ceds.ed.gov/elementComment.aspx?elementName=Enrollment Entry Date &amp;elementID=13097", "Click here to submit comment")</f>
        <v>Click here to submit comment</v>
      </c>
    </row>
    <row r="1986" spans="1:17" ht="45" x14ac:dyDescent="0.25">
      <c r="A1986" s="9" t="s">
        <v>6811</v>
      </c>
      <c r="B1986" s="9" t="s">
        <v>6847</v>
      </c>
      <c r="C1986" s="9" t="s">
        <v>6761</v>
      </c>
      <c r="D1986" s="9" t="s">
        <v>6742</v>
      </c>
      <c r="E1986" s="9" t="s">
        <v>2049</v>
      </c>
      <c r="F1986" s="9" t="s">
        <v>2050</v>
      </c>
      <c r="G1986" s="10" t="s">
        <v>6432</v>
      </c>
      <c r="H1986" s="9" t="s">
        <v>2053</v>
      </c>
      <c r="I1986" s="9"/>
      <c r="J1986" s="9"/>
      <c r="K1986" s="9"/>
      <c r="L1986" s="9"/>
      <c r="M1986" s="9" t="s">
        <v>2051</v>
      </c>
      <c r="N1986" s="9"/>
      <c r="O1986" s="9" t="s">
        <v>2052</v>
      </c>
      <c r="P1986" s="9" t="str">
        <f>HYPERLINK("https://ceds.ed.gov/cedselementdetails.aspx?termid=13652")</f>
        <v>https://ceds.ed.gov/cedselementdetails.aspx?termid=13652</v>
      </c>
      <c r="Q1986" s="9" t="str">
        <f>HYPERLINK("https://ceds.ed.gov/elementComment.aspx?elementName=Course Section Entry Type &amp;elementID=13652", "Click here to submit comment")</f>
        <v>Click here to submit comment</v>
      </c>
    </row>
    <row r="1987" spans="1:17" ht="210" x14ac:dyDescent="0.25">
      <c r="A1987" s="9" t="s">
        <v>6811</v>
      </c>
      <c r="B1987" s="9" t="s">
        <v>6847</v>
      </c>
      <c r="C1987" s="9" t="s">
        <v>6761</v>
      </c>
      <c r="D1987" s="9" t="s">
        <v>6742</v>
      </c>
      <c r="E1987" s="9" t="s">
        <v>2054</v>
      </c>
      <c r="F1987" s="9" t="s">
        <v>2055</v>
      </c>
      <c r="G1987" s="10" t="s">
        <v>6433</v>
      </c>
      <c r="H1987" s="9" t="s">
        <v>2053</v>
      </c>
      <c r="I1987" s="9"/>
      <c r="J1987" s="9"/>
      <c r="K1987" s="9"/>
      <c r="L1987" s="9"/>
      <c r="M1987" s="9" t="s">
        <v>2056</v>
      </c>
      <c r="N1987" s="9"/>
      <c r="O1987" s="9" t="s">
        <v>2057</v>
      </c>
      <c r="P1987" s="9" t="str">
        <f>HYPERLINK("https://ceds.ed.gov/cedselementdetails.aspx?termid=13654")</f>
        <v>https://ceds.ed.gov/cedselementdetails.aspx?termid=13654</v>
      </c>
      <c r="Q1987" s="9" t="str">
        <f>HYPERLINK("https://ceds.ed.gov/elementComment.aspx?elementName=Course Section Exit Type &amp;elementID=13654", "Click here to submit comment")</f>
        <v>Click here to submit comment</v>
      </c>
    </row>
    <row r="1988" spans="1:17" ht="45" x14ac:dyDescent="0.25">
      <c r="A1988" s="9" t="s">
        <v>6811</v>
      </c>
      <c r="B1988" s="9" t="s">
        <v>6847</v>
      </c>
      <c r="C1988" s="9" t="s">
        <v>6761</v>
      </c>
      <c r="D1988" s="9" t="s">
        <v>6742</v>
      </c>
      <c r="E1988" s="9" t="s">
        <v>2058</v>
      </c>
      <c r="F1988" s="9" t="s">
        <v>2059</v>
      </c>
      <c r="G1988" s="9" t="s">
        <v>12</v>
      </c>
      <c r="H1988" s="9" t="s">
        <v>2053</v>
      </c>
      <c r="I1988" s="9"/>
      <c r="J1988" s="9" t="s">
        <v>73</v>
      </c>
      <c r="K1988" s="9"/>
      <c r="L1988" s="9"/>
      <c r="M1988" s="9" t="s">
        <v>2060</v>
      </c>
      <c r="N1988" s="9"/>
      <c r="O1988" s="9" t="s">
        <v>2061</v>
      </c>
      <c r="P1988" s="9" t="str">
        <f>HYPERLINK("https://ceds.ed.gov/cedselementdetails.aspx?termid=13653")</f>
        <v>https://ceds.ed.gov/cedselementdetails.aspx?termid=13653</v>
      </c>
      <c r="Q1988" s="9" t="str">
        <f>HYPERLINK("https://ceds.ed.gov/elementComment.aspx?elementName=Course Section Exit Withdrawal Date &amp;elementID=13653", "Click here to submit comment")</f>
        <v>Click here to submit comment</v>
      </c>
    </row>
    <row r="1989" spans="1:17" ht="60" x14ac:dyDescent="0.25">
      <c r="A1989" s="9" t="s">
        <v>6811</v>
      </c>
      <c r="B1989" s="9" t="s">
        <v>6847</v>
      </c>
      <c r="C1989" s="9" t="s">
        <v>6761</v>
      </c>
      <c r="D1989" s="9" t="s">
        <v>6742</v>
      </c>
      <c r="E1989" s="9" t="s">
        <v>2715</v>
      </c>
      <c r="F1989" s="9" t="s">
        <v>2716</v>
      </c>
      <c r="G1989" s="10" t="s">
        <v>6496</v>
      </c>
      <c r="H1989" s="9" t="s">
        <v>2053</v>
      </c>
      <c r="I1989" s="9"/>
      <c r="J1989" s="9"/>
      <c r="K1989" s="9"/>
      <c r="L1989" s="9"/>
      <c r="M1989" s="9" t="s">
        <v>2717</v>
      </c>
      <c r="N1989" s="9"/>
      <c r="O1989" s="9" t="s">
        <v>2718</v>
      </c>
      <c r="P1989" s="9" t="str">
        <f>HYPERLINK("https://ceds.ed.gov/cedselementdetails.aspx?termid=13108")</f>
        <v>https://ceds.ed.gov/cedselementdetails.aspx?termid=13108</v>
      </c>
      <c r="Q1989" s="9" t="str">
        <f>HYPERLINK("https://ceds.ed.gov/elementComment.aspx?elementName=Exit or Withdrawal Status &amp;elementID=13108", "Click here to submit comment")</f>
        <v>Click here to submit comment</v>
      </c>
    </row>
    <row r="1990" spans="1:17" ht="330" x14ac:dyDescent="0.25">
      <c r="A1990" s="9" t="s">
        <v>6811</v>
      </c>
      <c r="B1990" s="9" t="s">
        <v>6847</v>
      </c>
      <c r="C1990" s="9" t="s">
        <v>6761</v>
      </c>
      <c r="D1990" s="9" t="s">
        <v>6742</v>
      </c>
      <c r="E1990" s="9" t="s">
        <v>3012</v>
      </c>
      <c r="F1990" s="9" t="s">
        <v>3013</v>
      </c>
      <c r="G1990" s="10" t="s">
        <v>6494</v>
      </c>
      <c r="H1990" s="9" t="s">
        <v>6109</v>
      </c>
      <c r="I1990" s="9"/>
      <c r="J1990" s="9"/>
      <c r="K1990" s="9"/>
      <c r="L1990" s="9"/>
      <c r="M1990" s="9" t="s">
        <v>3014</v>
      </c>
      <c r="N1990" s="9"/>
      <c r="O1990" s="9" t="s">
        <v>3015</v>
      </c>
      <c r="P1990" s="9" t="str">
        <f>HYPERLINK("https://ceds.ed.gov/cedselementdetails.aspx?termid=13125")</f>
        <v>https://ceds.ed.gov/cedselementdetails.aspx?termid=13125</v>
      </c>
      <c r="Q1990" s="9" t="str">
        <f>HYPERLINK("https://ceds.ed.gov/elementComment.aspx?elementName=Grade Level When Course Taken &amp;elementID=13125", "Click here to submit comment")</f>
        <v>Click here to submit comment</v>
      </c>
    </row>
    <row r="1991" spans="1:17" ht="120" x14ac:dyDescent="0.25">
      <c r="A1991" s="9" t="s">
        <v>6811</v>
      </c>
      <c r="B1991" s="9" t="s">
        <v>6847</v>
      </c>
      <c r="C1991" s="9" t="s">
        <v>6761</v>
      </c>
      <c r="D1991" s="9" t="s">
        <v>6742</v>
      </c>
      <c r="E1991" s="9" t="s">
        <v>2041</v>
      </c>
      <c r="F1991" s="9" t="s">
        <v>2042</v>
      </c>
      <c r="G1991" s="9" t="s">
        <v>12</v>
      </c>
      <c r="H1991" s="9"/>
      <c r="I1991" s="9"/>
      <c r="J1991" s="9" t="s">
        <v>73</v>
      </c>
      <c r="K1991" s="9"/>
      <c r="L1991" s="9" t="s">
        <v>2038</v>
      </c>
      <c r="M1991" s="9" t="s">
        <v>2043</v>
      </c>
      <c r="N1991" s="9"/>
      <c r="O1991" s="9" t="s">
        <v>2044</v>
      </c>
      <c r="P1991" s="9" t="str">
        <f>HYPERLINK("https://ceds.ed.gov/cedselementdetails.aspx?termid=13975")</f>
        <v>https://ceds.ed.gov/cedselementdetails.aspx?termid=13975</v>
      </c>
      <c r="Q1991" s="9" t="str">
        <f>HYPERLINK("https://ceds.ed.gov/elementComment.aspx?elementName=Course Section Enrollment Status Start Date &amp;elementID=13975", "Click here to submit comment")</f>
        <v>Click here to submit comment</v>
      </c>
    </row>
    <row r="1992" spans="1:17" ht="120" x14ac:dyDescent="0.25">
      <c r="A1992" s="9" t="s">
        <v>6811</v>
      </c>
      <c r="B1992" s="9" t="s">
        <v>6847</v>
      </c>
      <c r="C1992" s="9" t="s">
        <v>6761</v>
      </c>
      <c r="D1992" s="9" t="s">
        <v>6742</v>
      </c>
      <c r="E1992" s="9" t="s">
        <v>2035</v>
      </c>
      <c r="F1992" s="9" t="s">
        <v>2036</v>
      </c>
      <c r="G1992" s="9" t="s">
        <v>12</v>
      </c>
      <c r="H1992" s="9"/>
      <c r="I1992" s="9"/>
      <c r="J1992" s="9" t="s">
        <v>73</v>
      </c>
      <c r="K1992" s="9"/>
      <c r="L1992" s="9" t="s">
        <v>2038</v>
      </c>
      <c r="M1992" s="9" t="s">
        <v>2039</v>
      </c>
      <c r="N1992" s="9"/>
      <c r="O1992" s="9" t="s">
        <v>2040</v>
      </c>
      <c r="P1992" s="9" t="str">
        <f>HYPERLINK("https://ceds.ed.gov/cedselementdetails.aspx?termid=13976")</f>
        <v>https://ceds.ed.gov/cedselementdetails.aspx?termid=13976</v>
      </c>
      <c r="Q1992" s="9" t="str">
        <f>HYPERLINK("https://ceds.ed.gov/elementComment.aspx?elementName=Course Section Enrollment Status End Date &amp;elementID=13976", "Click here to submit comment")</f>
        <v>Click here to submit comment</v>
      </c>
    </row>
    <row r="1993" spans="1:17" ht="120" x14ac:dyDescent="0.25">
      <c r="A1993" s="9" t="s">
        <v>6811</v>
      </c>
      <c r="B1993" s="9" t="s">
        <v>6847</v>
      </c>
      <c r="C1993" s="9" t="s">
        <v>6761</v>
      </c>
      <c r="D1993" s="9" t="s">
        <v>6742</v>
      </c>
      <c r="E1993" s="9" t="s">
        <v>2045</v>
      </c>
      <c r="F1993" s="9" t="s">
        <v>2046</v>
      </c>
      <c r="G1993" s="10" t="s">
        <v>6431</v>
      </c>
      <c r="H1993" s="9"/>
      <c r="I1993" s="9"/>
      <c r="J1993" s="9"/>
      <c r="K1993" s="9"/>
      <c r="L1993" s="9" t="s">
        <v>2038</v>
      </c>
      <c r="M1993" s="9" t="s">
        <v>2047</v>
      </c>
      <c r="N1993" s="9"/>
      <c r="O1993" s="9" t="s">
        <v>2048</v>
      </c>
      <c r="P1993" s="9" t="str">
        <f>HYPERLINK("https://ceds.ed.gov/cedselementdetails.aspx?termid=13977")</f>
        <v>https://ceds.ed.gov/cedselementdetails.aspx?termid=13977</v>
      </c>
      <c r="Q1993" s="9" t="str">
        <f>HYPERLINK("https://ceds.ed.gov/elementComment.aspx?elementName=Course Section Enrollment Status Type &amp;elementID=13977", "Click here to submit comment")</f>
        <v>Click here to submit comment</v>
      </c>
    </row>
    <row r="1994" spans="1:17" ht="255" x14ac:dyDescent="0.25">
      <c r="A1994" s="9" t="s">
        <v>6811</v>
      </c>
      <c r="B1994" s="9" t="s">
        <v>6847</v>
      </c>
      <c r="C1994" s="9" t="s">
        <v>6761</v>
      </c>
      <c r="D1994" s="9" t="s">
        <v>6742</v>
      </c>
      <c r="E1994" s="9" t="s">
        <v>4377</v>
      </c>
      <c r="F1994" s="9" t="s">
        <v>4378</v>
      </c>
      <c r="G1994" s="9" t="s">
        <v>12</v>
      </c>
      <c r="H1994" s="9" t="s">
        <v>6249</v>
      </c>
      <c r="I1994" s="9"/>
      <c r="J1994" s="9" t="s">
        <v>1513</v>
      </c>
      <c r="K1994" s="9"/>
      <c r="L1994" s="9" t="s">
        <v>4379</v>
      </c>
      <c r="M1994" s="9" t="s">
        <v>4380</v>
      </c>
      <c r="N1994" s="9"/>
      <c r="O1994" s="9" t="s">
        <v>4381</v>
      </c>
      <c r="P1994" s="9" t="str">
        <f>HYPERLINK("https://ceds.ed.gov/cedselementdetails.aspx?termid=13202")</f>
        <v>https://ceds.ed.gov/cedselementdetails.aspx?termid=13202</v>
      </c>
      <c r="Q1994" s="9" t="str">
        <f>HYPERLINK("https://ceds.ed.gov/elementComment.aspx?elementName=Number of Days in Attendance &amp;elementID=13202", "Click here to submit comment")</f>
        <v>Click here to submit comment</v>
      </c>
    </row>
    <row r="1995" spans="1:17" ht="120" x14ac:dyDescent="0.25">
      <c r="A1995" s="9" t="s">
        <v>6811</v>
      </c>
      <c r="B1995" s="9" t="s">
        <v>6847</v>
      </c>
      <c r="C1995" s="9" t="s">
        <v>6761</v>
      </c>
      <c r="D1995" s="9" t="s">
        <v>6742</v>
      </c>
      <c r="E1995" s="9" t="s">
        <v>4369</v>
      </c>
      <c r="F1995" s="9" t="s">
        <v>4370</v>
      </c>
      <c r="G1995" s="9" t="s">
        <v>12</v>
      </c>
      <c r="H1995" s="9" t="s">
        <v>6247</v>
      </c>
      <c r="I1995" s="9"/>
      <c r="J1995" s="9" t="s">
        <v>1513</v>
      </c>
      <c r="K1995" s="9"/>
      <c r="L1995" s="9"/>
      <c r="M1995" s="9" t="s">
        <v>4371</v>
      </c>
      <c r="N1995" s="9"/>
      <c r="O1995" s="9" t="s">
        <v>4372</v>
      </c>
      <c r="P1995" s="9" t="str">
        <f>HYPERLINK("https://ceds.ed.gov/cedselementdetails.aspx?termid=13201")</f>
        <v>https://ceds.ed.gov/cedselementdetails.aspx?termid=13201</v>
      </c>
      <c r="Q1995" s="9" t="str">
        <f>HYPERLINK("https://ceds.ed.gov/elementComment.aspx?elementName=Number of Days Absent &amp;elementID=13201", "Click here to submit comment")</f>
        <v>Click here to submit comment</v>
      </c>
    </row>
    <row r="1996" spans="1:17" ht="90" x14ac:dyDescent="0.25">
      <c r="A1996" s="9" t="s">
        <v>6811</v>
      </c>
      <c r="B1996" s="9" t="s">
        <v>6847</v>
      </c>
      <c r="C1996" s="9" t="s">
        <v>6761</v>
      </c>
      <c r="D1996" s="9" t="s">
        <v>6742</v>
      </c>
      <c r="E1996" s="9" t="s">
        <v>4361</v>
      </c>
      <c r="F1996" s="9" t="s">
        <v>4362</v>
      </c>
      <c r="G1996" s="9" t="s">
        <v>12</v>
      </c>
      <c r="H1996" s="9" t="s">
        <v>6109</v>
      </c>
      <c r="I1996" s="9"/>
      <c r="J1996" s="9" t="s">
        <v>1513</v>
      </c>
      <c r="K1996" s="9"/>
      <c r="L1996" s="9"/>
      <c r="M1996" s="9" t="s">
        <v>4363</v>
      </c>
      <c r="N1996" s="9"/>
      <c r="O1996" s="9" t="s">
        <v>4364</v>
      </c>
      <c r="P1996" s="9" t="str">
        <f>HYPERLINK("https://ceds.ed.gov/cedselementdetails.aspx?termid=13199")</f>
        <v>https://ceds.ed.gov/cedselementdetails.aspx?termid=13199</v>
      </c>
      <c r="Q1996" s="9" t="str">
        <f>HYPERLINK("https://ceds.ed.gov/elementComment.aspx?elementName=Number of Credits Attempted &amp;elementID=13199", "Click here to submit comment")</f>
        <v>Click here to submit comment</v>
      </c>
    </row>
    <row r="1997" spans="1:17" ht="120" x14ac:dyDescent="0.25">
      <c r="A1997" s="9" t="s">
        <v>6811</v>
      </c>
      <c r="B1997" s="9" t="s">
        <v>6847</v>
      </c>
      <c r="C1997" s="9" t="s">
        <v>6761</v>
      </c>
      <c r="D1997" s="9" t="s">
        <v>6742</v>
      </c>
      <c r="E1997" s="9" t="s">
        <v>4365</v>
      </c>
      <c r="F1997" s="9" t="s">
        <v>4366</v>
      </c>
      <c r="G1997" s="9" t="s">
        <v>12</v>
      </c>
      <c r="H1997" s="9" t="s">
        <v>6241</v>
      </c>
      <c r="I1997" s="9"/>
      <c r="J1997" s="9" t="s">
        <v>1513</v>
      </c>
      <c r="K1997" s="9"/>
      <c r="L1997" s="9"/>
      <c r="M1997" s="9" t="s">
        <v>4367</v>
      </c>
      <c r="N1997" s="9"/>
      <c r="O1997" s="9" t="s">
        <v>4368</v>
      </c>
      <c r="P1997" s="9" t="str">
        <f>HYPERLINK("https://ceds.ed.gov/cedselementdetails.aspx?termid=13200")</f>
        <v>https://ceds.ed.gov/cedselementdetails.aspx?termid=13200</v>
      </c>
      <c r="Q1997" s="9" t="str">
        <f>HYPERLINK("https://ceds.ed.gov/elementComment.aspx?elementName=Number of Credits Earned &amp;elementID=13200", "Click here to submit comment")</f>
        <v>Click here to submit comment</v>
      </c>
    </row>
    <row r="1998" spans="1:17" ht="120" x14ac:dyDescent="0.25">
      <c r="A1998" s="9" t="s">
        <v>6811</v>
      </c>
      <c r="B1998" s="9" t="s">
        <v>6847</v>
      </c>
      <c r="C1998" s="9" t="s">
        <v>6761</v>
      </c>
      <c r="D1998" s="9" t="s">
        <v>6742</v>
      </c>
      <c r="E1998" s="9" t="s">
        <v>5158</v>
      </c>
      <c r="F1998" s="9" t="s">
        <v>5159</v>
      </c>
      <c r="G1998" s="10" t="s">
        <v>6681</v>
      </c>
      <c r="H1998" s="9" t="s">
        <v>199</v>
      </c>
      <c r="I1998" s="9"/>
      <c r="J1998" s="9"/>
      <c r="K1998" s="9"/>
      <c r="L1998" s="9"/>
      <c r="M1998" s="9" t="s">
        <v>5160</v>
      </c>
      <c r="N1998" s="9"/>
      <c r="O1998" s="9" t="s">
        <v>5161</v>
      </c>
      <c r="P1998" s="9" t="str">
        <f>HYPERLINK("https://ceds.ed.gov/cedselementdetails.aspx?termid=13587")</f>
        <v>https://ceds.ed.gov/cedselementdetails.aspx?termid=13587</v>
      </c>
      <c r="Q1998" s="9" t="str">
        <f>HYPERLINK("https://ceds.ed.gov/elementComment.aspx?elementName=Responsible District Type &amp;elementID=13587", "Click here to submit comment")</f>
        <v>Click here to submit comment</v>
      </c>
    </row>
    <row r="1999" spans="1:17" ht="120" x14ac:dyDescent="0.25">
      <c r="A1999" s="9" t="s">
        <v>6811</v>
      </c>
      <c r="B1999" s="9" t="s">
        <v>6847</v>
      </c>
      <c r="C1999" s="9" t="s">
        <v>6761</v>
      </c>
      <c r="D1999" s="9" t="s">
        <v>6742</v>
      </c>
      <c r="E1999" s="9" t="s">
        <v>5176</v>
      </c>
      <c r="F1999" s="9" t="s">
        <v>5177</v>
      </c>
      <c r="G1999" s="10" t="s">
        <v>6681</v>
      </c>
      <c r="H1999" s="9" t="s">
        <v>199</v>
      </c>
      <c r="I1999" s="9"/>
      <c r="J1999" s="9"/>
      <c r="K1999" s="9"/>
      <c r="L1999" s="9"/>
      <c r="M1999" s="9" t="s">
        <v>5178</v>
      </c>
      <c r="N1999" s="9"/>
      <c r="O1999" s="9" t="s">
        <v>5179</v>
      </c>
      <c r="P1999" s="9" t="str">
        <f>HYPERLINK("https://ceds.ed.gov/cedselementdetails.aspx?termid=13588")</f>
        <v>https://ceds.ed.gov/cedselementdetails.aspx?termid=13588</v>
      </c>
      <c r="Q1999" s="9" t="str">
        <f>HYPERLINK("https://ceds.ed.gov/elementComment.aspx?elementName=Responsible School Type &amp;elementID=13588", "Click here to submit comment")</f>
        <v>Click here to submit comment</v>
      </c>
    </row>
    <row r="2000" spans="1:17" ht="90" x14ac:dyDescent="0.25">
      <c r="A2000" s="9" t="s">
        <v>6811</v>
      </c>
      <c r="B2000" s="9" t="s">
        <v>6847</v>
      </c>
      <c r="C2000" s="9" t="s">
        <v>6761</v>
      </c>
      <c r="D2000" s="9" t="s">
        <v>6742</v>
      </c>
      <c r="E2000" s="9" t="s">
        <v>5716</v>
      </c>
      <c r="F2000" s="9" t="s">
        <v>5717</v>
      </c>
      <c r="G2000" s="9" t="s">
        <v>12</v>
      </c>
      <c r="H2000" s="9" t="s">
        <v>6109</v>
      </c>
      <c r="I2000" s="9"/>
      <c r="J2000" s="9" t="s">
        <v>1900</v>
      </c>
      <c r="K2000" s="9"/>
      <c r="L2000" s="9"/>
      <c r="M2000" s="9" t="s">
        <v>5718</v>
      </c>
      <c r="N2000" s="9"/>
      <c r="O2000" s="9" t="s">
        <v>5719</v>
      </c>
      <c r="P2000" s="9" t="str">
        <f>HYPERLINK("https://ceds.ed.gov/cedselementdetails.aspx?termid=13124")</f>
        <v>https://ceds.ed.gov/cedselementdetails.aspx?termid=13124</v>
      </c>
      <c r="Q2000" s="9" t="str">
        <f>HYPERLINK("https://ceds.ed.gov/elementComment.aspx?elementName=Student Course Section Grade Earned &amp;elementID=13124", "Click here to submit comment")</f>
        <v>Click here to submit comment</v>
      </c>
    </row>
    <row r="2001" spans="1:17" ht="45" x14ac:dyDescent="0.25">
      <c r="A2001" s="9" t="s">
        <v>6811</v>
      </c>
      <c r="B2001" s="9" t="s">
        <v>6847</v>
      </c>
      <c r="C2001" s="9" t="s">
        <v>6761</v>
      </c>
      <c r="D2001" s="9" t="s">
        <v>6742</v>
      </c>
      <c r="E2001" s="9" t="s">
        <v>5720</v>
      </c>
      <c r="F2001" s="9" t="s">
        <v>5721</v>
      </c>
      <c r="G2001" s="9" t="s">
        <v>12</v>
      </c>
      <c r="H2001" s="9"/>
      <c r="I2001" s="9"/>
      <c r="J2001" s="9" t="s">
        <v>68</v>
      </c>
      <c r="K2001" s="9"/>
      <c r="L2001" s="9"/>
      <c r="M2001" s="9" t="s">
        <v>5722</v>
      </c>
      <c r="N2001" s="9"/>
      <c r="O2001" s="9" t="s">
        <v>5723</v>
      </c>
      <c r="P2001" s="9" t="str">
        <f>HYPERLINK("https://ceds.ed.gov/cedselementdetails.aspx?termid=14552")</f>
        <v>https://ceds.ed.gov/cedselementdetails.aspx?termid=14552</v>
      </c>
      <c r="Q2001" s="9" t="str">
        <f>HYPERLINK("https://ceds.ed.gov/elementComment.aspx?elementName=Student Course Section Grade Narrative &amp;elementID=14552", "Click here to submit comment")</f>
        <v>Click here to submit comment</v>
      </c>
    </row>
    <row r="2002" spans="1:17" ht="90" x14ac:dyDescent="0.25">
      <c r="A2002" s="9" t="s">
        <v>6811</v>
      </c>
      <c r="B2002" s="9" t="s">
        <v>6847</v>
      </c>
      <c r="C2002" s="9" t="s">
        <v>6849</v>
      </c>
      <c r="D2002" s="9" t="s">
        <v>6742</v>
      </c>
      <c r="E2002" s="9" t="s">
        <v>4150</v>
      </c>
      <c r="F2002" s="9" t="s">
        <v>4151</v>
      </c>
      <c r="G2002" s="9" t="s">
        <v>12</v>
      </c>
      <c r="H2002" s="9" t="s">
        <v>6109</v>
      </c>
      <c r="I2002" s="9"/>
      <c r="J2002" s="9" t="s">
        <v>87</v>
      </c>
      <c r="K2002" s="9"/>
      <c r="L2002" s="9"/>
      <c r="M2002" s="9" t="s">
        <v>4152</v>
      </c>
      <c r="N2002" s="9"/>
      <c r="O2002" s="9" t="s">
        <v>4153</v>
      </c>
      <c r="P2002" s="9" t="str">
        <f>HYPERLINK("https://ceds.ed.gov/cedselementdetails.aspx?termid=13182")</f>
        <v>https://ceds.ed.gov/cedselementdetails.aspx?termid=13182</v>
      </c>
      <c r="Q2002" s="9" t="str">
        <f>HYPERLINK("https://ceds.ed.gov/elementComment.aspx?elementName=Marking Period Name &amp;elementID=13182", "Click here to submit comment")</f>
        <v>Click here to submit comment</v>
      </c>
    </row>
    <row r="2003" spans="1:17" ht="45" x14ac:dyDescent="0.25">
      <c r="A2003" s="9" t="s">
        <v>6811</v>
      </c>
      <c r="B2003" s="9" t="s">
        <v>6847</v>
      </c>
      <c r="C2003" s="9" t="s">
        <v>6849</v>
      </c>
      <c r="D2003" s="9" t="s">
        <v>6742</v>
      </c>
      <c r="E2003" s="9" t="s">
        <v>5724</v>
      </c>
      <c r="F2003" s="9" t="s">
        <v>5725</v>
      </c>
      <c r="G2003" s="9" t="s">
        <v>6106</v>
      </c>
      <c r="H2003" s="9"/>
      <c r="I2003" s="9"/>
      <c r="J2003" s="9"/>
      <c r="K2003" s="9"/>
      <c r="L2003" s="9"/>
      <c r="M2003" s="9" t="s">
        <v>5726</v>
      </c>
      <c r="N2003" s="9"/>
      <c r="O2003" s="9" t="s">
        <v>5727</v>
      </c>
      <c r="P2003" s="9" t="str">
        <f>HYPERLINK("https://ceds.ed.gov/cedselementdetails.aspx?termid=14191")</f>
        <v>https://ceds.ed.gov/cedselementdetails.aspx?termid=14191</v>
      </c>
      <c r="Q2003" s="9" t="str">
        <f>HYPERLINK("https://ceds.ed.gov/elementComment.aspx?elementName=Student Course Section Mark Final Indicator &amp;elementID=14191", "Click here to submit comment")</f>
        <v>Click here to submit comment</v>
      </c>
    </row>
    <row r="2004" spans="1:17" ht="90" x14ac:dyDescent="0.25">
      <c r="A2004" s="9" t="s">
        <v>6811</v>
      </c>
      <c r="B2004" s="9" t="s">
        <v>6847</v>
      </c>
      <c r="C2004" s="9" t="s">
        <v>6849</v>
      </c>
      <c r="D2004" s="9" t="s">
        <v>6742</v>
      </c>
      <c r="E2004" s="9" t="s">
        <v>4179</v>
      </c>
      <c r="F2004" s="9" t="s">
        <v>4180</v>
      </c>
      <c r="G2004" s="9" t="s">
        <v>12</v>
      </c>
      <c r="H2004" s="9" t="s">
        <v>6109</v>
      </c>
      <c r="I2004" s="9"/>
      <c r="J2004" s="9" t="s">
        <v>1900</v>
      </c>
      <c r="K2004" s="9"/>
      <c r="L2004" s="9"/>
      <c r="M2004" s="9" t="s">
        <v>4181</v>
      </c>
      <c r="N2004" s="9"/>
      <c r="O2004" s="9" t="s">
        <v>4182</v>
      </c>
      <c r="P2004" s="9" t="str">
        <f>HYPERLINK("https://ceds.ed.gov/cedselementdetails.aspx?termid=13183")</f>
        <v>https://ceds.ed.gov/cedselementdetails.aspx?termid=13183</v>
      </c>
      <c r="Q2004" s="9" t="str">
        <f>HYPERLINK("https://ceds.ed.gov/elementComment.aspx?elementName=Mid Term Mark &amp;elementID=13183", "Click here to submit comment")</f>
        <v>Click here to submit comment</v>
      </c>
    </row>
    <row r="2005" spans="1:17" ht="90" x14ac:dyDescent="0.25">
      <c r="A2005" s="9" t="s">
        <v>6811</v>
      </c>
      <c r="B2005" s="9" t="s">
        <v>6847</v>
      </c>
      <c r="C2005" s="9" t="s">
        <v>6849</v>
      </c>
      <c r="D2005" s="9" t="s">
        <v>6742</v>
      </c>
      <c r="E2005" s="9" t="s">
        <v>5716</v>
      </c>
      <c r="F2005" s="9" t="s">
        <v>5717</v>
      </c>
      <c r="G2005" s="9" t="s">
        <v>12</v>
      </c>
      <c r="H2005" s="9" t="s">
        <v>6109</v>
      </c>
      <c r="I2005" s="9"/>
      <c r="J2005" s="9" t="s">
        <v>1900</v>
      </c>
      <c r="K2005" s="9"/>
      <c r="L2005" s="9"/>
      <c r="M2005" s="9" t="s">
        <v>5718</v>
      </c>
      <c r="N2005" s="9"/>
      <c r="O2005" s="9" t="s">
        <v>5719</v>
      </c>
      <c r="P2005" s="9" t="str">
        <f>HYPERLINK("https://ceds.ed.gov/cedselementdetails.aspx?termid=13124")</f>
        <v>https://ceds.ed.gov/cedselementdetails.aspx?termid=13124</v>
      </c>
      <c r="Q2005" s="9" t="str">
        <f>HYPERLINK("https://ceds.ed.gov/elementComment.aspx?elementName=Student Course Section Grade Earned &amp;elementID=13124", "Click here to submit comment")</f>
        <v>Click here to submit comment</v>
      </c>
    </row>
    <row r="2006" spans="1:17" ht="135" x14ac:dyDescent="0.25">
      <c r="A2006" s="9" t="s">
        <v>6811</v>
      </c>
      <c r="B2006" s="9" t="s">
        <v>6847</v>
      </c>
      <c r="C2006" s="9" t="s">
        <v>6849</v>
      </c>
      <c r="D2006" s="9" t="s">
        <v>6742</v>
      </c>
      <c r="E2006" s="9" t="s">
        <v>3047</v>
      </c>
      <c r="F2006" s="9" t="s">
        <v>3048</v>
      </c>
      <c r="G2006" s="9" t="s">
        <v>12</v>
      </c>
      <c r="H2006" s="9"/>
      <c r="I2006" s="9"/>
      <c r="J2006" s="9" t="s">
        <v>762</v>
      </c>
      <c r="K2006" s="9"/>
      <c r="L2006" s="9" t="s">
        <v>3049</v>
      </c>
      <c r="M2006" s="9" t="s">
        <v>3050</v>
      </c>
      <c r="N2006" s="9"/>
      <c r="O2006" s="9" t="s">
        <v>3051</v>
      </c>
      <c r="P2006" s="9" t="str">
        <f>HYPERLINK("https://ceds.ed.gov/cedselementdetails.aspx?termid=13609")</f>
        <v>https://ceds.ed.gov/cedselementdetails.aspx?termid=13609</v>
      </c>
      <c r="Q2006" s="9" t="str">
        <f>HYPERLINK("https://ceds.ed.gov/elementComment.aspx?elementName=Grade Value Qualifier &amp;elementID=13609", "Click here to submit comment")</f>
        <v>Click here to submit comment</v>
      </c>
    </row>
    <row r="2007" spans="1:17" ht="105" x14ac:dyDescent="0.25">
      <c r="A2007" s="18" t="s">
        <v>6811</v>
      </c>
      <c r="B2007" s="18" t="s">
        <v>6847</v>
      </c>
      <c r="C2007" s="18" t="s">
        <v>6850</v>
      </c>
      <c r="D2007" s="18" t="s">
        <v>6742</v>
      </c>
      <c r="E2007" s="18" t="s">
        <v>5621</v>
      </c>
      <c r="F2007" s="18" t="s">
        <v>5622</v>
      </c>
      <c r="G2007" s="18" t="s">
        <v>12</v>
      </c>
      <c r="H2007" s="18" t="s">
        <v>6284</v>
      </c>
      <c r="I2007" s="18"/>
      <c r="J2007" s="18" t="s">
        <v>119</v>
      </c>
      <c r="K2007" s="18"/>
      <c r="L2007" s="9" t="s">
        <v>120</v>
      </c>
      <c r="M2007" s="18" t="s">
        <v>5623</v>
      </c>
      <c r="N2007" s="18"/>
      <c r="O2007" s="18" t="s">
        <v>5624</v>
      </c>
      <c r="P2007" s="18" t="str">
        <f>HYPERLINK("https://ceds.ed.gov/cedselementdetails.aspx?termid=13156")</f>
        <v>https://ceds.ed.gov/cedselementdetails.aspx?termid=13156</v>
      </c>
      <c r="Q2007" s="18" t="str">
        <f>HYPERLINK("https://ceds.ed.gov/elementComment.aspx?elementName=Staff Member Identifier &amp;elementID=13156", "Click here to submit comment")</f>
        <v>Click here to submit comment</v>
      </c>
    </row>
    <row r="2008" spans="1:17" x14ac:dyDescent="0.25">
      <c r="A2008" s="18"/>
      <c r="B2008" s="18"/>
      <c r="C2008" s="18"/>
      <c r="D2008" s="18"/>
      <c r="E2008" s="18"/>
      <c r="F2008" s="18"/>
      <c r="G2008" s="18"/>
      <c r="H2008" s="18"/>
      <c r="I2008" s="18"/>
      <c r="J2008" s="18"/>
      <c r="K2008" s="18"/>
      <c r="L2008" s="9"/>
      <c r="M2008" s="18"/>
      <c r="N2008" s="18"/>
      <c r="O2008" s="18"/>
      <c r="P2008" s="18"/>
      <c r="Q2008" s="18"/>
    </row>
    <row r="2009" spans="1:17" ht="90" x14ac:dyDescent="0.25">
      <c r="A2009" s="18"/>
      <c r="B2009" s="18"/>
      <c r="C2009" s="18"/>
      <c r="D2009" s="18"/>
      <c r="E2009" s="18"/>
      <c r="F2009" s="18"/>
      <c r="G2009" s="18"/>
      <c r="H2009" s="18"/>
      <c r="I2009" s="18"/>
      <c r="J2009" s="18"/>
      <c r="K2009" s="18"/>
      <c r="L2009" s="9" t="s">
        <v>121</v>
      </c>
      <c r="M2009" s="18"/>
      <c r="N2009" s="18"/>
      <c r="O2009" s="18"/>
      <c r="P2009" s="18"/>
      <c r="Q2009" s="18"/>
    </row>
    <row r="2010" spans="1:17" ht="345" x14ac:dyDescent="0.25">
      <c r="A2010" s="9" t="s">
        <v>6811</v>
      </c>
      <c r="B2010" s="9" t="s">
        <v>6847</v>
      </c>
      <c r="C2010" s="9" t="s">
        <v>6850</v>
      </c>
      <c r="D2010" s="9" t="s">
        <v>6742</v>
      </c>
      <c r="E2010" s="9" t="s">
        <v>5617</v>
      </c>
      <c r="F2010" s="9" t="s">
        <v>5618</v>
      </c>
      <c r="G2010" s="10" t="s">
        <v>6700</v>
      </c>
      <c r="H2010" s="9" t="s">
        <v>6283</v>
      </c>
      <c r="I2010" s="9"/>
      <c r="J2010" s="9"/>
      <c r="K2010" s="9"/>
      <c r="L2010" s="9"/>
      <c r="M2010" s="9" t="s">
        <v>5619</v>
      </c>
      <c r="N2010" s="9"/>
      <c r="O2010" s="9" t="s">
        <v>5620</v>
      </c>
      <c r="P2010" s="9" t="str">
        <f>HYPERLINK("https://ceds.ed.gov/cedselementdetails.aspx?termid=13162")</f>
        <v>https://ceds.ed.gov/cedselementdetails.aspx?termid=13162</v>
      </c>
      <c r="Q2010" s="9" t="str">
        <f>HYPERLINK("https://ceds.ed.gov/elementComment.aspx?elementName=Staff Member Identification System &amp;elementID=13162", "Click here to submit comment")</f>
        <v>Click here to submit comment</v>
      </c>
    </row>
    <row r="2011" spans="1:17" ht="45" x14ac:dyDescent="0.25">
      <c r="A2011" s="9" t="s">
        <v>6811</v>
      </c>
      <c r="B2011" s="9" t="s">
        <v>6847</v>
      </c>
      <c r="C2011" s="9" t="s">
        <v>6850</v>
      </c>
      <c r="D2011" s="9" t="s">
        <v>6742</v>
      </c>
      <c r="E2011" s="9" t="s">
        <v>1451</v>
      </c>
      <c r="F2011" s="9" t="s">
        <v>1452</v>
      </c>
      <c r="G2011" s="9" t="s">
        <v>12</v>
      </c>
      <c r="H2011" s="9"/>
      <c r="I2011" s="9"/>
      <c r="J2011" s="9" t="s">
        <v>73</v>
      </c>
      <c r="K2011" s="9"/>
      <c r="L2011" s="9"/>
      <c r="M2011" s="9" t="s">
        <v>1453</v>
      </c>
      <c r="N2011" s="9"/>
      <c r="O2011" s="9" t="s">
        <v>1454</v>
      </c>
      <c r="P2011" s="9" t="str">
        <f>HYPERLINK("https://ceds.ed.gov/cedselementdetails.aspx?termid=13517")</f>
        <v>https://ceds.ed.gov/cedselementdetails.aspx?termid=13517</v>
      </c>
      <c r="Q2011" s="9" t="str">
        <f>HYPERLINK("https://ceds.ed.gov/elementComment.aspx?elementName=Assignment Start Date &amp;elementID=13517", "Click here to submit comment")</f>
        <v>Click here to submit comment</v>
      </c>
    </row>
    <row r="2012" spans="1:17" ht="45" x14ac:dyDescent="0.25">
      <c r="A2012" s="9" t="s">
        <v>6811</v>
      </c>
      <c r="B2012" s="9" t="s">
        <v>6847</v>
      </c>
      <c r="C2012" s="9" t="s">
        <v>6850</v>
      </c>
      <c r="D2012" s="9" t="s">
        <v>6742</v>
      </c>
      <c r="E2012" s="9" t="s">
        <v>1447</v>
      </c>
      <c r="F2012" s="9" t="s">
        <v>1448</v>
      </c>
      <c r="G2012" s="9" t="s">
        <v>12</v>
      </c>
      <c r="H2012" s="9"/>
      <c r="I2012" s="9"/>
      <c r="J2012" s="9" t="s">
        <v>73</v>
      </c>
      <c r="K2012" s="9"/>
      <c r="L2012" s="9"/>
      <c r="M2012" s="9" t="s">
        <v>1449</v>
      </c>
      <c r="N2012" s="9"/>
      <c r="O2012" s="9" t="s">
        <v>1450</v>
      </c>
      <c r="P2012" s="9" t="str">
        <f>HYPERLINK("https://ceds.ed.gov/cedselementdetails.aspx?termid=13518")</f>
        <v>https://ceds.ed.gov/cedselementdetails.aspx?termid=13518</v>
      </c>
      <c r="Q2012" s="9" t="str">
        <f>HYPERLINK("https://ceds.ed.gov/elementComment.aspx?elementName=Assignment End Date &amp;elementID=13518", "Click here to submit comment")</f>
        <v>Click here to submit comment</v>
      </c>
    </row>
    <row r="2013" spans="1:17" ht="60" x14ac:dyDescent="0.25">
      <c r="A2013" s="9" t="s">
        <v>6811</v>
      </c>
      <c r="B2013" s="9" t="s">
        <v>6847</v>
      </c>
      <c r="C2013" s="9" t="s">
        <v>6850</v>
      </c>
      <c r="D2013" s="9" t="s">
        <v>6742</v>
      </c>
      <c r="E2013" s="9" t="s">
        <v>5786</v>
      </c>
      <c r="F2013" s="9" t="s">
        <v>5787</v>
      </c>
      <c r="G2013" s="9" t="s">
        <v>6106</v>
      </c>
      <c r="H2013" s="9" t="s">
        <v>5791</v>
      </c>
      <c r="I2013" s="9"/>
      <c r="J2013" s="9"/>
      <c r="K2013" s="9"/>
      <c r="L2013" s="9" t="s">
        <v>5788</v>
      </c>
      <c r="M2013" s="9" t="s">
        <v>5789</v>
      </c>
      <c r="N2013" s="9"/>
      <c r="O2013" s="9" t="s">
        <v>5790</v>
      </c>
      <c r="P2013" s="9" t="str">
        <f>HYPERLINK("https://ceds.ed.gov/cedselementdetails.aspx?termid=13649")</f>
        <v>https://ceds.ed.gov/cedselementdetails.aspx?termid=13649</v>
      </c>
      <c r="Q2013" s="9" t="str">
        <f>HYPERLINK("https://ceds.ed.gov/elementComment.aspx?elementName=Teacher of Record &amp;elementID=13649", "Click here to submit comment")</f>
        <v>Click here to submit comment</v>
      </c>
    </row>
    <row r="2014" spans="1:17" ht="90" x14ac:dyDescent="0.25">
      <c r="A2014" s="9" t="s">
        <v>6811</v>
      </c>
      <c r="B2014" s="9" t="s">
        <v>6847</v>
      </c>
      <c r="C2014" s="9" t="s">
        <v>6850</v>
      </c>
      <c r="D2014" s="9" t="s">
        <v>6742</v>
      </c>
      <c r="E2014" s="9" t="s">
        <v>5813</v>
      </c>
      <c r="F2014" s="9" t="s">
        <v>5814</v>
      </c>
      <c r="G2014" s="10" t="s">
        <v>6712</v>
      </c>
      <c r="H2014" s="9" t="s">
        <v>5791</v>
      </c>
      <c r="I2014" s="9"/>
      <c r="J2014" s="9"/>
      <c r="K2014" s="9"/>
      <c r="L2014" s="9"/>
      <c r="M2014" s="9" t="s">
        <v>5815</v>
      </c>
      <c r="N2014" s="9"/>
      <c r="O2014" s="9" t="s">
        <v>5816</v>
      </c>
      <c r="P2014" s="9" t="str">
        <f>HYPERLINK("https://ceds.ed.gov/cedselementdetails.aspx?termid=13650")</f>
        <v>https://ceds.ed.gov/cedselementdetails.aspx?termid=13650</v>
      </c>
      <c r="Q2014" s="9" t="str">
        <f>HYPERLINK("https://ceds.ed.gov/elementComment.aspx?elementName=Teaching Assignment Role &amp;elementID=13650", "Click here to submit comment")</f>
        <v>Click here to submit comment</v>
      </c>
    </row>
    <row r="2015" spans="1:17" ht="90" x14ac:dyDescent="0.25">
      <c r="A2015" s="9" t="s">
        <v>6811</v>
      </c>
      <c r="B2015" s="9" t="s">
        <v>6847</v>
      </c>
      <c r="C2015" s="9" t="s">
        <v>6850</v>
      </c>
      <c r="D2015" s="9" t="s">
        <v>6742</v>
      </c>
      <c r="E2015" s="9" t="s">
        <v>5805</v>
      </c>
      <c r="F2015" s="9" t="s">
        <v>5806</v>
      </c>
      <c r="G2015" s="9" t="s">
        <v>12</v>
      </c>
      <c r="H2015" s="9" t="s">
        <v>5791</v>
      </c>
      <c r="I2015" s="9"/>
      <c r="J2015" s="9" t="s">
        <v>10496</v>
      </c>
      <c r="K2015" s="9"/>
      <c r="L2015" s="9"/>
      <c r="M2015" s="9" t="s">
        <v>5807</v>
      </c>
      <c r="N2015" s="9"/>
      <c r="O2015" s="9" t="s">
        <v>5808</v>
      </c>
      <c r="P2015" s="9" t="str">
        <f>HYPERLINK("https://ceds.ed.gov/cedselementdetails.aspx?termid=13651")</f>
        <v>https://ceds.ed.gov/cedselementdetails.aspx?termid=13651</v>
      </c>
      <c r="Q2015" s="9" t="str">
        <f>HYPERLINK("https://ceds.ed.gov/elementComment.aspx?elementName=Teaching Assignment Contribution Percentage &amp;elementID=13651", "Click here to submit comment")</f>
        <v>Click here to submit comment</v>
      </c>
    </row>
    <row r="2016" spans="1:17" ht="270" x14ac:dyDescent="0.25">
      <c r="A2016" s="9" t="s">
        <v>6811</v>
      </c>
      <c r="B2016" s="9" t="s">
        <v>6847</v>
      </c>
      <c r="C2016" s="9" t="s">
        <v>6850</v>
      </c>
      <c r="D2016" s="9" t="s">
        <v>6742</v>
      </c>
      <c r="E2016" s="9" t="s">
        <v>1798</v>
      </c>
      <c r="F2016" s="9" t="s">
        <v>1799</v>
      </c>
      <c r="G2016" s="10" t="s">
        <v>6409</v>
      </c>
      <c r="H2016" s="9"/>
      <c r="I2016" s="9"/>
      <c r="J2016" s="9"/>
      <c r="K2016" s="9"/>
      <c r="L2016" s="9"/>
      <c r="M2016" s="9" t="s">
        <v>1800</v>
      </c>
      <c r="N2016" s="9"/>
      <c r="O2016" s="9" t="s">
        <v>1801</v>
      </c>
      <c r="P2016" s="9" t="str">
        <f>HYPERLINK("https://ceds.ed.gov/cedselementdetails.aspx?termid=13615")</f>
        <v>https://ceds.ed.gov/cedselementdetails.aspx?termid=13615</v>
      </c>
      <c r="Q2016" s="9" t="str">
        <f>HYPERLINK("https://ceds.ed.gov/elementComment.aspx?elementName=Classroom Position Type &amp;elementID=13615", "Click here to submit comment")</f>
        <v>Click here to submit comment</v>
      </c>
    </row>
    <row r="2017" spans="1:17" ht="45" x14ac:dyDescent="0.25">
      <c r="A2017" s="9" t="s">
        <v>6811</v>
      </c>
      <c r="B2017" s="9" t="s">
        <v>6847</v>
      </c>
      <c r="C2017" s="9" t="s">
        <v>6830</v>
      </c>
      <c r="D2017" s="9" t="s">
        <v>6742</v>
      </c>
      <c r="E2017" s="9" t="s">
        <v>1455</v>
      </c>
      <c r="F2017" s="9" t="s">
        <v>1456</v>
      </c>
      <c r="G2017" s="9" t="s">
        <v>12</v>
      </c>
      <c r="H2017" s="9"/>
      <c r="I2017" s="9"/>
      <c r="J2017" s="9" t="s">
        <v>73</v>
      </c>
      <c r="K2017" s="9"/>
      <c r="L2017" s="9"/>
      <c r="M2017" s="9" t="s">
        <v>1458</v>
      </c>
      <c r="N2017" s="9"/>
      <c r="O2017" s="9" t="s">
        <v>1459</v>
      </c>
      <c r="P2017" s="9" t="str">
        <f>HYPERLINK("https://ceds.ed.gov/cedselementdetails.aspx?termid=14630")</f>
        <v>https://ceds.ed.gov/cedselementdetails.aspx?termid=14630</v>
      </c>
      <c r="Q2017" s="9" t="str">
        <f>HYPERLINK("https://ceds.ed.gov/elementComment.aspx?elementName=Attendance Event Date &amp;elementID=14630", "Click here to submit comment")</f>
        <v>Click here to submit comment</v>
      </c>
    </row>
    <row r="2018" spans="1:17" ht="120" x14ac:dyDescent="0.25">
      <c r="A2018" s="9" t="s">
        <v>6811</v>
      </c>
      <c r="B2018" s="9" t="s">
        <v>6847</v>
      </c>
      <c r="C2018" s="9" t="s">
        <v>6830</v>
      </c>
      <c r="D2018" s="9" t="s">
        <v>6742</v>
      </c>
      <c r="E2018" s="9" t="s">
        <v>1460</v>
      </c>
      <c r="F2018" s="9" t="s">
        <v>1461</v>
      </c>
      <c r="G2018" s="10" t="s">
        <v>6389</v>
      </c>
      <c r="H2018" s="9"/>
      <c r="I2018" s="9"/>
      <c r="J2018" s="9"/>
      <c r="K2018" s="9"/>
      <c r="L2018" s="9"/>
      <c r="M2018" s="9" t="s">
        <v>1462</v>
      </c>
      <c r="N2018" s="9"/>
      <c r="O2018" s="9" t="s">
        <v>1463</v>
      </c>
      <c r="P2018" s="9" t="str">
        <f>HYPERLINK("https://ceds.ed.gov/cedselementdetails.aspx?termid=13594")</f>
        <v>https://ceds.ed.gov/cedselementdetails.aspx?termid=13594</v>
      </c>
      <c r="Q2018" s="9" t="str">
        <f>HYPERLINK("https://ceds.ed.gov/elementComment.aspx?elementName=Attendance Event Type &amp;elementID=13594", "Click here to submit comment")</f>
        <v>Click here to submit comment</v>
      </c>
    </row>
    <row r="2019" spans="1:17" ht="105" x14ac:dyDescent="0.25">
      <c r="A2019" s="9" t="s">
        <v>6811</v>
      </c>
      <c r="B2019" s="9" t="s">
        <v>6847</v>
      </c>
      <c r="C2019" s="9" t="s">
        <v>6830</v>
      </c>
      <c r="D2019" s="9" t="s">
        <v>6742</v>
      </c>
      <c r="E2019" s="9" t="s">
        <v>1464</v>
      </c>
      <c r="F2019" s="9" t="s">
        <v>1465</v>
      </c>
      <c r="G2019" s="10" t="s">
        <v>6390</v>
      </c>
      <c r="H2019" s="9"/>
      <c r="I2019" s="9"/>
      <c r="J2019" s="9"/>
      <c r="K2019" s="9"/>
      <c r="L2019" s="9"/>
      <c r="M2019" s="9" t="s">
        <v>1466</v>
      </c>
      <c r="N2019" s="9"/>
      <c r="O2019" s="9" t="s">
        <v>1467</v>
      </c>
      <c r="P2019" s="9" t="str">
        <f>HYPERLINK("https://ceds.ed.gov/cedselementdetails.aspx?termid=13076")</f>
        <v>https://ceds.ed.gov/cedselementdetails.aspx?termid=13076</v>
      </c>
      <c r="Q2019" s="9" t="str">
        <f>HYPERLINK("https://ceds.ed.gov/elementComment.aspx?elementName=Attendance Status &amp;elementID=13076", "Click here to submit comment")</f>
        <v>Click here to submit comment</v>
      </c>
    </row>
    <row r="2020" spans="1:17" ht="105" x14ac:dyDescent="0.25">
      <c r="A2020" s="9" t="s">
        <v>6811</v>
      </c>
      <c r="B2020" s="9" t="s">
        <v>6847</v>
      </c>
      <c r="C2020" s="9" t="s">
        <v>6851</v>
      </c>
      <c r="D2020" s="9" t="s">
        <v>6742</v>
      </c>
      <c r="E2020" s="9" t="s">
        <v>5800</v>
      </c>
      <c r="F2020" s="9" t="s">
        <v>5801</v>
      </c>
      <c r="G2020" s="9" t="s">
        <v>6106</v>
      </c>
      <c r="H2020" s="9"/>
      <c r="I2020" s="9"/>
      <c r="J2020" s="9"/>
      <c r="K2020" s="9"/>
      <c r="L2020" s="9" t="s">
        <v>5802</v>
      </c>
      <c r="M2020" s="9" t="s">
        <v>5803</v>
      </c>
      <c r="N2020" s="9"/>
      <c r="O2020" s="9" t="s">
        <v>5804</v>
      </c>
      <c r="P2020" s="9" t="str">
        <f>HYPERLINK("https://ceds.ed.gov/cedselementdetails.aspx?termid=13973")</f>
        <v>https://ceds.ed.gov/cedselementdetails.aspx?termid=13973</v>
      </c>
      <c r="Q2020" s="9" t="str">
        <f>HYPERLINK("https://ceds.ed.gov/elementComment.aspx?elementName=Teacher Student Data Link Exclusion Flag &amp;elementID=13973", "Click here to submit comment")</f>
        <v>Click here to submit comment</v>
      </c>
    </row>
    <row r="2021" spans="1:17" ht="105" x14ac:dyDescent="0.25">
      <c r="A2021" s="18" t="s">
        <v>6811</v>
      </c>
      <c r="B2021" s="18" t="s">
        <v>6769</v>
      </c>
      <c r="C2021" s="18"/>
      <c r="D2021" s="18" t="s">
        <v>6742</v>
      </c>
      <c r="E2021" s="18" t="s">
        <v>4913</v>
      </c>
      <c r="F2021" s="18" t="s">
        <v>4914</v>
      </c>
      <c r="G2021" s="18" t="s">
        <v>12</v>
      </c>
      <c r="H2021" s="18" t="s">
        <v>1963</v>
      </c>
      <c r="I2021" s="18"/>
      <c r="J2021" s="18" t="s">
        <v>119</v>
      </c>
      <c r="K2021" s="18"/>
      <c r="L2021" s="9" t="s">
        <v>120</v>
      </c>
      <c r="M2021" s="18" t="s">
        <v>4915</v>
      </c>
      <c r="N2021" s="18"/>
      <c r="O2021" s="18" t="s">
        <v>4916</v>
      </c>
      <c r="P2021" s="18" t="str">
        <f>HYPERLINK("https://ceds.ed.gov/cedselementdetails.aspx?termid=13618")</f>
        <v>https://ceds.ed.gov/cedselementdetails.aspx?termid=13618</v>
      </c>
      <c r="Q2021" s="18" t="str">
        <f>HYPERLINK("https://ceds.ed.gov/elementComment.aspx?elementName=Program Identifier &amp;elementID=13618", "Click here to submit comment")</f>
        <v>Click here to submit comment</v>
      </c>
    </row>
    <row r="2022" spans="1:17" x14ac:dyDescent="0.25">
      <c r="A2022" s="18"/>
      <c r="B2022" s="18"/>
      <c r="C2022" s="18"/>
      <c r="D2022" s="18"/>
      <c r="E2022" s="18"/>
      <c r="F2022" s="18"/>
      <c r="G2022" s="18"/>
      <c r="H2022" s="18"/>
      <c r="I2022" s="18"/>
      <c r="J2022" s="18"/>
      <c r="K2022" s="18"/>
      <c r="L2022" s="9"/>
      <c r="M2022" s="18"/>
      <c r="N2022" s="18"/>
      <c r="O2022" s="18"/>
      <c r="P2022" s="18"/>
      <c r="Q2022" s="18"/>
    </row>
    <row r="2023" spans="1:17" ht="90" x14ac:dyDescent="0.25">
      <c r="A2023" s="18"/>
      <c r="B2023" s="18"/>
      <c r="C2023" s="18"/>
      <c r="D2023" s="18"/>
      <c r="E2023" s="18"/>
      <c r="F2023" s="18"/>
      <c r="G2023" s="18"/>
      <c r="H2023" s="18"/>
      <c r="I2023" s="18"/>
      <c r="J2023" s="18"/>
      <c r="K2023" s="18"/>
      <c r="L2023" s="9" t="s">
        <v>121</v>
      </c>
      <c r="M2023" s="18"/>
      <c r="N2023" s="18"/>
      <c r="O2023" s="18"/>
      <c r="P2023" s="18"/>
      <c r="Q2023" s="18"/>
    </row>
    <row r="2024" spans="1:17" ht="60" x14ac:dyDescent="0.25">
      <c r="A2024" s="9" t="s">
        <v>6811</v>
      </c>
      <c r="B2024" s="9" t="s">
        <v>6769</v>
      </c>
      <c r="C2024" s="9"/>
      <c r="D2024" s="9" t="s">
        <v>6742</v>
      </c>
      <c r="E2024" s="9" t="s">
        <v>4929</v>
      </c>
      <c r="F2024" s="9" t="s">
        <v>4930</v>
      </c>
      <c r="G2024" s="9" t="s">
        <v>12</v>
      </c>
      <c r="H2024" s="9" t="s">
        <v>1963</v>
      </c>
      <c r="I2024" s="9"/>
      <c r="J2024" s="9" t="s">
        <v>92</v>
      </c>
      <c r="K2024" s="9"/>
      <c r="L2024" s="9"/>
      <c r="M2024" s="9" t="s">
        <v>4931</v>
      </c>
      <c r="N2024" s="9"/>
      <c r="O2024" s="9" t="s">
        <v>4932</v>
      </c>
      <c r="P2024" s="9" t="str">
        <f>HYPERLINK("https://ceds.ed.gov/cedselementdetails.aspx?termid=13619")</f>
        <v>https://ceds.ed.gov/cedselementdetails.aspx?termid=13619</v>
      </c>
      <c r="Q2024" s="9" t="str">
        <f>HYPERLINK("https://ceds.ed.gov/elementComment.aspx?elementName=Program Name &amp;elementID=13619", "Click here to submit comment")</f>
        <v>Click here to submit comment</v>
      </c>
    </row>
    <row r="2025" spans="1:17" ht="90" x14ac:dyDescent="0.25">
      <c r="A2025" s="9" t="s">
        <v>6811</v>
      </c>
      <c r="B2025" s="9" t="s">
        <v>6769</v>
      </c>
      <c r="C2025" s="9"/>
      <c r="D2025" s="9" t="s">
        <v>6742</v>
      </c>
      <c r="E2025" s="9" t="s">
        <v>2129</v>
      </c>
      <c r="F2025" s="9" t="s">
        <v>2130</v>
      </c>
      <c r="G2025" s="9" t="s">
        <v>12</v>
      </c>
      <c r="H2025" s="9"/>
      <c r="I2025" s="9"/>
      <c r="J2025" s="9" t="s">
        <v>1513</v>
      </c>
      <c r="K2025" s="9"/>
      <c r="L2025" s="9" t="s">
        <v>2131</v>
      </c>
      <c r="M2025" s="9" t="s">
        <v>2132</v>
      </c>
      <c r="N2025" s="9"/>
      <c r="O2025" s="9" t="s">
        <v>2133</v>
      </c>
      <c r="P2025" s="9" t="str">
        <f>HYPERLINK("https://ceds.ed.gov/cedselementdetails.aspx?termid=14553")</f>
        <v>https://ceds.ed.gov/cedselementdetails.aspx?termid=14553</v>
      </c>
      <c r="Q2025" s="9" t="str">
        <f>HYPERLINK("https://ceds.ed.gov/elementComment.aspx?elementName=Credits Required &amp;elementID=14553", "Click here to submit comment")</f>
        <v>Click here to submit comment</v>
      </c>
    </row>
    <row r="2026" spans="1:17" ht="240" x14ac:dyDescent="0.25">
      <c r="A2026" s="9" t="s">
        <v>6811</v>
      </c>
      <c r="B2026" s="9" t="s">
        <v>6769</v>
      </c>
      <c r="C2026" s="9"/>
      <c r="D2026" s="9" t="s">
        <v>6742</v>
      </c>
      <c r="E2026" s="9" t="s">
        <v>4444</v>
      </c>
      <c r="F2026" s="9" t="s">
        <v>4445</v>
      </c>
      <c r="G2026" s="10" t="s">
        <v>11903</v>
      </c>
      <c r="H2026" s="9" t="s">
        <v>64</v>
      </c>
      <c r="I2026" s="9"/>
      <c r="J2026" s="9"/>
      <c r="K2026" s="9"/>
      <c r="L2026" s="9"/>
      <c r="M2026" s="9" t="s">
        <v>4446</v>
      </c>
      <c r="N2026" s="9"/>
      <c r="O2026" s="9" t="s">
        <v>4447</v>
      </c>
      <c r="P2026" s="9" t="str">
        <f>HYPERLINK("https://ceds.ed.gov/cedselementdetails.aspx?termid=13827")</f>
        <v>https://ceds.ed.gov/cedselementdetails.aspx?termid=13827</v>
      </c>
      <c r="Q2026" s="9" t="str">
        <f>HYPERLINK("https://ceds.ed.gov/elementComment.aspx?elementName=Organization Identification System &amp;elementID=13827", "Click here to submit comment")</f>
        <v>Click here to submit comment</v>
      </c>
    </row>
    <row r="2027" spans="1:17" ht="105" x14ac:dyDescent="0.25">
      <c r="A2027" s="18" t="s">
        <v>6811</v>
      </c>
      <c r="B2027" s="18" t="s">
        <v>6769</v>
      </c>
      <c r="C2027" s="18"/>
      <c r="D2027" s="18" t="s">
        <v>6742</v>
      </c>
      <c r="E2027" s="18" t="s">
        <v>4448</v>
      </c>
      <c r="F2027" s="18" t="s">
        <v>4449</v>
      </c>
      <c r="G2027" s="18" t="s">
        <v>12</v>
      </c>
      <c r="H2027" s="18" t="s">
        <v>64</v>
      </c>
      <c r="I2027" s="18"/>
      <c r="J2027" s="18" t="s">
        <v>119</v>
      </c>
      <c r="K2027" s="18"/>
      <c r="L2027" s="9" t="s">
        <v>120</v>
      </c>
      <c r="M2027" s="18" t="s">
        <v>4450</v>
      </c>
      <c r="N2027" s="18"/>
      <c r="O2027" s="18" t="s">
        <v>4451</v>
      </c>
      <c r="P2027" s="18" t="str">
        <f>HYPERLINK("https://ceds.ed.gov/cedselementdetails.aspx?termid=13825")</f>
        <v>https://ceds.ed.gov/cedselementdetails.aspx?termid=13825</v>
      </c>
      <c r="Q2027" s="18" t="str">
        <f>HYPERLINK("https://ceds.ed.gov/elementComment.aspx?elementName=Organization Identifier &amp;elementID=13825", "Click here to submit comment")</f>
        <v>Click here to submit comment</v>
      </c>
    </row>
    <row r="2028" spans="1:17" x14ac:dyDescent="0.25">
      <c r="A2028" s="18"/>
      <c r="B2028" s="18"/>
      <c r="C2028" s="18"/>
      <c r="D2028" s="18"/>
      <c r="E2028" s="18"/>
      <c r="F2028" s="18"/>
      <c r="G2028" s="18"/>
      <c r="H2028" s="18"/>
      <c r="I2028" s="18"/>
      <c r="J2028" s="18"/>
      <c r="K2028" s="18"/>
      <c r="L2028" s="9"/>
      <c r="M2028" s="18"/>
      <c r="N2028" s="18"/>
      <c r="O2028" s="18"/>
      <c r="P2028" s="18"/>
      <c r="Q2028" s="18"/>
    </row>
    <row r="2029" spans="1:17" ht="90" x14ac:dyDescent="0.25">
      <c r="A2029" s="18"/>
      <c r="B2029" s="18"/>
      <c r="C2029" s="18"/>
      <c r="D2029" s="18"/>
      <c r="E2029" s="18"/>
      <c r="F2029" s="18"/>
      <c r="G2029" s="18"/>
      <c r="H2029" s="18"/>
      <c r="I2029" s="18"/>
      <c r="J2029" s="18"/>
      <c r="K2029" s="18"/>
      <c r="L2029" s="9" t="s">
        <v>121</v>
      </c>
      <c r="M2029" s="18"/>
      <c r="N2029" s="18"/>
      <c r="O2029" s="18"/>
      <c r="P2029" s="18"/>
      <c r="Q2029" s="18"/>
    </row>
    <row r="2030" spans="1:17" ht="45" x14ac:dyDescent="0.25">
      <c r="A2030" s="9" t="s">
        <v>6811</v>
      </c>
      <c r="B2030" s="9" t="s">
        <v>6769</v>
      </c>
      <c r="C2030" s="9"/>
      <c r="D2030" s="9" t="s">
        <v>6742</v>
      </c>
      <c r="E2030" s="9" t="s">
        <v>4456</v>
      </c>
      <c r="F2030" s="9" t="s">
        <v>4457</v>
      </c>
      <c r="G2030" s="9" t="s">
        <v>12</v>
      </c>
      <c r="H2030" s="9" t="s">
        <v>182</v>
      </c>
      <c r="I2030" s="9"/>
      <c r="J2030" s="9" t="s">
        <v>92</v>
      </c>
      <c r="K2030" s="9"/>
      <c r="L2030" s="9"/>
      <c r="M2030" s="9" t="s">
        <v>4458</v>
      </c>
      <c r="N2030" s="9"/>
      <c r="O2030" s="9" t="s">
        <v>4459</v>
      </c>
      <c r="P2030" s="9" t="str">
        <f>HYPERLINK("https://ceds.ed.gov/cedselementdetails.aspx?termid=13204")</f>
        <v>https://ceds.ed.gov/cedselementdetails.aspx?termid=13204</v>
      </c>
      <c r="Q2030" s="9" t="str">
        <f>HYPERLINK("https://ceds.ed.gov/elementComment.aspx?elementName=Organization Name &amp;elementID=13204", "Click here to submit comment")</f>
        <v>Click here to submit comment</v>
      </c>
    </row>
    <row r="2031" spans="1:17" ht="60" x14ac:dyDescent="0.25">
      <c r="A2031" s="9" t="s">
        <v>6811</v>
      </c>
      <c r="B2031" s="9" t="s">
        <v>6769</v>
      </c>
      <c r="C2031" s="9"/>
      <c r="D2031" s="9" t="s">
        <v>6742</v>
      </c>
      <c r="E2031" s="9" t="s">
        <v>4460</v>
      </c>
      <c r="F2031" s="9" t="s">
        <v>4461</v>
      </c>
      <c r="G2031" s="10" t="s">
        <v>6629</v>
      </c>
      <c r="H2031" s="9"/>
      <c r="I2031" s="9"/>
      <c r="J2031" s="9"/>
      <c r="K2031" s="9"/>
      <c r="L2031" s="9"/>
      <c r="M2031" s="9" t="s">
        <v>4462</v>
      </c>
      <c r="N2031" s="9"/>
      <c r="O2031" s="9" t="s">
        <v>4463</v>
      </c>
      <c r="P2031" s="9" t="str">
        <f>HYPERLINK("https://ceds.ed.gov/cedselementdetails.aspx?termid=14387")</f>
        <v>https://ceds.ed.gov/cedselementdetails.aspx?termid=14387</v>
      </c>
      <c r="Q2031" s="9" t="str">
        <f>HYPERLINK("https://ceds.ed.gov/elementComment.aspx?elementName=Organization Operational Status &amp;elementID=14387", "Click here to submit comment")</f>
        <v>Click here to submit comment</v>
      </c>
    </row>
    <row r="2032" spans="1:17" ht="270" x14ac:dyDescent="0.25">
      <c r="A2032" s="9" t="s">
        <v>6811</v>
      </c>
      <c r="B2032" s="9" t="s">
        <v>6769</v>
      </c>
      <c r="C2032" s="9"/>
      <c r="D2032" s="9" t="s">
        <v>6742</v>
      </c>
      <c r="E2032" s="9" t="s">
        <v>4961</v>
      </c>
      <c r="F2032" s="9" t="s">
        <v>4962</v>
      </c>
      <c r="G2032" s="10" t="s">
        <v>6665</v>
      </c>
      <c r="H2032" s="9"/>
      <c r="I2032" s="9"/>
      <c r="J2032" s="9"/>
      <c r="K2032" s="9"/>
      <c r="L2032" s="9"/>
      <c r="M2032" s="9" t="s">
        <v>4963</v>
      </c>
      <c r="N2032" s="9"/>
      <c r="O2032" s="9" t="s">
        <v>4964</v>
      </c>
      <c r="P2032" s="9" t="str">
        <f>HYPERLINK("https://ceds.ed.gov/cedselementdetails.aspx?termid=13692")</f>
        <v>https://ceds.ed.gov/cedselementdetails.aspx?termid=13692</v>
      </c>
      <c r="Q2032" s="9" t="str">
        <f>HYPERLINK("https://ceds.ed.gov/elementComment.aspx?elementName=Program Sponsor Type &amp;elementID=13692", "Click here to submit comment")</f>
        <v>Click here to submit comment</v>
      </c>
    </row>
    <row r="2033" spans="1:17" ht="90" x14ac:dyDescent="0.25">
      <c r="A2033" s="9" t="s">
        <v>6811</v>
      </c>
      <c r="B2033" s="9" t="s">
        <v>6769</v>
      </c>
      <c r="C2033" s="9" t="s">
        <v>6783</v>
      </c>
      <c r="D2033" s="9" t="s">
        <v>6742</v>
      </c>
      <c r="E2033" s="9" t="s">
        <v>174</v>
      </c>
      <c r="F2033" s="9" t="s">
        <v>175</v>
      </c>
      <c r="G2033" s="10" t="s">
        <v>6320</v>
      </c>
      <c r="H2033" s="9" t="s">
        <v>6109</v>
      </c>
      <c r="I2033" s="9"/>
      <c r="J2033" s="9" t="s">
        <v>87</v>
      </c>
      <c r="K2033" s="9"/>
      <c r="L2033" s="9"/>
      <c r="M2033" s="9" t="s">
        <v>176</v>
      </c>
      <c r="N2033" s="9"/>
      <c r="O2033" s="9" t="s">
        <v>177</v>
      </c>
      <c r="P2033" s="9" t="str">
        <f>HYPERLINK("https://ceds.ed.gov/cedselementdetails.aspx?termid=13644")</f>
        <v>https://ceds.ed.gov/cedselementdetails.aspx?termid=13644</v>
      </c>
      <c r="Q2033" s="9" t="str">
        <f>HYPERLINK("https://ceds.ed.gov/elementComment.aspx?elementName=Address Type for Organization &amp;elementID=13644", "Click here to submit comment")</f>
        <v>Click here to submit comment</v>
      </c>
    </row>
    <row r="2034" spans="1:17" ht="225" x14ac:dyDescent="0.25">
      <c r="A2034" s="9" t="s">
        <v>6811</v>
      </c>
      <c r="B2034" s="9" t="s">
        <v>6769</v>
      </c>
      <c r="C2034" s="9" t="s">
        <v>6783</v>
      </c>
      <c r="D2034" s="9" t="s">
        <v>6742</v>
      </c>
      <c r="E2034" s="9" t="s">
        <v>166</v>
      </c>
      <c r="F2034" s="9" t="s">
        <v>167</v>
      </c>
      <c r="G2034" s="9" t="s">
        <v>12</v>
      </c>
      <c r="H2034" s="9" t="s">
        <v>6113</v>
      </c>
      <c r="I2034" s="9"/>
      <c r="J2034" s="9" t="s">
        <v>119</v>
      </c>
      <c r="K2034" s="9"/>
      <c r="L2034" s="9"/>
      <c r="M2034" s="9" t="s">
        <v>168</v>
      </c>
      <c r="N2034" s="9"/>
      <c r="O2034" s="9" t="s">
        <v>169</v>
      </c>
      <c r="P2034" s="9" t="str">
        <f>HYPERLINK("https://ceds.ed.gov/cedselementdetails.aspx?termid=13269")</f>
        <v>https://ceds.ed.gov/cedselementdetails.aspx?termid=13269</v>
      </c>
      <c r="Q2034" s="9" t="str">
        <f>HYPERLINK("https://ceds.ed.gov/elementComment.aspx?elementName=Address Street Number and Name &amp;elementID=13269", "Click here to submit comment")</f>
        <v>Click here to submit comment</v>
      </c>
    </row>
    <row r="2035" spans="1:17" ht="225" x14ac:dyDescent="0.25">
      <c r="A2035" s="9" t="s">
        <v>6811</v>
      </c>
      <c r="B2035" s="9" t="s">
        <v>6769</v>
      </c>
      <c r="C2035" s="9" t="s">
        <v>6783</v>
      </c>
      <c r="D2035" s="9" t="s">
        <v>6742</v>
      </c>
      <c r="E2035" s="9" t="s">
        <v>149</v>
      </c>
      <c r="F2035" s="9" t="s">
        <v>150</v>
      </c>
      <c r="G2035" s="9" t="s">
        <v>12</v>
      </c>
      <c r="H2035" s="9" t="s">
        <v>6113</v>
      </c>
      <c r="I2035" s="9"/>
      <c r="J2035" s="9" t="s">
        <v>87</v>
      </c>
      <c r="K2035" s="9"/>
      <c r="L2035" s="9"/>
      <c r="M2035" s="9" t="s">
        <v>151</v>
      </c>
      <c r="N2035" s="9"/>
      <c r="O2035" s="9" t="s">
        <v>152</v>
      </c>
      <c r="P2035" s="9" t="str">
        <f>HYPERLINK("https://ceds.ed.gov/cedselementdetails.aspx?termid=13019")</f>
        <v>https://ceds.ed.gov/cedselementdetails.aspx?termid=13019</v>
      </c>
      <c r="Q2035" s="9" t="str">
        <f>HYPERLINK("https://ceds.ed.gov/elementComment.aspx?elementName=Address Apartment Room or Suite Number &amp;elementID=13019", "Click here to submit comment")</f>
        <v>Click here to submit comment</v>
      </c>
    </row>
    <row r="2036" spans="1:17" ht="225" x14ac:dyDescent="0.25">
      <c r="A2036" s="9" t="s">
        <v>6811</v>
      </c>
      <c r="B2036" s="9" t="s">
        <v>6769</v>
      </c>
      <c r="C2036" s="9" t="s">
        <v>6783</v>
      </c>
      <c r="D2036" s="9" t="s">
        <v>6742</v>
      </c>
      <c r="E2036" s="9" t="s">
        <v>153</v>
      </c>
      <c r="F2036" s="9" t="s">
        <v>154</v>
      </c>
      <c r="G2036" s="9" t="s">
        <v>12</v>
      </c>
      <c r="H2036" s="9" t="s">
        <v>6113</v>
      </c>
      <c r="I2036" s="9"/>
      <c r="J2036" s="9" t="s">
        <v>87</v>
      </c>
      <c r="K2036" s="9"/>
      <c r="L2036" s="9"/>
      <c r="M2036" s="9" t="s">
        <v>155</v>
      </c>
      <c r="N2036" s="9"/>
      <c r="O2036" s="9" t="s">
        <v>156</v>
      </c>
      <c r="P2036" s="9" t="str">
        <f>HYPERLINK("https://ceds.ed.gov/cedselementdetails.aspx?termid=13040")</f>
        <v>https://ceds.ed.gov/cedselementdetails.aspx?termid=13040</v>
      </c>
      <c r="Q2036" s="9" t="str">
        <f>HYPERLINK("https://ceds.ed.gov/elementComment.aspx?elementName=Address City &amp;elementID=13040", "Click here to submit comment")</f>
        <v>Click here to submit comment</v>
      </c>
    </row>
    <row r="2037" spans="1:17" ht="409.5" x14ac:dyDescent="0.25">
      <c r="A2037" s="9" t="s">
        <v>6811</v>
      </c>
      <c r="B2037" s="9" t="s">
        <v>6769</v>
      </c>
      <c r="C2037" s="9" t="s">
        <v>6783</v>
      </c>
      <c r="D2037" s="9" t="s">
        <v>6742</v>
      </c>
      <c r="E2037" s="9" t="s">
        <v>5647</v>
      </c>
      <c r="F2037" s="9" t="s">
        <v>5648</v>
      </c>
      <c r="G2037" s="10" t="s">
        <v>6702</v>
      </c>
      <c r="H2037" s="9" t="s">
        <v>6285</v>
      </c>
      <c r="I2037" s="9"/>
      <c r="J2037" s="9"/>
      <c r="K2037" s="9"/>
      <c r="L2037" s="9"/>
      <c r="M2037" s="9" t="s">
        <v>5649</v>
      </c>
      <c r="N2037" s="9"/>
      <c r="O2037" s="9" t="s">
        <v>5650</v>
      </c>
      <c r="P2037" s="9" t="str">
        <f>HYPERLINK("https://ceds.ed.gov/cedselementdetails.aspx?termid=13267")</f>
        <v>https://ceds.ed.gov/cedselementdetails.aspx?termid=13267</v>
      </c>
      <c r="Q2037" s="9" t="str">
        <f>HYPERLINK("https://ceds.ed.gov/elementComment.aspx?elementName=State Abbreviation &amp;elementID=13267", "Click here to submit comment")</f>
        <v>Click here to submit comment</v>
      </c>
    </row>
    <row r="2038" spans="1:17" ht="225" x14ac:dyDescent="0.25">
      <c r="A2038" s="9" t="s">
        <v>6811</v>
      </c>
      <c r="B2038" s="9" t="s">
        <v>6769</v>
      </c>
      <c r="C2038" s="9" t="s">
        <v>6783</v>
      </c>
      <c r="D2038" s="9" t="s">
        <v>6742</v>
      </c>
      <c r="E2038" s="9" t="s">
        <v>161</v>
      </c>
      <c r="F2038" s="9" t="s">
        <v>162</v>
      </c>
      <c r="G2038" s="9" t="s">
        <v>12</v>
      </c>
      <c r="H2038" s="9" t="s">
        <v>6113</v>
      </c>
      <c r="I2038" s="9"/>
      <c r="J2038" s="9" t="s">
        <v>163</v>
      </c>
      <c r="K2038" s="9"/>
      <c r="L2038" s="9"/>
      <c r="M2038" s="9" t="s">
        <v>164</v>
      </c>
      <c r="N2038" s="9"/>
      <c r="O2038" s="9" t="s">
        <v>165</v>
      </c>
      <c r="P2038" s="9" t="str">
        <f>HYPERLINK("https://ceds.ed.gov/cedselementdetails.aspx?termid=13214")</f>
        <v>https://ceds.ed.gov/cedselementdetails.aspx?termid=13214</v>
      </c>
      <c r="Q2038" s="9" t="str">
        <f>HYPERLINK("https://ceds.ed.gov/elementComment.aspx?elementName=Address Postal Code &amp;elementID=13214", "Click here to submit comment")</f>
        <v>Click here to submit comment</v>
      </c>
    </row>
    <row r="2039" spans="1:17" ht="225" x14ac:dyDescent="0.25">
      <c r="A2039" s="9" t="s">
        <v>6811</v>
      </c>
      <c r="B2039" s="9" t="s">
        <v>6769</v>
      </c>
      <c r="C2039" s="9" t="s">
        <v>6783</v>
      </c>
      <c r="D2039" s="9" t="s">
        <v>6742</v>
      </c>
      <c r="E2039" s="9" t="s">
        <v>157</v>
      </c>
      <c r="F2039" s="9" t="s">
        <v>158</v>
      </c>
      <c r="G2039" s="9" t="s">
        <v>12</v>
      </c>
      <c r="H2039" s="9" t="s">
        <v>6113</v>
      </c>
      <c r="I2039" s="9"/>
      <c r="J2039" s="9" t="s">
        <v>87</v>
      </c>
      <c r="K2039" s="9"/>
      <c r="L2039" s="9"/>
      <c r="M2039" s="9" t="s">
        <v>159</v>
      </c>
      <c r="N2039" s="9"/>
      <c r="O2039" s="9" t="s">
        <v>160</v>
      </c>
      <c r="P2039" s="9" t="str">
        <f>HYPERLINK("https://ceds.ed.gov/cedselementdetails.aspx?termid=13190")</f>
        <v>https://ceds.ed.gov/cedselementdetails.aspx?termid=13190</v>
      </c>
      <c r="Q2039" s="9" t="str">
        <f>HYPERLINK("https://ceds.ed.gov/elementComment.aspx?elementName=Address County Name &amp;elementID=13190", "Click here to submit comment")</f>
        <v>Click here to submit comment</v>
      </c>
    </row>
    <row r="2040" spans="1:17" ht="75" x14ac:dyDescent="0.25">
      <c r="A2040" s="9" t="s">
        <v>6811</v>
      </c>
      <c r="B2040" s="9" t="s">
        <v>6769</v>
      </c>
      <c r="C2040" s="9" t="s">
        <v>6783</v>
      </c>
      <c r="D2040" s="9" t="s">
        <v>6742</v>
      </c>
      <c r="E2040" s="9" t="s">
        <v>3606</v>
      </c>
      <c r="F2040" s="9" t="s">
        <v>3607</v>
      </c>
      <c r="G2040" s="9" t="s">
        <v>12</v>
      </c>
      <c r="H2040" s="9"/>
      <c r="I2040" s="9"/>
      <c r="J2040" s="9" t="s">
        <v>1165</v>
      </c>
      <c r="K2040" s="9"/>
      <c r="L2040" s="9"/>
      <c r="M2040" s="9" t="s">
        <v>3608</v>
      </c>
      <c r="N2040" s="9"/>
      <c r="O2040" s="9" t="s">
        <v>3606</v>
      </c>
      <c r="P2040" s="9" t="str">
        <f>HYPERLINK("https://ceds.ed.gov/cedselementdetails.aspx?termid=13599")</f>
        <v>https://ceds.ed.gov/cedselementdetails.aspx?termid=13599</v>
      </c>
      <c r="Q2040" s="9" t="str">
        <f>HYPERLINK("https://ceds.ed.gov/elementComment.aspx?elementName=Latitude &amp;elementID=13599", "Click here to submit comment")</f>
        <v>Click here to submit comment</v>
      </c>
    </row>
    <row r="2041" spans="1:17" ht="75" x14ac:dyDescent="0.25">
      <c r="A2041" s="9" t="s">
        <v>6811</v>
      </c>
      <c r="B2041" s="9" t="s">
        <v>6769</v>
      </c>
      <c r="C2041" s="9" t="s">
        <v>6783</v>
      </c>
      <c r="D2041" s="9" t="s">
        <v>6742</v>
      </c>
      <c r="E2041" s="9" t="s">
        <v>4139</v>
      </c>
      <c r="F2041" s="9" t="s">
        <v>4140</v>
      </c>
      <c r="G2041" s="9" t="s">
        <v>12</v>
      </c>
      <c r="H2041" s="9"/>
      <c r="I2041" s="9"/>
      <c r="J2041" s="9" t="s">
        <v>1165</v>
      </c>
      <c r="K2041" s="9"/>
      <c r="L2041" s="9"/>
      <c r="M2041" s="9" t="s">
        <v>4141</v>
      </c>
      <c r="N2041" s="9"/>
      <c r="O2041" s="9" t="s">
        <v>4139</v>
      </c>
      <c r="P2041" s="9" t="str">
        <f>HYPERLINK("https://ceds.ed.gov/cedselementdetails.aspx?termid=13600")</f>
        <v>https://ceds.ed.gov/cedselementdetails.aspx?termid=13600</v>
      </c>
      <c r="Q2041" s="9" t="str">
        <f>HYPERLINK("https://ceds.ed.gov/elementComment.aspx?elementName=Longitude &amp;elementID=13600", "Click here to submit comment")</f>
        <v>Click here to submit comment</v>
      </c>
    </row>
    <row r="2042" spans="1:17" ht="105" x14ac:dyDescent="0.25">
      <c r="A2042" s="9" t="s">
        <v>6811</v>
      </c>
      <c r="B2042" s="9" t="s">
        <v>6769</v>
      </c>
      <c r="C2042" s="9" t="s">
        <v>6762</v>
      </c>
      <c r="D2042" s="9" t="s">
        <v>6742</v>
      </c>
      <c r="E2042" s="9" t="s">
        <v>2810</v>
      </c>
      <c r="F2042" s="9" t="s">
        <v>2811</v>
      </c>
      <c r="G2042" s="9" t="s">
        <v>12</v>
      </c>
      <c r="H2042" s="9"/>
      <c r="I2042" s="9"/>
      <c r="J2042" s="9" t="s">
        <v>87</v>
      </c>
      <c r="K2042" s="9"/>
      <c r="L2042" s="9"/>
      <c r="M2042" s="9" t="s">
        <v>2812</v>
      </c>
      <c r="N2042" s="9"/>
      <c r="O2042" s="9" t="s">
        <v>2813</v>
      </c>
      <c r="P2042" s="9" t="str">
        <f>HYPERLINK("https://ceds.ed.gov/cedselementdetails.aspx?termid=14530")</f>
        <v>https://ceds.ed.gov/cedselementdetails.aspx?termid=14530</v>
      </c>
      <c r="Q2042" s="9" t="str">
        <f>HYPERLINK("https://ceds.ed.gov/elementComment.aspx?elementName=Financial Account Number &amp;elementID=14530", "Click here to submit comment")</f>
        <v>Click here to submit comment</v>
      </c>
    </row>
    <row r="2043" spans="1:17" ht="45" x14ac:dyDescent="0.25">
      <c r="A2043" s="9" t="s">
        <v>6811</v>
      </c>
      <c r="B2043" s="9" t="s">
        <v>6769</v>
      </c>
      <c r="C2043" s="9" t="s">
        <v>6762</v>
      </c>
      <c r="D2043" s="9" t="s">
        <v>6742</v>
      </c>
      <c r="E2043" s="9" t="s">
        <v>2806</v>
      </c>
      <c r="F2043" s="9" t="s">
        <v>2807</v>
      </c>
      <c r="G2043" s="9" t="s">
        <v>12</v>
      </c>
      <c r="H2043" s="9"/>
      <c r="I2043" s="9"/>
      <c r="J2043" s="9" t="s">
        <v>762</v>
      </c>
      <c r="K2043" s="9"/>
      <c r="L2043" s="9"/>
      <c r="M2043" s="9" t="s">
        <v>2808</v>
      </c>
      <c r="N2043" s="9"/>
      <c r="O2043" s="9" t="s">
        <v>2809</v>
      </c>
      <c r="P2043" s="9" t="str">
        <f>HYPERLINK("https://ceds.ed.gov/cedselementdetails.aspx?termid=14315")</f>
        <v>https://ceds.ed.gov/cedselementdetails.aspx?termid=14315</v>
      </c>
      <c r="Q2043" s="9" t="str">
        <f>HYPERLINK("https://ceds.ed.gov/elementComment.aspx?elementName=Financial Account Name &amp;elementID=14315", "Click here to submit comment")</f>
        <v>Click here to submit comment</v>
      </c>
    </row>
    <row r="2044" spans="1:17" ht="45" x14ac:dyDescent="0.25">
      <c r="A2044" s="9" t="s">
        <v>6811</v>
      </c>
      <c r="B2044" s="9" t="s">
        <v>6769</v>
      </c>
      <c r="C2044" s="9" t="s">
        <v>6762</v>
      </c>
      <c r="D2044" s="9" t="s">
        <v>6742</v>
      </c>
      <c r="E2044" s="9" t="s">
        <v>2800</v>
      </c>
      <c r="F2044" s="9" t="s">
        <v>2801</v>
      </c>
      <c r="G2044" s="9" t="s">
        <v>12</v>
      </c>
      <c r="H2044" s="9"/>
      <c r="I2044" s="9"/>
      <c r="J2044" s="9" t="s">
        <v>68</v>
      </c>
      <c r="K2044" s="9"/>
      <c r="L2044" s="9"/>
      <c r="M2044" s="9" t="s">
        <v>2802</v>
      </c>
      <c r="N2044" s="9"/>
      <c r="O2044" s="9" t="s">
        <v>2803</v>
      </c>
      <c r="P2044" s="9" t="str">
        <f>HYPERLINK("https://ceds.ed.gov/cedselementdetails.aspx?termid=14313")</f>
        <v>https://ceds.ed.gov/cedselementdetails.aspx?termid=14313</v>
      </c>
      <c r="Q2044" s="9" t="str">
        <f>HYPERLINK("https://ceds.ed.gov/elementComment.aspx?elementName=Financial Account Description &amp;elementID=14313", "Click here to submit comment")</f>
        <v>Click here to submit comment</v>
      </c>
    </row>
    <row r="2045" spans="1:17" ht="105" x14ac:dyDescent="0.25">
      <c r="A2045" s="9" t="s">
        <v>6811</v>
      </c>
      <c r="B2045" s="9" t="s">
        <v>6769</v>
      </c>
      <c r="C2045" s="9" t="s">
        <v>6762</v>
      </c>
      <c r="D2045" s="9" t="s">
        <v>6742</v>
      </c>
      <c r="E2045" s="9" t="s">
        <v>2796</v>
      </c>
      <c r="F2045" s="9" t="s">
        <v>2797</v>
      </c>
      <c r="G2045" s="10" t="s">
        <v>6505</v>
      </c>
      <c r="H2045" s="9"/>
      <c r="I2045" s="9"/>
      <c r="J2045" s="9"/>
      <c r="K2045" s="9"/>
      <c r="L2045" s="9"/>
      <c r="M2045" s="9" t="s">
        <v>2798</v>
      </c>
      <c r="N2045" s="9"/>
      <c r="O2045" s="9" t="s">
        <v>2799</v>
      </c>
      <c r="P2045" s="9" t="str">
        <f>HYPERLINK("https://ceds.ed.gov/cedselementdetails.aspx?termid=14312")</f>
        <v>https://ceds.ed.gov/cedselementdetails.aspx?termid=14312</v>
      </c>
      <c r="Q2045" s="9" t="str">
        <f>HYPERLINK("https://ceds.ed.gov/elementComment.aspx?elementName=Financial Account Category &amp;elementID=14312", "Click here to submit comment")</f>
        <v>Click here to submit comment</v>
      </c>
    </row>
    <row r="2046" spans="1:17" ht="409.5" x14ac:dyDescent="0.25">
      <c r="A2046" s="9" t="s">
        <v>6811</v>
      </c>
      <c r="B2046" s="9" t="s">
        <v>6769</v>
      </c>
      <c r="C2046" s="9" t="s">
        <v>6762</v>
      </c>
      <c r="D2046" s="9" t="s">
        <v>6742</v>
      </c>
      <c r="E2046" s="9" t="s">
        <v>11332</v>
      </c>
      <c r="F2046" s="9" t="s">
        <v>2793</v>
      </c>
      <c r="G2046" s="10" t="s">
        <v>6504</v>
      </c>
      <c r="H2046" s="9"/>
      <c r="I2046" s="9"/>
      <c r="J2046" s="9"/>
      <c r="K2046" s="9"/>
      <c r="L2046" s="11" t="s">
        <v>2794</v>
      </c>
      <c r="M2046" s="9" t="s">
        <v>2795</v>
      </c>
      <c r="N2046" s="9"/>
      <c r="O2046" s="9" t="s">
        <v>11333</v>
      </c>
      <c r="P2046" s="9" t="str">
        <f>HYPERLINK("https://ceds.ed.gov/cedselementdetails.aspx?termid=14320")</f>
        <v>https://ceds.ed.gov/cedselementdetails.aspx?termid=14320</v>
      </c>
      <c r="Q2046" s="9" t="str">
        <f>HYPERLINK("https://ceds.ed.gov/elementComment.aspx?elementName=Financial Account K12 Balance Sheet Code &amp;elementID=14320", "Click here to submit comment")</f>
        <v>Click here to submit comment</v>
      </c>
    </row>
    <row r="2047" spans="1:17" ht="45" x14ac:dyDescent="0.25">
      <c r="A2047" s="9" t="s">
        <v>6811</v>
      </c>
      <c r="B2047" s="9" t="s">
        <v>6769</v>
      </c>
      <c r="C2047" s="9" t="s">
        <v>6762</v>
      </c>
      <c r="D2047" s="9" t="s">
        <v>6742</v>
      </c>
      <c r="E2047" s="9" t="s">
        <v>2835</v>
      </c>
      <c r="F2047" s="9" t="s">
        <v>2836</v>
      </c>
      <c r="G2047" s="9" t="s">
        <v>12</v>
      </c>
      <c r="H2047" s="9"/>
      <c r="I2047" s="9"/>
      <c r="J2047" s="9" t="s">
        <v>1513</v>
      </c>
      <c r="K2047" s="9"/>
      <c r="L2047" s="9"/>
      <c r="M2047" s="9" t="s">
        <v>2837</v>
      </c>
      <c r="N2047" s="9"/>
      <c r="O2047" s="9" t="s">
        <v>2838</v>
      </c>
      <c r="P2047" s="9" t="str">
        <f>HYPERLINK("https://ceds.ed.gov/cedselementdetails.aspx?termid=14318")</f>
        <v>https://ceds.ed.gov/cedselementdetails.aspx?termid=14318</v>
      </c>
      <c r="Q2047" s="9" t="str">
        <f>HYPERLINK("https://ceds.ed.gov/elementComment.aspx?elementName=Financial Accounting Period Budgeted Value &amp;elementID=14318", "Click here to submit comment")</f>
        <v>Click here to submit comment</v>
      </c>
    </row>
    <row r="2048" spans="1:17" ht="60" x14ac:dyDescent="0.25">
      <c r="A2048" s="9" t="s">
        <v>6811</v>
      </c>
      <c r="B2048" s="9" t="s">
        <v>6769</v>
      </c>
      <c r="C2048" s="9" t="s">
        <v>6762</v>
      </c>
      <c r="D2048" s="9" t="s">
        <v>6742</v>
      </c>
      <c r="E2048" s="9" t="s">
        <v>2839</v>
      </c>
      <c r="F2048" s="9" t="s">
        <v>2840</v>
      </c>
      <c r="G2048" s="9" t="s">
        <v>12</v>
      </c>
      <c r="H2048" s="9"/>
      <c r="I2048" s="9"/>
      <c r="J2048" s="9" t="s">
        <v>1513</v>
      </c>
      <c r="K2048" s="9"/>
      <c r="L2048" s="9" t="s">
        <v>2841</v>
      </c>
      <c r="M2048" s="9" t="s">
        <v>2842</v>
      </c>
      <c r="N2048" s="9"/>
      <c r="O2048" s="9" t="s">
        <v>2843</v>
      </c>
      <c r="P2048" s="9" t="str">
        <f>HYPERLINK("https://ceds.ed.gov/cedselementdetails.aspx?termid=14625")</f>
        <v>https://ceds.ed.gov/cedselementdetails.aspx?termid=14625</v>
      </c>
      <c r="Q2048" s="9" t="str">
        <f>HYPERLINK("https://ceds.ed.gov/elementComment.aspx?elementName=Financial Accounting Period Encumbered Value &amp;elementID=14625", "Click here to submit comment")</f>
        <v>Click here to submit comment</v>
      </c>
    </row>
    <row r="2049" spans="1:17" ht="45" x14ac:dyDescent="0.25">
      <c r="A2049" s="9" t="s">
        <v>6811</v>
      </c>
      <c r="B2049" s="9" t="s">
        <v>6769</v>
      </c>
      <c r="C2049" s="9" t="s">
        <v>6762</v>
      </c>
      <c r="D2049" s="9" t="s">
        <v>6742</v>
      </c>
      <c r="E2049" s="9" t="s">
        <v>2831</v>
      </c>
      <c r="F2049" s="9" t="s">
        <v>2832</v>
      </c>
      <c r="G2049" s="9" t="s">
        <v>12</v>
      </c>
      <c r="H2049" s="9"/>
      <c r="I2049" s="9"/>
      <c r="J2049" s="9" t="s">
        <v>1513</v>
      </c>
      <c r="K2049" s="9"/>
      <c r="L2049" s="9"/>
      <c r="M2049" s="9" t="s">
        <v>2833</v>
      </c>
      <c r="N2049" s="9"/>
      <c r="O2049" s="9" t="s">
        <v>2834</v>
      </c>
      <c r="P2049" s="9" t="str">
        <f>HYPERLINK("https://ceds.ed.gov/cedselementdetails.aspx?termid=14317")</f>
        <v>https://ceds.ed.gov/cedselementdetails.aspx?termid=14317</v>
      </c>
      <c r="Q2049" s="9" t="str">
        <f>HYPERLINK("https://ceds.ed.gov/elementComment.aspx?elementName=Financial Accounting Period Actual Value &amp;elementID=14317", "Click here to submit comment")</f>
        <v>Click here to submit comment</v>
      </c>
    </row>
    <row r="2050" spans="1:17" ht="45" x14ac:dyDescent="0.25">
      <c r="A2050" s="9" t="s">
        <v>6811</v>
      </c>
      <c r="B2050" s="9" t="s">
        <v>6769</v>
      </c>
      <c r="C2050" s="9" t="s">
        <v>6762</v>
      </c>
      <c r="D2050" s="9" t="s">
        <v>6742</v>
      </c>
      <c r="E2050" s="9" t="s">
        <v>2952</v>
      </c>
      <c r="F2050" s="9" t="s">
        <v>2953</v>
      </c>
      <c r="G2050" s="9" t="s">
        <v>12</v>
      </c>
      <c r="H2050" s="9"/>
      <c r="I2050" s="9"/>
      <c r="J2050" s="9" t="s">
        <v>1813</v>
      </c>
      <c r="K2050" s="9"/>
      <c r="L2050" s="9"/>
      <c r="M2050" s="9" t="s">
        <v>2954</v>
      </c>
      <c r="N2050" s="9"/>
      <c r="O2050" s="9" t="s">
        <v>2955</v>
      </c>
      <c r="P2050" s="9" t="str">
        <f>HYPERLINK("https://ceds.ed.gov/cedselementdetails.aspx?termid=14620")</f>
        <v>https://ceds.ed.gov/cedselementdetails.aspx?termid=14620</v>
      </c>
      <c r="Q2050" s="9" t="str">
        <f>HYPERLINK("https://ceds.ed.gov/elementComment.aspx?elementName=Fiscal Year &amp;elementID=14620", "Click here to submit comment")</f>
        <v>Click here to submit comment</v>
      </c>
    </row>
    <row r="2051" spans="1:17" ht="45" x14ac:dyDescent="0.25">
      <c r="A2051" s="9" t="s">
        <v>6811</v>
      </c>
      <c r="B2051" s="9" t="s">
        <v>6769</v>
      </c>
      <c r="C2051" s="9" t="s">
        <v>6762</v>
      </c>
      <c r="D2051" s="9" t="s">
        <v>6742</v>
      </c>
      <c r="E2051" s="9" t="s">
        <v>2944</v>
      </c>
      <c r="F2051" s="9" t="s">
        <v>2945</v>
      </c>
      <c r="G2051" s="9" t="s">
        <v>12</v>
      </c>
      <c r="H2051" s="9"/>
      <c r="I2051" s="9"/>
      <c r="J2051" s="9" t="s">
        <v>73</v>
      </c>
      <c r="K2051" s="9"/>
      <c r="L2051" s="9"/>
      <c r="M2051" s="9" t="s">
        <v>2946</v>
      </c>
      <c r="N2051" s="9"/>
      <c r="O2051" s="9" t="s">
        <v>2947</v>
      </c>
      <c r="P2051" s="9" t="str">
        <f>HYPERLINK("https://ceds.ed.gov/cedselementdetails.aspx?termid=14623")</f>
        <v>https://ceds.ed.gov/cedselementdetails.aspx?termid=14623</v>
      </c>
      <c r="Q2051" s="9" t="str">
        <f>HYPERLINK("https://ceds.ed.gov/elementComment.aspx?elementName=Fiscal Period Begin Date &amp;elementID=14623", "Click here to submit comment")</f>
        <v>Click here to submit comment</v>
      </c>
    </row>
    <row r="2052" spans="1:17" ht="45" x14ac:dyDescent="0.25">
      <c r="A2052" s="9" t="s">
        <v>6811</v>
      </c>
      <c r="B2052" s="9" t="s">
        <v>6769</v>
      </c>
      <c r="C2052" s="9" t="s">
        <v>6762</v>
      </c>
      <c r="D2052" s="9" t="s">
        <v>6742</v>
      </c>
      <c r="E2052" s="9" t="s">
        <v>2948</v>
      </c>
      <c r="F2052" s="9" t="s">
        <v>2949</v>
      </c>
      <c r="G2052" s="9" t="s">
        <v>12</v>
      </c>
      <c r="H2052" s="9"/>
      <c r="I2052" s="9"/>
      <c r="J2052" s="9" t="s">
        <v>73</v>
      </c>
      <c r="K2052" s="9"/>
      <c r="L2052" s="9"/>
      <c r="M2052" s="9" t="s">
        <v>2950</v>
      </c>
      <c r="N2052" s="9"/>
      <c r="O2052" s="9" t="s">
        <v>2951</v>
      </c>
      <c r="P2052" s="9" t="str">
        <f>HYPERLINK("https://ceds.ed.gov/cedselementdetails.aspx?termid=14624")</f>
        <v>https://ceds.ed.gov/cedselementdetails.aspx?termid=14624</v>
      </c>
      <c r="Q2052" s="9" t="str">
        <f>HYPERLINK("https://ceds.ed.gov/elementComment.aspx?elementName=Fiscal Period End Date &amp;elementID=14624", "Click here to submit comment")</f>
        <v>Click here to submit comment</v>
      </c>
    </row>
    <row r="2053" spans="1:17" ht="135" x14ac:dyDescent="0.25">
      <c r="A2053" s="9" t="s">
        <v>6811</v>
      </c>
      <c r="B2053" s="9" t="s">
        <v>6769</v>
      </c>
      <c r="C2053" s="9" t="s">
        <v>6762</v>
      </c>
      <c r="D2053" s="9" t="s">
        <v>6742</v>
      </c>
      <c r="E2053" s="9" t="s">
        <v>2844</v>
      </c>
      <c r="F2053" s="9" t="s">
        <v>2845</v>
      </c>
      <c r="G2053" s="9" t="s">
        <v>12</v>
      </c>
      <c r="H2053" s="9"/>
      <c r="I2053" s="9"/>
      <c r="J2053" s="9" t="s">
        <v>1513</v>
      </c>
      <c r="K2053" s="9"/>
      <c r="L2053" s="9" t="s">
        <v>2846</v>
      </c>
      <c r="M2053" s="9" t="s">
        <v>2847</v>
      </c>
      <c r="N2053" s="9"/>
      <c r="O2053" s="9" t="s">
        <v>2848</v>
      </c>
      <c r="P2053" s="9" t="str">
        <f>HYPERLINK("https://ceds.ed.gov/cedselementdetails.aspx?termid=14628")</f>
        <v>https://ceds.ed.gov/cedselementdetails.aspx?termid=14628</v>
      </c>
      <c r="Q2053" s="9" t="str">
        <f>HYPERLINK("https://ceds.ed.gov/elementComment.aspx?elementName=Financial Accounting Value &amp;elementID=14628", "Click here to submit comment")</f>
        <v>Click here to submit comment</v>
      </c>
    </row>
    <row r="2054" spans="1:17" ht="45" x14ac:dyDescent="0.25">
      <c r="A2054" s="9" t="s">
        <v>6811</v>
      </c>
      <c r="B2054" s="9" t="s">
        <v>6769</v>
      </c>
      <c r="C2054" s="9" t="s">
        <v>6762</v>
      </c>
      <c r="D2054" s="9" t="s">
        <v>6742</v>
      </c>
      <c r="E2054" s="9" t="s">
        <v>2827</v>
      </c>
      <c r="F2054" s="9" t="s">
        <v>2828</v>
      </c>
      <c r="G2054" s="9" t="s">
        <v>12</v>
      </c>
      <c r="H2054" s="9"/>
      <c r="I2054" s="9"/>
      <c r="J2054" s="9" t="s">
        <v>73</v>
      </c>
      <c r="K2054" s="9"/>
      <c r="L2054" s="9"/>
      <c r="M2054" s="9" t="s">
        <v>2829</v>
      </c>
      <c r="N2054" s="9"/>
      <c r="O2054" s="9" t="s">
        <v>2830</v>
      </c>
      <c r="P2054" s="9" t="str">
        <f>HYPERLINK("https://ceds.ed.gov/cedselementdetails.aspx?termid=14629")</f>
        <v>https://ceds.ed.gov/cedselementdetails.aspx?termid=14629</v>
      </c>
      <c r="Q2054" s="9" t="str">
        <f>HYPERLINK("https://ceds.ed.gov/elementComment.aspx?elementName=Financial Accounting Date &amp;elementID=14629", "Click here to submit comment")</f>
        <v>Click here to submit comment</v>
      </c>
    </row>
    <row r="2055" spans="1:17" ht="150" x14ac:dyDescent="0.25">
      <c r="A2055" s="9" t="s">
        <v>6811</v>
      </c>
      <c r="B2055" s="9" t="s">
        <v>6769</v>
      </c>
      <c r="C2055" s="9" t="s">
        <v>6762</v>
      </c>
      <c r="D2055" s="9" t="s">
        <v>6742</v>
      </c>
      <c r="E2055" s="9" t="s">
        <v>11334</v>
      </c>
      <c r="F2055" s="9" t="s">
        <v>2804</v>
      </c>
      <c r="G2055" s="10" t="s">
        <v>6506</v>
      </c>
      <c r="H2055" s="9"/>
      <c r="I2055" s="9"/>
      <c r="J2055" s="9"/>
      <c r="K2055" s="9"/>
      <c r="L2055" s="11" t="s">
        <v>2794</v>
      </c>
      <c r="M2055" s="9" t="s">
        <v>2805</v>
      </c>
      <c r="N2055" s="9"/>
      <c r="O2055" s="9" t="s">
        <v>11335</v>
      </c>
      <c r="P2055" s="9" t="str">
        <f>HYPERLINK("https://ceds.ed.gov/cedselementdetails.aspx?termid=14314")</f>
        <v>https://ceds.ed.gov/cedselementdetails.aspx?termid=14314</v>
      </c>
      <c r="Q2055" s="9" t="str">
        <f>HYPERLINK("https://ceds.ed.gov/elementComment.aspx?elementName=Financial Account K12 Fund Classification &amp;elementID=14314", "Click here to submit comment")</f>
        <v>Click here to submit comment</v>
      </c>
    </row>
    <row r="2056" spans="1:17" ht="240" x14ac:dyDescent="0.25">
      <c r="A2056" s="9" t="s">
        <v>6811</v>
      </c>
      <c r="B2056" s="9" t="s">
        <v>6769</v>
      </c>
      <c r="C2056" s="9" t="s">
        <v>6762</v>
      </c>
      <c r="D2056" s="9" t="s">
        <v>6742</v>
      </c>
      <c r="E2056" s="9" t="s">
        <v>11336</v>
      </c>
      <c r="F2056" s="9" t="s">
        <v>2814</v>
      </c>
      <c r="G2056" s="10" t="s">
        <v>6507</v>
      </c>
      <c r="H2056" s="9"/>
      <c r="I2056" s="9"/>
      <c r="J2056" s="9"/>
      <c r="K2056" s="9"/>
      <c r="L2056" s="11" t="s">
        <v>2794</v>
      </c>
      <c r="M2056" s="9" t="s">
        <v>2815</v>
      </c>
      <c r="N2056" s="9"/>
      <c r="O2056" s="9" t="s">
        <v>11337</v>
      </c>
      <c r="P2056" s="9" t="str">
        <f>HYPERLINK("https://ceds.ed.gov/cedselementdetails.aspx?termid=14316")</f>
        <v>https://ceds.ed.gov/cedselementdetails.aspx?termid=14316</v>
      </c>
      <c r="Q2056" s="9" t="str">
        <f>HYPERLINK("https://ceds.ed.gov/elementComment.aspx?elementName=Financial Account K12 Program Code &amp;elementID=14316", "Click here to submit comment")</f>
        <v>Click here to submit comment</v>
      </c>
    </row>
    <row r="2057" spans="1:17" ht="45" x14ac:dyDescent="0.25">
      <c r="A2057" s="9" t="s">
        <v>6811</v>
      </c>
      <c r="B2057" s="9" t="s">
        <v>6769</v>
      </c>
      <c r="C2057" s="9" t="s">
        <v>6762</v>
      </c>
      <c r="D2057" s="9" t="s">
        <v>6742</v>
      </c>
      <c r="E2057" s="9" t="s">
        <v>2820</v>
      </c>
      <c r="F2057" s="9" t="s">
        <v>2821</v>
      </c>
      <c r="G2057" s="9" t="s">
        <v>12</v>
      </c>
      <c r="H2057" s="9"/>
      <c r="I2057" s="9"/>
      <c r="J2057" s="9" t="s">
        <v>87</v>
      </c>
      <c r="K2057" s="9"/>
      <c r="L2057" s="9"/>
      <c r="M2057" s="9" t="s">
        <v>2822</v>
      </c>
      <c r="N2057" s="9"/>
      <c r="O2057" s="9" t="s">
        <v>2823</v>
      </c>
      <c r="P2057" s="9" t="str">
        <f>HYPERLINK("https://ceds.ed.gov/cedselementdetails.aspx?termid=14627")</f>
        <v>https://ceds.ed.gov/cedselementdetails.aspx?termid=14627</v>
      </c>
      <c r="Q2057" s="9" t="str">
        <f>HYPERLINK("https://ceds.ed.gov/elementComment.aspx?elementName=Financial Account Program Number &amp;elementID=14627", "Click here to submit comment")</f>
        <v>Click here to submit comment</v>
      </c>
    </row>
    <row r="2058" spans="1:17" ht="45" x14ac:dyDescent="0.25">
      <c r="A2058" s="9" t="s">
        <v>6811</v>
      </c>
      <c r="B2058" s="9" t="s">
        <v>6769</v>
      </c>
      <c r="C2058" s="9" t="s">
        <v>6762</v>
      </c>
      <c r="D2058" s="9" t="s">
        <v>6742</v>
      </c>
      <c r="E2058" s="9" t="s">
        <v>2816</v>
      </c>
      <c r="F2058" s="9" t="s">
        <v>2817</v>
      </c>
      <c r="G2058" s="9" t="s">
        <v>12</v>
      </c>
      <c r="H2058" s="9"/>
      <c r="I2058" s="9"/>
      <c r="J2058" s="9" t="s">
        <v>762</v>
      </c>
      <c r="K2058" s="9"/>
      <c r="L2058" s="9"/>
      <c r="M2058" s="9" t="s">
        <v>2818</v>
      </c>
      <c r="N2058" s="9"/>
      <c r="O2058" s="9" t="s">
        <v>2819</v>
      </c>
      <c r="P2058" s="9" t="str">
        <f>HYPERLINK("https://ceds.ed.gov/cedselementdetails.aspx?termid=14626")</f>
        <v>https://ceds.ed.gov/cedselementdetails.aspx?termid=14626</v>
      </c>
      <c r="Q2058" s="9" t="str">
        <f>HYPERLINK("https://ceds.ed.gov/elementComment.aspx?elementName=Financial Account Program Name &amp;elementID=14626", "Click here to submit comment")</f>
        <v>Click here to submit comment</v>
      </c>
    </row>
    <row r="2059" spans="1:17" ht="15" customHeight="1" x14ac:dyDescent="0.25">
      <c r="A2059" s="18" t="s">
        <v>6811</v>
      </c>
      <c r="B2059" s="18" t="s">
        <v>6769</v>
      </c>
      <c r="C2059" s="18" t="s">
        <v>6762</v>
      </c>
      <c r="D2059" s="18" t="s">
        <v>6742</v>
      </c>
      <c r="E2059" s="18" t="s">
        <v>11338</v>
      </c>
      <c r="F2059" s="18" t="s">
        <v>2824</v>
      </c>
      <c r="G2059" s="19" t="s">
        <v>6508</v>
      </c>
      <c r="H2059" s="18"/>
      <c r="I2059" s="18"/>
      <c r="J2059" s="18"/>
      <c r="K2059" s="18"/>
      <c r="L2059" s="11" t="s">
        <v>2794</v>
      </c>
      <c r="M2059" s="18" t="s">
        <v>2826</v>
      </c>
      <c r="N2059" s="18"/>
      <c r="O2059" s="18" t="s">
        <v>11339</v>
      </c>
      <c r="P2059" s="18" t="str">
        <f>HYPERLINK("https://ceds.ed.gov/cedselementdetails.aspx?termid=14440")</f>
        <v>https://ceds.ed.gov/cedselementdetails.aspx?termid=14440</v>
      </c>
      <c r="Q2059" s="18" t="str">
        <f>HYPERLINK("https://ceds.ed.gov/elementComment.aspx?elementName=Financial Account K12 Revenue Code &amp;elementID=14440", "Click here to submit comment")</f>
        <v>Click here to submit comment</v>
      </c>
    </row>
    <row r="2060" spans="1:17" x14ac:dyDescent="0.25">
      <c r="A2060" s="18"/>
      <c r="B2060" s="18"/>
      <c r="C2060" s="18"/>
      <c r="D2060" s="18"/>
      <c r="E2060" s="18"/>
      <c r="F2060" s="18"/>
      <c r="G2060" s="18"/>
      <c r="H2060" s="18"/>
      <c r="I2060" s="18"/>
      <c r="J2060" s="18"/>
      <c r="K2060" s="18"/>
      <c r="L2060" s="9"/>
      <c r="M2060" s="18"/>
      <c r="N2060" s="18"/>
      <c r="O2060" s="18"/>
      <c r="P2060" s="18"/>
      <c r="Q2060" s="18"/>
    </row>
    <row r="2061" spans="1:17" ht="30" x14ac:dyDescent="0.25">
      <c r="A2061" s="18"/>
      <c r="B2061" s="18"/>
      <c r="C2061" s="18"/>
      <c r="D2061" s="18"/>
      <c r="E2061" s="18"/>
      <c r="F2061" s="18"/>
      <c r="G2061" s="18"/>
      <c r="H2061" s="18"/>
      <c r="I2061" s="18"/>
      <c r="J2061" s="18"/>
      <c r="K2061" s="18"/>
      <c r="L2061" s="9" t="s">
        <v>2825</v>
      </c>
      <c r="M2061" s="18"/>
      <c r="N2061" s="18"/>
      <c r="O2061" s="18"/>
      <c r="P2061" s="18"/>
      <c r="Q2061" s="18"/>
    </row>
    <row r="2062" spans="1:17" ht="409.5" x14ac:dyDescent="0.25">
      <c r="A2062" s="9" t="s">
        <v>6811</v>
      </c>
      <c r="B2062" s="9" t="s">
        <v>6769</v>
      </c>
      <c r="C2062" s="9" t="s">
        <v>6762</v>
      </c>
      <c r="D2062" s="9" t="s">
        <v>6742</v>
      </c>
      <c r="E2062" s="9" t="s">
        <v>11340</v>
      </c>
      <c r="F2062" s="9" t="s">
        <v>2894</v>
      </c>
      <c r="G2062" s="10" t="s">
        <v>6514</v>
      </c>
      <c r="H2062" s="9"/>
      <c r="I2062" s="9"/>
      <c r="J2062" s="9"/>
      <c r="K2062" s="9"/>
      <c r="L2062" s="11" t="s">
        <v>2794</v>
      </c>
      <c r="M2062" s="9" t="s">
        <v>2895</v>
      </c>
      <c r="N2062" s="9"/>
      <c r="O2062" s="9" t="s">
        <v>11341</v>
      </c>
      <c r="P2062" s="9" t="str">
        <f>HYPERLINK("https://ceds.ed.gov/cedselementdetails.aspx?termid=14321")</f>
        <v>https://ceds.ed.gov/cedselementdetails.aspx?termid=14321</v>
      </c>
      <c r="Q2062" s="9" t="str">
        <f>HYPERLINK("https://ceds.ed.gov/elementComment.aspx?elementName=Financial Expenditure K12 Function Code &amp;elementID=14321", "Click here to submit comment")</f>
        <v>Click here to submit comment</v>
      </c>
    </row>
    <row r="2063" spans="1:17" ht="409.5" x14ac:dyDescent="0.25">
      <c r="A2063" s="9" t="s">
        <v>6811</v>
      </c>
      <c r="B2063" s="9" t="s">
        <v>6769</v>
      </c>
      <c r="C2063" s="9" t="s">
        <v>6762</v>
      </c>
      <c r="D2063" s="9" t="s">
        <v>6742</v>
      </c>
      <c r="E2063" s="9" t="s">
        <v>11344</v>
      </c>
      <c r="F2063" s="9" t="s">
        <v>2898</v>
      </c>
      <c r="G2063" s="10" t="s">
        <v>6516</v>
      </c>
      <c r="H2063" s="9"/>
      <c r="I2063" s="9"/>
      <c r="J2063" s="9"/>
      <c r="K2063" s="9"/>
      <c r="L2063" s="11" t="s">
        <v>2794</v>
      </c>
      <c r="M2063" s="9" t="s">
        <v>2899</v>
      </c>
      <c r="N2063" s="9"/>
      <c r="O2063" s="9" t="s">
        <v>11345</v>
      </c>
      <c r="P2063" s="9" t="str">
        <f>HYPERLINK("https://ceds.ed.gov/cedselementdetails.aspx?termid=14322")</f>
        <v>https://ceds.ed.gov/cedselementdetails.aspx?termid=14322</v>
      </c>
      <c r="Q2063" s="9" t="str">
        <f>HYPERLINK("https://ceds.ed.gov/elementComment.aspx?elementName=Financial Expenditure K12 Object Code &amp;elementID=14322", "Click here to submit comment")</f>
        <v>Click here to submit comment</v>
      </c>
    </row>
    <row r="2064" spans="1:17" ht="195" x14ac:dyDescent="0.25">
      <c r="A2064" s="9" t="s">
        <v>6811</v>
      </c>
      <c r="B2064" s="9" t="s">
        <v>6769</v>
      </c>
      <c r="C2064" s="9" t="s">
        <v>6762</v>
      </c>
      <c r="D2064" s="9" t="s">
        <v>6742</v>
      </c>
      <c r="E2064" s="9" t="s">
        <v>11342</v>
      </c>
      <c r="F2064" s="9" t="s">
        <v>2896</v>
      </c>
      <c r="G2064" s="10" t="s">
        <v>6515</v>
      </c>
      <c r="H2064" s="9"/>
      <c r="I2064" s="9"/>
      <c r="J2064" s="9"/>
      <c r="K2064" s="9"/>
      <c r="L2064" s="11" t="s">
        <v>2794</v>
      </c>
      <c r="M2064" s="9" t="s">
        <v>2897</v>
      </c>
      <c r="N2064" s="9"/>
      <c r="O2064" s="9" t="s">
        <v>11343</v>
      </c>
      <c r="P2064" s="9" t="str">
        <f>HYPERLINK("https://ceds.ed.gov/cedselementdetails.aspx?termid=14531")</f>
        <v>https://ceds.ed.gov/cedselementdetails.aspx?termid=14531</v>
      </c>
      <c r="Q2064" s="9" t="str">
        <f>HYPERLINK("https://ceds.ed.gov/elementComment.aspx?elementName=Financial Expenditure K12 Level of Instruction Code &amp;elementID=14531", "Click here to submit comment")</f>
        <v>Click here to submit comment</v>
      </c>
    </row>
    <row r="2065" spans="1:17" ht="75" x14ac:dyDescent="0.25">
      <c r="A2065" s="18" t="s">
        <v>6811</v>
      </c>
      <c r="B2065" s="18" t="s">
        <v>6769</v>
      </c>
      <c r="C2065" s="18" t="s">
        <v>6762</v>
      </c>
      <c r="D2065" s="18" t="s">
        <v>6742</v>
      </c>
      <c r="E2065" s="18" t="s">
        <v>11346</v>
      </c>
      <c r="F2065" s="18" t="s">
        <v>2900</v>
      </c>
      <c r="G2065" s="18"/>
      <c r="H2065" s="18"/>
      <c r="I2065" s="18"/>
      <c r="J2065" s="18" t="s">
        <v>134</v>
      </c>
      <c r="K2065" s="18"/>
      <c r="L2065" s="11" t="s">
        <v>2901</v>
      </c>
      <c r="M2065" s="18" t="s">
        <v>2906</v>
      </c>
      <c r="N2065" s="18"/>
      <c r="O2065" s="18" t="s">
        <v>11347</v>
      </c>
      <c r="P2065" s="18" t="str">
        <f>HYPERLINK("https://ceds.ed.gov/cedselementdetails.aspx?termid=14532")</f>
        <v>https://ceds.ed.gov/cedselementdetails.aspx?termid=14532</v>
      </c>
      <c r="Q2065" s="18" t="str">
        <f>HYPERLINK("https://ceds.ed.gov/elementComment.aspx?elementName=Financial Expenditure K12 Project Reporting Code &amp;elementID=14532", "Click here to submit comment")</f>
        <v>Click here to submit comment</v>
      </c>
    </row>
    <row r="2066" spans="1:17" x14ac:dyDescent="0.25">
      <c r="A2066" s="18"/>
      <c r="B2066" s="18"/>
      <c r="C2066" s="18"/>
      <c r="D2066" s="18"/>
      <c r="E2066" s="18"/>
      <c r="F2066" s="18"/>
      <c r="G2066" s="18"/>
      <c r="H2066" s="18"/>
      <c r="I2066" s="18"/>
      <c r="J2066" s="18"/>
      <c r="K2066" s="18"/>
      <c r="L2066" s="9"/>
      <c r="M2066" s="18"/>
      <c r="N2066" s="18"/>
      <c r="O2066" s="18"/>
      <c r="P2066" s="18"/>
      <c r="Q2066" s="18"/>
    </row>
    <row r="2067" spans="1:17" ht="45" x14ac:dyDescent="0.25">
      <c r="A2067" s="18"/>
      <c r="B2067" s="18"/>
      <c r="C2067" s="18"/>
      <c r="D2067" s="18"/>
      <c r="E2067" s="18"/>
      <c r="F2067" s="18"/>
      <c r="G2067" s="18"/>
      <c r="H2067" s="18"/>
      <c r="I2067" s="18"/>
      <c r="J2067" s="18"/>
      <c r="K2067" s="18"/>
      <c r="L2067" s="9" t="s">
        <v>2902</v>
      </c>
      <c r="M2067" s="18"/>
      <c r="N2067" s="18"/>
      <c r="O2067" s="18"/>
      <c r="P2067" s="18"/>
      <c r="Q2067" s="18"/>
    </row>
    <row r="2068" spans="1:17" x14ac:dyDescent="0.25">
      <c r="A2068" s="18"/>
      <c r="B2068" s="18"/>
      <c r="C2068" s="18"/>
      <c r="D2068" s="18"/>
      <c r="E2068" s="18"/>
      <c r="F2068" s="18"/>
      <c r="G2068" s="18"/>
      <c r="H2068" s="18"/>
      <c r="I2068" s="18"/>
      <c r="J2068" s="18"/>
      <c r="K2068" s="18"/>
      <c r="L2068" s="9"/>
      <c r="M2068" s="18"/>
      <c r="N2068" s="18"/>
      <c r="O2068" s="18"/>
      <c r="P2068" s="18"/>
      <c r="Q2068" s="18"/>
    </row>
    <row r="2069" spans="1:17" ht="45" x14ac:dyDescent="0.25">
      <c r="A2069" s="18"/>
      <c r="B2069" s="18"/>
      <c r="C2069" s="18"/>
      <c r="D2069" s="18"/>
      <c r="E2069" s="18"/>
      <c r="F2069" s="18"/>
      <c r="G2069" s="18"/>
      <c r="H2069" s="18"/>
      <c r="I2069" s="18"/>
      <c r="J2069" s="18"/>
      <c r="K2069" s="18"/>
      <c r="L2069" s="9" t="s">
        <v>2903</v>
      </c>
      <c r="M2069" s="18"/>
      <c r="N2069" s="18"/>
      <c r="O2069" s="18"/>
      <c r="P2069" s="18"/>
      <c r="Q2069" s="18"/>
    </row>
    <row r="2070" spans="1:17" x14ac:dyDescent="0.25">
      <c r="A2070" s="18"/>
      <c r="B2070" s="18"/>
      <c r="C2070" s="18"/>
      <c r="D2070" s="18"/>
      <c r="E2070" s="18"/>
      <c r="F2070" s="18"/>
      <c r="G2070" s="18"/>
      <c r="H2070" s="18"/>
      <c r="I2070" s="18"/>
      <c r="J2070" s="18"/>
      <c r="K2070" s="18"/>
      <c r="L2070" s="9"/>
      <c r="M2070" s="18"/>
      <c r="N2070" s="18"/>
      <c r="O2070" s="18"/>
      <c r="P2070" s="18"/>
      <c r="Q2070" s="18"/>
    </row>
    <row r="2071" spans="1:17" ht="60" x14ac:dyDescent="0.25">
      <c r="A2071" s="18"/>
      <c r="B2071" s="18"/>
      <c r="C2071" s="18"/>
      <c r="D2071" s="18"/>
      <c r="E2071" s="18"/>
      <c r="F2071" s="18"/>
      <c r="G2071" s="18"/>
      <c r="H2071" s="18"/>
      <c r="I2071" s="18"/>
      <c r="J2071" s="18"/>
      <c r="K2071" s="18"/>
      <c r="L2071" s="9" t="s">
        <v>2904</v>
      </c>
      <c r="M2071" s="18"/>
      <c r="N2071" s="18"/>
      <c r="O2071" s="18"/>
      <c r="P2071" s="18"/>
      <c r="Q2071" s="18"/>
    </row>
    <row r="2072" spans="1:17" x14ac:dyDescent="0.25">
      <c r="A2072" s="18"/>
      <c r="B2072" s="18"/>
      <c r="C2072" s="18"/>
      <c r="D2072" s="18"/>
      <c r="E2072" s="18"/>
      <c r="F2072" s="18"/>
      <c r="G2072" s="18"/>
      <c r="H2072" s="18"/>
      <c r="I2072" s="18"/>
      <c r="J2072" s="18"/>
      <c r="K2072" s="18"/>
      <c r="L2072" s="9"/>
      <c r="M2072" s="18"/>
      <c r="N2072" s="18"/>
      <c r="O2072" s="18"/>
      <c r="P2072" s="18"/>
      <c r="Q2072" s="18"/>
    </row>
    <row r="2073" spans="1:17" ht="30" x14ac:dyDescent="0.25">
      <c r="A2073" s="18"/>
      <c r="B2073" s="18"/>
      <c r="C2073" s="18"/>
      <c r="D2073" s="18"/>
      <c r="E2073" s="18"/>
      <c r="F2073" s="18"/>
      <c r="G2073" s="18"/>
      <c r="H2073" s="18"/>
      <c r="I2073" s="18"/>
      <c r="J2073" s="18"/>
      <c r="K2073" s="18"/>
      <c r="L2073" s="9" t="s">
        <v>2905</v>
      </c>
      <c r="M2073" s="18"/>
      <c r="N2073" s="18"/>
      <c r="O2073" s="18"/>
      <c r="P2073" s="18"/>
      <c r="Q2073" s="18"/>
    </row>
    <row r="2074" spans="1:17" ht="105" x14ac:dyDescent="0.25">
      <c r="A2074" s="18" t="s">
        <v>6811</v>
      </c>
      <c r="B2074" s="18" t="s">
        <v>6853</v>
      </c>
      <c r="C2074" s="18"/>
      <c r="D2074" s="18" t="s">
        <v>6742</v>
      </c>
      <c r="E2074" s="18" t="s">
        <v>3267</v>
      </c>
      <c r="F2074" s="18" t="s">
        <v>3268</v>
      </c>
      <c r="G2074" s="18" t="s">
        <v>12</v>
      </c>
      <c r="H2074" s="18"/>
      <c r="I2074" s="18"/>
      <c r="J2074" s="18" t="s">
        <v>119</v>
      </c>
      <c r="K2074" s="18"/>
      <c r="L2074" s="9" t="s">
        <v>120</v>
      </c>
      <c r="M2074" s="18" t="s">
        <v>3269</v>
      </c>
      <c r="N2074" s="18"/>
      <c r="O2074" s="18" t="s">
        <v>3270</v>
      </c>
      <c r="P2074" s="18" t="str">
        <f>HYPERLINK("https://ceds.ed.gov/cedselementdetails.aspx?termid=13492")</f>
        <v>https://ceds.ed.gov/cedselementdetails.aspx?termid=13492</v>
      </c>
      <c r="Q2074" s="18" t="str">
        <f>HYPERLINK("https://ceds.ed.gov/elementComment.aspx?elementName=Incident Identifier &amp;elementID=13492", "Click here to submit comment")</f>
        <v>Click here to submit comment</v>
      </c>
    </row>
    <row r="2075" spans="1:17" x14ac:dyDescent="0.25">
      <c r="A2075" s="18"/>
      <c r="B2075" s="18"/>
      <c r="C2075" s="18"/>
      <c r="D2075" s="18"/>
      <c r="E2075" s="18"/>
      <c r="F2075" s="18"/>
      <c r="G2075" s="18"/>
      <c r="H2075" s="18"/>
      <c r="I2075" s="18"/>
      <c r="J2075" s="18"/>
      <c r="K2075" s="18"/>
      <c r="L2075" s="9"/>
      <c r="M2075" s="18"/>
      <c r="N2075" s="18"/>
      <c r="O2075" s="18"/>
      <c r="P2075" s="18"/>
      <c r="Q2075" s="18"/>
    </row>
    <row r="2076" spans="1:17" ht="90" x14ac:dyDescent="0.25">
      <c r="A2076" s="18"/>
      <c r="B2076" s="18"/>
      <c r="C2076" s="18"/>
      <c r="D2076" s="18"/>
      <c r="E2076" s="18"/>
      <c r="F2076" s="18"/>
      <c r="G2076" s="18"/>
      <c r="H2076" s="18"/>
      <c r="I2076" s="18"/>
      <c r="J2076" s="18"/>
      <c r="K2076" s="18"/>
      <c r="L2076" s="9" t="s">
        <v>121</v>
      </c>
      <c r="M2076" s="18"/>
      <c r="N2076" s="18"/>
      <c r="O2076" s="18"/>
      <c r="P2076" s="18"/>
      <c r="Q2076" s="18"/>
    </row>
    <row r="2077" spans="1:17" ht="45" x14ac:dyDescent="0.25">
      <c r="A2077" s="9" t="s">
        <v>6811</v>
      </c>
      <c r="B2077" s="9" t="s">
        <v>6853</v>
      </c>
      <c r="C2077" s="9"/>
      <c r="D2077" s="9" t="s">
        <v>6742</v>
      </c>
      <c r="E2077" s="9" t="s">
        <v>3259</v>
      </c>
      <c r="F2077" s="9" t="s">
        <v>3260</v>
      </c>
      <c r="G2077" s="9" t="s">
        <v>12</v>
      </c>
      <c r="H2077" s="9"/>
      <c r="I2077" s="9"/>
      <c r="J2077" s="9" t="s">
        <v>73</v>
      </c>
      <c r="K2077" s="9"/>
      <c r="L2077" s="9"/>
      <c r="M2077" s="9" t="s">
        <v>3261</v>
      </c>
      <c r="N2077" s="9"/>
      <c r="O2077" s="9" t="s">
        <v>3262</v>
      </c>
      <c r="P2077" s="9" t="str">
        <f>HYPERLINK("https://ceds.ed.gov/cedselementdetails.aspx?termid=13493")</f>
        <v>https://ceds.ed.gov/cedselementdetails.aspx?termid=13493</v>
      </c>
      <c r="Q2077" s="9" t="str">
        <f>HYPERLINK("https://ceds.ed.gov/elementComment.aspx?elementName=Incident Date &amp;elementID=13493", "Click here to submit comment")</f>
        <v>Click here to submit comment</v>
      </c>
    </row>
    <row r="2078" spans="1:17" ht="45" x14ac:dyDescent="0.25">
      <c r="A2078" s="9" t="s">
        <v>6811</v>
      </c>
      <c r="B2078" s="9" t="s">
        <v>6853</v>
      </c>
      <c r="C2078" s="9"/>
      <c r="D2078" s="9" t="s">
        <v>6742</v>
      </c>
      <c r="E2078" s="9" t="s">
        <v>3317</v>
      </c>
      <c r="F2078" s="9" t="s">
        <v>3318</v>
      </c>
      <c r="G2078" s="9" t="s">
        <v>12</v>
      </c>
      <c r="H2078" s="9"/>
      <c r="I2078" s="9"/>
      <c r="J2078" s="9" t="s">
        <v>406</v>
      </c>
      <c r="K2078" s="9"/>
      <c r="L2078" s="9"/>
      <c r="M2078" s="9" t="s">
        <v>3319</v>
      </c>
      <c r="N2078" s="9"/>
      <c r="O2078" s="9" t="s">
        <v>3320</v>
      </c>
      <c r="P2078" s="9" t="str">
        <f>HYPERLINK("https://ceds.ed.gov/cedselementdetails.aspx?termid=13494")</f>
        <v>https://ceds.ed.gov/cedselementdetails.aspx?termid=13494</v>
      </c>
      <c r="Q2078" s="9" t="str">
        <f>HYPERLINK("https://ceds.ed.gov/elementComment.aspx?elementName=Incident Time &amp;elementID=13494", "Click here to submit comment")</f>
        <v>Click here to submit comment</v>
      </c>
    </row>
    <row r="2079" spans="1:17" ht="210" x14ac:dyDescent="0.25">
      <c r="A2079" s="9" t="s">
        <v>6811</v>
      </c>
      <c r="B2079" s="9" t="s">
        <v>6853</v>
      </c>
      <c r="C2079" s="9"/>
      <c r="D2079" s="9" t="s">
        <v>6742</v>
      </c>
      <c r="E2079" s="9" t="s">
        <v>3321</v>
      </c>
      <c r="F2079" s="9" t="s">
        <v>3322</v>
      </c>
      <c r="G2079" s="10" t="s">
        <v>6552</v>
      </c>
      <c r="H2079" s="9"/>
      <c r="I2079" s="9"/>
      <c r="J2079" s="9"/>
      <c r="K2079" s="9"/>
      <c r="L2079" s="9"/>
      <c r="M2079" s="9" t="s">
        <v>3323</v>
      </c>
      <c r="N2079" s="9"/>
      <c r="O2079" s="9" t="s">
        <v>3324</v>
      </c>
      <c r="P2079" s="9" t="str">
        <f>HYPERLINK("https://ceds.ed.gov/cedselementdetails.aspx?termid=13506")</f>
        <v>https://ceds.ed.gov/cedselementdetails.aspx?termid=13506</v>
      </c>
      <c r="Q2079" s="9" t="str">
        <f>HYPERLINK("https://ceds.ed.gov/elementComment.aspx?elementName=Incident Time Description Code &amp;elementID=13506", "Click here to submit comment")</f>
        <v>Click here to submit comment</v>
      </c>
    </row>
    <row r="2080" spans="1:17" ht="45" x14ac:dyDescent="0.25">
      <c r="A2080" s="9" t="s">
        <v>6811</v>
      </c>
      <c r="B2080" s="9" t="s">
        <v>6853</v>
      </c>
      <c r="C2080" s="9"/>
      <c r="D2080" s="9" t="s">
        <v>6742</v>
      </c>
      <c r="E2080" s="9" t="s">
        <v>3263</v>
      </c>
      <c r="F2080" s="9" t="s">
        <v>3264</v>
      </c>
      <c r="G2080" s="9" t="s">
        <v>12</v>
      </c>
      <c r="H2080" s="9"/>
      <c r="I2080" s="9"/>
      <c r="J2080" s="9" t="s">
        <v>303</v>
      </c>
      <c r="K2080" s="9"/>
      <c r="L2080" s="9"/>
      <c r="M2080" s="9" t="s">
        <v>3265</v>
      </c>
      <c r="N2080" s="9"/>
      <c r="O2080" s="9" t="s">
        <v>3266</v>
      </c>
      <c r="P2080" s="9" t="str">
        <f>HYPERLINK("https://ceds.ed.gov/cedselementdetails.aspx?termid=13499")</f>
        <v>https://ceds.ed.gov/cedselementdetails.aspx?termid=13499</v>
      </c>
      <c r="Q2080" s="9" t="str">
        <f>HYPERLINK("https://ceds.ed.gov/elementComment.aspx?elementName=Incident Description &amp;elementID=13499", "Click here to submit comment")</f>
        <v>Click here to submit comment</v>
      </c>
    </row>
    <row r="2081" spans="1:17" ht="409.5" x14ac:dyDescent="0.25">
      <c r="A2081" s="9" t="s">
        <v>6811</v>
      </c>
      <c r="B2081" s="9" t="s">
        <v>6853</v>
      </c>
      <c r="C2081" s="9"/>
      <c r="D2081" s="9" t="s">
        <v>6742</v>
      </c>
      <c r="E2081" s="9" t="s">
        <v>3251</v>
      </c>
      <c r="F2081" s="9" t="s">
        <v>3252</v>
      </c>
      <c r="G2081" s="10" t="s">
        <v>6545</v>
      </c>
      <c r="H2081" s="9"/>
      <c r="I2081" s="9"/>
      <c r="J2081" s="9"/>
      <c r="K2081" s="9"/>
      <c r="L2081" s="9"/>
      <c r="M2081" s="9" t="s">
        <v>3253</v>
      </c>
      <c r="N2081" s="9"/>
      <c r="O2081" s="9" t="s">
        <v>3254</v>
      </c>
      <c r="P2081" s="9" t="str">
        <f>HYPERLINK("https://ceds.ed.gov/cedselementdetails.aspx?termid=13500")</f>
        <v>https://ceds.ed.gov/cedselementdetails.aspx?termid=13500</v>
      </c>
      <c r="Q2081" s="9" t="str">
        <f>HYPERLINK("https://ceds.ed.gov/elementComment.aspx?elementName=Incident Behavior &amp;elementID=13500", "Click here to submit comment")</f>
        <v>Click here to submit comment</v>
      </c>
    </row>
    <row r="2082" spans="1:17" ht="150" x14ac:dyDescent="0.25">
      <c r="A2082" s="9" t="s">
        <v>6811</v>
      </c>
      <c r="B2082" s="9" t="s">
        <v>6853</v>
      </c>
      <c r="C2082" s="9"/>
      <c r="D2082" s="9" t="s">
        <v>6742</v>
      </c>
      <c r="E2082" s="9" t="s">
        <v>5388</v>
      </c>
      <c r="F2082" s="9" t="s">
        <v>5389</v>
      </c>
      <c r="G2082" s="10" t="s">
        <v>6691</v>
      </c>
      <c r="H2082" s="9"/>
      <c r="I2082" s="9"/>
      <c r="J2082" s="9"/>
      <c r="K2082" s="9"/>
      <c r="L2082" s="9"/>
      <c r="M2082" s="9" t="s">
        <v>5390</v>
      </c>
      <c r="N2082" s="9"/>
      <c r="O2082" s="9" t="s">
        <v>5391</v>
      </c>
      <c r="P2082" s="9" t="str">
        <f>HYPERLINK("https://ceds.ed.gov/cedselementdetails.aspx?termid=13620")</f>
        <v>https://ceds.ed.gov/cedselementdetails.aspx?termid=13620</v>
      </c>
      <c r="Q2082" s="9" t="str">
        <f>HYPERLINK("https://ceds.ed.gov/elementComment.aspx?elementName=Secondary Incident Behavior &amp;elementID=13620", "Click here to submit comment")</f>
        <v>Click here to submit comment</v>
      </c>
    </row>
    <row r="2083" spans="1:17" ht="409.5" x14ac:dyDescent="0.25">
      <c r="A2083" s="9" t="s">
        <v>6811</v>
      </c>
      <c r="B2083" s="9" t="s">
        <v>6853</v>
      </c>
      <c r="C2083" s="9"/>
      <c r="D2083" s="9" t="s">
        <v>6742</v>
      </c>
      <c r="E2083" s="9" t="s">
        <v>3276</v>
      </c>
      <c r="F2083" s="9" t="s">
        <v>3277</v>
      </c>
      <c r="G2083" s="10" t="s">
        <v>6547</v>
      </c>
      <c r="H2083" s="9"/>
      <c r="I2083" s="9"/>
      <c r="J2083" s="9"/>
      <c r="K2083" s="9"/>
      <c r="L2083" s="9"/>
      <c r="M2083" s="9" t="s">
        <v>3278</v>
      </c>
      <c r="N2083" s="9"/>
      <c r="O2083" s="9" t="s">
        <v>3279</v>
      </c>
      <c r="P2083" s="9" t="str">
        <f>HYPERLINK("https://ceds.ed.gov/cedselementdetails.aspx?termid=13610")</f>
        <v>https://ceds.ed.gov/cedselementdetails.aspx?termid=13610</v>
      </c>
      <c r="Q2083" s="9" t="str">
        <f>HYPERLINK("https://ceds.ed.gov/elementComment.aspx?elementName=Incident Location &amp;elementID=13610", "Click here to submit comment")</f>
        <v>Click here to submit comment</v>
      </c>
    </row>
    <row r="2084" spans="1:17" ht="105" x14ac:dyDescent="0.25">
      <c r="A2084" s="9" t="s">
        <v>6811</v>
      </c>
      <c r="B2084" s="9" t="s">
        <v>6853</v>
      </c>
      <c r="C2084" s="9"/>
      <c r="D2084" s="9" t="s">
        <v>6742</v>
      </c>
      <c r="E2084" s="9" t="s">
        <v>3271</v>
      </c>
      <c r="F2084" s="9" t="s">
        <v>3272</v>
      </c>
      <c r="G2084" s="10" t="s">
        <v>6546</v>
      </c>
      <c r="H2084" s="9"/>
      <c r="I2084" s="9"/>
      <c r="J2084" s="9"/>
      <c r="K2084" s="9"/>
      <c r="L2084" s="9" t="s">
        <v>3273</v>
      </c>
      <c r="M2084" s="9" t="s">
        <v>3274</v>
      </c>
      <c r="N2084" s="9"/>
      <c r="O2084" s="9" t="s">
        <v>3275</v>
      </c>
      <c r="P2084" s="9" t="str">
        <f>HYPERLINK("https://ceds.ed.gov/cedselementdetails.aspx?termid=13501")</f>
        <v>https://ceds.ed.gov/cedselementdetails.aspx?termid=13501</v>
      </c>
      <c r="Q2084" s="9" t="str">
        <f>HYPERLINK("https://ceds.ed.gov/elementComment.aspx?elementName=Incident Injury Type &amp;elementID=13501", "Click here to submit comment")</f>
        <v>Click here to submit comment</v>
      </c>
    </row>
    <row r="2085" spans="1:17" ht="105" x14ac:dyDescent="0.25">
      <c r="A2085" s="18" t="s">
        <v>6811</v>
      </c>
      <c r="B2085" s="18" t="s">
        <v>6853</v>
      </c>
      <c r="C2085" s="18"/>
      <c r="D2085" s="18" t="s">
        <v>6742</v>
      </c>
      <c r="E2085" s="18" t="s">
        <v>5138</v>
      </c>
      <c r="F2085" s="18" t="s">
        <v>5139</v>
      </c>
      <c r="G2085" s="18" t="s">
        <v>12</v>
      </c>
      <c r="H2085" s="18"/>
      <c r="I2085" s="18"/>
      <c r="J2085" s="18" t="s">
        <v>119</v>
      </c>
      <c r="K2085" s="18"/>
      <c r="L2085" s="9" t="s">
        <v>120</v>
      </c>
      <c r="M2085" s="18" t="s">
        <v>5140</v>
      </c>
      <c r="N2085" s="18"/>
      <c r="O2085" s="18" t="s">
        <v>5141</v>
      </c>
      <c r="P2085" s="18" t="str">
        <f>HYPERLINK("https://ceds.ed.gov/cedselementdetails.aspx?termid=13498")</f>
        <v>https://ceds.ed.gov/cedselementdetails.aspx?termid=13498</v>
      </c>
      <c r="Q2085" s="18" t="str">
        <f>HYPERLINK("https://ceds.ed.gov/elementComment.aspx?elementName=Reporter Identifier &amp;elementID=13498", "Click here to submit comment")</f>
        <v>Click here to submit comment</v>
      </c>
    </row>
    <row r="2086" spans="1:17" x14ac:dyDescent="0.25">
      <c r="A2086" s="18"/>
      <c r="B2086" s="18"/>
      <c r="C2086" s="18"/>
      <c r="D2086" s="18"/>
      <c r="E2086" s="18"/>
      <c r="F2086" s="18"/>
      <c r="G2086" s="18"/>
      <c r="H2086" s="18"/>
      <c r="I2086" s="18"/>
      <c r="J2086" s="18"/>
      <c r="K2086" s="18"/>
      <c r="L2086" s="9"/>
      <c r="M2086" s="18"/>
      <c r="N2086" s="18"/>
      <c r="O2086" s="18"/>
      <c r="P2086" s="18"/>
      <c r="Q2086" s="18"/>
    </row>
    <row r="2087" spans="1:17" ht="90" x14ac:dyDescent="0.25">
      <c r="A2087" s="18"/>
      <c r="B2087" s="18"/>
      <c r="C2087" s="18"/>
      <c r="D2087" s="18"/>
      <c r="E2087" s="18"/>
      <c r="F2087" s="18"/>
      <c r="G2087" s="18"/>
      <c r="H2087" s="18"/>
      <c r="I2087" s="18"/>
      <c r="J2087" s="18"/>
      <c r="K2087" s="18"/>
      <c r="L2087" s="9" t="s">
        <v>121</v>
      </c>
      <c r="M2087" s="18"/>
      <c r="N2087" s="18"/>
      <c r="O2087" s="18"/>
      <c r="P2087" s="18"/>
      <c r="Q2087" s="18"/>
    </row>
    <row r="2088" spans="1:17" ht="409.5" x14ac:dyDescent="0.25">
      <c r="A2088" s="9" t="s">
        <v>6811</v>
      </c>
      <c r="B2088" s="9" t="s">
        <v>6853</v>
      </c>
      <c r="C2088" s="9"/>
      <c r="D2088" s="9" t="s">
        <v>6742</v>
      </c>
      <c r="E2088" s="9" t="s">
        <v>3313</v>
      </c>
      <c r="F2088" s="9" t="s">
        <v>3314</v>
      </c>
      <c r="G2088" s="10" t="s">
        <v>6551</v>
      </c>
      <c r="H2088" s="9"/>
      <c r="I2088" s="9"/>
      <c r="J2088" s="9"/>
      <c r="K2088" s="9"/>
      <c r="L2088" s="9"/>
      <c r="M2088" s="9" t="s">
        <v>3315</v>
      </c>
      <c r="N2088" s="9"/>
      <c r="O2088" s="9" t="s">
        <v>3316</v>
      </c>
      <c r="P2088" s="9" t="str">
        <f>HYPERLINK("https://ceds.ed.gov/cedselementdetails.aspx?termid=13497")</f>
        <v>https://ceds.ed.gov/cedselementdetails.aspx?termid=13497</v>
      </c>
      <c r="Q2088" s="9" t="str">
        <f>HYPERLINK("https://ceds.ed.gov/elementComment.aspx?elementName=Incident Reporter Type &amp;elementID=13497", "Click here to submit comment")</f>
        <v>Click here to submit comment</v>
      </c>
    </row>
    <row r="2089" spans="1:17" ht="60" x14ac:dyDescent="0.25">
      <c r="A2089" s="9" t="s">
        <v>6811</v>
      </c>
      <c r="B2089" s="9" t="s">
        <v>6853</v>
      </c>
      <c r="C2089" s="9"/>
      <c r="D2089" s="9" t="s">
        <v>6742</v>
      </c>
      <c r="E2089" s="9" t="s">
        <v>3280</v>
      </c>
      <c r="F2089" s="9" t="s">
        <v>3281</v>
      </c>
      <c r="G2089" s="10" t="s">
        <v>6548</v>
      </c>
      <c r="H2089" s="9"/>
      <c r="I2089" s="9"/>
      <c r="J2089" s="9"/>
      <c r="K2089" s="9"/>
      <c r="L2089" s="9"/>
      <c r="M2089" s="9" t="s">
        <v>3282</v>
      </c>
      <c r="N2089" s="9"/>
      <c r="O2089" s="9" t="s">
        <v>3283</v>
      </c>
      <c r="P2089" s="9" t="str">
        <f>HYPERLINK("https://ceds.ed.gov/cedselementdetails.aspx?termid=14337")</f>
        <v>https://ceds.ed.gov/cedselementdetails.aspx?termid=14337</v>
      </c>
      <c r="Q2089" s="9" t="str">
        <f>HYPERLINK("https://ceds.ed.gov/elementComment.aspx?elementName=Incident Multiple Offense Type &amp;elementID=14337", "Click here to submit comment")</f>
        <v>Click here to submit comment</v>
      </c>
    </row>
    <row r="2090" spans="1:17" ht="105" x14ac:dyDescent="0.25">
      <c r="A2090" s="18" t="s">
        <v>6811</v>
      </c>
      <c r="B2090" s="18" t="s">
        <v>6853</v>
      </c>
      <c r="C2090" s="18"/>
      <c r="D2090" s="18" t="s">
        <v>6742</v>
      </c>
      <c r="E2090" s="18" t="s">
        <v>3284</v>
      </c>
      <c r="F2090" s="18" t="s">
        <v>3285</v>
      </c>
      <c r="G2090" s="18" t="s">
        <v>12</v>
      </c>
      <c r="H2090" s="18"/>
      <c r="I2090" s="18"/>
      <c r="J2090" s="18" t="s">
        <v>119</v>
      </c>
      <c r="K2090" s="18"/>
      <c r="L2090" s="9" t="s">
        <v>120</v>
      </c>
      <c r="M2090" s="18" t="s">
        <v>3286</v>
      </c>
      <c r="N2090" s="18"/>
      <c r="O2090" s="18" t="s">
        <v>3287</v>
      </c>
      <c r="P2090" s="18" t="str">
        <f>HYPERLINK("https://ceds.ed.gov/cedselementdetails.aspx?termid=14338")</f>
        <v>https://ceds.ed.gov/cedselementdetails.aspx?termid=14338</v>
      </c>
      <c r="Q2090" s="18" t="str">
        <f>HYPERLINK("https://ceds.ed.gov/elementComment.aspx?elementName=Incident Perpetrator Identifier &amp;elementID=14338", "Click here to submit comment")</f>
        <v>Click here to submit comment</v>
      </c>
    </row>
    <row r="2091" spans="1:17" x14ac:dyDescent="0.25">
      <c r="A2091" s="18"/>
      <c r="B2091" s="18"/>
      <c r="C2091" s="18"/>
      <c r="D2091" s="18"/>
      <c r="E2091" s="18"/>
      <c r="F2091" s="18"/>
      <c r="G2091" s="18"/>
      <c r="H2091" s="18"/>
      <c r="I2091" s="18"/>
      <c r="J2091" s="18"/>
      <c r="K2091" s="18"/>
      <c r="L2091" s="9"/>
      <c r="M2091" s="18"/>
      <c r="N2091" s="18"/>
      <c r="O2091" s="18"/>
      <c r="P2091" s="18"/>
      <c r="Q2091" s="18"/>
    </row>
    <row r="2092" spans="1:17" ht="90" x14ac:dyDescent="0.25">
      <c r="A2092" s="18"/>
      <c r="B2092" s="18"/>
      <c r="C2092" s="18"/>
      <c r="D2092" s="18"/>
      <c r="E2092" s="18"/>
      <c r="F2092" s="18"/>
      <c r="G2092" s="18"/>
      <c r="H2092" s="18"/>
      <c r="I2092" s="18"/>
      <c r="J2092" s="18"/>
      <c r="K2092" s="18"/>
      <c r="L2092" s="9" t="s">
        <v>121</v>
      </c>
      <c r="M2092" s="18"/>
      <c r="N2092" s="18"/>
      <c r="O2092" s="18"/>
      <c r="P2092" s="18"/>
      <c r="Q2092" s="18"/>
    </row>
    <row r="2093" spans="1:17" ht="105" x14ac:dyDescent="0.25">
      <c r="A2093" s="9" t="s">
        <v>6811</v>
      </c>
      <c r="B2093" s="9" t="s">
        <v>6853</v>
      </c>
      <c r="C2093" s="9"/>
      <c r="D2093" s="9" t="s">
        <v>6742</v>
      </c>
      <c r="E2093" s="9" t="s">
        <v>3288</v>
      </c>
      <c r="F2093" s="9" t="s">
        <v>3289</v>
      </c>
      <c r="G2093" s="10" t="s">
        <v>6546</v>
      </c>
      <c r="H2093" s="9"/>
      <c r="I2093" s="9"/>
      <c r="J2093" s="9"/>
      <c r="K2093" s="9"/>
      <c r="L2093" s="9"/>
      <c r="M2093" s="9" t="s">
        <v>3290</v>
      </c>
      <c r="N2093" s="9"/>
      <c r="O2093" s="9" t="s">
        <v>3291</v>
      </c>
      <c r="P2093" s="9" t="str">
        <f>HYPERLINK("https://ceds.ed.gov/cedselementdetails.aspx?termid=14339")</f>
        <v>https://ceds.ed.gov/cedselementdetails.aspx?termid=14339</v>
      </c>
      <c r="Q2093" s="9" t="str">
        <f>HYPERLINK("https://ceds.ed.gov/elementComment.aspx?elementName=Incident Perpetrator Injury Type &amp;elementID=14339", "Click here to submit comment")</f>
        <v>Click here to submit comment</v>
      </c>
    </row>
    <row r="2094" spans="1:17" ht="409.5" x14ac:dyDescent="0.25">
      <c r="A2094" s="9" t="s">
        <v>6811</v>
      </c>
      <c r="B2094" s="9" t="s">
        <v>6853</v>
      </c>
      <c r="C2094" s="9"/>
      <c r="D2094" s="9" t="s">
        <v>6742</v>
      </c>
      <c r="E2094" s="9" t="s">
        <v>3292</v>
      </c>
      <c r="F2094" s="9" t="s">
        <v>3293</v>
      </c>
      <c r="G2094" s="10" t="s">
        <v>6549</v>
      </c>
      <c r="H2094" s="9"/>
      <c r="I2094" s="9"/>
      <c r="J2094" s="9"/>
      <c r="K2094" s="9"/>
      <c r="L2094" s="9"/>
      <c r="M2094" s="9" t="s">
        <v>3294</v>
      </c>
      <c r="N2094" s="9"/>
      <c r="O2094" s="9" t="s">
        <v>3295</v>
      </c>
      <c r="P2094" s="9" t="str">
        <f>HYPERLINK("https://ceds.ed.gov/cedselementdetails.aspx?termid=14340")</f>
        <v>https://ceds.ed.gov/cedselementdetails.aspx?termid=14340</v>
      </c>
      <c r="Q2094" s="9" t="str">
        <f>HYPERLINK("https://ceds.ed.gov/elementComment.aspx?elementName=Incident Perpetrator Type &amp;elementID=14340", "Click here to submit comment")</f>
        <v>Click here to submit comment</v>
      </c>
    </row>
    <row r="2095" spans="1:17" ht="75" x14ac:dyDescent="0.25">
      <c r="A2095" s="9" t="s">
        <v>6811</v>
      </c>
      <c r="B2095" s="9" t="s">
        <v>6853</v>
      </c>
      <c r="C2095" s="9"/>
      <c r="D2095" s="9" t="s">
        <v>6742</v>
      </c>
      <c r="E2095" s="9" t="s">
        <v>3296</v>
      </c>
      <c r="F2095" s="9" t="s">
        <v>3297</v>
      </c>
      <c r="G2095" s="10" t="s">
        <v>6550</v>
      </c>
      <c r="H2095" s="9"/>
      <c r="I2095" s="9"/>
      <c r="J2095" s="9"/>
      <c r="K2095" s="9"/>
      <c r="L2095" s="9"/>
      <c r="M2095" s="9" t="s">
        <v>3298</v>
      </c>
      <c r="N2095" s="9"/>
      <c r="O2095" s="9" t="s">
        <v>3299</v>
      </c>
      <c r="P2095" s="9" t="str">
        <f>HYPERLINK("https://ceds.ed.gov/cedselementdetails.aspx?termid=14341")</f>
        <v>https://ceds.ed.gov/cedselementdetails.aspx?termid=14341</v>
      </c>
      <c r="Q2095" s="9" t="str">
        <f>HYPERLINK("https://ceds.ed.gov/elementComment.aspx?elementName=Incident Person Role Type &amp;elementID=14341", "Click here to submit comment")</f>
        <v>Click here to submit comment</v>
      </c>
    </row>
    <row r="2096" spans="1:17" ht="105" x14ac:dyDescent="0.25">
      <c r="A2096" s="18" t="s">
        <v>6811</v>
      </c>
      <c r="B2096" s="18" t="s">
        <v>6853</v>
      </c>
      <c r="C2096" s="18"/>
      <c r="D2096" s="18" t="s">
        <v>6742</v>
      </c>
      <c r="E2096" s="18" t="s">
        <v>3325</v>
      </c>
      <c r="F2096" s="18" t="s">
        <v>3326</v>
      </c>
      <c r="G2096" s="18" t="s">
        <v>12</v>
      </c>
      <c r="H2096" s="18"/>
      <c r="I2096" s="18"/>
      <c r="J2096" s="18" t="s">
        <v>119</v>
      </c>
      <c r="K2096" s="18"/>
      <c r="L2096" s="9" t="s">
        <v>120</v>
      </c>
      <c r="M2096" s="18" t="s">
        <v>3327</v>
      </c>
      <c r="N2096" s="18"/>
      <c r="O2096" s="18" t="s">
        <v>3328</v>
      </c>
      <c r="P2096" s="18" t="str">
        <f>HYPERLINK("https://ceds.ed.gov/cedselementdetails.aspx?termid=14346")</f>
        <v>https://ceds.ed.gov/cedselementdetails.aspx?termid=14346</v>
      </c>
      <c r="Q2096" s="18" t="str">
        <f>HYPERLINK("https://ceds.ed.gov/elementComment.aspx?elementName=Incident Victim Identifier &amp;elementID=14346", "Click here to submit comment")</f>
        <v>Click here to submit comment</v>
      </c>
    </row>
    <row r="2097" spans="1:17" x14ac:dyDescent="0.25">
      <c r="A2097" s="18"/>
      <c r="B2097" s="18"/>
      <c r="C2097" s="18"/>
      <c r="D2097" s="18"/>
      <c r="E2097" s="18"/>
      <c r="F2097" s="18"/>
      <c r="G2097" s="18"/>
      <c r="H2097" s="18"/>
      <c r="I2097" s="18"/>
      <c r="J2097" s="18"/>
      <c r="K2097" s="18"/>
      <c r="L2097" s="9"/>
      <c r="M2097" s="18"/>
      <c r="N2097" s="18"/>
      <c r="O2097" s="18"/>
      <c r="P2097" s="18"/>
      <c r="Q2097" s="18"/>
    </row>
    <row r="2098" spans="1:17" ht="90" x14ac:dyDescent="0.25">
      <c r="A2098" s="18"/>
      <c r="B2098" s="18"/>
      <c r="C2098" s="18"/>
      <c r="D2098" s="18"/>
      <c r="E2098" s="18"/>
      <c r="F2098" s="18"/>
      <c r="G2098" s="18"/>
      <c r="H2098" s="18"/>
      <c r="I2098" s="18"/>
      <c r="J2098" s="18"/>
      <c r="K2098" s="18"/>
      <c r="L2098" s="9" t="s">
        <v>121</v>
      </c>
      <c r="M2098" s="18"/>
      <c r="N2098" s="18"/>
      <c r="O2098" s="18"/>
      <c r="P2098" s="18"/>
      <c r="Q2098" s="18"/>
    </row>
    <row r="2099" spans="1:17" ht="409.5" x14ac:dyDescent="0.25">
      <c r="A2099" s="9" t="s">
        <v>6811</v>
      </c>
      <c r="B2099" s="9" t="s">
        <v>6853</v>
      </c>
      <c r="C2099" s="9"/>
      <c r="D2099" s="9" t="s">
        <v>6742</v>
      </c>
      <c r="E2099" s="9" t="s">
        <v>3329</v>
      </c>
      <c r="F2099" s="9" t="s">
        <v>3330</v>
      </c>
      <c r="G2099" s="10" t="s">
        <v>6549</v>
      </c>
      <c r="H2099" s="9"/>
      <c r="I2099" s="9"/>
      <c r="J2099" s="9"/>
      <c r="K2099" s="9"/>
      <c r="L2099" s="9"/>
      <c r="M2099" s="9" t="s">
        <v>3331</v>
      </c>
      <c r="N2099" s="9"/>
      <c r="O2099" s="9" t="s">
        <v>3332</v>
      </c>
      <c r="P2099" s="9" t="str">
        <f>HYPERLINK("https://ceds.ed.gov/cedselementdetails.aspx?termid=14347")</f>
        <v>https://ceds.ed.gov/cedselementdetails.aspx?termid=14347</v>
      </c>
      <c r="Q2099" s="9" t="str">
        <f>HYPERLINK("https://ceds.ed.gov/elementComment.aspx?elementName=Incident Victim Type &amp;elementID=14347", "Click here to submit comment")</f>
        <v>Click here to submit comment</v>
      </c>
    </row>
    <row r="2100" spans="1:17" ht="105" x14ac:dyDescent="0.25">
      <c r="A2100" s="18" t="s">
        <v>6811</v>
      </c>
      <c r="B2100" s="18" t="s">
        <v>6853</v>
      </c>
      <c r="C2100" s="18"/>
      <c r="D2100" s="18" t="s">
        <v>6742</v>
      </c>
      <c r="E2100" s="18" t="s">
        <v>3333</v>
      </c>
      <c r="F2100" s="18" t="s">
        <v>3334</v>
      </c>
      <c r="G2100" s="18" t="s">
        <v>12</v>
      </c>
      <c r="H2100" s="18"/>
      <c r="I2100" s="18"/>
      <c r="J2100" s="18" t="s">
        <v>119</v>
      </c>
      <c r="K2100" s="18"/>
      <c r="L2100" s="9" t="s">
        <v>120</v>
      </c>
      <c r="M2100" s="18" t="s">
        <v>3335</v>
      </c>
      <c r="N2100" s="18"/>
      <c r="O2100" s="18" t="s">
        <v>3336</v>
      </c>
      <c r="P2100" s="18" t="str">
        <f>HYPERLINK("https://ceds.ed.gov/cedselementdetails.aspx?termid=14348")</f>
        <v>https://ceds.ed.gov/cedselementdetails.aspx?termid=14348</v>
      </c>
      <c r="Q2100" s="18" t="str">
        <f>HYPERLINK("https://ceds.ed.gov/elementComment.aspx?elementName=Incident Witness Identifier &amp;elementID=14348", "Click here to submit comment")</f>
        <v>Click here to submit comment</v>
      </c>
    </row>
    <row r="2101" spans="1:17" x14ac:dyDescent="0.25">
      <c r="A2101" s="18"/>
      <c r="B2101" s="18"/>
      <c r="C2101" s="18"/>
      <c r="D2101" s="18"/>
      <c r="E2101" s="18"/>
      <c r="F2101" s="18"/>
      <c r="G2101" s="18"/>
      <c r="H2101" s="18"/>
      <c r="I2101" s="18"/>
      <c r="J2101" s="18"/>
      <c r="K2101" s="18"/>
      <c r="L2101" s="9"/>
      <c r="M2101" s="18"/>
      <c r="N2101" s="18"/>
      <c r="O2101" s="18"/>
      <c r="P2101" s="18"/>
      <c r="Q2101" s="18"/>
    </row>
    <row r="2102" spans="1:17" ht="90" x14ac:dyDescent="0.25">
      <c r="A2102" s="18"/>
      <c r="B2102" s="18"/>
      <c r="C2102" s="18"/>
      <c r="D2102" s="18"/>
      <c r="E2102" s="18"/>
      <c r="F2102" s="18"/>
      <c r="G2102" s="18"/>
      <c r="H2102" s="18"/>
      <c r="I2102" s="18"/>
      <c r="J2102" s="18"/>
      <c r="K2102" s="18"/>
      <c r="L2102" s="9" t="s">
        <v>121</v>
      </c>
      <c r="M2102" s="18"/>
      <c r="N2102" s="18"/>
      <c r="O2102" s="18"/>
      <c r="P2102" s="18"/>
      <c r="Q2102" s="18"/>
    </row>
    <row r="2103" spans="1:17" ht="409.5" x14ac:dyDescent="0.25">
      <c r="A2103" s="9" t="s">
        <v>6811</v>
      </c>
      <c r="B2103" s="9" t="s">
        <v>6853</v>
      </c>
      <c r="C2103" s="9"/>
      <c r="D2103" s="9" t="s">
        <v>6742</v>
      </c>
      <c r="E2103" s="9" t="s">
        <v>3337</v>
      </c>
      <c r="F2103" s="9" t="s">
        <v>3338</v>
      </c>
      <c r="G2103" s="10" t="s">
        <v>6549</v>
      </c>
      <c r="H2103" s="9"/>
      <c r="I2103" s="9"/>
      <c r="J2103" s="9"/>
      <c r="K2103" s="9"/>
      <c r="L2103" s="9"/>
      <c r="M2103" s="9" t="s">
        <v>3339</v>
      </c>
      <c r="N2103" s="9"/>
      <c r="O2103" s="9" t="s">
        <v>3340</v>
      </c>
      <c r="P2103" s="9" t="str">
        <f>HYPERLINK("https://ceds.ed.gov/cedselementdetails.aspx?termid=14349")</f>
        <v>https://ceds.ed.gov/cedselementdetails.aspx?termid=14349</v>
      </c>
      <c r="Q2103" s="9" t="str">
        <f>HYPERLINK("https://ceds.ed.gov/elementComment.aspx?elementName=Incident Witness Type &amp;elementID=14349", "Click here to submit comment")</f>
        <v>Click here to submit comment</v>
      </c>
    </row>
    <row r="2104" spans="1:17" ht="75" x14ac:dyDescent="0.25">
      <c r="A2104" s="9" t="s">
        <v>6811</v>
      </c>
      <c r="B2104" s="9" t="s">
        <v>6853</v>
      </c>
      <c r="C2104" s="9"/>
      <c r="D2104" s="9" t="s">
        <v>6742</v>
      </c>
      <c r="E2104" s="9" t="s">
        <v>5134</v>
      </c>
      <c r="F2104" s="9" t="s">
        <v>5135</v>
      </c>
      <c r="G2104" s="9" t="s">
        <v>6106</v>
      </c>
      <c r="H2104" s="9"/>
      <c r="I2104" s="9"/>
      <c r="J2104" s="9"/>
      <c r="K2104" s="9"/>
      <c r="L2104" s="9"/>
      <c r="M2104" s="9" t="s">
        <v>5136</v>
      </c>
      <c r="N2104" s="9"/>
      <c r="O2104" s="9" t="s">
        <v>5137</v>
      </c>
      <c r="P2104" s="9" t="str">
        <f>HYPERLINK("https://ceds.ed.gov/cedselementdetails.aspx?termid=13503")</f>
        <v>https://ceds.ed.gov/cedselementdetails.aspx?termid=13503</v>
      </c>
      <c r="Q2104" s="9" t="str">
        <f>HYPERLINK("https://ceds.ed.gov/elementComment.aspx?elementName=Related to Zero Tolerance Policy &amp;elementID=13503", "Click here to submit comment")</f>
        <v>Click here to submit comment</v>
      </c>
    </row>
    <row r="2105" spans="1:17" ht="90" x14ac:dyDescent="0.25">
      <c r="A2105" s="9" t="s">
        <v>6811</v>
      </c>
      <c r="B2105" s="9" t="s">
        <v>6853</v>
      </c>
      <c r="C2105" s="9"/>
      <c r="D2105" s="9" t="s">
        <v>6742</v>
      </c>
      <c r="E2105" s="9" t="s">
        <v>3300</v>
      </c>
      <c r="F2105" s="9" t="s">
        <v>3301</v>
      </c>
      <c r="G2105" s="9" t="s">
        <v>12</v>
      </c>
      <c r="H2105" s="9"/>
      <c r="I2105" s="9"/>
      <c r="J2105" s="9" t="s">
        <v>762</v>
      </c>
      <c r="K2105" s="9"/>
      <c r="L2105" s="9"/>
      <c r="M2105" s="9" t="s">
        <v>3302</v>
      </c>
      <c r="N2105" s="9"/>
      <c r="O2105" s="9" t="s">
        <v>3303</v>
      </c>
      <c r="P2105" s="9" t="str">
        <f>HYPERLINK("https://ceds.ed.gov/cedselementdetails.aspx?termid=14342")</f>
        <v>https://ceds.ed.gov/cedselementdetails.aspx?termid=14342</v>
      </c>
      <c r="Q2105" s="9" t="str">
        <f>HYPERLINK("https://ceds.ed.gov/elementComment.aspx?elementName=Incident Regulation Violated Description &amp;elementID=14342", "Click here to submit comment")</f>
        <v>Click here to submit comment</v>
      </c>
    </row>
    <row r="2106" spans="1:17" ht="90" x14ac:dyDescent="0.25">
      <c r="A2106" s="9" t="s">
        <v>6811</v>
      </c>
      <c r="B2106" s="9" t="s">
        <v>6853</v>
      </c>
      <c r="C2106" s="9"/>
      <c r="D2106" s="9" t="s">
        <v>6742</v>
      </c>
      <c r="E2106" s="9" t="s">
        <v>3304</v>
      </c>
      <c r="F2106" s="9" t="s">
        <v>3305</v>
      </c>
      <c r="G2106" s="9" t="s">
        <v>6106</v>
      </c>
      <c r="H2106" s="9"/>
      <c r="I2106" s="9"/>
      <c r="J2106" s="9"/>
      <c r="K2106" s="9"/>
      <c r="L2106" s="9" t="s">
        <v>3306</v>
      </c>
      <c r="M2106" s="9" t="s">
        <v>3307</v>
      </c>
      <c r="N2106" s="9"/>
      <c r="O2106" s="9" t="s">
        <v>3308</v>
      </c>
      <c r="P2106" s="9" t="str">
        <f>HYPERLINK("https://ceds.ed.gov/cedselementdetails.aspx?termid=14343")</f>
        <v>https://ceds.ed.gov/cedselementdetails.aspx?termid=14343</v>
      </c>
      <c r="Q2106" s="9" t="str">
        <f>HYPERLINK("https://ceds.ed.gov/elementComment.aspx?elementName=Incident Related to Disability Manifestation &amp;elementID=14343", "Click here to submit comment")</f>
        <v>Click here to submit comment</v>
      </c>
    </row>
    <row r="2107" spans="1:17" ht="75" x14ac:dyDescent="0.25">
      <c r="A2107" s="9" t="s">
        <v>6811</v>
      </c>
      <c r="B2107" s="9" t="s">
        <v>6853</v>
      </c>
      <c r="C2107" s="9"/>
      <c r="D2107" s="9" t="s">
        <v>6742</v>
      </c>
      <c r="E2107" s="9" t="s">
        <v>3309</v>
      </c>
      <c r="F2107" s="9" t="s">
        <v>3310</v>
      </c>
      <c r="G2107" s="9" t="s">
        <v>6106</v>
      </c>
      <c r="H2107" s="9"/>
      <c r="I2107" s="9"/>
      <c r="J2107" s="9"/>
      <c r="K2107" s="9"/>
      <c r="L2107" s="9"/>
      <c r="M2107" s="9" t="s">
        <v>3311</v>
      </c>
      <c r="N2107" s="9"/>
      <c r="O2107" s="9" t="s">
        <v>3312</v>
      </c>
      <c r="P2107" s="9" t="str">
        <f>HYPERLINK("https://ceds.ed.gov/cedselementdetails.aspx?termid=14345")</f>
        <v>https://ceds.ed.gov/cedselementdetails.aspx?termid=14345</v>
      </c>
      <c r="Q2107" s="9" t="str">
        <f>HYPERLINK("https://ceds.ed.gov/elementComment.aspx?elementName=Incident Reported to Law Enforcement Indicator &amp;elementID=14345", "Click here to submit comment")</f>
        <v>Click here to submit comment</v>
      </c>
    </row>
    <row r="2108" spans="1:17" ht="285" x14ac:dyDescent="0.25">
      <c r="A2108" s="9" t="s">
        <v>6811</v>
      </c>
      <c r="B2108" s="9" t="s">
        <v>6853</v>
      </c>
      <c r="C2108" s="9"/>
      <c r="D2108" s="9" t="s">
        <v>6742</v>
      </c>
      <c r="E2108" s="9" t="s">
        <v>6052</v>
      </c>
      <c r="F2108" s="9" t="s">
        <v>6053</v>
      </c>
      <c r="G2108" s="10" t="s">
        <v>6736</v>
      </c>
      <c r="H2108" s="9"/>
      <c r="I2108" s="9"/>
      <c r="J2108" s="9"/>
      <c r="K2108" s="9"/>
      <c r="L2108" s="9" t="s">
        <v>6054</v>
      </c>
      <c r="M2108" s="9" t="s">
        <v>6055</v>
      </c>
      <c r="N2108" s="9"/>
      <c r="O2108" s="9" t="s">
        <v>6056</v>
      </c>
      <c r="P2108" s="9" t="str">
        <f>HYPERLINK("https://ceds.ed.gov/cedselementdetails.aspx?termid=14178")</f>
        <v>https://ceds.ed.gov/cedselementdetails.aspx?termid=14178</v>
      </c>
      <c r="Q2108" s="9" t="str">
        <f>HYPERLINK("https://ceds.ed.gov/elementComment.aspx?elementName=Weapon Type &amp;elementID=14178", "Click here to submit comment")</f>
        <v>Click here to submit comment</v>
      </c>
    </row>
    <row r="2109" spans="1:17" ht="90" x14ac:dyDescent="0.25">
      <c r="A2109" s="9" t="s">
        <v>6811</v>
      </c>
      <c r="B2109" s="9" t="s">
        <v>6853</v>
      </c>
      <c r="C2109" s="9"/>
      <c r="D2109" s="9" t="s">
        <v>6742</v>
      </c>
      <c r="E2109" s="9" t="s">
        <v>2917</v>
      </c>
      <c r="F2109" s="9" t="s">
        <v>2918</v>
      </c>
      <c r="G2109" s="10" t="s">
        <v>6518</v>
      </c>
      <c r="H2109" s="9" t="s">
        <v>199</v>
      </c>
      <c r="I2109" s="9"/>
      <c r="J2109" s="9"/>
      <c r="K2109" s="9"/>
      <c r="L2109" s="9"/>
      <c r="M2109" s="9" t="s">
        <v>2920</v>
      </c>
      <c r="N2109" s="9"/>
      <c r="O2109" s="9" t="s">
        <v>2921</v>
      </c>
      <c r="P2109" s="9" t="str">
        <f>HYPERLINK("https://ceds.ed.gov/cedselementdetails.aspx?termid=13548")</f>
        <v>https://ceds.ed.gov/cedselementdetails.aspx?termid=13548</v>
      </c>
      <c r="Q2109" s="9" t="str">
        <f>HYPERLINK("https://ceds.ed.gov/elementComment.aspx?elementName=Firearm Type &amp;elementID=13548", "Click here to submit comment")</f>
        <v>Click here to submit comment</v>
      </c>
    </row>
    <row r="2110" spans="1:17" ht="180" x14ac:dyDescent="0.25">
      <c r="A2110" s="9" t="s">
        <v>6811</v>
      </c>
      <c r="B2110" s="9" t="s">
        <v>6853</v>
      </c>
      <c r="C2110" s="9"/>
      <c r="D2110" s="9" t="s">
        <v>6742</v>
      </c>
      <c r="E2110" s="9" t="s">
        <v>2324</v>
      </c>
      <c r="F2110" s="9" t="s">
        <v>2325</v>
      </c>
      <c r="G2110" s="10" t="s">
        <v>6455</v>
      </c>
      <c r="H2110" s="9" t="s">
        <v>199</v>
      </c>
      <c r="I2110" s="9"/>
      <c r="J2110" s="9"/>
      <c r="K2110" s="9"/>
      <c r="L2110" s="9"/>
      <c r="M2110" s="9" t="s">
        <v>2326</v>
      </c>
      <c r="N2110" s="9"/>
      <c r="O2110" s="9" t="s">
        <v>2327</v>
      </c>
      <c r="P2110" s="9" t="str">
        <f>HYPERLINK("https://ceds.ed.gov/cedselementdetails.aspx?termid=13536")</f>
        <v>https://ceds.ed.gov/cedselementdetails.aspx?termid=13536</v>
      </c>
      <c r="Q2110" s="9" t="str">
        <f>HYPERLINK("https://ceds.ed.gov/elementComment.aspx?elementName=Discipline Reason &amp;elementID=13536", "Click here to submit comment")</f>
        <v>Click here to submit comment</v>
      </c>
    </row>
    <row r="2111" spans="1:17" ht="45" x14ac:dyDescent="0.25">
      <c r="A2111" s="9" t="s">
        <v>6811</v>
      </c>
      <c r="B2111" s="9" t="s">
        <v>6853</v>
      </c>
      <c r="C2111" s="9"/>
      <c r="D2111" s="9" t="s">
        <v>6742</v>
      </c>
      <c r="E2111" s="9" t="s">
        <v>2304</v>
      </c>
      <c r="F2111" s="9" t="s">
        <v>2305</v>
      </c>
      <c r="G2111" s="9" t="s">
        <v>12</v>
      </c>
      <c r="H2111" s="9" t="s">
        <v>4</v>
      </c>
      <c r="I2111" s="9"/>
      <c r="J2111" s="9" t="s">
        <v>73</v>
      </c>
      <c r="K2111" s="9"/>
      <c r="L2111" s="9"/>
      <c r="M2111" s="9" t="s">
        <v>2306</v>
      </c>
      <c r="N2111" s="9"/>
      <c r="O2111" s="9" t="s">
        <v>2307</v>
      </c>
      <c r="P2111" s="9" t="str">
        <f>HYPERLINK("https://ceds.ed.gov/cedselementdetails.aspx?termid=13083")</f>
        <v>https://ceds.ed.gov/cedselementdetails.aspx?termid=13083</v>
      </c>
      <c r="Q2111" s="9" t="str">
        <f>HYPERLINK("https://ceds.ed.gov/elementComment.aspx?elementName=Disciplinary Action Start Date &amp;elementID=13083", "Click here to submit comment")</f>
        <v>Click here to submit comment</v>
      </c>
    </row>
    <row r="2112" spans="1:17" ht="45" x14ac:dyDescent="0.25">
      <c r="A2112" s="9" t="s">
        <v>6811</v>
      </c>
      <c r="B2112" s="9" t="s">
        <v>6853</v>
      </c>
      <c r="C2112" s="9"/>
      <c r="D2112" s="9" t="s">
        <v>6742</v>
      </c>
      <c r="E2112" s="9" t="s">
        <v>2295</v>
      </c>
      <c r="F2112" s="9" t="s">
        <v>2296</v>
      </c>
      <c r="G2112" s="9" t="s">
        <v>12</v>
      </c>
      <c r="H2112" s="9" t="s">
        <v>4</v>
      </c>
      <c r="I2112" s="9"/>
      <c r="J2112" s="9" t="s">
        <v>73</v>
      </c>
      <c r="K2112" s="9"/>
      <c r="L2112" s="9"/>
      <c r="M2112" s="9" t="s">
        <v>2297</v>
      </c>
      <c r="N2112" s="9"/>
      <c r="O2112" s="9" t="s">
        <v>2298</v>
      </c>
      <c r="P2112" s="9" t="str">
        <f>HYPERLINK("https://ceds.ed.gov/cedselementdetails.aspx?termid=13082")</f>
        <v>https://ceds.ed.gov/cedselementdetails.aspx?termid=13082</v>
      </c>
      <c r="Q2112" s="9" t="str">
        <f>HYPERLINK("https://ceds.ed.gov/elementComment.aspx?elementName=Disciplinary Action End Date &amp;elementID=13082", "Click here to submit comment")</f>
        <v>Click here to submit comment</v>
      </c>
    </row>
    <row r="2113" spans="1:17" ht="409.5" x14ac:dyDescent="0.25">
      <c r="A2113" s="9" t="s">
        <v>6811</v>
      </c>
      <c r="B2113" s="9" t="s">
        <v>6853</v>
      </c>
      <c r="C2113" s="9"/>
      <c r="D2113" s="9" t="s">
        <v>6742</v>
      </c>
      <c r="E2113" s="9" t="s">
        <v>2308</v>
      </c>
      <c r="F2113" s="9" t="s">
        <v>2309</v>
      </c>
      <c r="G2113" s="10" t="s">
        <v>6451</v>
      </c>
      <c r="H2113" s="9" t="s">
        <v>4</v>
      </c>
      <c r="I2113" s="9"/>
      <c r="J2113" s="9"/>
      <c r="K2113" s="9"/>
      <c r="L2113" s="9"/>
      <c r="M2113" s="9" t="s">
        <v>2310</v>
      </c>
      <c r="N2113" s="9"/>
      <c r="O2113" s="9" t="s">
        <v>2311</v>
      </c>
      <c r="P2113" s="9" t="str">
        <f>HYPERLINK("https://ceds.ed.gov/cedselementdetails.aspx?termid=13479")</f>
        <v>https://ceds.ed.gov/cedselementdetails.aspx?termid=13479</v>
      </c>
      <c r="Q2113" s="9" t="str">
        <f>HYPERLINK("https://ceds.ed.gov/elementComment.aspx?elementName=Disciplinary Action Taken &amp;elementID=13479", "Click here to submit comment")</f>
        <v>Click here to submit comment</v>
      </c>
    </row>
    <row r="2114" spans="1:17" ht="45" x14ac:dyDescent="0.25">
      <c r="A2114" s="9" t="s">
        <v>6811</v>
      </c>
      <c r="B2114" s="9" t="s">
        <v>6853</v>
      </c>
      <c r="C2114" s="9"/>
      <c r="D2114" s="9" t="s">
        <v>6742</v>
      </c>
      <c r="E2114" s="9" t="s">
        <v>2375</v>
      </c>
      <c r="F2114" s="9" t="s">
        <v>2376</v>
      </c>
      <c r="G2114" s="9" t="s">
        <v>12</v>
      </c>
      <c r="H2114" s="9"/>
      <c r="I2114" s="9"/>
      <c r="J2114" s="9" t="s">
        <v>1513</v>
      </c>
      <c r="K2114" s="9"/>
      <c r="L2114" s="9"/>
      <c r="M2114" s="9" t="s">
        <v>2377</v>
      </c>
      <c r="N2114" s="9"/>
      <c r="O2114" s="9" t="s">
        <v>2378</v>
      </c>
      <c r="P2114" s="9" t="str">
        <f>HYPERLINK("https://ceds.ed.gov/cedselementdetails.aspx?termid=13502")</f>
        <v>https://ceds.ed.gov/cedselementdetails.aspx?termid=13502</v>
      </c>
      <c r="Q2114" s="9" t="str">
        <f>HYPERLINK("https://ceds.ed.gov/elementComment.aspx?elementName=Duration of Disciplinary Action &amp;elementID=13502", "Click here to submit comment")</f>
        <v>Click here to submit comment</v>
      </c>
    </row>
    <row r="2115" spans="1:17" ht="300" x14ac:dyDescent="0.25">
      <c r="A2115" s="9" t="s">
        <v>6811</v>
      </c>
      <c r="B2115" s="9" t="s">
        <v>6853</v>
      </c>
      <c r="C2115" s="9"/>
      <c r="D2115" s="9" t="s">
        <v>6742</v>
      </c>
      <c r="E2115" s="9" t="s">
        <v>2312</v>
      </c>
      <c r="F2115" s="9" t="s">
        <v>2313</v>
      </c>
      <c r="G2115" s="10" t="s">
        <v>6452</v>
      </c>
      <c r="H2115" s="9"/>
      <c r="I2115" s="9"/>
      <c r="J2115" s="9"/>
      <c r="K2115" s="9"/>
      <c r="L2115" s="9"/>
      <c r="M2115" s="9" t="s">
        <v>2314</v>
      </c>
      <c r="N2115" s="9"/>
      <c r="O2115" s="9" t="s">
        <v>2315</v>
      </c>
      <c r="P2115" s="9" t="str">
        <f>HYPERLINK("https://ceds.ed.gov/cedselementdetails.aspx?termid=13602")</f>
        <v>https://ceds.ed.gov/cedselementdetails.aspx?termid=13602</v>
      </c>
      <c r="Q2115" s="9" t="str">
        <f>HYPERLINK("https://ceds.ed.gov/elementComment.aspx?elementName=Discipline Action Length Difference Reason &amp;elementID=13602", "Click here to submit comment")</f>
        <v>Click here to submit comment</v>
      </c>
    </row>
    <row r="2116" spans="1:17" ht="45" x14ac:dyDescent="0.25">
      <c r="A2116" s="9" t="s">
        <v>6811</v>
      </c>
      <c r="B2116" s="9" t="s">
        <v>6853</v>
      </c>
      <c r="C2116" s="9"/>
      <c r="D2116" s="9" t="s">
        <v>6742</v>
      </c>
      <c r="E2116" s="9" t="s">
        <v>2973</v>
      </c>
      <c r="F2116" s="9" t="s">
        <v>2974</v>
      </c>
      <c r="G2116" s="9" t="s">
        <v>6106</v>
      </c>
      <c r="H2116" s="9"/>
      <c r="I2116" s="9"/>
      <c r="J2116" s="9"/>
      <c r="K2116" s="9"/>
      <c r="L2116" s="9"/>
      <c r="M2116" s="9" t="s">
        <v>2975</v>
      </c>
      <c r="N2116" s="9"/>
      <c r="O2116" s="9" t="s">
        <v>2976</v>
      </c>
      <c r="P2116" s="9" t="str">
        <f>HYPERLINK("https://ceds.ed.gov/cedselementdetails.aspx?termid=13504")</f>
        <v>https://ceds.ed.gov/cedselementdetails.aspx?termid=13504</v>
      </c>
      <c r="Q2116" s="9" t="str">
        <f>HYPERLINK("https://ceds.ed.gov/elementComment.aspx?elementName=Full Year Expulsion &amp;elementID=13504", "Click here to submit comment")</f>
        <v>Click here to submit comment</v>
      </c>
    </row>
    <row r="2117" spans="1:17" ht="60" x14ac:dyDescent="0.25">
      <c r="A2117" s="9" t="s">
        <v>6811</v>
      </c>
      <c r="B2117" s="9" t="s">
        <v>6853</v>
      </c>
      <c r="C2117" s="9"/>
      <c r="D2117" s="9" t="s">
        <v>6742</v>
      </c>
      <c r="E2117" s="9" t="s">
        <v>5481</v>
      </c>
      <c r="F2117" s="9" t="s">
        <v>5482</v>
      </c>
      <c r="G2117" s="9" t="s">
        <v>6106</v>
      </c>
      <c r="H2117" s="9"/>
      <c r="I2117" s="9"/>
      <c r="J2117" s="9"/>
      <c r="K2117" s="9"/>
      <c r="L2117" s="9"/>
      <c r="M2117" s="9" t="s">
        <v>5483</v>
      </c>
      <c r="N2117" s="9"/>
      <c r="O2117" s="9" t="s">
        <v>5484</v>
      </c>
      <c r="P2117" s="9" t="str">
        <f>HYPERLINK("https://ceds.ed.gov/cedselementdetails.aspx?termid=13505")</f>
        <v>https://ceds.ed.gov/cedselementdetails.aspx?termid=13505</v>
      </c>
      <c r="Q2117" s="9" t="str">
        <f>HYPERLINK("https://ceds.ed.gov/elementComment.aspx?elementName=Shortened Expulsion &amp;elementID=13505", "Click here to submit comment")</f>
        <v>Click here to submit comment</v>
      </c>
    </row>
    <row r="2118" spans="1:17" ht="75" x14ac:dyDescent="0.25">
      <c r="A2118" s="9" t="s">
        <v>6811</v>
      </c>
      <c r="B2118" s="9" t="s">
        <v>6853</v>
      </c>
      <c r="C2118" s="9"/>
      <c r="D2118" s="9" t="s">
        <v>6742</v>
      </c>
      <c r="E2118" s="9" t="s">
        <v>3207</v>
      </c>
      <c r="F2118" s="9" t="s">
        <v>3208</v>
      </c>
      <c r="G2118" s="10" t="s">
        <v>6542</v>
      </c>
      <c r="H2118" s="9" t="s">
        <v>199</v>
      </c>
      <c r="I2118" s="9"/>
      <c r="J2118" s="9"/>
      <c r="K2118" s="9"/>
      <c r="L2118" s="9"/>
      <c r="M2118" s="9" t="s">
        <v>3209</v>
      </c>
      <c r="N2118" s="9"/>
      <c r="O2118" s="9" t="s">
        <v>3210</v>
      </c>
      <c r="P2118" s="9" t="str">
        <f>HYPERLINK("https://ceds.ed.gov/cedselementdetails.aspx?termid=13530")</f>
        <v>https://ceds.ed.gov/cedselementdetails.aspx?termid=13530</v>
      </c>
      <c r="Q2118" s="9" t="str">
        <f>HYPERLINK("https://ceds.ed.gov/elementComment.aspx?elementName=IDEA Interim Removal Reason &amp;elementID=13530", "Click here to submit comment")</f>
        <v>Click here to submit comment</v>
      </c>
    </row>
    <row r="2119" spans="1:17" ht="75" x14ac:dyDescent="0.25">
      <c r="A2119" s="9" t="s">
        <v>6811</v>
      </c>
      <c r="B2119" s="9" t="s">
        <v>6853</v>
      </c>
      <c r="C2119" s="9"/>
      <c r="D2119" s="9" t="s">
        <v>6742</v>
      </c>
      <c r="E2119" s="9" t="s">
        <v>3203</v>
      </c>
      <c r="F2119" s="9" t="s">
        <v>3204</v>
      </c>
      <c r="G2119" s="10" t="s">
        <v>6541</v>
      </c>
      <c r="H2119" s="9" t="s">
        <v>199</v>
      </c>
      <c r="I2119" s="9"/>
      <c r="J2119" s="9"/>
      <c r="K2119" s="9"/>
      <c r="L2119" s="9"/>
      <c r="M2119" s="9" t="s">
        <v>3205</v>
      </c>
      <c r="N2119" s="9"/>
      <c r="O2119" s="9" t="s">
        <v>3206</v>
      </c>
      <c r="P2119" s="9" t="str">
        <f>HYPERLINK("https://ceds.ed.gov/cedselementdetails.aspx?termid=13532")</f>
        <v>https://ceds.ed.gov/cedselementdetails.aspx?termid=13532</v>
      </c>
      <c r="Q2119" s="9" t="str">
        <f>HYPERLINK("https://ceds.ed.gov/elementComment.aspx?elementName=IDEA Interim Removal &amp;elementID=13532", "Click here to submit comment")</f>
        <v>Click here to submit comment</v>
      </c>
    </row>
    <row r="2120" spans="1:17" ht="75" x14ac:dyDescent="0.25">
      <c r="A2120" s="9" t="s">
        <v>6811</v>
      </c>
      <c r="B2120" s="9" t="s">
        <v>6853</v>
      </c>
      <c r="C2120" s="9"/>
      <c r="D2120" s="9" t="s">
        <v>6742</v>
      </c>
      <c r="E2120" s="9" t="s">
        <v>2580</v>
      </c>
      <c r="F2120" s="9" t="s">
        <v>2581</v>
      </c>
      <c r="G2120" s="9" t="s">
        <v>6106</v>
      </c>
      <c r="H2120" s="9"/>
      <c r="I2120" s="9"/>
      <c r="J2120" s="9"/>
      <c r="K2120" s="9"/>
      <c r="L2120" s="9"/>
      <c r="M2120" s="9" t="s">
        <v>2582</v>
      </c>
      <c r="N2120" s="9"/>
      <c r="O2120" s="9" t="s">
        <v>2583</v>
      </c>
      <c r="P2120" s="9" t="str">
        <f>HYPERLINK("https://ceds.ed.gov/cedselementdetails.aspx?termid=13570")</f>
        <v>https://ceds.ed.gov/cedselementdetails.aspx?termid=13570</v>
      </c>
      <c r="Q2120" s="9" t="str">
        <f>HYPERLINK("https://ceds.ed.gov/elementComment.aspx?elementName=Educational Services After Removal &amp;elementID=13570", "Click here to submit comment")</f>
        <v>Click here to submit comment</v>
      </c>
    </row>
    <row r="2121" spans="1:17" ht="195" x14ac:dyDescent="0.25">
      <c r="A2121" s="9" t="s">
        <v>6811</v>
      </c>
      <c r="B2121" s="9" t="s">
        <v>6853</v>
      </c>
      <c r="C2121" s="9"/>
      <c r="D2121" s="9" t="s">
        <v>6742</v>
      </c>
      <c r="E2121" s="9" t="s">
        <v>3255</v>
      </c>
      <c r="F2121" s="9" t="s">
        <v>3256</v>
      </c>
      <c r="G2121" s="9" t="s">
        <v>12</v>
      </c>
      <c r="H2121" s="9"/>
      <c r="I2121" s="9"/>
      <c r="J2121" s="9" t="s">
        <v>87</v>
      </c>
      <c r="K2121" s="9"/>
      <c r="L2121" s="9"/>
      <c r="M2121" s="9" t="s">
        <v>3257</v>
      </c>
      <c r="N2121" s="9"/>
      <c r="O2121" s="9" t="s">
        <v>3258</v>
      </c>
      <c r="P2121" s="9" t="str">
        <f>HYPERLINK("https://ceds.ed.gov/cedselementdetails.aspx?termid=13496")</f>
        <v>https://ceds.ed.gov/cedselementdetails.aspx?termid=13496</v>
      </c>
      <c r="Q2121" s="9" t="str">
        <f>HYPERLINK("https://ceds.ed.gov/elementComment.aspx?elementName=Incident Cost &amp;elementID=13496", "Click here to submit comment")</f>
        <v>Click here to submit comment</v>
      </c>
    </row>
    <row r="2122" spans="1:17" ht="45" x14ac:dyDescent="0.25">
      <c r="A2122" s="9" t="s">
        <v>6811</v>
      </c>
      <c r="B2122" s="9" t="s">
        <v>6854</v>
      </c>
      <c r="C2122" s="9" t="s">
        <v>6818</v>
      </c>
      <c r="D2122" s="9" t="s">
        <v>6742</v>
      </c>
      <c r="E2122" s="9" t="s">
        <v>5379</v>
      </c>
      <c r="F2122" s="9" t="s">
        <v>5380</v>
      </c>
      <c r="G2122" s="9" t="s">
        <v>12</v>
      </c>
      <c r="H2122" s="9" t="s">
        <v>1858</v>
      </c>
      <c r="I2122" s="9"/>
      <c r="J2122" s="9" t="s">
        <v>1813</v>
      </c>
      <c r="K2122" s="9"/>
      <c r="L2122" s="9" t="s">
        <v>5381</v>
      </c>
      <c r="M2122" s="9" t="s">
        <v>5382</v>
      </c>
      <c r="N2122" s="9"/>
      <c r="O2122" s="9" t="s">
        <v>5383</v>
      </c>
      <c r="P2122" s="9" t="str">
        <f>HYPERLINK("https://ceds.ed.gov/cedselementdetails.aspx?termid=13243")</f>
        <v>https://ceds.ed.gov/cedselementdetails.aspx?termid=13243</v>
      </c>
      <c r="Q2122" s="9" t="str">
        <f>HYPERLINK("https://ceds.ed.gov/elementComment.aspx?elementName=School Year &amp;elementID=13243", "Click here to submit comment")</f>
        <v>Click here to submit comment</v>
      </c>
    </row>
    <row r="2123" spans="1:17" ht="45" x14ac:dyDescent="0.25">
      <c r="A2123" s="9" t="s">
        <v>6811</v>
      </c>
      <c r="B2123" s="9" t="s">
        <v>6854</v>
      </c>
      <c r="C2123" s="9" t="s">
        <v>6818</v>
      </c>
      <c r="D2123" s="9" t="s">
        <v>6742</v>
      </c>
      <c r="E2123" s="9" t="s">
        <v>1565</v>
      </c>
      <c r="F2123" s="9" t="s">
        <v>1566</v>
      </c>
      <c r="G2123" s="9" t="s">
        <v>12</v>
      </c>
      <c r="H2123" s="9"/>
      <c r="I2123" s="9"/>
      <c r="J2123" s="9" t="s">
        <v>87</v>
      </c>
      <c r="K2123" s="9"/>
      <c r="L2123" s="9"/>
      <c r="M2123" s="9" t="s">
        <v>1567</v>
      </c>
      <c r="N2123" s="9"/>
      <c r="O2123" s="9" t="s">
        <v>1568</v>
      </c>
      <c r="P2123" s="9" t="str">
        <f>HYPERLINK("https://ceds.ed.gov/cedselementdetails.aspx?termid=13485")</f>
        <v>https://ceds.ed.gov/cedselementdetails.aspx?termid=13485</v>
      </c>
      <c r="Q2123" s="9" t="str">
        <f>HYPERLINK("https://ceds.ed.gov/elementComment.aspx?elementName=Calendar Code &amp;elementID=13485", "Click here to submit comment")</f>
        <v>Click here to submit comment</v>
      </c>
    </row>
    <row r="2124" spans="1:17" ht="45" x14ac:dyDescent="0.25">
      <c r="A2124" s="9" t="s">
        <v>6811</v>
      </c>
      <c r="B2124" s="9" t="s">
        <v>6854</v>
      </c>
      <c r="C2124" s="9" t="s">
        <v>6818</v>
      </c>
      <c r="D2124" s="9" t="s">
        <v>6742</v>
      </c>
      <c r="E2124" s="9" t="s">
        <v>1569</v>
      </c>
      <c r="F2124" s="9" t="s">
        <v>1570</v>
      </c>
      <c r="G2124" s="9" t="s">
        <v>12</v>
      </c>
      <c r="H2124" s="9"/>
      <c r="I2124" s="9"/>
      <c r="J2124" s="9" t="s">
        <v>92</v>
      </c>
      <c r="K2124" s="9"/>
      <c r="L2124" s="9"/>
      <c r="M2124" s="9" t="s">
        <v>1571</v>
      </c>
      <c r="N2124" s="9"/>
      <c r="O2124" s="9" t="s">
        <v>1572</v>
      </c>
      <c r="P2124" s="9" t="str">
        <f>HYPERLINK("https://ceds.ed.gov/cedselementdetails.aspx?termid=13486")</f>
        <v>https://ceds.ed.gov/cedselementdetails.aspx?termid=13486</v>
      </c>
      <c r="Q2124" s="9" t="str">
        <f>HYPERLINK("https://ceds.ed.gov/elementComment.aspx?elementName=Calendar Description &amp;elementID=13486", "Click here to submit comment")</f>
        <v>Click here to submit comment</v>
      </c>
    </row>
    <row r="2125" spans="1:17" ht="45" x14ac:dyDescent="0.25">
      <c r="A2125" s="9" t="s">
        <v>6811</v>
      </c>
      <c r="B2125" s="9" t="s">
        <v>6854</v>
      </c>
      <c r="C2125" s="9" t="s">
        <v>6818</v>
      </c>
      <c r="D2125" s="9" t="s">
        <v>6742</v>
      </c>
      <c r="E2125" s="9" t="s">
        <v>319</v>
      </c>
      <c r="F2125" s="9" t="s">
        <v>320</v>
      </c>
      <c r="G2125" s="9" t="s">
        <v>12</v>
      </c>
      <c r="H2125" s="9"/>
      <c r="I2125" s="9"/>
      <c r="J2125" s="9" t="s">
        <v>87</v>
      </c>
      <c r="K2125" s="9"/>
      <c r="L2125" s="9"/>
      <c r="M2125" s="9" t="s">
        <v>322</v>
      </c>
      <c r="N2125" s="9"/>
      <c r="O2125" s="9" t="s">
        <v>323</v>
      </c>
      <c r="P2125" s="9" t="str">
        <f>HYPERLINK("https://ceds.ed.gov/cedselementdetails.aspx?termid=13591")</f>
        <v>https://ceds.ed.gov/cedselementdetails.aspx?termid=13591</v>
      </c>
      <c r="Q2125" s="9" t="str">
        <f>HYPERLINK("https://ceds.ed.gov/elementComment.aspx?elementName=Alternate Day Name &amp;elementID=13591", "Click here to submit comment")</f>
        <v>Click here to submit comment</v>
      </c>
    </row>
    <row r="2126" spans="1:17" ht="60" x14ac:dyDescent="0.25">
      <c r="A2126" s="9" t="s">
        <v>6811</v>
      </c>
      <c r="B2126" s="9" t="s">
        <v>6854</v>
      </c>
      <c r="C2126" s="9" t="s">
        <v>6818</v>
      </c>
      <c r="D2126" s="9" t="s">
        <v>6742</v>
      </c>
      <c r="E2126" s="9" t="s">
        <v>5432</v>
      </c>
      <c r="F2126" s="9" t="s">
        <v>5433</v>
      </c>
      <c r="G2126" s="9" t="s">
        <v>12</v>
      </c>
      <c r="H2126" s="9"/>
      <c r="I2126" s="9"/>
      <c r="J2126" s="9" t="s">
        <v>87</v>
      </c>
      <c r="K2126" s="9"/>
      <c r="L2126" s="9"/>
      <c r="M2126" s="9" t="s">
        <v>5434</v>
      </c>
      <c r="N2126" s="9"/>
      <c r="O2126" s="9" t="s">
        <v>5435</v>
      </c>
      <c r="P2126" s="9" t="str">
        <f>HYPERLINK("https://ceds.ed.gov/cedselementdetails.aspx?termid=14236")</f>
        <v>https://ceds.ed.gov/cedselementdetails.aspx?termid=14236</v>
      </c>
      <c r="Q2126" s="9" t="str">
        <f>HYPERLINK("https://ceds.ed.gov/elementComment.aspx?elementName=Session Code &amp;elementID=14236", "Click here to submit comment")</f>
        <v>Click here to submit comment</v>
      </c>
    </row>
    <row r="2127" spans="1:17" ht="45" x14ac:dyDescent="0.25">
      <c r="A2127" s="9" t="s">
        <v>6811</v>
      </c>
      <c r="B2127" s="9" t="s">
        <v>6854</v>
      </c>
      <c r="C2127" s="9" t="s">
        <v>6818</v>
      </c>
      <c r="D2127" s="9" t="s">
        <v>6742</v>
      </c>
      <c r="E2127" s="9" t="s">
        <v>5436</v>
      </c>
      <c r="F2127" s="9" t="s">
        <v>5437</v>
      </c>
      <c r="G2127" s="9" t="s">
        <v>12</v>
      </c>
      <c r="H2127" s="9"/>
      <c r="I2127" s="9"/>
      <c r="J2127" s="9" t="s">
        <v>303</v>
      </c>
      <c r="K2127" s="9"/>
      <c r="L2127" s="9"/>
      <c r="M2127" s="9" t="s">
        <v>5438</v>
      </c>
      <c r="N2127" s="9"/>
      <c r="O2127" s="9" t="s">
        <v>5439</v>
      </c>
      <c r="P2127" s="9" t="str">
        <f>HYPERLINK("https://ceds.ed.gov/cedselementdetails.aspx?termid=14237")</f>
        <v>https://ceds.ed.gov/cedselementdetails.aspx?termid=14237</v>
      </c>
      <c r="Q2127" s="9" t="str">
        <f>HYPERLINK("https://ceds.ed.gov/elementComment.aspx?elementName=Session Description &amp;elementID=14237", "Click here to submit comment")</f>
        <v>Click here to submit comment</v>
      </c>
    </row>
    <row r="2128" spans="1:17" ht="45" x14ac:dyDescent="0.25">
      <c r="A2128" s="9" t="s">
        <v>6811</v>
      </c>
      <c r="B2128" s="9" t="s">
        <v>6854</v>
      </c>
      <c r="C2128" s="9" t="s">
        <v>6818</v>
      </c>
      <c r="D2128" s="9" t="s">
        <v>6742</v>
      </c>
      <c r="E2128" s="9" t="s">
        <v>5452</v>
      </c>
      <c r="F2128" s="9" t="s">
        <v>5453</v>
      </c>
      <c r="G2128" s="9" t="s">
        <v>6106</v>
      </c>
      <c r="H2128" s="9"/>
      <c r="I2128" s="9"/>
      <c r="J2128" s="9"/>
      <c r="K2128" s="9"/>
      <c r="L2128" s="9"/>
      <c r="M2128" s="9" t="s">
        <v>5454</v>
      </c>
      <c r="N2128" s="9"/>
      <c r="O2128" s="9" t="s">
        <v>5455</v>
      </c>
      <c r="P2128" s="9" t="str">
        <f>HYPERLINK("https://ceds.ed.gov/cedselementdetails.aspx?termid=14238")</f>
        <v>https://ceds.ed.gov/cedselementdetails.aspx?termid=14238</v>
      </c>
      <c r="Q2128" s="9" t="str">
        <f>HYPERLINK("https://ceds.ed.gov/elementComment.aspx?elementName=Session Marking Term Indicator &amp;elementID=14238", "Click here to submit comment")</f>
        <v>Click here to submit comment</v>
      </c>
    </row>
    <row r="2129" spans="1:17" ht="45" x14ac:dyDescent="0.25">
      <c r="A2129" s="9" t="s">
        <v>6811</v>
      </c>
      <c r="B2129" s="9" t="s">
        <v>6854</v>
      </c>
      <c r="C2129" s="9" t="s">
        <v>6818</v>
      </c>
      <c r="D2129" s="9" t="s">
        <v>6742</v>
      </c>
      <c r="E2129" s="9" t="s">
        <v>5456</v>
      </c>
      <c r="F2129" s="9" t="s">
        <v>5457</v>
      </c>
      <c r="G2129" s="9" t="s">
        <v>6106</v>
      </c>
      <c r="H2129" s="9"/>
      <c r="I2129" s="9"/>
      <c r="J2129" s="9"/>
      <c r="K2129" s="9"/>
      <c r="L2129" s="9"/>
      <c r="M2129" s="9" t="s">
        <v>5458</v>
      </c>
      <c r="N2129" s="9"/>
      <c r="O2129" s="9" t="s">
        <v>5459</v>
      </c>
      <c r="P2129" s="9" t="str">
        <f>HYPERLINK("https://ceds.ed.gov/cedselementdetails.aspx?termid=14239")</f>
        <v>https://ceds.ed.gov/cedselementdetails.aspx?termid=14239</v>
      </c>
      <c r="Q2129" s="9" t="str">
        <f>HYPERLINK("https://ceds.ed.gov/elementComment.aspx?elementName=Session Scheduling Term Indicator &amp;elementID=14239", "Click here to submit comment")</f>
        <v>Click here to submit comment</v>
      </c>
    </row>
    <row r="2130" spans="1:17" ht="45" x14ac:dyDescent="0.25">
      <c r="A2130" s="9" t="s">
        <v>6811</v>
      </c>
      <c r="B2130" s="9" t="s">
        <v>6854</v>
      </c>
      <c r="C2130" s="9" t="s">
        <v>6818</v>
      </c>
      <c r="D2130" s="9" t="s">
        <v>6742</v>
      </c>
      <c r="E2130" s="9" t="s">
        <v>5424</v>
      </c>
      <c r="F2130" s="9" t="s">
        <v>5425</v>
      </c>
      <c r="G2130" s="9" t="s">
        <v>6106</v>
      </c>
      <c r="H2130" s="9"/>
      <c r="I2130" s="9"/>
      <c r="J2130" s="9"/>
      <c r="K2130" s="9"/>
      <c r="L2130" s="9"/>
      <c r="M2130" s="9" t="s">
        <v>5426</v>
      </c>
      <c r="N2130" s="9"/>
      <c r="O2130" s="9" t="s">
        <v>5427</v>
      </c>
      <c r="P2130" s="9" t="str">
        <f>HYPERLINK("https://ceds.ed.gov/cedselementdetails.aspx?termid=14240")</f>
        <v>https://ceds.ed.gov/cedselementdetails.aspx?termid=14240</v>
      </c>
      <c r="Q2130" s="9" t="str">
        <f>HYPERLINK("https://ceds.ed.gov/elementComment.aspx?elementName=Session Attendance Term Indicator &amp;elementID=14240", "Click here to submit comment")</f>
        <v>Click here to submit comment</v>
      </c>
    </row>
    <row r="2131" spans="1:17" ht="120" x14ac:dyDescent="0.25">
      <c r="A2131" s="9" t="s">
        <v>6811</v>
      </c>
      <c r="B2131" s="9" t="s">
        <v>6854</v>
      </c>
      <c r="C2131" s="9" t="s">
        <v>6818</v>
      </c>
      <c r="D2131" s="9" t="s">
        <v>6742</v>
      </c>
      <c r="E2131" s="9" t="s">
        <v>5428</v>
      </c>
      <c r="F2131" s="9" t="s">
        <v>5429</v>
      </c>
      <c r="G2131" s="9" t="s">
        <v>12</v>
      </c>
      <c r="H2131" s="9" t="s">
        <v>6150</v>
      </c>
      <c r="I2131" s="9"/>
      <c r="J2131" s="9" t="s">
        <v>73</v>
      </c>
      <c r="K2131" s="9"/>
      <c r="L2131" s="9"/>
      <c r="M2131" s="9" t="s">
        <v>5430</v>
      </c>
      <c r="N2131" s="9"/>
      <c r="O2131" s="9" t="s">
        <v>5431</v>
      </c>
      <c r="P2131" s="9" t="str">
        <f>HYPERLINK("https://ceds.ed.gov/cedselementdetails.aspx?termid=13251")</f>
        <v>https://ceds.ed.gov/cedselementdetails.aspx?termid=13251</v>
      </c>
      <c r="Q2131" s="9" t="str">
        <f>HYPERLINK("https://ceds.ed.gov/elementComment.aspx?elementName=Session Begin Date &amp;elementID=13251", "Click here to submit comment")</f>
        <v>Click here to submit comment</v>
      </c>
    </row>
    <row r="2132" spans="1:17" ht="120" x14ac:dyDescent="0.25">
      <c r="A2132" s="9" t="s">
        <v>6811</v>
      </c>
      <c r="B2132" s="9" t="s">
        <v>6854</v>
      </c>
      <c r="C2132" s="9" t="s">
        <v>6818</v>
      </c>
      <c r="D2132" s="9" t="s">
        <v>6742</v>
      </c>
      <c r="E2132" s="9" t="s">
        <v>5444</v>
      </c>
      <c r="F2132" s="9" t="s">
        <v>5445</v>
      </c>
      <c r="G2132" s="9" t="s">
        <v>12</v>
      </c>
      <c r="H2132" s="9" t="s">
        <v>6150</v>
      </c>
      <c r="I2132" s="9"/>
      <c r="J2132" s="9" t="s">
        <v>73</v>
      </c>
      <c r="K2132" s="9"/>
      <c r="L2132" s="9"/>
      <c r="M2132" s="9" t="s">
        <v>5446</v>
      </c>
      <c r="N2132" s="9"/>
      <c r="O2132" s="9" t="s">
        <v>5447</v>
      </c>
      <c r="P2132" s="9" t="str">
        <f>HYPERLINK("https://ceds.ed.gov/cedselementdetails.aspx?termid=13253")</f>
        <v>https://ceds.ed.gov/cedselementdetails.aspx?termid=13253</v>
      </c>
      <c r="Q2132" s="9" t="str">
        <f>HYPERLINK("https://ceds.ed.gov/elementComment.aspx?elementName=Session End Date &amp;elementID=13253", "Click here to submit comment")</f>
        <v>Click here to submit comment</v>
      </c>
    </row>
    <row r="2133" spans="1:17" ht="45" x14ac:dyDescent="0.25">
      <c r="A2133" s="9" t="s">
        <v>6811</v>
      </c>
      <c r="B2133" s="9" t="s">
        <v>6854</v>
      </c>
      <c r="C2133" s="9" t="s">
        <v>6818</v>
      </c>
      <c r="D2133" s="9" t="s">
        <v>6742</v>
      </c>
      <c r="E2133" s="9" t="s">
        <v>5460</v>
      </c>
      <c r="F2133" s="9" t="s">
        <v>5461</v>
      </c>
      <c r="G2133" s="9" t="s">
        <v>12</v>
      </c>
      <c r="H2133" s="9" t="s">
        <v>6167</v>
      </c>
      <c r="I2133" s="9"/>
      <c r="J2133" s="9" t="s">
        <v>406</v>
      </c>
      <c r="K2133" s="9"/>
      <c r="L2133" s="9"/>
      <c r="M2133" s="9" t="s">
        <v>5462</v>
      </c>
      <c r="N2133" s="9"/>
      <c r="O2133" s="9" t="s">
        <v>5463</v>
      </c>
      <c r="P2133" s="9" t="str">
        <f>HYPERLINK("https://ceds.ed.gov/cedselementdetails.aspx?termid=13986")</f>
        <v>https://ceds.ed.gov/cedselementdetails.aspx?termid=13986</v>
      </c>
      <c r="Q2133" s="9" t="str">
        <f>HYPERLINK("https://ceds.ed.gov/elementComment.aspx?elementName=Session Start Time &amp;elementID=13986", "Click here to submit comment")</f>
        <v>Click here to submit comment</v>
      </c>
    </row>
    <row r="2134" spans="1:17" ht="45" x14ac:dyDescent="0.25">
      <c r="A2134" s="9" t="s">
        <v>6811</v>
      </c>
      <c r="B2134" s="9" t="s">
        <v>6854</v>
      </c>
      <c r="C2134" s="9" t="s">
        <v>6818</v>
      </c>
      <c r="D2134" s="9" t="s">
        <v>6742</v>
      </c>
      <c r="E2134" s="9" t="s">
        <v>5448</v>
      </c>
      <c r="F2134" s="9" t="s">
        <v>5449</v>
      </c>
      <c r="G2134" s="9" t="s">
        <v>12</v>
      </c>
      <c r="H2134" s="9" t="s">
        <v>6167</v>
      </c>
      <c r="I2134" s="9"/>
      <c r="J2134" s="9" t="s">
        <v>406</v>
      </c>
      <c r="K2134" s="9"/>
      <c r="L2134" s="9"/>
      <c r="M2134" s="9" t="s">
        <v>5450</v>
      </c>
      <c r="N2134" s="9"/>
      <c r="O2134" s="9" t="s">
        <v>5451</v>
      </c>
      <c r="P2134" s="9" t="str">
        <f>HYPERLINK("https://ceds.ed.gov/cedselementdetails.aspx?termid=13988")</f>
        <v>https://ceds.ed.gov/cedselementdetails.aspx?termid=13988</v>
      </c>
      <c r="Q2134" s="9" t="str">
        <f>HYPERLINK("https://ceds.ed.gov/elementComment.aspx?elementName=Session End Time &amp;elementID=13988", "Click here to submit comment")</f>
        <v>Click here to submit comment</v>
      </c>
    </row>
    <row r="2135" spans="1:17" ht="195" x14ac:dyDescent="0.25">
      <c r="A2135" s="9" t="s">
        <v>6811</v>
      </c>
      <c r="B2135" s="9" t="s">
        <v>6854</v>
      </c>
      <c r="C2135" s="9" t="s">
        <v>6855</v>
      </c>
      <c r="D2135" s="9" t="s">
        <v>6742</v>
      </c>
      <c r="E2135" s="9" t="s">
        <v>2134</v>
      </c>
      <c r="F2135" s="9" t="s">
        <v>2135</v>
      </c>
      <c r="G2135" s="9" t="s">
        <v>12</v>
      </c>
      <c r="H2135" s="9"/>
      <c r="I2135" s="9"/>
      <c r="J2135" s="9" t="s">
        <v>87</v>
      </c>
      <c r="K2135" s="9"/>
      <c r="L2135" s="9"/>
      <c r="M2135" s="9" t="s">
        <v>2137</v>
      </c>
      <c r="N2135" s="9"/>
      <c r="O2135" s="9" t="s">
        <v>2138</v>
      </c>
      <c r="P2135" s="9" t="str">
        <f>HYPERLINK("https://ceds.ed.gov/cedselementdetails.aspx?termid=13604")</f>
        <v>https://ceds.ed.gov/cedselementdetails.aspx?termid=13604</v>
      </c>
      <c r="Q2135" s="9" t="str">
        <f>HYPERLINK("https://ceds.ed.gov/elementComment.aspx?elementName=Crisis Code &amp;elementID=13604", "Click here to submit comment")</f>
        <v>Click here to submit comment</v>
      </c>
    </row>
    <row r="2136" spans="1:17" ht="45" x14ac:dyDescent="0.25">
      <c r="A2136" s="9" t="s">
        <v>6811</v>
      </c>
      <c r="B2136" s="9" t="s">
        <v>6854</v>
      </c>
      <c r="C2136" s="9" t="s">
        <v>6855</v>
      </c>
      <c r="D2136" s="9" t="s">
        <v>6742</v>
      </c>
      <c r="E2136" s="9" t="s">
        <v>2147</v>
      </c>
      <c r="F2136" s="9" t="s">
        <v>2148</v>
      </c>
      <c r="G2136" s="9" t="s">
        <v>12</v>
      </c>
      <c r="H2136" s="9"/>
      <c r="I2136" s="9"/>
      <c r="J2136" s="9" t="s">
        <v>1347</v>
      </c>
      <c r="K2136" s="9"/>
      <c r="L2136" s="9"/>
      <c r="M2136" s="9" t="s">
        <v>2149</v>
      </c>
      <c r="N2136" s="9"/>
      <c r="O2136" s="9" t="s">
        <v>2150</v>
      </c>
      <c r="P2136" s="9" t="str">
        <f>HYPERLINK("https://ceds.ed.gov/cedselementdetails.aspx?termid=13605")</f>
        <v>https://ceds.ed.gov/cedselementdetails.aspx?termid=13605</v>
      </c>
      <c r="Q2136" s="9" t="str">
        <f>HYPERLINK("https://ceds.ed.gov/elementComment.aspx?elementName=Crisis Name &amp;elementID=13605", "Click here to submit comment")</f>
        <v>Click here to submit comment</v>
      </c>
    </row>
    <row r="2137" spans="1:17" ht="45" x14ac:dyDescent="0.25">
      <c r="A2137" s="9" t="s">
        <v>6811</v>
      </c>
      <c r="B2137" s="9" t="s">
        <v>6854</v>
      </c>
      <c r="C2137" s="9" t="s">
        <v>6855</v>
      </c>
      <c r="D2137" s="9" t="s">
        <v>6742</v>
      </c>
      <c r="E2137" s="9" t="s">
        <v>2155</v>
      </c>
      <c r="F2137" s="9" t="s">
        <v>2156</v>
      </c>
      <c r="G2137" s="9" t="s">
        <v>12</v>
      </c>
      <c r="H2137" s="9"/>
      <c r="I2137" s="9"/>
      <c r="J2137" s="9" t="s">
        <v>1347</v>
      </c>
      <c r="K2137" s="9"/>
      <c r="L2137" s="9"/>
      <c r="M2137" s="9" t="s">
        <v>2157</v>
      </c>
      <c r="N2137" s="9"/>
      <c r="O2137" s="9" t="s">
        <v>2158</v>
      </c>
      <c r="P2137" s="9" t="str">
        <f>HYPERLINK("https://ceds.ed.gov/cedselementdetails.aspx?termid=13606")</f>
        <v>https://ceds.ed.gov/cedselementdetails.aspx?termid=13606</v>
      </c>
      <c r="Q2137" s="9" t="str">
        <f>HYPERLINK("https://ceds.ed.gov/elementComment.aspx?elementName=Crisis Type &amp;elementID=13606", "Click here to submit comment")</f>
        <v>Click here to submit comment</v>
      </c>
    </row>
    <row r="2138" spans="1:17" ht="45" x14ac:dyDescent="0.25">
      <c r="A2138" s="9" t="s">
        <v>6811</v>
      </c>
      <c r="B2138" s="9" t="s">
        <v>6854</v>
      </c>
      <c r="C2138" s="9" t="s">
        <v>6855</v>
      </c>
      <c r="D2138" s="9" t="s">
        <v>6742</v>
      </c>
      <c r="E2138" s="9" t="s">
        <v>2139</v>
      </c>
      <c r="F2138" s="9" t="s">
        <v>2140</v>
      </c>
      <c r="G2138" s="9" t="s">
        <v>12</v>
      </c>
      <c r="H2138" s="9"/>
      <c r="I2138" s="9"/>
      <c r="J2138" s="9" t="s">
        <v>68</v>
      </c>
      <c r="K2138" s="9"/>
      <c r="L2138" s="9"/>
      <c r="M2138" s="9" t="s">
        <v>2141</v>
      </c>
      <c r="N2138" s="9"/>
      <c r="O2138" s="9" t="s">
        <v>2142</v>
      </c>
      <c r="P2138" s="9" t="str">
        <f>HYPERLINK("https://ceds.ed.gov/cedselementdetails.aspx?termid=14526")</f>
        <v>https://ceds.ed.gov/cedselementdetails.aspx?termid=14526</v>
      </c>
      <c r="Q2138" s="9" t="str">
        <f>HYPERLINK("https://ceds.ed.gov/elementComment.aspx?elementName=Crisis Description &amp;elementID=14526", "Click here to submit comment")</f>
        <v>Click here to submit comment</v>
      </c>
    </row>
    <row r="2139" spans="1:17" ht="75" x14ac:dyDescent="0.25">
      <c r="A2139" s="9" t="s">
        <v>6811</v>
      </c>
      <c r="B2139" s="9" t="s">
        <v>6854</v>
      </c>
      <c r="C2139" s="9" t="s">
        <v>6855</v>
      </c>
      <c r="D2139" s="9" t="s">
        <v>6742</v>
      </c>
      <c r="E2139" s="9" t="s">
        <v>2151</v>
      </c>
      <c r="F2139" s="9" t="s">
        <v>2152</v>
      </c>
      <c r="G2139" s="9" t="s">
        <v>12</v>
      </c>
      <c r="H2139" s="9"/>
      <c r="I2139" s="9"/>
      <c r="J2139" s="9" t="s">
        <v>73</v>
      </c>
      <c r="K2139" s="9"/>
      <c r="L2139" s="9"/>
      <c r="M2139" s="9" t="s">
        <v>2153</v>
      </c>
      <c r="N2139" s="9"/>
      <c r="O2139" s="9" t="s">
        <v>2154</v>
      </c>
      <c r="P2139" s="9" t="str">
        <f>HYPERLINK("https://ceds.ed.gov/cedselementdetails.aspx?termid=13607")</f>
        <v>https://ceds.ed.gov/cedselementdetails.aspx?termid=13607</v>
      </c>
      <c r="Q2139" s="9" t="str">
        <f>HYPERLINK("https://ceds.ed.gov/elementComment.aspx?elementName=Crisis Start Date &amp;elementID=13607", "Click here to submit comment")</f>
        <v>Click here to submit comment</v>
      </c>
    </row>
    <row r="2140" spans="1:17" ht="45" x14ac:dyDescent="0.25">
      <c r="A2140" s="9" t="s">
        <v>6811</v>
      </c>
      <c r="B2140" s="9" t="s">
        <v>6854</v>
      </c>
      <c r="C2140" s="9" t="s">
        <v>6855</v>
      </c>
      <c r="D2140" s="9" t="s">
        <v>6742</v>
      </c>
      <c r="E2140" s="9" t="s">
        <v>2143</v>
      </c>
      <c r="F2140" s="9" t="s">
        <v>2144</v>
      </c>
      <c r="G2140" s="9" t="s">
        <v>12</v>
      </c>
      <c r="H2140" s="9"/>
      <c r="I2140" s="9"/>
      <c r="J2140" s="9" t="s">
        <v>73</v>
      </c>
      <c r="K2140" s="9"/>
      <c r="L2140" s="9"/>
      <c r="M2140" s="9" t="s">
        <v>2145</v>
      </c>
      <c r="N2140" s="9"/>
      <c r="O2140" s="9" t="s">
        <v>2146</v>
      </c>
      <c r="P2140" s="9" t="str">
        <f>HYPERLINK("https://ceds.ed.gov/cedselementdetails.aspx?termid=14528")</f>
        <v>https://ceds.ed.gov/cedselementdetails.aspx?termid=14528</v>
      </c>
      <c r="Q2140" s="9" t="str">
        <f>HYPERLINK("https://ceds.ed.gov/elementComment.aspx?elementName=Crisis End Date &amp;elementID=14528", "Click here to submit comment")</f>
        <v>Click here to submit comment</v>
      </c>
    </row>
    <row r="2141" spans="1:17" ht="135" x14ac:dyDescent="0.25">
      <c r="A2141" s="9" t="s">
        <v>6811</v>
      </c>
      <c r="B2141" s="9" t="s">
        <v>6854</v>
      </c>
      <c r="C2141" s="9" t="s">
        <v>6856</v>
      </c>
      <c r="D2141" s="9" t="s">
        <v>6742</v>
      </c>
      <c r="E2141" s="9" t="s">
        <v>1582</v>
      </c>
      <c r="F2141" s="9" t="s">
        <v>10714</v>
      </c>
      <c r="G2141" s="10" t="s">
        <v>11836</v>
      </c>
      <c r="H2141" s="9"/>
      <c r="I2141" s="9"/>
      <c r="J2141" s="9"/>
      <c r="K2141" s="9"/>
      <c r="L2141" s="9"/>
      <c r="M2141" s="9" t="s">
        <v>1583</v>
      </c>
      <c r="N2141" s="9"/>
      <c r="O2141" s="9" t="s">
        <v>1584</v>
      </c>
      <c r="P2141" s="9" t="str">
        <f>HYPERLINK("https://ceds.ed.gov/cedselementdetails.aspx?termid=13596")</f>
        <v>https://ceds.ed.gov/cedselementdetails.aspx?termid=13596</v>
      </c>
      <c r="Q2141" s="9" t="str">
        <f>HYPERLINK("https://ceds.ed.gov/elementComment.aspx?elementName=Calendar Event Type &amp;elementID=13596", "Click here to submit comment")</f>
        <v>Click here to submit comment</v>
      </c>
    </row>
    <row r="2142" spans="1:17" ht="45" x14ac:dyDescent="0.25">
      <c r="A2142" s="9" t="s">
        <v>6811</v>
      </c>
      <c r="B2142" s="9" t="s">
        <v>6854</v>
      </c>
      <c r="C2142" s="9" t="s">
        <v>6856</v>
      </c>
      <c r="D2142" s="9" t="s">
        <v>6742</v>
      </c>
      <c r="E2142" s="9" t="s">
        <v>1573</v>
      </c>
      <c r="F2142" s="9" t="s">
        <v>1574</v>
      </c>
      <c r="G2142" s="9" t="s">
        <v>12</v>
      </c>
      <c r="H2142" s="9"/>
      <c r="I2142" s="9"/>
      <c r="J2142" s="9" t="s">
        <v>73</v>
      </c>
      <c r="K2142" s="9"/>
      <c r="L2142" s="9"/>
      <c r="M2142" s="9" t="s">
        <v>1576</v>
      </c>
      <c r="N2142" s="9"/>
      <c r="O2142" s="9" t="s">
        <v>1577</v>
      </c>
      <c r="P2142" s="9" t="str">
        <f>HYPERLINK("https://ceds.ed.gov/cedselementdetails.aspx?termid=14241")</f>
        <v>https://ceds.ed.gov/cedselementdetails.aspx?termid=14241</v>
      </c>
      <c r="Q2142" s="9" t="str">
        <f>HYPERLINK("https://ceds.ed.gov/elementComment.aspx?elementName=Calendar Event Date &amp;elementID=14241", "Click here to submit comment")</f>
        <v>Click here to submit comment</v>
      </c>
    </row>
    <row r="2143" spans="1:17" ht="45" x14ac:dyDescent="0.25">
      <c r="A2143" s="9" t="s">
        <v>6811</v>
      </c>
      <c r="B2143" s="9" t="s">
        <v>6854</v>
      </c>
      <c r="C2143" s="9" t="s">
        <v>6856</v>
      </c>
      <c r="D2143" s="9" t="s">
        <v>6742</v>
      </c>
      <c r="E2143" s="9" t="s">
        <v>1578</v>
      </c>
      <c r="F2143" s="9" t="s">
        <v>1579</v>
      </c>
      <c r="G2143" s="9" t="s">
        <v>12</v>
      </c>
      <c r="H2143" s="9"/>
      <c r="I2143" s="9"/>
      <c r="J2143" s="9" t="s">
        <v>87</v>
      </c>
      <c r="K2143" s="9"/>
      <c r="L2143" s="9"/>
      <c r="M2143" s="9" t="s">
        <v>1580</v>
      </c>
      <c r="N2143" s="9"/>
      <c r="O2143" s="9" t="s">
        <v>1581</v>
      </c>
      <c r="P2143" s="9" t="str">
        <f>HYPERLINK("https://ceds.ed.gov/cedselementdetails.aspx?termid=14242")</f>
        <v>https://ceds.ed.gov/cedselementdetails.aspx?termid=14242</v>
      </c>
      <c r="Q2143" s="9" t="str">
        <f>HYPERLINK("https://ceds.ed.gov/elementComment.aspx?elementName=Calendar Event Day Name &amp;elementID=14242", "Click here to submit comment")</f>
        <v>Click here to submit comment</v>
      </c>
    </row>
    <row r="2144" spans="1:17" ht="60" x14ac:dyDescent="0.25">
      <c r="A2144" s="9" t="s">
        <v>6860</v>
      </c>
      <c r="B2144" s="9" t="s">
        <v>6852</v>
      </c>
      <c r="C2144" s="9"/>
      <c r="D2144" s="9" t="s">
        <v>6742</v>
      </c>
      <c r="E2144" s="9" t="s">
        <v>4460</v>
      </c>
      <c r="F2144" s="9" t="s">
        <v>4461</v>
      </c>
      <c r="G2144" s="10" t="s">
        <v>6629</v>
      </c>
      <c r="H2144" s="9"/>
      <c r="I2144" s="9"/>
      <c r="J2144" s="9"/>
      <c r="K2144" s="9"/>
      <c r="L2144" s="9"/>
      <c r="M2144" s="9" t="s">
        <v>4462</v>
      </c>
      <c r="N2144" s="9"/>
      <c r="O2144" s="9" t="s">
        <v>4463</v>
      </c>
      <c r="P2144" s="9" t="str">
        <f>HYPERLINK("https://ceds.ed.gov/cedselementdetails.aspx?termid=14387")</f>
        <v>https://ceds.ed.gov/cedselementdetails.aspx?termid=14387</v>
      </c>
      <c r="Q2144" s="9" t="str">
        <f>HYPERLINK("https://ceds.ed.gov/elementComment.aspx?elementName=Organization Operational Status &amp;elementID=14387", "Click here to submit comment")</f>
        <v>Click here to submit comment</v>
      </c>
    </row>
    <row r="2145" spans="1:17" ht="45" x14ac:dyDescent="0.25">
      <c r="A2145" s="9" t="s">
        <v>6860</v>
      </c>
      <c r="B2145" s="9" t="s">
        <v>6852</v>
      </c>
      <c r="C2145" s="9"/>
      <c r="D2145" s="9" t="s">
        <v>6742</v>
      </c>
      <c r="E2145" s="9" t="s">
        <v>11653</v>
      </c>
      <c r="F2145" s="9" t="s">
        <v>11654</v>
      </c>
      <c r="G2145" s="9" t="s">
        <v>12</v>
      </c>
      <c r="H2145" s="9"/>
      <c r="I2145" s="9"/>
      <c r="J2145" s="9" t="s">
        <v>1143</v>
      </c>
      <c r="K2145" s="9"/>
      <c r="L2145" s="9"/>
      <c r="M2145" s="9" t="s">
        <v>11656</v>
      </c>
      <c r="N2145" s="9"/>
      <c r="O2145" s="9" t="s">
        <v>11657</v>
      </c>
      <c r="P2145" s="9" t="str">
        <f>HYPERLINK("https://ceds.ed.gov/cedselementdetails.aspx?termid=14644")</f>
        <v>https://ceds.ed.gov/cedselementdetails.aspx?termid=14644</v>
      </c>
      <c r="Q2145" s="9" t="str">
        <f>HYPERLINK("https://ceds.ed.gov/elementComment.aspx?elementName=Organization Image URL &amp;elementID=14644", "Click here to submit comment")</f>
        <v>Click here to submit comment</v>
      </c>
    </row>
    <row r="2146" spans="1:17" ht="45" x14ac:dyDescent="0.25">
      <c r="A2146" s="9" t="s">
        <v>6860</v>
      </c>
      <c r="B2146" s="9" t="s">
        <v>6852</v>
      </c>
      <c r="C2146" s="9"/>
      <c r="D2146" s="9" t="s">
        <v>6742</v>
      </c>
      <c r="E2146" s="9" t="s">
        <v>11660</v>
      </c>
      <c r="F2146" s="9" t="s">
        <v>11661</v>
      </c>
      <c r="G2146" s="9" t="s">
        <v>12</v>
      </c>
      <c r="H2146" s="9"/>
      <c r="I2146" s="9" t="s">
        <v>91</v>
      </c>
      <c r="J2146" s="9" t="s">
        <v>11025</v>
      </c>
      <c r="K2146" s="9" t="s">
        <v>11663</v>
      </c>
      <c r="L2146" s="9"/>
      <c r="M2146" s="9" t="s">
        <v>11664</v>
      </c>
      <c r="N2146" s="9"/>
      <c r="O2146" s="9" t="s">
        <v>11665</v>
      </c>
      <c r="P2146" s="9" t="str">
        <f>HYPERLINK("https://ceds.ed.gov/cedselementdetails.aspx?termid=14731")</f>
        <v>https://ceds.ed.gov/cedselementdetails.aspx?termid=14731</v>
      </c>
      <c r="Q2146" s="9" t="str">
        <f>HYPERLINK("https://ceds.ed.gov/elementComment.aspx?elementName=Organization Region GeoJSON &amp;elementID=14731", "Click here to submit comment")</f>
        <v>Click here to submit comment</v>
      </c>
    </row>
    <row r="2147" spans="1:17" ht="45" x14ac:dyDescent="0.25">
      <c r="A2147" s="9" t="s">
        <v>6860</v>
      </c>
      <c r="B2147" s="9" t="s">
        <v>6852</v>
      </c>
      <c r="C2147" s="9"/>
      <c r="D2147" s="9" t="s">
        <v>6742</v>
      </c>
      <c r="E2147" s="9" t="s">
        <v>11017</v>
      </c>
      <c r="F2147" s="9" t="s">
        <v>11018</v>
      </c>
      <c r="G2147" s="9" t="s">
        <v>12</v>
      </c>
      <c r="H2147" s="9"/>
      <c r="I2147" s="9"/>
      <c r="J2147" s="9" t="s">
        <v>1143</v>
      </c>
      <c r="K2147" s="9"/>
      <c r="L2147" s="11" t="s">
        <v>11020</v>
      </c>
      <c r="M2147" s="9" t="s">
        <v>11021</v>
      </c>
      <c r="N2147" s="9"/>
      <c r="O2147" s="9" t="s">
        <v>11022</v>
      </c>
      <c r="P2147" s="9" t="str">
        <f>HYPERLINK("https://ceds.ed.gov/cedselementdetails.aspx?termid=14643")</f>
        <v>https://ceds.ed.gov/cedselementdetails.aspx?termid=14643</v>
      </c>
      <c r="Q2147" s="9" t="str">
        <f>HYPERLINK("https://ceds.ed.gov/elementComment.aspx?elementName=Credential Issuer Revocation List URL &amp;elementID=14643", "Click here to submit comment")</f>
        <v>Click here to submit comment</v>
      </c>
    </row>
    <row r="2148" spans="1:17" ht="105" x14ac:dyDescent="0.25">
      <c r="A2148" s="18" t="s">
        <v>6860</v>
      </c>
      <c r="B2148" s="18" t="s">
        <v>6852</v>
      </c>
      <c r="C2148" s="18" t="s">
        <v>6777</v>
      </c>
      <c r="D2148" s="18" t="s">
        <v>6742</v>
      </c>
      <c r="E2148" s="18" t="s">
        <v>4448</v>
      </c>
      <c r="F2148" s="18" t="s">
        <v>4449</v>
      </c>
      <c r="G2148" s="18" t="s">
        <v>12</v>
      </c>
      <c r="H2148" s="18" t="s">
        <v>64</v>
      </c>
      <c r="I2148" s="18"/>
      <c r="J2148" s="18" t="s">
        <v>119</v>
      </c>
      <c r="K2148" s="18"/>
      <c r="L2148" s="9" t="s">
        <v>120</v>
      </c>
      <c r="M2148" s="18" t="s">
        <v>4450</v>
      </c>
      <c r="N2148" s="18"/>
      <c r="O2148" s="18" t="s">
        <v>4451</v>
      </c>
      <c r="P2148" s="18" t="str">
        <f>HYPERLINK("https://ceds.ed.gov/cedselementdetails.aspx?termid=13825")</f>
        <v>https://ceds.ed.gov/cedselementdetails.aspx?termid=13825</v>
      </c>
      <c r="Q2148" s="18" t="str">
        <f>HYPERLINK("https://ceds.ed.gov/elementComment.aspx?elementName=Organization Identifier &amp;elementID=13825", "Click here to submit comment")</f>
        <v>Click here to submit comment</v>
      </c>
    </row>
    <row r="2149" spans="1:17" x14ac:dyDescent="0.25">
      <c r="A2149" s="18"/>
      <c r="B2149" s="18"/>
      <c r="C2149" s="18"/>
      <c r="D2149" s="18"/>
      <c r="E2149" s="18"/>
      <c r="F2149" s="18"/>
      <c r="G2149" s="18"/>
      <c r="H2149" s="18"/>
      <c r="I2149" s="18"/>
      <c r="J2149" s="18"/>
      <c r="K2149" s="18"/>
      <c r="L2149" s="9"/>
      <c r="M2149" s="18"/>
      <c r="N2149" s="18"/>
      <c r="O2149" s="18"/>
      <c r="P2149" s="18"/>
      <c r="Q2149" s="18"/>
    </row>
    <row r="2150" spans="1:17" ht="90" x14ac:dyDescent="0.25">
      <c r="A2150" s="18"/>
      <c r="B2150" s="18"/>
      <c r="C2150" s="18"/>
      <c r="D2150" s="18"/>
      <c r="E2150" s="18"/>
      <c r="F2150" s="18"/>
      <c r="G2150" s="18"/>
      <c r="H2150" s="18"/>
      <c r="I2150" s="18"/>
      <c r="J2150" s="18"/>
      <c r="K2150" s="18"/>
      <c r="L2150" s="9" t="s">
        <v>121</v>
      </c>
      <c r="M2150" s="18"/>
      <c r="N2150" s="18"/>
      <c r="O2150" s="18"/>
      <c r="P2150" s="18"/>
      <c r="Q2150" s="18"/>
    </row>
    <row r="2151" spans="1:17" ht="240" x14ac:dyDescent="0.25">
      <c r="A2151" s="9" t="s">
        <v>6860</v>
      </c>
      <c r="B2151" s="9" t="s">
        <v>6852</v>
      </c>
      <c r="C2151" s="9" t="s">
        <v>6777</v>
      </c>
      <c r="D2151" s="9" t="s">
        <v>6742</v>
      </c>
      <c r="E2151" s="9" t="s">
        <v>4444</v>
      </c>
      <c r="F2151" s="9" t="s">
        <v>4445</v>
      </c>
      <c r="G2151" s="10" t="s">
        <v>11903</v>
      </c>
      <c r="H2151" s="9" t="s">
        <v>64</v>
      </c>
      <c r="I2151" s="9"/>
      <c r="J2151" s="9"/>
      <c r="K2151" s="9"/>
      <c r="L2151" s="9"/>
      <c r="M2151" s="9" t="s">
        <v>4446</v>
      </c>
      <c r="N2151" s="9"/>
      <c r="O2151" s="9" t="s">
        <v>4447</v>
      </c>
      <c r="P2151" s="9" t="str">
        <f>HYPERLINK("https://ceds.ed.gov/cedselementdetails.aspx?termid=13827")</f>
        <v>https://ceds.ed.gov/cedselementdetails.aspx?termid=13827</v>
      </c>
      <c r="Q2151" s="9" t="str">
        <f>HYPERLINK("https://ceds.ed.gov/elementComment.aspx?elementName=Organization Identification System &amp;elementID=13827", "Click here to submit comment")</f>
        <v>Click here to submit comment</v>
      </c>
    </row>
    <row r="2152" spans="1:17" ht="45" x14ac:dyDescent="0.25">
      <c r="A2152" s="9" t="s">
        <v>6860</v>
      </c>
      <c r="B2152" s="9" t="s">
        <v>6852</v>
      </c>
      <c r="C2152" s="9" t="s">
        <v>6777</v>
      </c>
      <c r="D2152" s="9" t="s">
        <v>6742</v>
      </c>
      <c r="E2152" s="9" t="s">
        <v>4456</v>
      </c>
      <c r="F2152" s="9" t="s">
        <v>4457</v>
      </c>
      <c r="G2152" s="9" t="s">
        <v>12</v>
      </c>
      <c r="H2152" s="9" t="s">
        <v>182</v>
      </c>
      <c r="I2152" s="9"/>
      <c r="J2152" s="9" t="s">
        <v>92</v>
      </c>
      <c r="K2152" s="9"/>
      <c r="L2152" s="9"/>
      <c r="M2152" s="9" t="s">
        <v>4458</v>
      </c>
      <c r="N2152" s="9"/>
      <c r="O2152" s="9" t="s">
        <v>4459</v>
      </c>
      <c r="P2152" s="9" t="str">
        <f>HYPERLINK("https://ceds.ed.gov/cedselementdetails.aspx?termid=13204")</f>
        <v>https://ceds.ed.gov/cedselementdetails.aspx?termid=13204</v>
      </c>
      <c r="Q2152" s="9" t="str">
        <f>HYPERLINK("https://ceds.ed.gov/elementComment.aspx?elementName=Organization Name &amp;elementID=13204", "Click here to submit comment")</f>
        <v>Click here to submit comment</v>
      </c>
    </row>
    <row r="2153" spans="1:17" ht="409.5" x14ac:dyDescent="0.25">
      <c r="A2153" s="9" t="s">
        <v>6860</v>
      </c>
      <c r="B2153" s="9" t="s">
        <v>6852</v>
      </c>
      <c r="C2153" s="9" t="s">
        <v>6777</v>
      </c>
      <c r="D2153" s="9" t="s">
        <v>6742</v>
      </c>
      <c r="E2153" s="9" t="s">
        <v>4468</v>
      </c>
      <c r="F2153" s="9" t="s">
        <v>4469</v>
      </c>
      <c r="G2153" s="10" t="s">
        <v>11905</v>
      </c>
      <c r="H2153" s="9"/>
      <c r="I2153" s="9" t="s">
        <v>91</v>
      </c>
      <c r="J2153" s="9"/>
      <c r="K2153" s="9"/>
      <c r="L2153" s="9" t="s">
        <v>4470</v>
      </c>
      <c r="M2153" s="9" t="s">
        <v>4471</v>
      </c>
      <c r="N2153" s="9"/>
      <c r="O2153" s="9" t="s">
        <v>4472</v>
      </c>
      <c r="P2153" s="9" t="str">
        <f>HYPERLINK("https://ceds.ed.gov/cedselementdetails.aspx?termid=14165")</f>
        <v>https://ceds.ed.gov/cedselementdetails.aspx?termid=14165</v>
      </c>
      <c r="Q2153" s="9" t="str">
        <f>HYPERLINK("https://ceds.ed.gov/elementComment.aspx?elementName=Organization Type &amp;elementID=14165", "Click here to submit comment")</f>
        <v>Click here to submit comment</v>
      </c>
    </row>
    <row r="2154" spans="1:17" ht="45" x14ac:dyDescent="0.25">
      <c r="A2154" s="9" t="s">
        <v>6860</v>
      </c>
      <c r="B2154" s="9" t="s">
        <v>6852</v>
      </c>
      <c r="C2154" s="9" t="s">
        <v>6777</v>
      </c>
      <c r="D2154" s="9" t="s">
        <v>6746</v>
      </c>
      <c r="E2154" s="9" t="s">
        <v>11666</v>
      </c>
      <c r="F2154" s="9" t="s">
        <v>11667</v>
      </c>
      <c r="G2154" s="10" t="s">
        <v>11904</v>
      </c>
      <c r="H2154" s="9"/>
      <c r="I2154" s="9" t="s">
        <v>1457</v>
      </c>
      <c r="J2154" s="9"/>
      <c r="K2154" s="9"/>
      <c r="L2154" s="9"/>
      <c r="M2154" s="9" t="s">
        <v>11669</v>
      </c>
      <c r="N2154" s="9"/>
      <c r="O2154" s="9" t="s">
        <v>11670</v>
      </c>
      <c r="P2154" s="9" t="str">
        <f>HYPERLINK("https://ceds.ed.gov/cedselementdetails.aspx?termid=14886")</f>
        <v>https://ceds.ed.gov/cedselementdetails.aspx?termid=14886</v>
      </c>
      <c r="Q2154" s="9" t="str">
        <f>HYPERLINK("https://ceds.ed.gov/elementComment.aspx?elementName=Organization Relationship Type &amp;elementID=14886", "Click here to submit comment")</f>
        <v>Click here to submit comment</v>
      </c>
    </row>
    <row r="2155" spans="1:17" ht="90" x14ac:dyDescent="0.25">
      <c r="A2155" s="9" t="s">
        <v>6860</v>
      </c>
      <c r="B2155" s="9" t="s">
        <v>6852</v>
      </c>
      <c r="C2155" s="9" t="s">
        <v>6783</v>
      </c>
      <c r="D2155" s="9" t="s">
        <v>6742</v>
      </c>
      <c r="E2155" s="9" t="s">
        <v>174</v>
      </c>
      <c r="F2155" s="9" t="s">
        <v>175</v>
      </c>
      <c r="G2155" s="10" t="s">
        <v>6320</v>
      </c>
      <c r="H2155" s="9" t="s">
        <v>6109</v>
      </c>
      <c r="I2155" s="9"/>
      <c r="J2155" s="9" t="s">
        <v>87</v>
      </c>
      <c r="K2155" s="9"/>
      <c r="L2155" s="9"/>
      <c r="M2155" s="9" t="s">
        <v>176</v>
      </c>
      <c r="N2155" s="9"/>
      <c r="O2155" s="9" t="s">
        <v>177</v>
      </c>
      <c r="P2155" s="9" t="str">
        <f>HYPERLINK("https://ceds.ed.gov/cedselementdetails.aspx?termid=13644")</f>
        <v>https://ceds.ed.gov/cedselementdetails.aspx?termid=13644</v>
      </c>
      <c r="Q2155" s="9" t="str">
        <f>HYPERLINK("https://ceds.ed.gov/elementComment.aspx?elementName=Address Type for Organization &amp;elementID=13644", "Click here to submit comment")</f>
        <v>Click here to submit comment</v>
      </c>
    </row>
    <row r="2156" spans="1:17" ht="225" x14ac:dyDescent="0.25">
      <c r="A2156" s="9" t="s">
        <v>6860</v>
      </c>
      <c r="B2156" s="9" t="s">
        <v>6852</v>
      </c>
      <c r="C2156" s="9" t="s">
        <v>6783</v>
      </c>
      <c r="D2156" s="9" t="s">
        <v>6742</v>
      </c>
      <c r="E2156" s="9" t="s">
        <v>166</v>
      </c>
      <c r="F2156" s="9" t="s">
        <v>167</v>
      </c>
      <c r="G2156" s="9" t="s">
        <v>12</v>
      </c>
      <c r="H2156" s="9" t="s">
        <v>6113</v>
      </c>
      <c r="I2156" s="9"/>
      <c r="J2156" s="9" t="s">
        <v>119</v>
      </c>
      <c r="K2156" s="9"/>
      <c r="L2156" s="9"/>
      <c r="M2156" s="9" t="s">
        <v>168</v>
      </c>
      <c r="N2156" s="9"/>
      <c r="O2156" s="9" t="s">
        <v>169</v>
      </c>
      <c r="P2156" s="9" t="str">
        <f>HYPERLINK("https://ceds.ed.gov/cedselementdetails.aspx?termid=13269")</f>
        <v>https://ceds.ed.gov/cedselementdetails.aspx?termid=13269</v>
      </c>
      <c r="Q2156" s="9" t="str">
        <f>HYPERLINK("https://ceds.ed.gov/elementComment.aspx?elementName=Address Street Number and Name &amp;elementID=13269", "Click here to submit comment")</f>
        <v>Click here to submit comment</v>
      </c>
    </row>
    <row r="2157" spans="1:17" ht="225" x14ac:dyDescent="0.25">
      <c r="A2157" s="9" t="s">
        <v>6860</v>
      </c>
      <c r="B2157" s="9" t="s">
        <v>6852</v>
      </c>
      <c r="C2157" s="9" t="s">
        <v>6783</v>
      </c>
      <c r="D2157" s="9" t="s">
        <v>6742</v>
      </c>
      <c r="E2157" s="9" t="s">
        <v>149</v>
      </c>
      <c r="F2157" s="9" t="s">
        <v>150</v>
      </c>
      <c r="G2157" s="9" t="s">
        <v>12</v>
      </c>
      <c r="H2157" s="9" t="s">
        <v>6113</v>
      </c>
      <c r="I2157" s="9"/>
      <c r="J2157" s="9" t="s">
        <v>87</v>
      </c>
      <c r="K2157" s="9"/>
      <c r="L2157" s="9"/>
      <c r="M2157" s="9" t="s">
        <v>151</v>
      </c>
      <c r="N2157" s="9"/>
      <c r="O2157" s="9" t="s">
        <v>152</v>
      </c>
      <c r="P2157" s="9" t="str">
        <f>HYPERLINK("https://ceds.ed.gov/cedselementdetails.aspx?termid=13019")</f>
        <v>https://ceds.ed.gov/cedselementdetails.aspx?termid=13019</v>
      </c>
      <c r="Q2157" s="9" t="str">
        <f>HYPERLINK("https://ceds.ed.gov/elementComment.aspx?elementName=Address Apartment Room or Suite Number &amp;elementID=13019", "Click here to submit comment")</f>
        <v>Click here to submit comment</v>
      </c>
    </row>
    <row r="2158" spans="1:17" ht="225" x14ac:dyDescent="0.25">
      <c r="A2158" s="9" t="s">
        <v>6860</v>
      </c>
      <c r="B2158" s="9" t="s">
        <v>6852</v>
      </c>
      <c r="C2158" s="9" t="s">
        <v>6783</v>
      </c>
      <c r="D2158" s="9" t="s">
        <v>6742</v>
      </c>
      <c r="E2158" s="9" t="s">
        <v>153</v>
      </c>
      <c r="F2158" s="9" t="s">
        <v>154</v>
      </c>
      <c r="G2158" s="9" t="s">
        <v>12</v>
      </c>
      <c r="H2158" s="9" t="s">
        <v>6113</v>
      </c>
      <c r="I2158" s="9"/>
      <c r="J2158" s="9" t="s">
        <v>87</v>
      </c>
      <c r="K2158" s="9"/>
      <c r="L2158" s="9"/>
      <c r="M2158" s="9" t="s">
        <v>155</v>
      </c>
      <c r="N2158" s="9"/>
      <c r="O2158" s="9" t="s">
        <v>156</v>
      </c>
      <c r="P2158" s="9" t="str">
        <f>HYPERLINK("https://ceds.ed.gov/cedselementdetails.aspx?termid=13040")</f>
        <v>https://ceds.ed.gov/cedselementdetails.aspx?termid=13040</v>
      </c>
      <c r="Q2158" s="9" t="str">
        <f>HYPERLINK("https://ceds.ed.gov/elementComment.aspx?elementName=Address City &amp;elementID=13040", "Click here to submit comment")</f>
        <v>Click here to submit comment</v>
      </c>
    </row>
    <row r="2159" spans="1:17" ht="409.5" x14ac:dyDescent="0.25">
      <c r="A2159" s="9" t="s">
        <v>6860</v>
      </c>
      <c r="B2159" s="9" t="s">
        <v>6852</v>
      </c>
      <c r="C2159" s="9" t="s">
        <v>6783</v>
      </c>
      <c r="D2159" s="9" t="s">
        <v>6742</v>
      </c>
      <c r="E2159" s="9" t="s">
        <v>5647</v>
      </c>
      <c r="F2159" s="9" t="s">
        <v>5648</v>
      </c>
      <c r="G2159" s="10" t="s">
        <v>6702</v>
      </c>
      <c r="H2159" s="9" t="s">
        <v>6285</v>
      </c>
      <c r="I2159" s="9"/>
      <c r="J2159" s="9"/>
      <c r="K2159" s="9"/>
      <c r="L2159" s="9"/>
      <c r="M2159" s="9" t="s">
        <v>5649</v>
      </c>
      <c r="N2159" s="9"/>
      <c r="O2159" s="9" t="s">
        <v>5650</v>
      </c>
      <c r="P2159" s="9" t="str">
        <f>HYPERLINK("https://ceds.ed.gov/cedselementdetails.aspx?termid=13267")</f>
        <v>https://ceds.ed.gov/cedselementdetails.aspx?termid=13267</v>
      </c>
      <c r="Q2159" s="9" t="str">
        <f>HYPERLINK("https://ceds.ed.gov/elementComment.aspx?elementName=State Abbreviation &amp;elementID=13267", "Click here to submit comment")</f>
        <v>Click here to submit comment</v>
      </c>
    </row>
    <row r="2160" spans="1:17" ht="225" x14ac:dyDescent="0.25">
      <c r="A2160" s="9" t="s">
        <v>6860</v>
      </c>
      <c r="B2160" s="9" t="s">
        <v>6852</v>
      </c>
      <c r="C2160" s="9" t="s">
        <v>6783</v>
      </c>
      <c r="D2160" s="9" t="s">
        <v>6742</v>
      </c>
      <c r="E2160" s="9" t="s">
        <v>161</v>
      </c>
      <c r="F2160" s="9" t="s">
        <v>162</v>
      </c>
      <c r="G2160" s="9" t="s">
        <v>12</v>
      </c>
      <c r="H2160" s="9" t="s">
        <v>6113</v>
      </c>
      <c r="I2160" s="9"/>
      <c r="J2160" s="9" t="s">
        <v>163</v>
      </c>
      <c r="K2160" s="9"/>
      <c r="L2160" s="9"/>
      <c r="M2160" s="9" t="s">
        <v>164</v>
      </c>
      <c r="N2160" s="9"/>
      <c r="O2160" s="9" t="s">
        <v>165</v>
      </c>
      <c r="P2160" s="9" t="str">
        <f>HYPERLINK("https://ceds.ed.gov/cedselementdetails.aspx?termid=13214")</f>
        <v>https://ceds.ed.gov/cedselementdetails.aspx?termid=13214</v>
      </c>
      <c r="Q2160" s="9" t="str">
        <f>HYPERLINK("https://ceds.ed.gov/elementComment.aspx?elementName=Address Postal Code &amp;elementID=13214", "Click here to submit comment")</f>
        <v>Click here to submit comment</v>
      </c>
    </row>
    <row r="2161" spans="1:17" ht="225" x14ac:dyDescent="0.25">
      <c r="A2161" s="9" t="s">
        <v>6860</v>
      </c>
      <c r="B2161" s="9" t="s">
        <v>6852</v>
      </c>
      <c r="C2161" s="9" t="s">
        <v>6783</v>
      </c>
      <c r="D2161" s="9" t="s">
        <v>6742</v>
      </c>
      <c r="E2161" s="9" t="s">
        <v>157</v>
      </c>
      <c r="F2161" s="9" t="s">
        <v>158</v>
      </c>
      <c r="G2161" s="9" t="s">
        <v>12</v>
      </c>
      <c r="H2161" s="9" t="s">
        <v>6113</v>
      </c>
      <c r="I2161" s="9"/>
      <c r="J2161" s="9" t="s">
        <v>87</v>
      </c>
      <c r="K2161" s="9"/>
      <c r="L2161" s="9"/>
      <c r="M2161" s="9" t="s">
        <v>159</v>
      </c>
      <c r="N2161" s="9"/>
      <c r="O2161" s="9" t="s">
        <v>160</v>
      </c>
      <c r="P2161" s="9" t="str">
        <f>HYPERLINK("https://ceds.ed.gov/cedselementdetails.aspx?termid=13190")</f>
        <v>https://ceds.ed.gov/cedselementdetails.aspx?termid=13190</v>
      </c>
      <c r="Q2161" s="9" t="str">
        <f>HYPERLINK("https://ceds.ed.gov/elementComment.aspx?elementName=Address County Name &amp;elementID=13190", "Click here to submit comment")</f>
        <v>Click here to submit comment</v>
      </c>
    </row>
    <row r="2162" spans="1:17" ht="180" x14ac:dyDescent="0.25">
      <c r="A2162" s="9" t="s">
        <v>6860</v>
      </c>
      <c r="B2162" s="9" t="s">
        <v>6852</v>
      </c>
      <c r="C2162" s="9" t="s">
        <v>6783</v>
      </c>
      <c r="D2162" s="9" t="s">
        <v>6742</v>
      </c>
      <c r="E2162" s="9" t="s">
        <v>1894</v>
      </c>
      <c r="F2162" s="9" t="s">
        <v>1895</v>
      </c>
      <c r="G2162" s="9" t="s">
        <v>12</v>
      </c>
      <c r="H2162" s="9"/>
      <c r="I2162" s="9"/>
      <c r="J2162" s="9" t="s">
        <v>10933</v>
      </c>
      <c r="K2162" s="9"/>
      <c r="L2162" s="9"/>
      <c r="M2162" s="9" t="s">
        <v>1896</v>
      </c>
      <c r="N2162" s="9"/>
      <c r="O2162" s="9" t="s">
        <v>1897</v>
      </c>
      <c r="P2162" s="9" t="str">
        <f>HYPERLINK("https://ceds.ed.gov/cedselementdetails.aspx?termid=14176")</f>
        <v>https://ceds.ed.gov/cedselementdetails.aspx?termid=14176</v>
      </c>
      <c r="Q2162" s="9" t="str">
        <f>HYPERLINK("https://ceds.ed.gov/elementComment.aspx?elementName=County ANSI Code &amp;elementID=14176", "Click here to submit comment")</f>
        <v>Click here to submit comment</v>
      </c>
    </row>
    <row r="2163" spans="1:17" ht="45" x14ac:dyDescent="0.25">
      <c r="A2163" s="9" t="s">
        <v>6860</v>
      </c>
      <c r="B2163" s="9" t="s">
        <v>6852</v>
      </c>
      <c r="C2163" s="9" t="s">
        <v>6783</v>
      </c>
      <c r="D2163" s="9" t="s">
        <v>6742</v>
      </c>
      <c r="E2163" s="9" t="s">
        <v>1557</v>
      </c>
      <c r="F2163" s="9" t="s">
        <v>1558</v>
      </c>
      <c r="G2163" s="9" t="s">
        <v>12</v>
      </c>
      <c r="H2163" s="9"/>
      <c r="I2163" s="9"/>
      <c r="J2163" s="9" t="s">
        <v>87</v>
      </c>
      <c r="K2163" s="9"/>
      <c r="L2163" s="9"/>
      <c r="M2163" s="9" t="s">
        <v>1559</v>
      </c>
      <c r="N2163" s="9"/>
      <c r="O2163" s="9" t="s">
        <v>1560</v>
      </c>
      <c r="P2163" s="9" t="str">
        <f>HYPERLINK("https://ceds.ed.gov/cedselementdetails.aspx?termid=13595")</f>
        <v>https://ceds.ed.gov/cedselementdetails.aspx?termid=13595</v>
      </c>
      <c r="Q2163" s="9" t="str">
        <f>HYPERLINK("https://ceds.ed.gov/elementComment.aspx?elementName=Building Site Number &amp;elementID=13595", "Click here to submit comment")</f>
        <v>Click here to submit comment</v>
      </c>
    </row>
    <row r="2164" spans="1:17" ht="75" x14ac:dyDescent="0.25">
      <c r="A2164" s="9" t="s">
        <v>6860</v>
      </c>
      <c r="B2164" s="9" t="s">
        <v>6852</v>
      </c>
      <c r="C2164" s="9" t="s">
        <v>6783</v>
      </c>
      <c r="D2164" s="9" t="s">
        <v>6742</v>
      </c>
      <c r="E2164" s="9" t="s">
        <v>3606</v>
      </c>
      <c r="F2164" s="9" t="s">
        <v>3607</v>
      </c>
      <c r="G2164" s="9" t="s">
        <v>12</v>
      </c>
      <c r="H2164" s="9"/>
      <c r="I2164" s="9"/>
      <c r="J2164" s="9" t="s">
        <v>1165</v>
      </c>
      <c r="K2164" s="9"/>
      <c r="L2164" s="9"/>
      <c r="M2164" s="9" t="s">
        <v>3608</v>
      </c>
      <c r="N2164" s="9"/>
      <c r="O2164" s="9" t="s">
        <v>3606</v>
      </c>
      <c r="P2164" s="9" t="str">
        <f>HYPERLINK("https://ceds.ed.gov/cedselementdetails.aspx?termid=13599")</f>
        <v>https://ceds.ed.gov/cedselementdetails.aspx?termid=13599</v>
      </c>
      <c r="Q2164" s="9" t="str">
        <f>HYPERLINK("https://ceds.ed.gov/elementComment.aspx?elementName=Latitude &amp;elementID=13599", "Click here to submit comment")</f>
        <v>Click here to submit comment</v>
      </c>
    </row>
    <row r="2165" spans="1:17" ht="75" x14ac:dyDescent="0.25">
      <c r="A2165" s="9" t="s">
        <v>6860</v>
      </c>
      <c r="B2165" s="9" t="s">
        <v>6852</v>
      </c>
      <c r="C2165" s="9" t="s">
        <v>6783</v>
      </c>
      <c r="D2165" s="9" t="s">
        <v>6742</v>
      </c>
      <c r="E2165" s="9" t="s">
        <v>4139</v>
      </c>
      <c r="F2165" s="9" t="s">
        <v>4140</v>
      </c>
      <c r="G2165" s="9" t="s">
        <v>12</v>
      </c>
      <c r="H2165" s="9"/>
      <c r="I2165" s="9"/>
      <c r="J2165" s="9" t="s">
        <v>1165</v>
      </c>
      <c r="K2165" s="9"/>
      <c r="L2165" s="9"/>
      <c r="M2165" s="9" t="s">
        <v>4141</v>
      </c>
      <c r="N2165" s="9"/>
      <c r="O2165" s="9" t="s">
        <v>4139</v>
      </c>
      <c r="P2165" s="9" t="str">
        <f>HYPERLINK("https://ceds.ed.gov/cedselementdetails.aspx?termid=13600")</f>
        <v>https://ceds.ed.gov/cedselementdetails.aspx?termid=13600</v>
      </c>
      <c r="Q2165" s="9" t="str">
        <f>HYPERLINK("https://ceds.ed.gov/elementComment.aspx?elementName=Longitude &amp;elementID=13600", "Click here to submit comment")</f>
        <v>Click here to submit comment</v>
      </c>
    </row>
    <row r="2166" spans="1:17" ht="90" x14ac:dyDescent="0.25">
      <c r="A2166" s="9" t="s">
        <v>6860</v>
      </c>
      <c r="B2166" s="9" t="s">
        <v>6852</v>
      </c>
      <c r="C2166" s="9" t="s">
        <v>6784</v>
      </c>
      <c r="D2166" s="9" t="s">
        <v>6742</v>
      </c>
      <c r="E2166" s="9" t="s">
        <v>5849</v>
      </c>
      <c r="F2166" s="9" t="s">
        <v>5850</v>
      </c>
      <c r="G2166" s="9" t="s">
        <v>12</v>
      </c>
      <c r="H2166" s="9" t="s">
        <v>6109</v>
      </c>
      <c r="I2166" s="9"/>
      <c r="J2166" s="9" t="s">
        <v>5851</v>
      </c>
      <c r="K2166" s="9"/>
      <c r="L2166" s="9"/>
      <c r="M2166" s="9" t="s">
        <v>5852</v>
      </c>
      <c r="N2166" s="9"/>
      <c r="O2166" s="9" t="s">
        <v>5853</v>
      </c>
      <c r="P2166" s="9" t="str">
        <f>HYPERLINK("https://ceds.ed.gov/cedselementdetails.aspx?termid=13279")</f>
        <v>https://ceds.ed.gov/cedselementdetails.aspx?termid=13279</v>
      </c>
      <c r="Q2166" s="9" t="str">
        <f>HYPERLINK("https://ceds.ed.gov/elementComment.aspx?elementName=Telephone Number &amp;elementID=13279", "Click here to submit comment")</f>
        <v>Click here to submit comment</v>
      </c>
    </row>
    <row r="2167" spans="1:17" ht="165" x14ac:dyDescent="0.25">
      <c r="A2167" s="9" t="s">
        <v>6860</v>
      </c>
      <c r="B2167" s="9" t="s">
        <v>6852</v>
      </c>
      <c r="C2167" s="9" t="s">
        <v>6784</v>
      </c>
      <c r="D2167" s="9" t="s">
        <v>6742</v>
      </c>
      <c r="E2167" s="9" t="s">
        <v>3445</v>
      </c>
      <c r="F2167" s="9" t="s">
        <v>3446</v>
      </c>
      <c r="G2167" s="10" t="s">
        <v>6560</v>
      </c>
      <c r="H2167" s="9"/>
      <c r="I2167" s="9"/>
      <c r="J2167" s="9"/>
      <c r="K2167" s="9"/>
      <c r="L2167" s="9"/>
      <c r="M2167" s="9" t="s">
        <v>3447</v>
      </c>
      <c r="N2167" s="9"/>
      <c r="O2167" s="9" t="s">
        <v>3448</v>
      </c>
      <c r="P2167" s="9" t="str">
        <f>HYPERLINK("https://ceds.ed.gov/cedselementdetails.aspx?termid=13167")</f>
        <v>https://ceds.ed.gov/cedselementdetails.aspx?termid=13167</v>
      </c>
      <c r="Q2167" s="9" t="str">
        <f>HYPERLINK("https://ceds.ed.gov/elementComment.aspx?elementName=Institution Telephone Number Type &amp;elementID=13167", "Click here to submit comment")</f>
        <v>Click here to submit comment</v>
      </c>
    </row>
    <row r="2168" spans="1:17" ht="90" x14ac:dyDescent="0.25">
      <c r="A2168" s="9" t="s">
        <v>6860</v>
      </c>
      <c r="B2168" s="9" t="s">
        <v>6852</v>
      </c>
      <c r="C2168" s="9" t="s">
        <v>6784</v>
      </c>
      <c r="D2168" s="9" t="s">
        <v>6742</v>
      </c>
      <c r="E2168" s="9" t="s">
        <v>4709</v>
      </c>
      <c r="F2168" s="9" t="s">
        <v>4710</v>
      </c>
      <c r="G2168" s="9" t="s">
        <v>6106</v>
      </c>
      <c r="H2168" s="9" t="s">
        <v>6109</v>
      </c>
      <c r="I2168" s="9"/>
      <c r="J2168" s="9"/>
      <c r="K2168" s="9"/>
      <c r="L2168" s="9"/>
      <c r="M2168" s="9" t="s">
        <v>4711</v>
      </c>
      <c r="N2168" s="9"/>
      <c r="O2168" s="9" t="s">
        <v>4712</v>
      </c>
      <c r="P2168" s="9" t="str">
        <f>HYPERLINK("https://ceds.ed.gov/cedselementdetails.aspx?termid=13219")</f>
        <v>https://ceds.ed.gov/cedselementdetails.aspx?termid=13219</v>
      </c>
      <c r="Q2168" s="9" t="str">
        <f>HYPERLINK("https://ceds.ed.gov/elementComment.aspx?elementName=Primary Telephone Number Indicator &amp;elementID=13219", "Click here to submit comment")</f>
        <v>Click here to submit comment</v>
      </c>
    </row>
    <row r="2169" spans="1:17" ht="90" x14ac:dyDescent="0.25">
      <c r="A2169" s="9" t="s">
        <v>6860</v>
      </c>
      <c r="B2169" s="9" t="s">
        <v>6852</v>
      </c>
      <c r="C2169" s="9" t="s">
        <v>6780</v>
      </c>
      <c r="D2169" s="9" t="s">
        <v>6742</v>
      </c>
      <c r="E2169" s="9" t="s">
        <v>4619</v>
      </c>
      <c r="F2169" s="9" t="s">
        <v>4620</v>
      </c>
      <c r="G2169" s="9" t="s">
        <v>12</v>
      </c>
      <c r="H2169" s="9" t="s">
        <v>6109</v>
      </c>
      <c r="I2169" s="9"/>
      <c r="J2169" s="9" t="s">
        <v>1347</v>
      </c>
      <c r="K2169" s="9"/>
      <c r="L2169" s="9"/>
      <c r="M2169" s="9" t="s">
        <v>4621</v>
      </c>
      <c r="N2169" s="9"/>
      <c r="O2169" s="9" t="s">
        <v>4622</v>
      </c>
      <c r="P2169" s="9" t="str">
        <f>HYPERLINK("https://ceds.ed.gov/cedselementdetails.aspx?termid=13213")</f>
        <v>https://ceds.ed.gov/cedselementdetails.aspx?termid=13213</v>
      </c>
      <c r="Q2169" s="9" t="str">
        <f>HYPERLINK("https://ceds.ed.gov/elementComment.aspx?elementName=Position Title &amp;elementID=13213", "Click here to submit comment")</f>
        <v>Click here to submit comment</v>
      </c>
    </row>
    <row r="2170" spans="1:17" ht="90" x14ac:dyDescent="0.25">
      <c r="A2170" s="9" t="s">
        <v>6860</v>
      </c>
      <c r="B2170" s="9" t="s">
        <v>6852</v>
      </c>
      <c r="C2170" s="9" t="s">
        <v>6780</v>
      </c>
      <c r="D2170" s="9" t="s">
        <v>6742</v>
      </c>
      <c r="E2170" s="9" t="s">
        <v>4701</v>
      </c>
      <c r="F2170" s="9" t="s">
        <v>4702</v>
      </c>
      <c r="G2170" s="9" t="s">
        <v>6106</v>
      </c>
      <c r="H2170" s="9"/>
      <c r="I2170" s="9"/>
      <c r="J2170" s="9"/>
      <c r="K2170" s="9"/>
      <c r="L2170" s="9"/>
      <c r="M2170" s="9" t="s">
        <v>4703</v>
      </c>
      <c r="N2170" s="9"/>
      <c r="O2170" s="9" t="s">
        <v>4704</v>
      </c>
      <c r="P2170" s="9" t="str">
        <f>HYPERLINK("https://ceds.ed.gov/cedselementdetails.aspx?termid=14397")</f>
        <v>https://ceds.ed.gov/cedselementdetails.aspx?termid=14397</v>
      </c>
      <c r="Q2170" s="9" t="str">
        <f>HYPERLINK("https://ceds.ed.gov/elementComment.aspx?elementName=Primary Contact Indicator &amp;elementID=14397", "Click here to submit comment")</f>
        <v>Click here to submit comment</v>
      </c>
    </row>
    <row r="2171" spans="1:17" ht="45" x14ac:dyDescent="0.25">
      <c r="A2171" s="9" t="s">
        <v>6860</v>
      </c>
      <c r="B2171" s="9" t="s">
        <v>6852</v>
      </c>
      <c r="C2171" s="9" t="s">
        <v>6780</v>
      </c>
      <c r="D2171" s="9" t="s">
        <v>6742</v>
      </c>
      <c r="E2171" s="9" t="s">
        <v>6057</v>
      </c>
      <c r="F2171" s="9" t="s">
        <v>6058</v>
      </c>
      <c r="G2171" s="9" t="s">
        <v>12</v>
      </c>
      <c r="H2171" s="9" t="s">
        <v>199</v>
      </c>
      <c r="I2171" s="9"/>
      <c r="J2171" s="9" t="s">
        <v>68</v>
      </c>
      <c r="K2171" s="9"/>
      <c r="L2171" s="9"/>
      <c r="M2171" s="9" t="s">
        <v>6059</v>
      </c>
      <c r="N2171" s="9"/>
      <c r="O2171" s="9" t="s">
        <v>6060</v>
      </c>
      <c r="P2171" s="9" t="str">
        <f>HYPERLINK("https://ceds.ed.gov/cedselementdetails.aspx?termid=13300")</f>
        <v>https://ceds.ed.gov/cedselementdetails.aspx?termid=13300</v>
      </c>
      <c r="Q2171" s="9" t="str">
        <f>HYPERLINK("https://ceds.ed.gov/elementComment.aspx?elementName=Web Site Address &amp;elementID=13300", "Click here to submit comment")</f>
        <v>Click here to submit comment</v>
      </c>
    </row>
    <row r="2172" spans="1:17" ht="195" x14ac:dyDescent="0.25">
      <c r="A2172" s="9" t="s">
        <v>6860</v>
      </c>
      <c r="B2172" s="9" t="s">
        <v>6852</v>
      </c>
      <c r="C2172" s="9" t="s">
        <v>6781</v>
      </c>
      <c r="D2172" s="9" t="s">
        <v>6742</v>
      </c>
      <c r="E2172" s="9" t="s">
        <v>2935</v>
      </c>
      <c r="F2172" s="9" t="s">
        <v>2936</v>
      </c>
      <c r="G2172" s="9" t="s">
        <v>12</v>
      </c>
      <c r="H2172" s="9" t="s">
        <v>6211</v>
      </c>
      <c r="I2172" s="9"/>
      <c r="J2172" s="9" t="s">
        <v>1310</v>
      </c>
      <c r="K2172" s="9"/>
      <c r="L2172" s="9" t="s">
        <v>2937</v>
      </c>
      <c r="M2172" s="9" t="s">
        <v>2938</v>
      </c>
      <c r="N2172" s="9"/>
      <c r="O2172" s="9" t="s">
        <v>2939</v>
      </c>
      <c r="P2172" s="9" t="str">
        <f>HYPERLINK("https://ceds.ed.gov/cedselementdetails.aspx?termid=13115")</f>
        <v>https://ceds.ed.gov/cedselementdetails.aspx?termid=13115</v>
      </c>
      <c r="Q2172" s="9" t="str">
        <f>HYPERLINK("https://ceds.ed.gov/elementComment.aspx?elementName=First Name &amp;elementID=13115", "Click here to submit comment")</f>
        <v>Click here to submit comment</v>
      </c>
    </row>
    <row r="2173" spans="1:17" ht="90" customHeight="1" x14ac:dyDescent="0.25">
      <c r="A2173" s="18" t="s">
        <v>6860</v>
      </c>
      <c r="B2173" s="18" t="s">
        <v>6852</v>
      </c>
      <c r="C2173" s="18" t="s">
        <v>6781</v>
      </c>
      <c r="D2173" s="18" t="s">
        <v>6742</v>
      </c>
      <c r="E2173" s="18" t="s">
        <v>4183</v>
      </c>
      <c r="F2173" s="18" t="s">
        <v>4184</v>
      </c>
      <c r="G2173" s="18" t="s">
        <v>12</v>
      </c>
      <c r="H2173" s="18" t="s">
        <v>6211</v>
      </c>
      <c r="I2173" s="18"/>
      <c r="J2173" s="18" t="s">
        <v>1310</v>
      </c>
      <c r="K2173" s="18"/>
      <c r="L2173" s="9" t="s">
        <v>2996</v>
      </c>
      <c r="M2173" s="18" t="s">
        <v>4185</v>
      </c>
      <c r="N2173" s="18"/>
      <c r="O2173" s="18" t="s">
        <v>4186</v>
      </c>
      <c r="P2173" s="18" t="str">
        <f>HYPERLINK("https://ceds.ed.gov/cedselementdetails.aspx?termid=13184")</f>
        <v>https://ceds.ed.gov/cedselementdetails.aspx?termid=13184</v>
      </c>
      <c r="Q2173" s="18" t="str">
        <f>HYPERLINK("https://ceds.ed.gov/elementComment.aspx?elementName=Middle Name &amp;elementID=13184", "Click here to submit comment")</f>
        <v>Click here to submit comment</v>
      </c>
    </row>
    <row r="2174" spans="1:17" ht="90" x14ac:dyDescent="0.25">
      <c r="A2174" s="18"/>
      <c r="B2174" s="18"/>
      <c r="C2174" s="18"/>
      <c r="D2174" s="18"/>
      <c r="E2174" s="18"/>
      <c r="F2174" s="18"/>
      <c r="G2174" s="18"/>
      <c r="H2174" s="18"/>
      <c r="I2174" s="18"/>
      <c r="J2174" s="18"/>
      <c r="K2174" s="18"/>
      <c r="L2174" s="9" t="s">
        <v>2997</v>
      </c>
      <c r="M2174" s="18"/>
      <c r="N2174" s="18"/>
      <c r="O2174" s="18"/>
      <c r="P2174" s="18"/>
      <c r="Q2174" s="18"/>
    </row>
    <row r="2175" spans="1:17" ht="90" customHeight="1" x14ac:dyDescent="0.25">
      <c r="A2175" s="18" t="s">
        <v>6860</v>
      </c>
      <c r="B2175" s="18" t="s">
        <v>6852</v>
      </c>
      <c r="C2175" s="18" t="s">
        <v>6781</v>
      </c>
      <c r="D2175" s="18" t="s">
        <v>6742</v>
      </c>
      <c r="E2175" s="18" t="s">
        <v>3597</v>
      </c>
      <c r="F2175" s="18" t="s">
        <v>3598</v>
      </c>
      <c r="G2175" s="18" t="s">
        <v>12</v>
      </c>
      <c r="H2175" s="18" t="s">
        <v>6211</v>
      </c>
      <c r="I2175" s="18"/>
      <c r="J2175" s="18" t="s">
        <v>1310</v>
      </c>
      <c r="K2175" s="18"/>
      <c r="L2175" s="9" t="s">
        <v>2996</v>
      </c>
      <c r="M2175" s="18" t="s">
        <v>3599</v>
      </c>
      <c r="N2175" s="18" t="s">
        <v>3600</v>
      </c>
      <c r="O2175" s="18" t="s">
        <v>3601</v>
      </c>
      <c r="P2175" s="18" t="str">
        <f>HYPERLINK("https://ceds.ed.gov/cedselementdetails.aspx?termid=13172")</f>
        <v>https://ceds.ed.gov/cedselementdetails.aspx?termid=13172</v>
      </c>
      <c r="Q2175" s="18" t="str">
        <f>HYPERLINK("https://ceds.ed.gov/elementComment.aspx?elementName=Last or Surname &amp;elementID=13172", "Click here to submit comment")</f>
        <v>Click here to submit comment</v>
      </c>
    </row>
    <row r="2176" spans="1:17" ht="90" x14ac:dyDescent="0.25">
      <c r="A2176" s="18"/>
      <c r="B2176" s="18"/>
      <c r="C2176" s="18"/>
      <c r="D2176" s="18"/>
      <c r="E2176" s="18"/>
      <c r="F2176" s="18"/>
      <c r="G2176" s="18"/>
      <c r="H2176" s="18"/>
      <c r="I2176" s="18"/>
      <c r="J2176" s="18"/>
      <c r="K2176" s="18"/>
      <c r="L2176" s="9" t="s">
        <v>2997</v>
      </c>
      <c r="M2176" s="18"/>
      <c r="N2176" s="18"/>
      <c r="O2176" s="18"/>
      <c r="P2176" s="18"/>
      <c r="Q2176" s="18"/>
    </row>
    <row r="2177" spans="1:17" ht="45" customHeight="1" x14ac:dyDescent="0.25">
      <c r="A2177" s="18" t="s">
        <v>6860</v>
      </c>
      <c r="B2177" s="18" t="s">
        <v>6852</v>
      </c>
      <c r="C2177" s="18" t="s">
        <v>6781</v>
      </c>
      <c r="D2177" s="18" t="s">
        <v>6742</v>
      </c>
      <c r="E2177" s="18" t="s">
        <v>2994</v>
      </c>
      <c r="F2177" s="18" t="s">
        <v>2995</v>
      </c>
      <c r="G2177" s="18" t="s">
        <v>12</v>
      </c>
      <c r="H2177" s="18" t="s">
        <v>6212</v>
      </c>
      <c r="I2177" s="18"/>
      <c r="J2177" s="18" t="s">
        <v>2088</v>
      </c>
      <c r="K2177" s="18"/>
      <c r="L2177" s="9" t="s">
        <v>2996</v>
      </c>
      <c r="M2177" s="18" t="s">
        <v>2998</v>
      </c>
      <c r="N2177" s="18"/>
      <c r="O2177" s="18" t="s">
        <v>2999</v>
      </c>
      <c r="P2177" s="18" t="str">
        <f>HYPERLINK("https://ceds.ed.gov/cedselementdetails.aspx?termid=13121")</f>
        <v>https://ceds.ed.gov/cedselementdetails.aspx?termid=13121</v>
      </c>
      <c r="Q2177" s="18" t="str">
        <f>HYPERLINK("https://ceds.ed.gov/elementComment.aspx?elementName=Generation Code or Suffix &amp;elementID=13121", "Click here to submit comment")</f>
        <v>Click here to submit comment</v>
      </c>
    </row>
    <row r="2178" spans="1:17" ht="90" x14ac:dyDescent="0.25">
      <c r="A2178" s="18"/>
      <c r="B2178" s="18"/>
      <c r="C2178" s="18"/>
      <c r="D2178" s="18"/>
      <c r="E2178" s="18"/>
      <c r="F2178" s="18"/>
      <c r="G2178" s="18"/>
      <c r="H2178" s="18"/>
      <c r="I2178" s="18"/>
      <c r="J2178" s="18"/>
      <c r="K2178" s="18"/>
      <c r="L2178" s="9" t="s">
        <v>2997</v>
      </c>
      <c r="M2178" s="18"/>
      <c r="N2178" s="18"/>
      <c r="O2178" s="18"/>
      <c r="P2178" s="18"/>
      <c r="Q2178" s="18"/>
    </row>
    <row r="2179" spans="1:17" ht="105" x14ac:dyDescent="0.25">
      <c r="A2179" s="9" t="s">
        <v>6860</v>
      </c>
      <c r="B2179" s="9" t="s">
        <v>6852</v>
      </c>
      <c r="C2179" s="9" t="s">
        <v>6781</v>
      </c>
      <c r="D2179" s="9" t="s">
        <v>6742</v>
      </c>
      <c r="E2179" s="9" t="s">
        <v>4610</v>
      </c>
      <c r="F2179" s="9" t="s">
        <v>4611</v>
      </c>
      <c r="G2179" s="9" t="s">
        <v>12</v>
      </c>
      <c r="H2179" s="9" t="s">
        <v>6255</v>
      </c>
      <c r="I2179" s="9"/>
      <c r="J2179" s="9" t="s">
        <v>87</v>
      </c>
      <c r="K2179" s="9"/>
      <c r="L2179" s="9"/>
      <c r="M2179" s="9" t="s">
        <v>4612</v>
      </c>
      <c r="N2179" s="9" t="s">
        <v>4613</v>
      </c>
      <c r="O2179" s="9" t="s">
        <v>4614</v>
      </c>
      <c r="P2179" s="9" t="str">
        <f>HYPERLINK("https://ceds.ed.gov/cedselementdetails.aspx?termid=13212")</f>
        <v>https://ceds.ed.gov/cedselementdetails.aspx?termid=13212</v>
      </c>
      <c r="Q2179" s="9" t="str">
        <f>HYPERLINK("https://ceds.ed.gov/elementComment.aspx?elementName=Personal Title or Prefix &amp;elementID=13212", "Click here to submit comment")</f>
        <v>Click here to submit comment</v>
      </c>
    </row>
    <row r="2180" spans="1:17" ht="90" x14ac:dyDescent="0.25">
      <c r="A2180" s="9" t="s">
        <v>6860</v>
      </c>
      <c r="B2180" s="9" t="s">
        <v>6852</v>
      </c>
      <c r="C2180" s="9" t="s">
        <v>6745</v>
      </c>
      <c r="D2180" s="9" t="s">
        <v>6742</v>
      </c>
      <c r="E2180" s="9" t="s">
        <v>174</v>
      </c>
      <c r="F2180" s="9" t="s">
        <v>175</v>
      </c>
      <c r="G2180" s="10" t="s">
        <v>6320</v>
      </c>
      <c r="H2180" s="9" t="s">
        <v>6109</v>
      </c>
      <c r="I2180" s="9"/>
      <c r="J2180" s="9" t="s">
        <v>87</v>
      </c>
      <c r="K2180" s="9"/>
      <c r="L2180" s="9"/>
      <c r="M2180" s="9" t="s">
        <v>176</v>
      </c>
      <c r="N2180" s="9"/>
      <c r="O2180" s="9" t="s">
        <v>177</v>
      </c>
      <c r="P2180" s="9" t="str">
        <f>HYPERLINK("https://ceds.ed.gov/cedselementdetails.aspx?termid=13644")</f>
        <v>https://ceds.ed.gov/cedselementdetails.aspx?termid=13644</v>
      </c>
      <c r="Q2180" s="9" t="str">
        <f>HYPERLINK("https://ceds.ed.gov/elementComment.aspx?elementName=Address Type for Organization &amp;elementID=13644", "Click here to submit comment")</f>
        <v>Click here to submit comment</v>
      </c>
    </row>
    <row r="2181" spans="1:17" ht="225" x14ac:dyDescent="0.25">
      <c r="A2181" s="9" t="s">
        <v>6860</v>
      </c>
      <c r="B2181" s="9" t="s">
        <v>6852</v>
      </c>
      <c r="C2181" s="9" t="s">
        <v>6745</v>
      </c>
      <c r="D2181" s="9" t="s">
        <v>6742</v>
      </c>
      <c r="E2181" s="9" t="s">
        <v>166</v>
      </c>
      <c r="F2181" s="9" t="s">
        <v>167</v>
      </c>
      <c r="G2181" s="9" t="s">
        <v>12</v>
      </c>
      <c r="H2181" s="9" t="s">
        <v>6113</v>
      </c>
      <c r="I2181" s="9"/>
      <c r="J2181" s="9" t="s">
        <v>119</v>
      </c>
      <c r="K2181" s="9"/>
      <c r="L2181" s="9"/>
      <c r="M2181" s="9" t="s">
        <v>168</v>
      </c>
      <c r="N2181" s="9"/>
      <c r="O2181" s="9" t="s">
        <v>169</v>
      </c>
      <c r="P2181" s="9" t="str">
        <f>HYPERLINK("https://ceds.ed.gov/cedselementdetails.aspx?termid=13269")</f>
        <v>https://ceds.ed.gov/cedselementdetails.aspx?termid=13269</v>
      </c>
      <c r="Q2181" s="9" t="str">
        <f>HYPERLINK("https://ceds.ed.gov/elementComment.aspx?elementName=Address Street Number and Name &amp;elementID=13269", "Click here to submit comment")</f>
        <v>Click here to submit comment</v>
      </c>
    </row>
    <row r="2182" spans="1:17" ht="225" x14ac:dyDescent="0.25">
      <c r="A2182" s="9" t="s">
        <v>6860</v>
      </c>
      <c r="B2182" s="9" t="s">
        <v>6852</v>
      </c>
      <c r="C2182" s="9" t="s">
        <v>6745</v>
      </c>
      <c r="D2182" s="9" t="s">
        <v>6742</v>
      </c>
      <c r="E2182" s="9" t="s">
        <v>149</v>
      </c>
      <c r="F2182" s="9" t="s">
        <v>150</v>
      </c>
      <c r="G2182" s="9" t="s">
        <v>12</v>
      </c>
      <c r="H2182" s="9" t="s">
        <v>6113</v>
      </c>
      <c r="I2182" s="9"/>
      <c r="J2182" s="9" t="s">
        <v>87</v>
      </c>
      <c r="K2182" s="9"/>
      <c r="L2182" s="9"/>
      <c r="M2182" s="9" t="s">
        <v>151</v>
      </c>
      <c r="N2182" s="9"/>
      <c r="O2182" s="9" t="s">
        <v>152</v>
      </c>
      <c r="P2182" s="9" t="str">
        <f>HYPERLINK("https://ceds.ed.gov/cedselementdetails.aspx?termid=13019")</f>
        <v>https://ceds.ed.gov/cedselementdetails.aspx?termid=13019</v>
      </c>
      <c r="Q2182" s="9" t="str">
        <f>HYPERLINK("https://ceds.ed.gov/elementComment.aspx?elementName=Address Apartment Room or Suite Number &amp;elementID=13019", "Click here to submit comment")</f>
        <v>Click here to submit comment</v>
      </c>
    </row>
    <row r="2183" spans="1:17" ht="225" x14ac:dyDescent="0.25">
      <c r="A2183" s="9" t="s">
        <v>6860</v>
      </c>
      <c r="B2183" s="9" t="s">
        <v>6852</v>
      </c>
      <c r="C2183" s="9" t="s">
        <v>6745</v>
      </c>
      <c r="D2183" s="9" t="s">
        <v>6742</v>
      </c>
      <c r="E2183" s="9" t="s">
        <v>153</v>
      </c>
      <c r="F2183" s="9" t="s">
        <v>154</v>
      </c>
      <c r="G2183" s="9" t="s">
        <v>12</v>
      </c>
      <c r="H2183" s="9" t="s">
        <v>6113</v>
      </c>
      <c r="I2183" s="9"/>
      <c r="J2183" s="9" t="s">
        <v>87</v>
      </c>
      <c r="K2183" s="9"/>
      <c r="L2183" s="9"/>
      <c r="M2183" s="9" t="s">
        <v>155</v>
      </c>
      <c r="N2183" s="9"/>
      <c r="O2183" s="9" t="s">
        <v>156</v>
      </c>
      <c r="P2183" s="9" t="str">
        <f>HYPERLINK("https://ceds.ed.gov/cedselementdetails.aspx?termid=13040")</f>
        <v>https://ceds.ed.gov/cedselementdetails.aspx?termid=13040</v>
      </c>
      <c r="Q2183" s="9" t="str">
        <f>HYPERLINK("https://ceds.ed.gov/elementComment.aspx?elementName=Address City &amp;elementID=13040", "Click here to submit comment")</f>
        <v>Click here to submit comment</v>
      </c>
    </row>
    <row r="2184" spans="1:17" ht="409.5" x14ac:dyDescent="0.25">
      <c r="A2184" s="9" t="s">
        <v>6860</v>
      </c>
      <c r="B2184" s="9" t="s">
        <v>6852</v>
      </c>
      <c r="C2184" s="9" t="s">
        <v>6745</v>
      </c>
      <c r="D2184" s="9" t="s">
        <v>6742</v>
      </c>
      <c r="E2184" s="9" t="s">
        <v>5647</v>
      </c>
      <c r="F2184" s="9" t="s">
        <v>5648</v>
      </c>
      <c r="G2184" s="10" t="s">
        <v>6702</v>
      </c>
      <c r="H2184" s="9" t="s">
        <v>6285</v>
      </c>
      <c r="I2184" s="9"/>
      <c r="J2184" s="9"/>
      <c r="K2184" s="9"/>
      <c r="L2184" s="9"/>
      <c r="M2184" s="9" t="s">
        <v>5649</v>
      </c>
      <c r="N2184" s="9"/>
      <c r="O2184" s="9" t="s">
        <v>5650</v>
      </c>
      <c r="P2184" s="9" t="str">
        <f>HYPERLINK("https://ceds.ed.gov/cedselementdetails.aspx?termid=13267")</f>
        <v>https://ceds.ed.gov/cedselementdetails.aspx?termid=13267</v>
      </c>
      <c r="Q2184" s="9" t="str">
        <f>HYPERLINK("https://ceds.ed.gov/elementComment.aspx?elementName=State Abbreviation &amp;elementID=13267", "Click here to submit comment")</f>
        <v>Click here to submit comment</v>
      </c>
    </row>
    <row r="2185" spans="1:17" ht="225" x14ac:dyDescent="0.25">
      <c r="A2185" s="9" t="s">
        <v>6860</v>
      </c>
      <c r="B2185" s="9" t="s">
        <v>6852</v>
      </c>
      <c r="C2185" s="9" t="s">
        <v>6745</v>
      </c>
      <c r="D2185" s="9" t="s">
        <v>6742</v>
      </c>
      <c r="E2185" s="9" t="s">
        <v>161</v>
      </c>
      <c r="F2185" s="9" t="s">
        <v>162</v>
      </c>
      <c r="G2185" s="9" t="s">
        <v>12</v>
      </c>
      <c r="H2185" s="9" t="s">
        <v>6113</v>
      </c>
      <c r="I2185" s="9"/>
      <c r="J2185" s="9" t="s">
        <v>163</v>
      </c>
      <c r="K2185" s="9"/>
      <c r="L2185" s="9"/>
      <c r="M2185" s="9" t="s">
        <v>164</v>
      </c>
      <c r="N2185" s="9"/>
      <c r="O2185" s="9" t="s">
        <v>165</v>
      </c>
      <c r="P2185" s="9" t="str">
        <f>HYPERLINK("https://ceds.ed.gov/cedselementdetails.aspx?termid=13214")</f>
        <v>https://ceds.ed.gov/cedselementdetails.aspx?termid=13214</v>
      </c>
      <c r="Q2185" s="9" t="str">
        <f>HYPERLINK("https://ceds.ed.gov/elementComment.aspx?elementName=Address Postal Code &amp;elementID=13214", "Click here to submit comment")</f>
        <v>Click here to submit comment</v>
      </c>
    </row>
    <row r="2186" spans="1:17" ht="225" x14ac:dyDescent="0.25">
      <c r="A2186" s="9" t="s">
        <v>6860</v>
      </c>
      <c r="B2186" s="9" t="s">
        <v>6852</v>
      </c>
      <c r="C2186" s="9" t="s">
        <v>6745</v>
      </c>
      <c r="D2186" s="9" t="s">
        <v>6742</v>
      </c>
      <c r="E2186" s="9" t="s">
        <v>157</v>
      </c>
      <c r="F2186" s="9" t="s">
        <v>158</v>
      </c>
      <c r="G2186" s="9" t="s">
        <v>12</v>
      </c>
      <c r="H2186" s="9" t="s">
        <v>6113</v>
      </c>
      <c r="I2186" s="9"/>
      <c r="J2186" s="9" t="s">
        <v>87</v>
      </c>
      <c r="K2186" s="9"/>
      <c r="L2186" s="9"/>
      <c r="M2186" s="9" t="s">
        <v>159</v>
      </c>
      <c r="N2186" s="9"/>
      <c r="O2186" s="9" t="s">
        <v>160</v>
      </c>
      <c r="P2186" s="9" t="str">
        <f>HYPERLINK("https://ceds.ed.gov/cedselementdetails.aspx?termid=13190")</f>
        <v>https://ceds.ed.gov/cedselementdetails.aspx?termid=13190</v>
      </c>
      <c r="Q2186" s="9" t="str">
        <f>HYPERLINK("https://ceds.ed.gov/elementComment.aspx?elementName=Address County Name &amp;elementID=13190", "Click here to submit comment")</f>
        <v>Click here to submit comment</v>
      </c>
    </row>
    <row r="2187" spans="1:17" ht="409.5" x14ac:dyDescent="0.25">
      <c r="A2187" s="9" t="s">
        <v>6860</v>
      </c>
      <c r="B2187" s="9" t="s">
        <v>6852</v>
      </c>
      <c r="C2187" s="9" t="s">
        <v>6745</v>
      </c>
      <c r="D2187" s="9" t="s">
        <v>6742</v>
      </c>
      <c r="E2187" s="9" t="s">
        <v>1885</v>
      </c>
      <c r="F2187" s="9" t="s">
        <v>1886</v>
      </c>
      <c r="G2187" s="10" t="s">
        <v>11839</v>
      </c>
      <c r="H2187" s="9" t="s">
        <v>6174</v>
      </c>
      <c r="I2187" s="9"/>
      <c r="J2187" s="9"/>
      <c r="K2187" s="9"/>
      <c r="L2187" s="11" t="s">
        <v>1887</v>
      </c>
      <c r="M2187" s="9" t="s">
        <v>1888</v>
      </c>
      <c r="N2187" s="9"/>
      <c r="O2187" s="9" t="s">
        <v>1889</v>
      </c>
      <c r="P2187" s="9" t="str">
        <f>HYPERLINK("https://ceds.ed.gov/cedselementdetails.aspx?termid=13050")</f>
        <v>https://ceds.ed.gov/cedselementdetails.aspx?termid=13050</v>
      </c>
      <c r="Q2187" s="9" t="str">
        <f>HYPERLINK("https://ceds.ed.gov/elementComment.aspx?elementName=Country Code &amp;elementID=13050", "Click here to submit comment")</f>
        <v>Click here to submit comment</v>
      </c>
    </row>
    <row r="2188" spans="1:17" ht="180" x14ac:dyDescent="0.25">
      <c r="A2188" s="9" t="s">
        <v>6860</v>
      </c>
      <c r="B2188" s="9" t="s">
        <v>6852</v>
      </c>
      <c r="C2188" s="9" t="s">
        <v>6745</v>
      </c>
      <c r="D2188" s="9" t="s">
        <v>6742</v>
      </c>
      <c r="E2188" s="9" t="s">
        <v>1894</v>
      </c>
      <c r="F2188" s="9" t="s">
        <v>1895</v>
      </c>
      <c r="G2188" s="9" t="s">
        <v>12</v>
      </c>
      <c r="H2188" s="9"/>
      <c r="I2188" s="9"/>
      <c r="J2188" s="9" t="s">
        <v>10933</v>
      </c>
      <c r="K2188" s="9"/>
      <c r="L2188" s="9"/>
      <c r="M2188" s="9" t="s">
        <v>1896</v>
      </c>
      <c r="N2188" s="9"/>
      <c r="O2188" s="9" t="s">
        <v>1897</v>
      </c>
      <c r="P2188" s="9" t="str">
        <f>HYPERLINK("https://ceds.ed.gov/cedselementdetails.aspx?termid=14176")</f>
        <v>https://ceds.ed.gov/cedselementdetails.aspx?termid=14176</v>
      </c>
      <c r="Q2188" s="9" t="str">
        <f>HYPERLINK("https://ceds.ed.gov/elementComment.aspx?elementName=County ANSI Code &amp;elementID=14176", "Click here to submit comment")</f>
        <v>Click here to submit comment</v>
      </c>
    </row>
    <row r="2189" spans="1:17" ht="75" x14ac:dyDescent="0.25">
      <c r="A2189" s="9" t="s">
        <v>6860</v>
      </c>
      <c r="B2189" s="9" t="s">
        <v>6852</v>
      </c>
      <c r="C2189" s="9" t="s">
        <v>6745</v>
      </c>
      <c r="D2189" s="9" t="s">
        <v>6742</v>
      </c>
      <c r="E2189" s="9" t="s">
        <v>3606</v>
      </c>
      <c r="F2189" s="9" t="s">
        <v>3607</v>
      </c>
      <c r="G2189" s="9" t="s">
        <v>12</v>
      </c>
      <c r="H2189" s="9"/>
      <c r="I2189" s="9"/>
      <c r="J2189" s="9" t="s">
        <v>1165</v>
      </c>
      <c r="K2189" s="9"/>
      <c r="L2189" s="9"/>
      <c r="M2189" s="9" t="s">
        <v>3608</v>
      </c>
      <c r="N2189" s="9"/>
      <c r="O2189" s="9" t="s">
        <v>3606</v>
      </c>
      <c r="P2189" s="9" t="str">
        <f>HYPERLINK("https://ceds.ed.gov/cedselementdetails.aspx?termid=13599")</f>
        <v>https://ceds.ed.gov/cedselementdetails.aspx?termid=13599</v>
      </c>
      <c r="Q2189" s="9" t="str">
        <f>HYPERLINK("https://ceds.ed.gov/elementComment.aspx?elementName=Latitude &amp;elementID=13599", "Click here to submit comment")</f>
        <v>Click here to submit comment</v>
      </c>
    </row>
    <row r="2190" spans="1:17" ht="75" x14ac:dyDescent="0.25">
      <c r="A2190" s="9" t="s">
        <v>6860</v>
      </c>
      <c r="B2190" s="9" t="s">
        <v>6852</v>
      </c>
      <c r="C2190" s="9" t="s">
        <v>6745</v>
      </c>
      <c r="D2190" s="9" t="s">
        <v>6742</v>
      </c>
      <c r="E2190" s="9" t="s">
        <v>4139</v>
      </c>
      <c r="F2190" s="9" t="s">
        <v>4140</v>
      </c>
      <c r="G2190" s="9" t="s">
        <v>12</v>
      </c>
      <c r="H2190" s="9"/>
      <c r="I2190" s="9"/>
      <c r="J2190" s="9" t="s">
        <v>1165</v>
      </c>
      <c r="K2190" s="9"/>
      <c r="L2190" s="9"/>
      <c r="M2190" s="9" t="s">
        <v>4141</v>
      </c>
      <c r="N2190" s="9"/>
      <c r="O2190" s="9" t="s">
        <v>4139</v>
      </c>
      <c r="P2190" s="9" t="str">
        <f>HYPERLINK("https://ceds.ed.gov/cedselementdetails.aspx?termid=13600")</f>
        <v>https://ceds.ed.gov/cedselementdetails.aspx?termid=13600</v>
      </c>
      <c r="Q2190" s="9" t="str">
        <f>HYPERLINK("https://ceds.ed.gov/elementComment.aspx?elementName=Longitude &amp;elementID=13600", "Click here to submit comment")</f>
        <v>Click here to submit comment</v>
      </c>
    </row>
    <row r="2191" spans="1:17" ht="90" x14ac:dyDescent="0.25">
      <c r="A2191" s="9" t="s">
        <v>6860</v>
      </c>
      <c r="B2191" s="9" t="s">
        <v>6852</v>
      </c>
      <c r="C2191" s="9" t="s">
        <v>6773</v>
      </c>
      <c r="D2191" s="9" t="s">
        <v>6742</v>
      </c>
      <c r="E2191" s="9" t="s">
        <v>2584</v>
      </c>
      <c r="F2191" s="9" t="s">
        <v>2585</v>
      </c>
      <c r="G2191" s="9" t="s">
        <v>12</v>
      </c>
      <c r="H2191" s="9" t="s">
        <v>6109</v>
      </c>
      <c r="I2191" s="9"/>
      <c r="J2191" s="9" t="s">
        <v>11127</v>
      </c>
      <c r="K2191" s="9"/>
      <c r="L2191" s="9"/>
      <c r="M2191" s="9" t="s">
        <v>2586</v>
      </c>
      <c r="N2191" s="9" t="s">
        <v>2587</v>
      </c>
      <c r="O2191" s="9" t="s">
        <v>2588</v>
      </c>
      <c r="P2191" s="9" t="str">
        <f>HYPERLINK("https://ceds.ed.gov/cedselementdetails.aspx?termid=13088")</f>
        <v>https://ceds.ed.gov/cedselementdetails.aspx?termid=13088</v>
      </c>
      <c r="Q2191" s="9" t="str">
        <f>HYPERLINK("https://ceds.ed.gov/elementComment.aspx?elementName=Electronic Mail Address &amp;elementID=13088", "Click here to submit comment")</f>
        <v>Click here to submit comment</v>
      </c>
    </row>
    <row r="2192" spans="1:17" ht="90" x14ac:dyDescent="0.25">
      <c r="A2192" s="9" t="s">
        <v>6860</v>
      </c>
      <c r="B2192" s="9" t="s">
        <v>6852</v>
      </c>
      <c r="C2192" s="9" t="s">
        <v>6773</v>
      </c>
      <c r="D2192" s="9" t="s">
        <v>6742</v>
      </c>
      <c r="E2192" s="9" t="s">
        <v>2589</v>
      </c>
      <c r="F2192" s="9" t="s">
        <v>2590</v>
      </c>
      <c r="G2192" s="10" t="s">
        <v>6484</v>
      </c>
      <c r="H2192" s="9" t="s">
        <v>6109</v>
      </c>
      <c r="I2192" s="9"/>
      <c r="J2192" s="9"/>
      <c r="K2192" s="9"/>
      <c r="L2192" s="9"/>
      <c r="M2192" s="9" t="s">
        <v>2591</v>
      </c>
      <c r="N2192" s="9" t="s">
        <v>2592</v>
      </c>
      <c r="O2192" s="9" t="s">
        <v>2593</v>
      </c>
      <c r="P2192" s="9" t="str">
        <f>HYPERLINK("https://ceds.ed.gov/cedselementdetails.aspx?termid=13089")</f>
        <v>https://ceds.ed.gov/cedselementdetails.aspx?termid=13089</v>
      </c>
      <c r="Q2192" s="9" t="str">
        <f>HYPERLINK("https://ceds.ed.gov/elementComment.aspx?elementName=Electronic Mail Address Type &amp;elementID=13089", "Click here to submit comment")</f>
        <v>Click here to submit comment</v>
      </c>
    </row>
    <row r="2193" spans="1:17" ht="90" x14ac:dyDescent="0.25">
      <c r="A2193" s="9" t="s">
        <v>6860</v>
      </c>
      <c r="B2193" s="9" t="s">
        <v>6852</v>
      </c>
      <c r="C2193" s="9" t="s">
        <v>6747</v>
      </c>
      <c r="D2193" s="9" t="s">
        <v>6742</v>
      </c>
      <c r="E2193" s="9" t="s">
        <v>5849</v>
      </c>
      <c r="F2193" s="9" t="s">
        <v>5850</v>
      </c>
      <c r="G2193" s="9" t="s">
        <v>12</v>
      </c>
      <c r="H2193" s="9" t="s">
        <v>6109</v>
      </c>
      <c r="I2193" s="9"/>
      <c r="J2193" s="9" t="s">
        <v>5851</v>
      </c>
      <c r="K2193" s="9"/>
      <c r="L2193" s="9"/>
      <c r="M2193" s="9" t="s">
        <v>5852</v>
      </c>
      <c r="N2193" s="9"/>
      <c r="O2193" s="9" t="s">
        <v>5853</v>
      </c>
      <c r="P2193" s="9" t="str">
        <f>HYPERLINK("https://ceds.ed.gov/cedselementdetails.aspx?termid=13279")</f>
        <v>https://ceds.ed.gov/cedselementdetails.aspx?termid=13279</v>
      </c>
      <c r="Q2193" s="9" t="str">
        <f>HYPERLINK("https://ceds.ed.gov/elementComment.aspx?elementName=Telephone Number &amp;elementID=13279", "Click here to submit comment")</f>
        <v>Click here to submit comment</v>
      </c>
    </row>
    <row r="2194" spans="1:17" ht="90" x14ac:dyDescent="0.25">
      <c r="A2194" s="9" t="s">
        <v>6860</v>
      </c>
      <c r="B2194" s="9" t="s">
        <v>6852</v>
      </c>
      <c r="C2194" s="9" t="s">
        <v>6747</v>
      </c>
      <c r="D2194" s="9" t="s">
        <v>6742</v>
      </c>
      <c r="E2194" s="9" t="s">
        <v>5854</v>
      </c>
      <c r="F2194" s="9" t="s">
        <v>5855</v>
      </c>
      <c r="G2194" s="10" t="s">
        <v>6717</v>
      </c>
      <c r="H2194" s="9" t="s">
        <v>6109</v>
      </c>
      <c r="I2194" s="9"/>
      <c r="J2194" s="9" t="s">
        <v>1900</v>
      </c>
      <c r="K2194" s="9"/>
      <c r="L2194" s="9"/>
      <c r="M2194" s="9" t="s">
        <v>5856</v>
      </c>
      <c r="N2194" s="9"/>
      <c r="O2194" s="9" t="s">
        <v>5857</v>
      </c>
      <c r="P2194" s="9" t="str">
        <f>HYPERLINK("https://ceds.ed.gov/cedselementdetails.aspx?termid=13280")</f>
        <v>https://ceds.ed.gov/cedselementdetails.aspx?termid=13280</v>
      </c>
      <c r="Q2194" s="9" t="str">
        <f>HYPERLINK("https://ceds.ed.gov/elementComment.aspx?elementName=Telephone Number Type &amp;elementID=13280", "Click here to submit comment")</f>
        <v>Click here to submit comment</v>
      </c>
    </row>
    <row r="2195" spans="1:17" ht="90" x14ac:dyDescent="0.25">
      <c r="A2195" s="9" t="s">
        <v>6860</v>
      </c>
      <c r="B2195" s="9" t="s">
        <v>6852</v>
      </c>
      <c r="C2195" s="9" t="s">
        <v>6747</v>
      </c>
      <c r="D2195" s="9" t="s">
        <v>6742</v>
      </c>
      <c r="E2195" s="9" t="s">
        <v>4709</v>
      </c>
      <c r="F2195" s="9" t="s">
        <v>4710</v>
      </c>
      <c r="G2195" s="9" t="s">
        <v>6106</v>
      </c>
      <c r="H2195" s="9" t="s">
        <v>6109</v>
      </c>
      <c r="I2195" s="9"/>
      <c r="J2195" s="9"/>
      <c r="K2195" s="9"/>
      <c r="L2195" s="9"/>
      <c r="M2195" s="9" t="s">
        <v>4711</v>
      </c>
      <c r="N2195" s="9"/>
      <c r="O2195" s="9" t="s">
        <v>4712</v>
      </c>
      <c r="P2195" s="9" t="str">
        <f>HYPERLINK("https://ceds.ed.gov/cedselementdetails.aspx?termid=13219")</f>
        <v>https://ceds.ed.gov/cedselementdetails.aspx?termid=13219</v>
      </c>
      <c r="Q2195" s="9" t="str">
        <f>HYPERLINK("https://ceds.ed.gov/elementComment.aspx?elementName=Primary Telephone Number Indicator &amp;elementID=13219", "Click here to submit comment")</f>
        <v>Click here to submit comment</v>
      </c>
    </row>
    <row r="2196" spans="1:17" ht="45" x14ac:dyDescent="0.25">
      <c r="A2196" s="9" t="s">
        <v>6860</v>
      </c>
      <c r="B2196" s="9" t="s">
        <v>6852</v>
      </c>
      <c r="C2196" s="9" t="s">
        <v>6782</v>
      </c>
      <c r="D2196" s="9" t="s">
        <v>6742</v>
      </c>
      <c r="E2196" s="9" t="s">
        <v>4481</v>
      </c>
      <c r="F2196" s="9" t="s">
        <v>4482</v>
      </c>
      <c r="G2196" s="9" t="s">
        <v>12</v>
      </c>
      <c r="H2196" s="9"/>
      <c r="I2196" s="9"/>
      <c r="J2196" s="9" t="s">
        <v>1310</v>
      </c>
      <c r="K2196" s="9"/>
      <c r="L2196" s="9" t="s">
        <v>4483</v>
      </c>
      <c r="M2196" s="9" t="s">
        <v>4484</v>
      </c>
      <c r="N2196" s="9"/>
      <c r="O2196" s="9" t="s">
        <v>4485</v>
      </c>
      <c r="P2196" s="9" t="str">
        <f>HYPERLINK("https://ceds.ed.gov/cedselementdetails.aspx?termid=14486")</f>
        <v>https://ceds.ed.gov/cedselementdetails.aspx?termid=14486</v>
      </c>
      <c r="Q2196" s="9" t="str">
        <f>HYPERLINK("https://ceds.ed.gov/elementComment.aspx?elementName=Other First Name &amp;elementID=14486", "Click here to submit comment")</f>
        <v>Click here to submit comment</v>
      </c>
    </row>
    <row r="2197" spans="1:17" ht="45" x14ac:dyDescent="0.25">
      <c r="A2197" s="9" t="s">
        <v>6860</v>
      </c>
      <c r="B2197" s="9" t="s">
        <v>6852</v>
      </c>
      <c r="C2197" s="9" t="s">
        <v>6782</v>
      </c>
      <c r="D2197" s="9" t="s">
        <v>6742</v>
      </c>
      <c r="E2197" s="9" t="s">
        <v>4486</v>
      </c>
      <c r="F2197" s="9" t="s">
        <v>4487</v>
      </c>
      <c r="G2197" s="9" t="s">
        <v>12</v>
      </c>
      <c r="H2197" s="9"/>
      <c r="I2197" s="9"/>
      <c r="J2197" s="9" t="s">
        <v>1310</v>
      </c>
      <c r="K2197" s="9"/>
      <c r="L2197" s="9" t="s">
        <v>4488</v>
      </c>
      <c r="M2197" s="9" t="s">
        <v>4489</v>
      </c>
      <c r="N2197" s="9"/>
      <c r="O2197" s="9" t="s">
        <v>4490</v>
      </c>
      <c r="P2197" s="9" t="str">
        <f>HYPERLINK("https://ceds.ed.gov/cedselementdetails.aspx?termid=14485")</f>
        <v>https://ceds.ed.gov/cedselementdetails.aspx?termid=14485</v>
      </c>
      <c r="Q2197" s="9" t="str">
        <f>HYPERLINK("https://ceds.ed.gov/elementComment.aspx?elementName=Other Last Name &amp;elementID=14485", "Click here to submit comment")</f>
        <v>Click here to submit comment</v>
      </c>
    </row>
    <row r="2198" spans="1:17" ht="45" x14ac:dyDescent="0.25">
      <c r="A2198" s="9" t="s">
        <v>6860</v>
      </c>
      <c r="B2198" s="9" t="s">
        <v>6852</v>
      </c>
      <c r="C2198" s="9" t="s">
        <v>6782</v>
      </c>
      <c r="D2198" s="9" t="s">
        <v>6742</v>
      </c>
      <c r="E2198" s="9" t="s">
        <v>4491</v>
      </c>
      <c r="F2198" s="9" t="s">
        <v>4492</v>
      </c>
      <c r="G2198" s="9" t="s">
        <v>12</v>
      </c>
      <c r="H2198" s="9"/>
      <c r="I2198" s="9"/>
      <c r="J2198" s="9" t="s">
        <v>1310</v>
      </c>
      <c r="K2198" s="9"/>
      <c r="L2198" s="9" t="s">
        <v>4493</v>
      </c>
      <c r="M2198" s="9" t="s">
        <v>4494</v>
      </c>
      <c r="N2198" s="9"/>
      <c r="O2198" s="9" t="s">
        <v>4495</v>
      </c>
      <c r="P2198" s="9" t="str">
        <f>HYPERLINK("https://ceds.ed.gov/cedselementdetails.aspx?termid=14487")</f>
        <v>https://ceds.ed.gov/cedselementdetails.aspx?termid=14487</v>
      </c>
      <c r="Q2198" s="9" t="str">
        <f>HYPERLINK("https://ceds.ed.gov/elementComment.aspx?elementName=Other Middle Name &amp;elementID=14487", "Click here to submit comment")</f>
        <v>Click here to submit comment</v>
      </c>
    </row>
    <row r="2199" spans="1:17" ht="150" x14ac:dyDescent="0.25">
      <c r="A2199" s="9" t="s">
        <v>6860</v>
      </c>
      <c r="B2199" s="9" t="s">
        <v>6852</v>
      </c>
      <c r="C2199" s="9" t="s">
        <v>6782</v>
      </c>
      <c r="D2199" s="9" t="s">
        <v>6742</v>
      </c>
      <c r="E2199" s="9" t="s">
        <v>4496</v>
      </c>
      <c r="F2199" s="9" t="s">
        <v>4497</v>
      </c>
      <c r="G2199" s="9" t="s">
        <v>12</v>
      </c>
      <c r="H2199" s="9" t="s">
        <v>6212</v>
      </c>
      <c r="I2199" s="9"/>
      <c r="J2199" s="9" t="s">
        <v>119</v>
      </c>
      <c r="K2199" s="9"/>
      <c r="L2199" s="9"/>
      <c r="M2199" s="9" t="s">
        <v>4498</v>
      </c>
      <c r="N2199" s="9"/>
      <c r="O2199" s="9" t="s">
        <v>4499</v>
      </c>
      <c r="P2199" s="9" t="str">
        <f>HYPERLINK("https://ceds.ed.gov/cedselementdetails.aspx?termid=13206")</f>
        <v>https://ceds.ed.gov/cedselementdetails.aspx?termid=13206</v>
      </c>
      <c r="Q2199" s="9" t="str">
        <f>HYPERLINK("https://ceds.ed.gov/elementComment.aspx?elementName=Other Name &amp;elementID=13206", "Click here to submit comment")</f>
        <v>Click here to submit comment</v>
      </c>
    </row>
    <row r="2200" spans="1:17" ht="165" x14ac:dyDescent="0.25">
      <c r="A2200" s="9" t="s">
        <v>6860</v>
      </c>
      <c r="B2200" s="9" t="s">
        <v>6852</v>
      </c>
      <c r="C2200" s="9" t="s">
        <v>6782</v>
      </c>
      <c r="D2200" s="9" t="s">
        <v>6742</v>
      </c>
      <c r="E2200" s="9" t="s">
        <v>4500</v>
      </c>
      <c r="F2200" s="9" t="s">
        <v>4501</v>
      </c>
      <c r="G2200" s="10" t="s">
        <v>6630</v>
      </c>
      <c r="H2200" s="9" t="s">
        <v>6251</v>
      </c>
      <c r="I2200" s="9"/>
      <c r="J2200" s="9" t="s">
        <v>87</v>
      </c>
      <c r="K2200" s="9"/>
      <c r="L2200" s="9"/>
      <c r="M2200" s="9" t="s">
        <v>4502</v>
      </c>
      <c r="N2200" s="9"/>
      <c r="O2200" s="9" t="s">
        <v>4503</v>
      </c>
      <c r="P2200" s="9" t="str">
        <f>HYPERLINK("https://ceds.ed.gov/cedselementdetails.aspx?termid=13627")</f>
        <v>https://ceds.ed.gov/cedselementdetails.aspx?termid=13627</v>
      </c>
      <c r="Q2200" s="9" t="str">
        <f>HYPERLINK("https://ceds.ed.gov/elementComment.aspx?elementName=Other Name Type &amp;elementID=13627", "Click here to submit comment")</f>
        <v>Click here to submit comment</v>
      </c>
    </row>
    <row r="2201" spans="1:17" ht="45" x14ac:dyDescent="0.25">
      <c r="A2201" s="9" t="s">
        <v>6860</v>
      </c>
      <c r="B2201" s="9" t="s">
        <v>6861</v>
      </c>
      <c r="C2201" s="9"/>
      <c r="D2201" s="9" t="s">
        <v>6742</v>
      </c>
      <c r="E2201" s="9" t="s">
        <v>11653</v>
      </c>
      <c r="F2201" s="9" t="s">
        <v>11654</v>
      </c>
      <c r="G2201" s="9" t="s">
        <v>12</v>
      </c>
      <c r="H2201" s="9"/>
      <c r="I2201" s="9"/>
      <c r="J2201" s="9" t="s">
        <v>1143</v>
      </c>
      <c r="K2201" s="9"/>
      <c r="L2201" s="9"/>
      <c r="M2201" s="9" t="s">
        <v>11656</v>
      </c>
      <c r="N2201" s="9"/>
      <c r="O2201" s="9" t="s">
        <v>11657</v>
      </c>
      <c r="P2201" s="9" t="str">
        <f>HYPERLINK("https://ceds.ed.gov/cedselementdetails.aspx?termid=14644")</f>
        <v>https://ceds.ed.gov/cedselementdetails.aspx?termid=14644</v>
      </c>
      <c r="Q2201" s="9" t="str">
        <f>HYPERLINK("https://ceds.ed.gov/elementComment.aspx?elementName=Organization Image URL &amp;elementID=14644", "Click here to submit comment")</f>
        <v>Click here to submit comment</v>
      </c>
    </row>
    <row r="2202" spans="1:17" ht="45" x14ac:dyDescent="0.25">
      <c r="A2202" s="9" t="s">
        <v>6860</v>
      </c>
      <c r="B2202" s="9" t="s">
        <v>6861</v>
      </c>
      <c r="C2202" s="9"/>
      <c r="D2202" s="9" t="s">
        <v>6742</v>
      </c>
      <c r="E2202" s="9" t="s">
        <v>11660</v>
      </c>
      <c r="F2202" s="9" t="s">
        <v>11661</v>
      </c>
      <c r="G2202" s="9" t="s">
        <v>12</v>
      </c>
      <c r="H2202" s="9"/>
      <c r="I2202" s="9" t="s">
        <v>91</v>
      </c>
      <c r="J2202" s="9" t="s">
        <v>11025</v>
      </c>
      <c r="K2202" s="9" t="s">
        <v>11663</v>
      </c>
      <c r="L2202" s="9"/>
      <c r="M2202" s="9" t="s">
        <v>11664</v>
      </c>
      <c r="N2202" s="9"/>
      <c r="O2202" s="9" t="s">
        <v>11665</v>
      </c>
      <c r="P2202" s="9" t="str">
        <f>HYPERLINK("https://ceds.ed.gov/cedselementdetails.aspx?termid=14731")</f>
        <v>https://ceds.ed.gov/cedselementdetails.aspx?termid=14731</v>
      </c>
      <c r="Q2202" s="9" t="str">
        <f>HYPERLINK("https://ceds.ed.gov/elementComment.aspx?elementName=Organization Region GeoJSON &amp;elementID=14731", "Click here to submit comment")</f>
        <v>Click here to submit comment</v>
      </c>
    </row>
    <row r="2203" spans="1:17" ht="45" x14ac:dyDescent="0.25">
      <c r="A2203" s="9" t="s">
        <v>6860</v>
      </c>
      <c r="B2203" s="9" t="s">
        <v>6861</v>
      </c>
      <c r="C2203" s="9"/>
      <c r="D2203" s="9" t="s">
        <v>6742</v>
      </c>
      <c r="E2203" s="9" t="s">
        <v>11017</v>
      </c>
      <c r="F2203" s="9" t="s">
        <v>11018</v>
      </c>
      <c r="G2203" s="9" t="s">
        <v>12</v>
      </c>
      <c r="H2203" s="9"/>
      <c r="I2203" s="9"/>
      <c r="J2203" s="9" t="s">
        <v>1143</v>
      </c>
      <c r="K2203" s="9"/>
      <c r="L2203" s="11" t="s">
        <v>11020</v>
      </c>
      <c r="M2203" s="9" t="s">
        <v>11021</v>
      </c>
      <c r="N2203" s="9"/>
      <c r="O2203" s="9" t="s">
        <v>11022</v>
      </c>
      <c r="P2203" s="9" t="str">
        <f>HYPERLINK("https://ceds.ed.gov/cedselementdetails.aspx?termid=14643")</f>
        <v>https://ceds.ed.gov/cedselementdetails.aspx?termid=14643</v>
      </c>
      <c r="Q2203" s="9" t="str">
        <f>HYPERLINK("https://ceds.ed.gov/elementComment.aspx?elementName=Credential Issuer Revocation List URL &amp;elementID=14643", "Click here to submit comment")</f>
        <v>Click here to submit comment</v>
      </c>
    </row>
    <row r="2204" spans="1:17" ht="90" x14ac:dyDescent="0.25">
      <c r="A2204" s="9" t="s">
        <v>6860</v>
      </c>
      <c r="B2204" s="9" t="s">
        <v>6861</v>
      </c>
      <c r="C2204" s="9" t="s">
        <v>6783</v>
      </c>
      <c r="D2204" s="9" t="s">
        <v>6742</v>
      </c>
      <c r="E2204" s="9" t="s">
        <v>174</v>
      </c>
      <c r="F2204" s="9" t="s">
        <v>175</v>
      </c>
      <c r="G2204" s="10" t="s">
        <v>6320</v>
      </c>
      <c r="H2204" s="9" t="s">
        <v>6109</v>
      </c>
      <c r="I2204" s="9"/>
      <c r="J2204" s="9" t="s">
        <v>87</v>
      </c>
      <c r="K2204" s="9"/>
      <c r="L2204" s="9"/>
      <c r="M2204" s="9" t="s">
        <v>176</v>
      </c>
      <c r="N2204" s="9"/>
      <c r="O2204" s="9" t="s">
        <v>177</v>
      </c>
      <c r="P2204" s="9" t="str">
        <f>HYPERLINK("https://ceds.ed.gov/cedselementdetails.aspx?termid=13644")</f>
        <v>https://ceds.ed.gov/cedselementdetails.aspx?termid=13644</v>
      </c>
      <c r="Q2204" s="9" t="str">
        <f>HYPERLINK("https://ceds.ed.gov/elementComment.aspx?elementName=Address Type for Organization &amp;elementID=13644", "Click here to submit comment")</f>
        <v>Click here to submit comment</v>
      </c>
    </row>
    <row r="2205" spans="1:17" ht="225" x14ac:dyDescent="0.25">
      <c r="A2205" s="9" t="s">
        <v>6860</v>
      </c>
      <c r="B2205" s="9" t="s">
        <v>6861</v>
      </c>
      <c r="C2205" s="9" t="s">
        <v>6783</v>
      </c>
      <c r="D2205" s="9" t="s">
        <v>6742</v>
      </c>
      <c r="E2205" s="9" t="s">
        <v>166</v>
      </c>
      <c r="F2205" s="9" t="s">
        <v>167</v>
      </c>
      <c r="G2205" s="9" t="s">
        <v>12</v>
      </c>
      <c r="H2205" s="9" t="s">
        <v>6113</v>
      </c>
      <c r="I2205" s="9"/>
      <c r="J2205" s="9" t="s">
        <v>119</v>
      </c>
      <c r="K2205" s="9"/>
      <c r="L2205" s="9"/>
      <c r="M2205" s="9" t="s">
        <v>168</v>
      </c>
      <c r="N2205" s="9"/>
      <c r="O2205" s="9" t="s">
        <v>169</v>
      </c>
      <c r="P2205" s="9" t="str">
        <f>HYPERLINK("https://ceds.ed.gov/cedselementdetails.aspx?termid=13269")</f>
        <v>https://ceds.ed.gov/cedselementdetails.aspx?termid=13269</v>
      </c>
      <c r="Q2205" s="9" t="str">
        <f>HYPERLINK("https://ceds.ed.gov/elementComment.aspx?elementName=Address Street Number and Name &amp;elementID=13269", "Click here to submit comment")</f>
        <v>Click here to submit comment</v>
      </c>
    </row>
    <row r="2206" spans="1:17" ht="225" x14ac:dyDescent="0.25">
      <c r="A2206" s="9" t="s">
        <v>6860</v>
      </c>
      <c r="B2206" s="9" t="s">
        <v>6861</v>
      </c>
      <c r="C2206" s="9" t="s">
        <v>6783</v>
      </c>
      <c r="D2206" s="9" t="s">
        <v>6742</v>
      </c>
      <c r="E2206" s="9" t="s">
        <v>149</v>
      </c>
      <c r="F2206" s="9" t="s">
        <v>150</v>
      </c>
      <c r="G2206" s="9" t="s">
        <v>12</v>
      </c>
      <c r="H2206" s="9" t="s">
        <v>6113</v>
      </c>
      <c r="I2206" s="9"/>
      <c r="J2206" s="9" t="s">
        <v>87</v>
      </c>
      <c r="K2206" s="9"/>
      <c r="L2206" s="9"/>
      <c r="M2206" s="9" t="s">
        <v>151</v>
      </c>
      <c r="N2206" s="9"/>
      <c r="O2206" s="9" t="s">
        <v>152</v>
      </c>
      <c r="P2206" s="9" t="str">
        <f>HYPERLINK("https://ceds.ed.gov/cedselementdetails.aspx?termid=13019")</f>
        <v>https://ceds.ed.gov/cedselementdetails.aspx?termid=13019</v>
      </c>
      <c r="Q2206" s="9" t="str">
        <f>HYPERLINK("https://ceds.ed.gov/elementComment.aspx?elementName=Address Apartment Room or Suite Number &amp;elementID=13019", "Click here to submit comment")</f>
        <v>Click here to submit comment</v>
      </c>
    </row>
    <row r="2207" spans="1:17" ht="225" x14ac:dyDescent="0.25">
      <c r="A2207" s="9" t="s">
        <v>6860</v>
      </c>
      <c r="B2207" s="9" t="s">
        <v>6861</v>
      </c>
      <c r="C2207" s="9" t="s">
        <v>6783</v>
      </c>
      <c r="D2207" s="9" t="s">
        <v>6742</v>
      </c>
      <c r="E2207" s="9" t="s">
        <v>153</v>
      </c>
      <c r="F2207" s="9" t="s">
        <v>154</v>
      </c>
      <c r="G2207" s="9" t="s">
        <v>12</v>
      </c>
      <c r="H2207" s="9" t="s">
        <v>6113</v>
      </c>
      <c r="I2207" s="9"/>
      <c r="J2207" s="9" t="s">
        <v>87</v>
      </c>
      <c r="K2207" s="9"/>
      <c r="L2207" s="9"/>
      <c r="M2207" s="9" t="s">
        <v>155</v>
      </c>
      <c r="N2207" s="9"/>
      <c r="O2207" s="9" t="s">
        <v>156</v>
      </c>
      <c r="P2207" s="9" t="str">
        <f>HYPERLINK("https://ceds.ed.gov/cedselementdetails.aspx?termid=13040")</f>
        <v>https://ceds.ed.gov/cedselementdetails.aspx?termid=13040</v>
      </c>
      <c r="Q2207" s="9" t="str">
        <f>HYPERLINK("https://ceds.ed.gov/elementComment.aspx?elementName=Address City &amp;elementID=13040", "Click here to submit comment")</f>
        <v>Click here to submit comment</v>
      </c>
    </row>
    <row r="2208" spans="1:17" ht="409.5" x14ac:dyDescent="0.25">
      <c r="A2208" s="9" t="s">
        <v>6860</v>
      </c>
      <c r="B2208" s="9" t="s">
        <v>6861</v>
      </c>
      <c r="C2208" s="9" t="s">
        <v>6783</v>
      </c>
      <c r="D2208" s="9" t="s">
        <v>6742</v>
      </c>
      <c r="E2208" s="9" t="s">
        <v>5647</v>
      </c>
      <c r="F2208" s="9" t="s">
        <v>5648</v>
      </c>
      <c r="G2208" s="10" t="s">
        <v>6702</v>
      </c>
      <c r="H2208" s="9" t="s">
        <v>6285</v>
      </c>
      <c r="I2208" s="9"/>
      <c r="J2208" s="9"/>
      <c r="K2208" s="9"/>
      <c r="L2208" s="9"/>
      <c r="M2208" s="9" t="s">
        <v>5649</v>
      </c>
      <c r="N2208" s="9"/>
      <c r="O2208" s="9" t="s">
        <v>5650</v>
      </c>
      <c r="P2208" s="9" t="str">
        <f>HYPERLINK("https://ceds.ed.gov/cedselementdetails.aspx?termid=13267")</f>
        <v>https://ceds.ed.gov/cedselementdetails.aspx?termid=13267</v>
      </c>
      <c r="Q2208" s="9" t="str">
        <f>HYPERLINK("https://ceds.ed.gov/elementComment.aspx?elementName=State Abbreviation &amp;elementID=13267", "Click here to submit comment")</f>
        <v>Click here to submit comment</v>
      </c>
    </row>
    <row r="2209" spans="1:17" ht="225" x14ac:dyDescent="0.25">
      <c r="A2209" s="9" t="s">
        <v>6860</v>
      </c>
      <c r="B2209" s="9" t="s">
        <v>6861</v>
      </c>
      <c r="C2209" s="9" t="s">
        <v>6783</v>
      </c>
      <c r="D2209" s="9" t="s">
        <v>6742</v>
      </c>
      <c r="E2209" s="9" t="s">
        <v>161</v>
      </c>
      <c r="F2209" s="9" t="s">
        <v>162</v>
      </c>
      <c r="G2209" s="9" t="s">
        <v>12</v>
      </c>
      <c r="H2209" s="9" t="s">
        <v>6113</v>
      </c>
      <c r="I2209" s="9"/>
      <c r="J2209" s="9" t="s">
        <v>163</v>
      </c>
      <c r="K2209" s="9"/>
      <c r="L2209" s="9"/>
      <c r="M2209" s="9" t="s">
        <v>164</v>
      </c>
      <c r="N2209" s="9"/>
      <c r="O2209" s="9" t="s">
        <v>165</v>
      </c>
      <c r="P2209" s="9" t="str">
        <f>HYPERLINK("https://ceds.ed.gov/cedselementdetails.aspx?termid=13214")</f>
        <v>https://ceds.ed.gov/cedselementdetails.aspx?termid=13214</v>
      </c>
      <c r="Q2209" s="9" t="str">
        <f>HYPERLINK("https://ceds.ed.gov/elementComment.aspx?elementName=Address Postal Code &amp;elementID=13214", "Click here to submit comment")</f>
        <v>Click here to submit comment</v>
      </c>
    </row>
    <row r="2210" spans="1:17" ht="225" x14ac:dyDescent="0.25">
      <c r="A2210" s="9" t="s">
        <v>6860</v>
      </c>
      <c r="B2210" s="9" t="s">
        <v>6861</v>
      </c>
      <c r="C2210" s="9" t="s">
        <v>6783</v>
      </c>
      <c r="D2210" s="9" t="s">
        <v>6742</v>
      </c>
      <c r="E2210" s="9" t="s">
        <v>157</v>
      </c>
      <c r="F2210" s="9" t="s">
        <v>158</v>
      </c>
      <c r="G2210" s="9" t="s">
        <v>12</v>
      </c>
      <c r="H2210" s="9" t="s">
        <v>6113</v>
      </c>
      <c r="I2210" s="9"/>
      <c r="J2210" s="9" t="s">
        <v>87</v>
      </c>
      <c r="K2210" s="9"/>
      <c r="L2210" s="9"/>
      <c r="M2210" s="9" t="s">
        <v>159</v>
      </c>
      <c r="N2210" s="9"/>
      <c r="O2210" s="9" t="s">
        <v>160</v>
      </c>
      <c r="P2210" s="9" t="str">
        <f>HYPERLINK("https://ceds.ed.gov/cedselementdetails.aspx?termid=13190")</f>
        <v>https://ceds.ed.gov/cedselementdetails.aspx?termid=13190</v>
      </c>
      <c r="Q2210" s="9" t="str">
        <f>HYPERLINK("https://ceds.ed.gov/elementComment.aspx?elementName=Address County Name &amp;elementID=13190", "Click here to submit comment")</f>
        <v>Click here to submit comment</v>
      </c>
    </row>
    <row r="2211" spans="1:17" ht="180" x14ac:dyDescent="0.25">
      <c r="A2211" s="9" t="s">
        <v>6860</v>
      </c>
      <c r="B2211" s="9" t="s">
        <v>6861</v>
      </c>
      <c r="C2211" s="9" t="s">
        <v>6783</v>
      </c>
      <c r="D2211" s="9" t="s">
        <v>6742</v>
      </c>
      <c r="E2211" s="9" t="s">
        <v>1894</v>
      </c>
      <c r="F2211" s="9" t="s">
        <v>1895</v>
      </c>
      <c r="G2211" s="9" t="s">
        <v>12</v>
      </c>
      <c r="H2211" s="9"/>
      <c r="I2211" s="9"/>
      <c r="J2211" s="9" t="s">
        <v>10933</v>
      </c>
      <c r="K2211" s="9"/>
      <c r="L2211" s="9"/>
      <c r="M2211" s="9" t="s">
        <v>1896</v>
      </c>
      <c r="N2211" s="9"/>
      <c r="O2211" s="9" t="s">
        <v>1897</v>
      </c>
      <c r="P2211" s="9" t="str">
        <f>HYPERLINK("https://ceds.ed.gov/cedselementdetails.aspx?termid=14176")</f>
        <v>https://ceds.ed.gov/cedselementdetails.aspx?termid=14176</v>
      </c>
      <c r="Q2211" s="9" t="str">
        <f>HYPERLINK("https://ceds.ed.gov/elementComment.aspx?elementName=County ANSI Code &amp;elementID=14176", "Click here to submit comment")</f>
        <v>Click here to submit comment</v>
      </c>
    </row>
    <row r="2212" spans="1:17" ht="75" x14ac:dyDescent="0.25">
      <c r="A2212" s="9" t="s">
        <v>6860</v>
      </c>
      <c r="B2212" s="9" t="s">
        <v>6861</v>
      </c>
      <c r="C2212" s="9" t="s">
        <v>6783</v>
      </c>
      <c r="D2212" s="9" t="s">
        <v>6742</v>
      </c>
      <c r="E2212" s="9" t="s">
        <v>3606</v>
      </c>
      <c r="F2212" s="9" t="s">
        <v>3607</v>
      </c>
      <c r="G2212" s="9" t="s">
        <v>12</v>
      </c>
      <c r="H2212" s="9"/>
      <c r="I2212" s="9"/>
      <c r="J2212" s="9" t="s">
        <v>1165</v>
      </c>
      <c r="K2212" s="9"/>
      <c r="L2212" s="9"/>
      <c r="M2212" s="9" t="s">
        <v>3608</v>
      </c>
      <c r="N2212" s="9"/>
      <c r="O2212" s="9" t="s">
        <v>3606</v>
      </c>
      <c r="P2212" s="9" t="str">
        <f>HYPERLINK("https://ceds.ed.gov/cedselementdetails.aspx?termid=13599")</f>
        <v>https://ceds.ed.gov/cedselementdetails.aspx?termid=13599</v>
      </c>
      <c r="Q2212" s="9" t="str">
        <f>HYPERLINK("https://ceds.ed.gov/elementComment.aspx?elementName=Latitude &amp;elementID=13599", "Click here to submit comment")</f>
        <v>Click here to submit comment</v>
      </c>
    </row>
    <row r="2213" spans="1:17" ht="75" x14ac:dyDescent="0.25">
      <c r="A2213" s="9" t="s">
        <v>6860</v>
      </c>
      <c r="B2213" s="9" t="s">
        <v>6861</v>
      </c>
      <c r="C2213" s="9" t="s">
        <v>6783</v>
      </c>
      <c r="D2213" s="9" t="s">
        <v>6742</v>
      </c>
      <c r="E2213" s="9" t="s">
        <v>4139</v>
      </c>
      <c r="F2213" s="9" t="s">
        <v>4140</v>
      </c>
      <c r="G2213" s="9" t="s">
        <v>12</v>
      </c>
      <c r="H2213" s="9"/>
      <c r="I2213" s="9"/>
      <c r="J2213" s="9" t="s">
        <v>1165</v>
      </c>
      <c r="K2213" s="9"/>
      <c r="L2213" s="9"/>
      <c r="M2213" s="9" t="s">
        <v>4141</v>
      </c>
      <c r="N2213" s="9"/>
      <c r="O2213" s="9" t="s">
        <v>4139</v>
      </c>
      <c r="P2213" s="9" t="str">
        <f>HYPERLINK("https://ceds.ed.gov/cedselementdetails.aspx?termid=13600")</f>
        <v>https://ceds.ed.gov/cedselementdetails.aspx?termid=13600</v>
      </c>
      <c r="Q2213" s="9" t="str">
        <f>HYPERLINK("https://ceds.ed.gov/elementComment.aspx?elementName=Longitude &amp;elementID=13600", "Click here to submit comment")</f>
        <v>Click here to submit comment</v>
      </c>
    </row>
    <row r="2214" spans="1:17" ht="225" x14ac:dyDescent="0.25">
      <c r="A2214" s="9" t="s">
        <v>6860</v>
      </c>
      <c r="B2214" s="9" t="s">
        <v>6861</v>
      </c>
      <c r="C2214" s="9" t="s">
        <v>6786</v>
      </c>
      <c r="D2214" s="9" t="s">
        <v>6742</v>
      </c>
      <c r="E2214" s="9" t="s">
        <v>4296</v>
      </c>
      <c r="F2214" s="9" t="s">
        <v>4297</v>
      </c>
      <c r="G2214" s="9" t="s">
        <v>12</v>
      </c>
      <c r="H2214" s="9" t="s">
        <v>6245</v>
      </c>
      <c r="I2214" s="9"/>
      <c r="J2214" s="9" t="s">
        <v>92</v>
      </c>
      <c r="K2214" s="9"/>
      <c r="L2214" s="9"/>
      <c r="M2214" s="9" t="s">
        <v>4298</v>
      </c>
      <c r="N2214" s="9"/>
      <c r="O2214" s="9" t="s">
        <v>4299</v>
      </c>
      <c r="P2214" s="9" t="str">
        <f>HYPERLINK("https://ceds.ed.gov/cedselementdetails.aspx?termid=13191")</f>
        <v>https://ceds.ed.gov/cedselementdetails.aspx?termid=13191</v>
      </c>
      <c r="Q2214" s="9" t="str">
        <f>HYPERLINK("https://ceds.ed.gov/elementComment.aspx?elementName=Name of Institution &amp;elementID=13191", "Click here to submit comment")</f>
        <v>Click here to submit comment</v>
      </c>
    </row>
    <row r="2215" spans="1:17" ht="90" x14ac:dyDescent="0.25">
      <c r="A2215" s="9" t="s">
        <v>6860</v>
      </c>
      <c r="B2215" s="9" t="s">
        <v>6861</v>
      </c>
      <c r="C2215" s="9" t="s">
        <v>6786</v>
      </c>
      <c r="D2215" s="9" t="s">
        <v>6742</v>
      </c>
      <c r="E2215" s="9" t="s">
        <v>5476</v>
      </c>
      <c r="F2215" s="9" t="s">
        <v>5477</v>
      </c>
      <c r="G2215" s="9" t="s">
        <v>12</v>
      </c>
      <c r="H2215" s="9"/>
      <c r="I2215" s="9"/>
      <c r="J2215" s="9" t="s">
        <v>87</v>
      </c>
      <c r="K2215" s="9"/>
      <c r="L2215" s="9" t="s">
        <v>5478</v>
      </c>
      <c r="M2215" s="9" t="s">
        <v>5479</v>
      </c>
      <c r="N2215" s="9"/>
      <c r="O2215" s="9" t="s">
        <v>5480</v>
      </c>
      <c r="P2215" s="9" t="str">
        <f>HYPERLINK("https://ceds.ed.gov/cedselementdetails.aspx?termid=14459")</f>
        <v>https://ceds.ed.gov/cedselementdetails.aspx?termid=14459</v>
      </c>
      <c r="Q2215" s="9" t="str">
        <f>HYPERLINK("https://ceds.ed.gov/elementComment.aspx?elementName=Short Name of Institution &amp;elementID=14459", "Click here to submit comment")</f>
        <v>Click here to submit comment</v>
      </c>
    </row>
    <row r="2216" spans="1:17" ht="180" x14ac:dyDescent="0.25">
      <c r="A2216" s="9" t="s">
        <v>6860</v>
      </c>
      <c r="B2216" s="9" t="s">
        <v>6861</v>
      </c>
      <c r="C2216" s="9" t="s">
        <v>6786</v>
      </c>
      <c r="D2216" s="9" t="s">
        <v>6742</v>
      </c>
      <c r="E2216" s="9" t="s">
        <v>4420</v>
      </c>
      <c r="F2216" s="9" t="s">
        <v>4421</v>
      </c>
      <c r="G2216" s="9" t="s">
        <v>12</v>
      </c>
      <c r="H2216" s="9"/>
      <c r="I2216" s="9"/>
      <c r="J2216" s="9" t="s">
        <v>11650</v>
      </c>
      <c r="K2216" s="9"/>
      <c r="L2216" s="9"/>
      <c r="M2216" s="9" t="s">
        <v>4422</v>
      </c>
      <c r="N2216" s="9" t="s">
        <v>4423</v>
      </c>
      <c r="O2216" s="9" t="s">
        <v>4423</v>
      </c>
      <c r="P2216" s="9" t="str">
        <f>HYPERLINK("https://ceds.ed.gov/cedselementdetails.aspx?termid=13203")</f>
        <v>https://ceds.ed.gov/cedselementdetails.aspx?termid=13203</v>
      </c>
      <c r="Q2216" s="9" t="str">
        <f>HYPERLINK("https://ceds.ed.gov/elementComment.aspx?elementName=Office of Postsecondary Education Identifier &amp;elementID=13203", "Click here to submit comment")</f>
        <v>Click here to submit comment</v>
      </c>
    </row>
    <row r="2217" spans="1:17" ht="135" x14ac:dyDescent="0.25">
      <c r="A2217" s="9" t="s">
        <v>6860</v>
      </c>
      <c r="B2217" s="9" t="s">
        <v>6861</v>
      </c>
      <c r="C2217" s="9" t="s">
        <v>6786</v>
      </c>
      <c r="D2217" s="9" t="s">
        <v>6742</v>
      </c>
      <c r="E2217" s="9" t="s">
        <v>2788</v>
      </c>
      <c r="F2217" s="9" t="s">
        <v>2789</v>
      </c>
      <c r="G2217" s="9" t="s">
        <v>2790</v>
      </c>
      <c r="H2217" s="9" t="s">
        <v>216</v>
      </c>
      <c r="I2217" s="9"/>
      <c r="J2217" s="9" t="s">
        <v>11330</v>
      </c>
      <c r="K2217" s="9"/>
      <c r="L2217" s="9"/>
      <c r="M2217" s="9" t="s">
        <v>2791</v>
      </c>
      <c r="N2217" s="9"/>
      <c r="O2217" s="9" t="s">
        <v>2792</v>
      </c>
      <c r="P2217" s="9" t="str">
        <f>HYPERLINK("https://ceds.ed.gov/cedselementdetails.aspx?termid=13111")</f>
        <v>https://ceds.ed.gov/cedselementdetails.aspx?termid=13111</v>
      </c>
      <c r="Q2217" s="9" t="str">
        <f>HYPERLINK("https://ceds.ed.gov/elementComment.aspx?elementName=Federal School Code &amp;elementID=13111", "Click here to submit comment")</f>
        <v>Click here to submit comment</v>
      </c>
    </row>
    <row r="2218" spans="1:17" ht="45" x14ac:dyDescent="0.25">
      <c r="A2218" s="9" t="s">
        <v>6860</v>
      </c>
      <c r="B2218" s="9" t="s">
        <v>6861</v>
      </c>
      <c r="C2218" s="9" t="s">
        <v>6786</v>
      </c>
      <c r="D2218" s="9" t="s">
        <v>6742</v>
      </c>
      <c r="E2218" s="9" t="s">
        <v>6057</v>
      </c>
      <c r="F2218" s="9" t="s">
        <v>6058</v>
      </c>
      <c r="G2218" s="9" t="s">
        <v>12</v>
      </c>
      <c r="H2218" s="9" t="s">
        <v>199</v>
      </c>
      <c r="I2218" s="9"/>
      <c r="J2218" s="9" t="s">
        <v>68</v>
      </c>
      <c r="K2218" s="9"/>
      <c r="L2218" s="9"/>
      <c r="M2218" s="9" t="s">
        <v>6059</v>
      </c>
      <c r="N2218" s="9"/>
      <c r="O2218" s="9" t="s">
        <v>6060</v>
      </c>
      <c r="P2218" s="9" t="str">
        <f>HYPERLINK("https://ceds.ed.gov/cedselementdetails.aspx?termid=13300")</f>
        <v>https://ceds.ed.gov/cedselementdetails.aspx?termid=13300</v>
      </c>
      <c r="Q2218" s="9" t="str">
        <f>HYPERLINK("https://ceds.ed.gov/elementComment.aspx?elementName=Web Site Address &amp;elementID=13300", "Click here to submit comment")</f>
        <v>Click here to submit comment</v>
      </c>
    </row>
    <row r="2219" spans="1:17" ht="90" x14ac:dyDescent="0.25">
      <c r="A2219" s="9" t="s">
        <v>6860</v>
      </c>
      <c r="B2219" s="9" t="s">
        <v>6861</v>
      </c>
      <c r="C2219" s="9" t="s">
        <v>6786</v>
      </c>
      <c r="D2219" s="9" t="s">
        <v>6742</v>
      </c>
      <c r="E2219" s="9" t="s">
        <v>4056</v>
      </c>
      <c r="F2219" s="9" t="s">
        <v>4057</v>
      </c>
      <c r="G2219" s="10" t="s">
        <v>6600</v>
      </c>
      <c r="H2219" s="9" t="s">
        <v>6161</v>
      </c>
      <c r="I2219" s="9"/>
      <c r="J2219" s="9"/>
      <c r="K2219" s="9"/>
      <c r="L2219" s="9"/>
      <c r="M2219" s="9" t="s">
        <v>4058</v>
      </c>
      <c r="N2219" s="9"/>
      <c r="O2219" s="9" t="s">
        <v>4059</v>
      </c>
      <c r="P2219" s="9" t="str">
        <f>HYPERLINK("https://ceds.ed.gov/cedselementdetails.aspx?termid=13178")</f>
        <v>https://ceds.ed.gov/cedselementdetails.aspx?termid=13178</v>
      </c>
      <c r="Q2219" s="9" t="str">
        <f>HYPERLINK("https://ceds.ed.gov/elementComment.aspx?elementName=Level of Institution &amp;elementID=13178", "Click here to submit comment")</f>
        <v>Click here to submit comment</v>
      </c>
    </row>
    <row r="2220" spans="1:17" ht="105" x14ac:dyDescent="0.25">
      <c r="A2220" s="9" t="s">
        <v>6860</v>
      </c>
      <c r="B2220" s="9" t="s">
        <v>6861</v>
      </c>
      <c r="C2220" s="9" t="s">
        <v>6786</v>
      </c>
      <c r="D2220" s="9" t="s">
        <v>6742</v>
      </c>
      <c r="E2220" s="9" t="s">
        <v>1864</v>
      </c>
      <c r="F2220" s="9" t="s">
        <v>1865</v>
      </c>
      <c r="G2220" s="10" t="s">
        <v>6415</v>
      </c>
      <c r="H2220" s="9" t="s">
        <v>6161</v>
      </c>
      <c r="I2220" s="9"/>
      <c r="J2220" s="9"/>
      <c r="K2220" s="9"/>
      <c r="L2220" s="9"/>
      <c r="M2220" s="9" t="s">
        <v>1866</v>
      </c>
      <c r="N2220" s="9"/>
      <c r="O2220" s="9" t="s">
        <v>1867</v>
      </c>
      <c r="P2220" s="9" t="str">
        <f>HYPERLINK("https://ceds.ed.gov/cedselementdetails.aspx?termid=13048")</f>
        <v>https://ceds.ed.gov/cedselementdetails.aspx?termid=13048</v>
      </c>
      <c r="Q2220" s="9" t="str">
        <f>HYPERLINK("https://ceds.ed.gov/elementComment.aspx?elementName=Control of Institution &amp;elementID=13048", "Click here to submit comment")</f>
        <v>Click here to submit comment</v>
      </c>
    </row>
    <row r="2221" spans="1:17" ht="105" x14ac:dyDescent="0.25">
      <c r="A2221" s="9" t="s">
        <v>6860</v>
      </c>
      <c r="B2221" s="9" t="s">
        <v>6861</v>
      </c>
      <c r="C2221" s="9" t="s">
        <v>6786</v>
      </c>
      <c r="D2221" s="9" t="s">
        <v>6742</v>
      </c>
      <c r="E2221" s="9" t="s">
        <v>6024</v>
      </c>
      <c r="F2221" s="9" t="s">
        <v>6025</v>
      </c>
      <c r="G2221" s="9" t="s">
        <v>6106</v>
      </c>
      <c r="H2221" s="9"/>
      <c r="I2221" s="9"/>
      <c r="J2221" s="9"/>
      <c r="K2221" s="9"/>
      <c r="L2221" s="9"/>
      <c r="M2221" s="9" t="s">
        <v>6026</v>
      </c>
      <c r="N2221" s="9"/>
      <c r="O2221" s="9" t="s">
        <v>6027</v>
      </c>
      <c r="P2221" s="9" t="str">
        <f>HYPERLINK("https://ceds.ed.gov/cedselementdetails.aspx?termid=14167")</f>
        <v>https://ceds.ed.gov/cedselementdetails.aspx?termid=14167</v>
      </c>
      <c r="Q2221" s="9" t="str">
        <f>HYPERLINK("https://ceds.ed.gov/elementComment.aspx?elementName=Virtual Indicator &amp;elementID=14167", "Click here to submit comment")</f>
        <v>Click here to submit comment</v>
      </c>
    </row>
    <row r="2222" spans="1:17" ht="409.5" x14ac:dyDescent="0.25">
      <c r="A2222" s="9" t="s">
        <v>6860</v>
      </c>
      <c r="B2222" s="9" t="s">
        <v>6861</v>
      </c>
      <c r="C2222" s="9" t="s">
        <v>6786</v>
      </c>
      <c r="D2222" s="9" t="s">
        <v>6742</v>
      </c>
      <c r="E2222" s="9" t="s">
        <v>1662</v>
      </c>
      <c r="F2222" s="9" t="s">
        <v>1663</v>
      </c>
      <c r="G2222" s="10" t="s">
        <v>6399</v>
      </c>
      <c r="H2222" s="9" t="s">
        <v>6161</v>
      </c>
      <c r="I2222" s="9"/>
      <c r="J2222" s="9"/>
      <c r="K2222" s="9"/>
      <c r="L2222" s="9"/>
      <c r="M2222" s="9" t="s">
        <v>1665</v>
      </c>
      <c r="N2222" s="9"/>
      <c r="O2222" s="9" t="s">
        <v>1666</v>
      </c>
      <c r="P2222" s="9" t="str">
        <f>HYPERLINK("https://ceds.ed.gov/cedselementdetails.aspx?termid=13038")</f>
        <v>https://ceds.ed.gov/cedselementdetails.aspx?termid=13038</v>
      </c>
      <c r="Q2222" s="9" t="str">
        <f>HYPERLINK("https://ceds.ed.gov/elementComment.aspx?elementName=Carnegie Basic Classification &amp;elementID=13038", "Click here to submit comment")</f>
        <v>Click here to submit comment</v>
      </c>
    </row>
    <row r="2223" spans="1:17" ht="45" x14ac:dyDescent="0.25">
      <c r="A2223" s="9" t="s">
        <v>6860</v>
      </c>
      <c r="B2223" s="9" t="s">
        <v>6861</v>
      </c>
      <c r="C2223" s="9" t="s">
        <v>6786</v>
      </c>
      <c r="D2223" s="9" t="s">
        <v>6742</v>
      </c>
      <c r="E2223" s="9" t="s">
        <v>5440</v>
      </c>
      <c r="F2223" s="9" t="s">
        <v>5441</v>
      </c>
      <c r="G2223" s="9" t="s">
        <v>12</v>
      </c>
      <c r="H2223" s="9" t="s">
        <v>6161</v>
      </c>
      <c r="I2223" s="9"/>
      <c r="J2223" s="9" t="s">
        <v>2270</v>
      </c>
      <c r="K2223" s="9"/>
      <c r="L2223" s="9"/>
      <c r="M2223" s="9" t="s">
        <v>5442</v>
      </c>
      <c r="N2223" s="9"/>
      <c r="O2223" s="9" t="s">
        <v>5443</v>
      </c>
      <c r="P2223" s="9" t="str">
        <f>HYPERLINK("https://ceds.ed.gov/cedselementdetails.aspx?termid=13252")</f>
        <v>https://ceds.ed.gov/cedselementdetails.aspx?termid=13252</v>
      </c>
      <c r="Q2223" s="9" t="str">
        <f>HYPERLINK("https://ceds.ed.gov/elementComment.aspx?elementName=Session Designator &amp;elementID=13252", "Click here to submit comment")</f>
        <v>Click here to submit comment</v>
      </c>
    </row>
    <row r="2224" spans="1:17" ht="120" x14ac:dyDescent="0.25">
      <c r="A2224" s="9" t="s">
        <v>6860</v>
      </c>
      <c r="B2224" s="9" t="s">
        <v>6861</v>
      </c>
      <c r="C2224" s="9" t="s">
        <v>6786</v>
      </c>
      <c r="D2224" s="9" t="s">
        <v>6742</v>
      </c>
      <c r="E2224" s="9" t="s">
        <v>4672</v>
      </c>
      <c r="F2224" s="9" t="s">
        <v>4673</v>
      </c>
      <c r="G2224" s="10" t="s">
        <v>6644</v>
      </c>
      <c r="H2224" s="9" t="s">
        <v>6258</v>
      </c>
      <c r="I2224" s="9"/>
      <c r="J2224" s="9"/>
      <c r="K2224" s="9"/>
      <c r="L2224" s="9" t="s">
        <v>4674</v>
      </c>
      <c r="M2224" s="9" t="s">
        <v>4675</v>
      </c>
      <c r="N2224" s="9"/>
      <c r="O2224" s="9" t="s">
        <v>4676</v>
      </c>
      <c r="P2224" s="9" t="str">
        <f>HYPERLINK("https://ceds.ed.gov/cedselementdetails.aspx?termid=13705")</f>
        <v>https://ceds.ed.gov/cedselementdetails.aspx?termid=13705</v>
      </c>
      <c r="Q2224" s="9" t="str">
        <f>HYPERLINK("https://ceds.ed.gov/elementComment.aspx?elementName=Predominant Calendar System &amp;elementID=13705", "Click here to submit comment")</f>
        <v>Click here to submit comment</v>
      </c>
    </row>
    <row r="2225" spans="1:17" ht="45" x14ac:dyDescent="0.25">
      <c r="A2225" s="9" t="s">
        <v>6860</v>
      </c>
      <c r="B2225" s="9" t="s">
        <v>6861</v>
      </c>
      <c r="C2225" s="9" t="s">
        <v>6786</v>
      </c>
      <c r="D2225" s="9" t="s">
        <v>6742</v>
      </c>
      <c r="E2225" s="9" t="s">
        <v>5858</v>
      </c>
      <c r="F2225" s="9" t="s">
        <v>5859</v>
      </c>
      <c r="G2225" s="9" t="s">
        <v>6106</v>
      </c>
      <c r="H2225" s="9" t="s">
        <v>37</v>
      </c>
      <c r="I2225" s="9"/>
      <c r="J2225" s="9"/>
      <c r="K2225" s="9"/>
      <c r="L2225" s="9"/>
      <c r="M2225" s="9" t="s">
        <v>5860</v>
      </c>
      <c r="N2225" s="9"/>
      <c r="O2225" s="9" t="s">
        <v>5861</v>
      </c>
      <c r="P2225" s="9" t="str">
        <f>HYPERLINK("https://ceds.ed.gov/cedselementdetails.aspx?termid=13715")</f>
        <v>https://ceds.ed.gov/cedselementdetails.aspx?termid=13715</v>
      </c>
      <c r="Q2225" s="9" t="str">
        <f>HYPERLINK("https://ceds.ed.gov/elementComment.aspx?elementName=Tenure System &amp;elementID=13715", "Click here to submit comment")</f>
        <v>Click here to submit comment</v>
      </c>
    </row>
    <row r="2226" spans="1:17" ht="45" x14ac:dyDescent="0.25">
      <c r="A2226" s="9" t="s">
        <v>6860</v>
      </c>
      <c r="B2226" s="9" t="s">
        <v>6861</v>
      </c>
      <c r="C2226" s="9" t="s">
        <v>6762</v>
      </c>
      <c r="D2226" s="9" t="s">
        <v>6742</v>
      </c>
      <c r="E2226" s="9" t="s">
        <v>2806</v>
      </c>
      <c r="F2226" s="9" t="s">
        <v>2807</v>
      </c>
      <c r="G2226" s="9" t="s">
        <v>12</v>
      </c>
      <c r="H2226" s="9"/>
      <c r="I2226" s="9"/>
      <c r="J2226" s="9" t="s">
        <v>762</v>
      </c>
      <c r="K2226" s="9"/>
      <c r="L2226" s="9"/>
      <c r="M2226" s="9" t="s">
        <v>2808</v>
      </c>
      <c r="N2226" s="9"/>
      <c r="O2226" s="9" t="s">
        <v>2809</v>
      </c>
      <c r="P2226" s="9" t="str">
        <f>HYPERLINK("https://ceds.ed.gov/cedselementdetails.aspx?termid=14315")</f>
        <v>https://ceds.ed.gov/cedselementdetails.aspx?termid=14315</v>
      </c>
      <c r="Q2226" s="9" t="str">
        <f>HYPERLINK("https://ceds.ed.gov/elementComment.aspx?elementName=Financial Account Name &amp;elementID=14315", "Click here to submit comment")</f>
        <v>Click here to submit comment</v>
      </c>
    </row>
    <row r="2227" spans="1:17" ht="105" x14ac:dyDescent="0.25">
      <c r="A2227" s="9" t="s">
        <v>6860</v>
      </c>
      <c r="B2227" s="9" t="s">
        <v>6861</v>
      </c>
      <c r="C2227" s="9" t="s">
        <v>6762</v>
      </c>
      <c r="D2227" s="9" t="s">
        <v>6742</v>
      </c>
      <c r="E2227" s="9" t="s">
        <v>2810</v>
      </c>
      <c r="F2227" s="9" t="s">
        <v>2811</v>
      </c>
      <c r="G2227" s="9" t="s">
        <v>12</v>
      </c>
      <c r="H2227" s="9"/>
      <c r="I2227" s="9"/>
      <c r="J2227" s="9" t="s">
        <v>87</v>
      </c>
      <c r="K2227" s="9"/>
      <c r="L2227" s="9"/>
      <c r="M2227" s="9" t="s">
        <v>2812</v>
      </c>
      <c r="N2227" s="9"/>
      <c r="O2227" s="9" t="s">
        <v>2813</v>
      </c>
      <c r="P2227" s="9" t="str">
        <f>HYPERLINK("https://ceds.ed.gov/cedselementdetails.aspx?termid=14530")</f>
        <v>https://ceds.ed.gov/cedselementdetails.aspx?termid=14530</v>
      </c>
      <c r="Q2227" s="9" t="str">
        <f>HYPERLINK("https://ceds.ed.gov/elementComment.aspx?elementName=Financial Account Number &amp;elementID=14530", "Click here to submit comment")</f>
        <v>Click here to submit comment</v>
      </c>
    </row>
    <row r="2228" spans="1:17" ht="105" x14ac:dyDescent="0.25">
      <c r="A2228" s="9" t="s">
        <v>6860</v>
      </c>
      <c r="B2228" s="9" t="s">
        <v>6861</v>
      </c>
      <c r="C2228" s="9" t="s">
        <v>6762</v>
      </c>
      <c r="D2228" s="9" t="s">
        <v>6742</v>
      </c>
      <c r="E2228" s="9" t="s">
        <v>2796</v>
      </c>
      <c r="F2228" s="9" t="s">
        <v>2797</v>
      </c>
      <c r="G2228" s="10" t="s">
        <v>6505</v>
      </c>
      <c r="H2228" s="9"/>
      <c r="I2228" s="9"/>
      <c r="J2228" s="9"/>
      <c r="K2228" s="9"/>
      <c r="L2228" s="9"/>
      <c r="M2228" s="9" t="s">
        <v>2798</v>
      </c>
      <c r="N2228" s="9"/>
      <c r="O2228" s="9" t="s">
        <v>2799</v>
      </c>
      <c r="P2228" s="9" t="str">
        <f>HYPERLINK("https://ceds.ed.gov/cedselementdetails.aspx?termid=14312")</f>
        <v>https://ceds.ed.gov/cedselementdetails.aspx?termid=14312</v>
      </c>
      <c r="Q2228" s="9" t="str">
        <f>HYPERLINK("https://ceds.ed.gov/elementComment.aspx?elementName=Financial Account Category &amp;elementID=14312", "Click here to submit comment")</f>
        <v>Click here to submit comment</v>
      </c>
    </row>
    <row r="2229" spans="1:17" ht="45" x14ac:dyDescent="0.25">
      <c r="A2229" s="9" t="s">
        <v>6860</v>
      </c>
      <c r="B2229" s="9" t="s">
        <v>6861</v>
      </c>
      <c r="C2229" s="9" t="s">
        <v>6762</v>
      </c>
      <c r="D2229" s="9" t="s">
        <v>6742</v>
      </c>
      <c r="E2229" s="9" t="s">
        <v>2800</v>
      </c>
      <c r="F2229" s="9" t="s">
        <v>2801</v>
      </c>
      <c r="G2229" s="9" t="s">
        <v>12</v>
      </c>
      <c r="H2229" s="9"/>
      <c r="I2229" s="9"/>
      <c r="J2229" s="9" t="s">
        <v>68</v>
      </c>
      <c r="K2229" s="9"/>
      <c r="L2229" s="9"/>
      <c r="M2229" s="9" t="s">
        <v>2802</v>
      </c>
      <c r="N2229" s="9"/>
      <c r="O2229" s="9" t="s">
        <v>2803</v>
      </c>
      <c r="P2229" s="9" t="str">
        <f>HYPERLINK("https://ceds.ed.gov/cedselementdetails.aspx?termid=14313")</f>
        <v>https://ceds.ed.gov/cedselementdetails.aspx?termid=14313</v>
      </c>
      <c r="Q2229" s="9" t="str">
        <f>HYPERLINK("https://ceds.ed.gov/elementComment.aspx?elementName=Financial Account Description &amp;elementID=14313", "Click here to submit comment")</f>
        <v>Click here to submit comment</v>
      </c>
    </row>
    <row r="2230" spans="1:17" ht="45" x14ac:dyDescent="0.25">
      <c r="A2230" s="9" t="s">
        <v>6860</v>
      </c>
      <c r="B2230" s="9" t="s">
        <v>6861</v>
      </c>
      <c r="C2230" s="9" t="s">
        <v>6762</v>
      </c>
      <c r="D2230" s="9" t="s">
        <v>6742</v>
      </c>
      <c r="E2230" s="9" t="s">
        <v>2816</v>
      </c>
      <c r="F2230" s="9" t="s">
        <v>2817</v>
      </c>
      <c r="G2230" s="9" t="s">
        <v>12</v>
      </c>
      <c r="H2230" s="9"/>
      <c r="I2230" s="9"/>
      <c r="J2230" s="9" t="s">
        <v>762</v>
      </c>
      <c r="K2230" s="9"/>
      <c r="L2230" s="9"/>
      <c r="M2230" s="9" t="s">
        <v>2818</v>
      </c>
      <c r="N2230" s="9"/>
      <c r="O2230" s="9" t="s">
        <v>2819</v>
      </c>
      <c r="P2230" s="9" t="str">
        <f>HYPERLINK("https://ceds.ed.gov/cedselementdetails.aspx?termid=14626")</f>
        <v>https://ceds.ed.gov/cedselementdetails.aspx?termid=14626</v>
      </c>
      <c r="Q2230" s="9" t="str">
        <f>HYPERLINK("https://ceds.ed.gov/elementComment.aspx?elementName=Financial Account Program Name &amp;elementID=14626", "Click here to submit comment")</f>
        <v>Click here to submit comment</v>
      </c>
    </row>
    <row r="2231" spans="1:17" ht="45" x14ac:dyDescent="0.25">
      <c r="A2231" s="9" t="s">
        <v>6860</v>
      </c>
      <c r="B2231" s="9" t="s">
        <v>6861</v>
      </c>
      <c r="C2231" s="9" t="s">
        <v>6762</v>
      </c>
      <c r="D2231" s="9" t="s">
        <v>6742</v>
      </c>
      <c r="E2231" s="9" t="s">
        <v>2820</v>
      </c>
      <c r="F2231" s="9" t="s">
        <v>2821</v>
      </c>
      <c r="G2231" s="9" t="s">
        <v>12</v>
      </c>
      <c r="H2231" s="9"/>
      <c r="I2231" s="9"/>
      <c r="J2231" s="9" t="s">
        <v>87</v>
      </c>
      <c r="K2231" s="9"/>
      <c r="L2231" s="9"/>
      <c r="M2231" s="9" t="s">
        <v>2822</v>
      </c>
      <c r="N2231" s="9"/>
      <c r="O2231" s="9" t="s">
        <v>2823</v>
      </c>
      <c r="P2231" s="9" t="str">
        <f>HYPERLINK("https://ceds.ed.gov/cedselementdetails.aspx?termid=14627")</f>
        <v>https://ceds.ed.gov/cedselementdetails.aspx?termid=14627</v>
      </c>
      <c r="Q2231" s="9" t="str">
        <f>HYPERLINK("https://ceds.ed.gov/elementComment.aspx?elementName=Financial Account Program Number &amp;elementID=14627", "Click here to submit comment")</f>
        <v>Click here to submit comment</v>
      </c>
    </row>
    <row r="2232" spans="1:17" ht="45" x14ac:dyDescent="0.25">
      <c r="A2232" s="9" t="s">
        <v>6860</v>
      </c>
      <c r="B2232" s="9" t="s">
        <v>6861</v>
      </c>
      <c r="C2232" s="9" t="s">
        <v>6762</v>
      </c>
      <c r="D2232" s="9" t="s">
        <v>6742</v>
      </c>
      <c r="E2232" s="9" t="s">
        <v>2827</v>
      </c>
      <c r="F2232" s="9" t="s">
        <v>2828</v>
      </c>
      <c r="G2232" s="9" t="s">
        <v>12</v>
      </c>
      <c r="H2232" s="9"/>
      <c r="I2232" s="9"/>
      <c r="J2232" s="9" t="s">
        <v>73</v>
      </c>
      <c r="K2232" s="9"/>
      <c r="L2232" s="9"/>
      <c r="M2232" s="9" t="s">
        <v>2829</v>
      </c>
      <c r="N2232" s="9"/>
      <c r="O2232" s="9" t="s">
        <v>2830</v>
      </c>
      <c r="P2232" s="9" t="str">
        <f>HYPERLINK("https://ceds.ed.gov/cedselementdetails.aspx?termid=14629")</f>
        <v>https://ceds.ed.gov/cedselementdetails.aspx?termid=14629</v>
      </c>
      <c r="Q2232" s="9" t="str">
        <f>HYPERLINK("https://ceds.ed.gov/elementComment.aspx?elementName=Financial Accounting Date &amp;elementID=14629", "Click here to submit comment")</f>
        <v>Click here to submit comment</v>
      </c>
    </row>
    <row r="2233" spans="1:17" ht="45" x14ac:dyDescent="0.25">
      <c r="A2233" s="9" t="s">
        <v>6860</v>
      </c>
      <c r="B2233" s="9" t="s">
        <v>6861</v>
      </c>
      <c r="C2233" s="9" t="s">
        <v>6762</v>
      </c>
      <c r="D2233" s="9" t="s">
        <v>6742</v>
      </c>
      <c r="E2233" s="9" t="s">
        <v>2835</v>
      </c>
      <c r="F2233" s="9" t="s">
        <v>2836</v>
      </c>
      <c r="G2233" s="9" t="s">
        <v>12</v>
      </c>
      <c r="H2233" s="9"/>
      <c r="I2233" s="9"/>
      <c r="J2233" s="9" t="s">
        <v>1513</v>
      </c>
      <c r="K2233" s="9"/>
      <c r="L2233" s="9"/>
      <c r="M2233" s="9" t="s">
        <v>2837</v>
      </c>
      <c r="N2233" s="9"/>
      <c r="O2233" s="9" t="s">
        <v>2838</v>
      </c>
      <c r="P2233" s="9" t="str">
        <f>HYPERLINK("https://ceds.ed.gov/cedselementdetails.aspx?termid=14318")</f>
        <v>https://ceds.ed.gov/cedselementdetails.aspx?termid=14318</v>
      </c>
      <c r="Q2233" s="9" t="str">
        <f>HYPERLINK("https://ceds.ed.gov/elementComment.aspx?elementName=Financial Accounting Period Budgeted Value &amp;elementID=14318", "Click here to submit comment")</f>
        <v>Click here to submit comment</v>
      </c>
    </row>
    <row r="2234" spans="1:17" ht="60" x14ac:dyDescent="0.25">
      <c r="A2234" s="9" t="s">
        <v>6860</v>
      </c>
      <c r="B2234" s="9" t="s">
        <v>6861</v>
      </c>
      <c r="C2234" s="9" t="s">
        <v>6762</v>
      </c>
      <c r="D2234" s="9" t="s">
        <v>6742</v>
      </c>
      <c r="E2234" s="9" t="s">
        <v>2839</v>
      </c>
      <c r="F2234" s="9" t="s">
        <v>2840</v>
      </c>
      <c r="G2234" s="9" t="s">
        <v>12</v>
      </c>
      <c r="H2234" s="9"/>
      <c r="I2234" s="9"/>
      <c r="J2234" s="9" t="s">
        <v>1513</v>
      </c>
      <c r="K2234" s="9"/>
      <c r="L2234" s="9" t="s">
        <v>2841</v>
      </c>
      <c r="M2234" s="9" t="s">
        <v>2842</v>
      </c>
      <c r="N2234" s="9"/>
      <c r="O2234" s="9" t="s">
        <v>2843</v>
      </c>
      <c r="P2234" s="9" t="str">
        <f>HYPERLINK("https://ceds.ed.gov/cedselementdetails.aspx?termid=14625")</f>
        <v>https://ceds.ed.gov/cedselementdetails.aspx?termid=14625</v>
      </c>
      <c r="Q2234" s="9" t="str">
        <f>HYPERLINK("https://ceds.ed.gov/elementComment.aspx?elementName=Financial Accounting Period Encumbered Value &amp;elementID=14625", "Click here to submit comment")</f>
        <v>Click here to submit comment</v>
      </c>
    </row>
    <row r="2235" spans="1:17" ht="45" x14ac:dyDescent="0.25">
      <c r="A2235" s="9" t="s">
        <v>6860</v>
      </c>
      <c r="B2235" s="9" t="s">
        <v>6861</v>
      </c>
      <c r="C2235" s="9" t="s">
        <v>6762</v>
      </c>
      <c r="D2235" s="9" t="s">
        <v>6742</v>
      </c>
      <c r="E2235" s="9" t="s">
        <v>2831</v>
      </c>
      <c r="F2235" s="9" t="s">
        <v>2832</v>
      </c>
      <c r="G2235" s="9" t="s">
        <v>12</v>
      </c>
      <c r="H2235" s="9"/>
      <c r="I2235" s="9"/>
      <c r="J2235" s="9" t="s">
        <v>1513</v>
      </c>
      <c r="K2235" s="9"/>
      <c r="L2235" s="9"/>
      <c r="M2235" s="9" t="s">
        <v>2833</v>
      </c>
      <c r="N2235" s="9"/>
      <c r="O2235" s="9" t="s">
        <v>2834</v>
      </c>
      <c r="P2235" s="9" t="str">
        <f>HYPERLINK("https://ceds.ed.gov/cedselementdetails.aspx?termid=14317")</f>
        <v>https://ceds.ed.gov/cedselementdetails.aspx?termid=14317</v>
      </c>
      <c r="Q2235" s="9" t="str">
        <f>HYPERLINK("https://ceds.ed.gov/elementComment.aspx?elementName=Financial Accounting Period Actual Value &amp;elementID=14317", "Click here to submit comment")</f>
        <v>Click here to submit comment</v>
      </c>
    </row>
    <row r="2236" spans="1:17" ht="135" x14ac:dyDescent="0.25">
      <c r="A2236" s="9" t="s">
        <v>6860</v>
      </c>
      <c r="B2236" s="9" t="s">
        <v>6861</v>
      </c>
      <c r="C2236" s="9" t="s">
        <v>6762</v>
      </c>
      <c r="D2236" s="9" t="s">
        <v>6742</v>
      </c>
      <c r="E2236" s="9" t="s">
        <v>2844</v>
      </c>
      <c r="F2236" s="9" t="s">
        <v>2845</v>
      </c>
      <c r="G2236" s="9" t="s">
        <v>12</v>
      </c>
      <c r="H2236" s="9"/>
      <c r="I2236" s="9"/>
      <c r="J2236" s="9" t="s">
        <v>1513</v>
      </c>
      <c r="K2236" s="9"/>
      <c r="L2236" s="9" t="s">
        <v>2846</v>
      </c>
      <c r="M2236" s="9" t="s">
        <v>2847</v>
      </c>
      <c r="N2236" s="9"/>
      <c r="O2236" s="9" t="s">
        <v>2848</v>
      </c>
      <c r="P2236" s="9" t="str">
        <f>HYPERLINK("https://ceds.ed.gov/cedselementdetails.aspx?termid=14628")</f>
        <v>https://ceds.ed.gov/cedselementdetails.aspx?termid=14628</v>
      </c>
      <c r="Q2236" s="9" t="str">
        <f>HYPERLINK("https://ceds.ed.gov/elementComment.aspx?elementName=Financial Accounting Value &amp;elementID=14628", "Click here to submit comment")</f>
        <v>Click here to submit comment</v>
      </c>
    </row>
    <row r="2237" spans="1:17" ht="45" x14ac:dyDescent="0.25">
      <c r="A2237" s="9" t="s">
        <v>6860</v>
      </c>
      <c r="B2237" s="9" t="s">
        <v>6861</v>
      </c>
      <c r="C2237" s="9" t="s">
        <v>6762</v>
      </c>
      <c r="D2237" s="9" t="s">
        <v>6742</v>
      </c>
      <c r="E2237" s="9" t="s">
        <v>2944</v>
      </c>
      <c r="F2237" s="9" t="s">
        <v>2945</v>
      </c>
      <c r="G2237" s="9" t="s">
        <v>12</v>
      </c>
      <c r="H2237" s="9"/>
      <c r="I2237" s="9"/>
      <c r="J2237" s="9" t="s">
        <v>73</v>
      </c>
      <c r="K2237" s="9"/>
      <c r="L2237" s="9"/>
      <c r="M2237" s="9" t="s">
        <v>2946</v>
      </c>
      <c r="N2237" s="9"/>
      <c r="O2237" s="9" t="s">
        <v>2947</v>
      </c>
      <c r="P2237" s="9" t="str">
        <f>HYPERLINK("https://ceds.ed.gov/cedselementdetails.aspx?termid=14623")</f>
        <v>https://ceds.ed.gov/cedselementdetails.aspx?termid=14623</v>
      </c>
      <c r="Q2237" s="9" t="str">
        <f>HYPERLINK("https://ceds.ed.gov/elementComment.aspx?elementName=Fiscal Period Begin Date &amp;elementID=14623", "Click here to submit comment")</f>
        <v>Click here to submit comment</v>
      </c>
    </row>
    <row r="2238" spans="1:17" ht="45" x14ac:dyDescent="0.25">
      <c r="A2238" s="9" t="s">
        <v>6860</v>
      </c>
      <c r="B2238" s="9" t="s">
        <v>6861</v>
      </c>
      <c r="C2238" s="9" t="s">
        <v>6762</v>
      </c>
      <c r="D2238" s="9" t="s">
        <v>6742</v>
      </c>
      <c r="E2238" s="9" t="s">
        <v>2948</v>
      </c>
      <c r="F2238" s="9" t="s">
        <v>2949</v>
      </c>
      <c r="G2238" s="9" t="s">
        <v>12</v>
      </c>
      <c r="H2238" s="9"/>
      <c r="I2238" s="9"/>
      <c r="J2238" s="9" t="s">
        <v>73</v>
      </c>
      <c r="K2238" s="9"/>
      <c r="L2238" s="9"/>
      <c r="M2238" s="9" t="s">
        <v>2950</v>
      </c>
      <c r="N2238" s="9"/>
      <c r="O2238" s="9" t="s">
        <v>2951</v>
      </c>
      <c r="P2238" s="9" t="str">
        <f>HYPERLINK("https://ceds.ed.gov/cedselementdetails.aspx?termid=14624")</f>
        <v>https://ceds.ed.gov/cedselementdetails.aspx?termid=14624</v>
      </c>
      <c r="Q2238" s="9" t="str">
        <f>HYPERLINK("https://ceds.ed.gov/elementComment.aspx?elementName=Fiscal Period End Date &amp;elementID=14624", "Click here to submit comment")</f>
        <v>Click here to submit comment</v>
      </c>
    </row>
    <row r="2239" spans="1:17" ht="45" x14ac:dyDescent="0.25">
      <c r="A2239" s="9" t="s">
        <v>6860</v>
      </c>
      <c r="B2239" s="9" t="s">
        <v>6861</v>
      </c>
      <c r="C2239" s="9" t="s">
        <v>6762</v>
      </c>
      <c r="D2239" s="9" t="s">
        <v>6742</v>
      </c>
      <c r="E2239" s="9" t="s">
        <v>2952</v>
      </c>
      <c r="F2239" s="9" t="s">
        <v>2953</v>
      </c>
      <c r="G2239" s="9" t="s">
        <v>12</v>
      </c>
      <c r="H2239" s="9"/>
      <c r="I2239" s="9"/>
      <c r="J2239" s="9" t="s">
        <v>1813</v>
      </c>
      <c r="K2239" s="9"/>
      <c r="L2239" s="9"/>
      <c r="M2239" s="9" t="s">
        <v>2954</v>
      </c>
      <c r="N2239" s="9"/>
      <c r="O2239" s="9" t="s">
        <v>2955</v>
      </c>
      <c r="P2239" s="9" t="str">
        <f>HYPERLINK("https://ceds.ed.gov/cedselementdetails.aspx?termid=14620")</f>
        <v>https://ceds.ed.gov/cedselementdetails.aspx?termid=14620</v>
      </c>
      <c r="Q2239" s="9" t="str">
        <f>HYPERLINK("https://ceds.ed.gov/elementComment.aspx?elementName=Fiscal Year &amp;elementID=14620", "Click here to submit comment")</f>
        <v>Click here to submit comment</v>
      </c>
    </row>
    <row r="2240" spans="1:17" ht="409.5" x14ac:dyDescent="0.25">
      <c r="A2240" s="9" t="s">
        <v>6860</v>
      </c>
      <c r="B2240" s="9" t="s">
        <v>6861</v>
      </c>
      <c r="C2240" s="9" t="s">
        <v>6762</v>
      </c>
      <c r="D2240" s="9" t="s">
        <v>6742</v>
      </c>
      <c r="E2240" s="9" t="s">
        <v>11567</v>
      </c>
      <c r="F2240" s="9" t="s">
        <v>11568</v>
      </c>
      <c r="G2240" s="10" t="s">
        <v>11890</v>
      </c>
      <c r="H2240" s="9"/>
      <c r="I2240" s="9"/>
      <c r="J2240" s="9"/>
      <c r="K2240" s="9"/>
      <c r="L2240" s="9"/>
      <c r="M2240" s="9" t="s">
        <v>11570</v>
      </c>
      <c r="N2240" s="9"/>
      <c r="O2240" s="9" t="s">
        <v>11571</v>
      </c>
      <c r="P2240" s="9" t="str">
        <f>HYPERLINK("https://ceds.ed.gov/cedselementdetails.aspx?termid=14652")</f>
        <v>https://ceds.ed.gov/cedselementdetails.aspx?termid=14652</v>
      </c>
      <c r="Q2240" s="9" t="str">
        <f>HYPERLINK("https://ceds.ed.gov/elementComment.aspx?elementName=IPEDS Finance FASB Financial Position Category &amp;elementID=14652", "Click here to submit comment")</f>
        <v>Click here to submit comment</v>
      </c>
    </row>
    <row r="2241" spans="1:17" ht="240" x14ac:dyDescent="0.25">
      <c r="A2241" s="9" t="s">
        <v>6860</v>
      </c>
      <c r="B2241" s="9" t="s">
        <v>6861</v>
      </c>
      <c r="C2241" s="9" t="s">
        <v>6762</v>
      </c>
      <c r="D2241" s="9" t="s">
        <v>6742</v>
      </c>
      <c r="E2241" s="9" t="s">
        <v>11572</v>
      </c>
      <c r="F2241" s="9" t="s">
        <v>11573</v>
      </c>
      <c r="G2241" s="10" t="s">
        <v>11891</v>
      </c>
      <c r="H2241" s="9"/>
      <c r="I2241" s="9"/>
      <c r="J2241" s="9"/>
      <c r="K2241" s="9"/>
      <c r="L2241" s="9" t="s">
        <v>11574</v>
      </c>
      <c r="M2241" s="9" t="s">
        <v>11575</v>
      </c>
      <c r="N2241" s="9"/>
      <c r="O2241" s="9" t="s">
        <v>11576</v>
      </c>
      <c r="P2241" s="9" t="str">
        <f>HYPERLINK("https://ceds.ed.gov/cedselementdetails.aspx?termid=14640")</f>
        <v>https://ceds.ed.gov/cedselementdetails.aspx?termid=14640</v>
      </c>
      <c r="Q2241" s="9" t="str">
        <f>HYPERLINK("https://ceds.ed.gov/elementComment.aspx?elementName=IPEDS Finance FASB Functional Expense Category &amp;elementID=14640", "Click here to submit comment")</f>
        <v>Click here to submit comment</v>
      </c>
    </row>
    <row r="2242" spans="1:17" ht="90" x14ac:dyDescent="0.25">
      <c r="A2242" s="9" t="s">
        <v>6860</v>
      </c>
      <c r="B2242" s="9" t="s">
        <v>6861</v>
      </c>
      <c r="C2242" s="9" t="s">
        <v>6762</v>
      </c>
      <c r="D2242" s="9" t="s">
        <v>6742</v>
      </c>
      <c r="E2242" s="9" t="s">
        <v>11577</v>
      </c>
      <c r="F2242" s="9" t="s">
        <v>11578</v>
      </c>
      <c r="G2242" s="10" t="s">
        <v>11892</v>
      </c>
      <c r="H2242" s="9"/>
      <c r="I2242" s="9"/>
      <c r="J2242" s="9"/>
      <c r="K2242" s="9"/>
      <c r="L2242" s="9"/>
      <c r="M2242" s="9" t="s">
        <v>11579</v>
      </c>
      <c r="N2242" s="9"/>
      <c r="O2242" s="9" t="s">
        <v>11580</v>
      </c>
      <c r="P2242" s="9" t="str">
        <f>HYPERLINK("https://ceds.ed.gov/cedselementdetails.aspx?termid=14661")</f>
        <v>https://ceds.ed.gov/cedselementdetails.aspx?termid=14661</v>
      </c>
      <c r="Q2242" s="9" t="str">
        <f>HYPERLINK("https://ceds.ed.gov/elementComment.aspx?elementName=IPEDS Finance FASB Pell Grant Transactions &amp;elementID=14661", "Click here to submit comment")</f>
        <v>Click here to submit comment</v>
      </c>
    </row>
    <row r="2243" spans="1:17" ht="409.5" x14ac:dyDescent="0.25">
      <c r="A2243" s="9" t="s">
        <v>6860</v>
      </c>
      <c r="B2243" s="9" t="s">
        <v>6861</v>
      </c>
      <c r="C2243" s="9" t="s">
        <v>6762</v>
      </c>
      <c r="D2243" s="9" t="s">
        <v>6742</v>
      </c>
      <c r="E2243" s="9" t="s">
        <v>11581</v>
      </c>
      <c r="F2243" s="9" t="s">
        <v>11582</v>
      </c>
      <c r="G2243" s="10" t="s">
        <v>11893</v>
      </c>
      <c r="H2243" s="9"/>
      <c r="I2243" s="9"/>
      <c r="J2243" s="9"/>
      <c r="K2243" s="9"/>
      <c r="L2243" s="9"/>
      <c r="M2243" s="9" t="s">
        <v>11583</v>
      </c>
      <c r="N2243" s="9"/>
      <c r="O2243" s="9" t="s">
        <v>11584</v>
      </c>
      <c r="P2243" s="9" t="str">
        <f>HYPERLINK("https://ceds.ed.gov/cedselementdetails.aspx?termid=14654")</f>
        <v>https://ceds.ed.gov/cedselementdetails.aspx?termid=14654</v>
      </c>
      <c r="Q2243" s="9" t="str">
        <f>HYPERLINK("https://ceds.ed.gov/elementComment.aspx?elementName=IPEDS Finance FASB Revenue Category &amp;elementID=14654", "Click here to submit comment")</f>
        <v>Click here to submit comment</v>
      </c>
    </row>
    <row r="2244" spans="1:17" ht="90" x14ac:dyDescent="0.25">
      <c r="A2244" s="9" t="s">
        <v>6860</v>
      </c>
      <c r="B2244" s="9" t="s">
        <v>6861</v>
      </c>
      <c r="C2244" s="9" t="s">
        <v>6762</v>
      </c>
      <c r="D2244" s="9" t="s">
        <v>6742</v>
      </c>
      <c r="E2244" s="9" t="s">
        <v>11585</v>
      </c>
      <c r="F2244" s="9" t="s">
        <v>11586</v>
      </c>
      <c r="G2244" s="10" t="s">
        <v>11894</v>
      </c>
      <c r="H2244" s="9"/>
      <c r="I2244" s="9"/>
      <c r="J2244" s="9"/>
      <c r="K2244" s="9"/>
      <c r="L2244" s="9"/>
      <c r="M2244" s="9" t="s">
        <v>11587</v>
      </c>
      <c r="N2244" s="9"/>
      <c r="O2244" s="9" t="s">
        <v>11588</v>
      </c>
      <c r="P2244" s="9" t="str">
        <f>HYPERLINK("https://ceds.ed.gov/cedselementdetails.aspx?termid=14655")</f>
        <v>https://ceds.ed.gov/cedselementdetails.aspx?termid=14655</v>
      </c>
      <c r="Q2244" s="9" t="str">
        <f>HYPERLINK("https://ceds.ed.gov/elementComment.aspx?elementName=IPEDS Finance FASB Revenue Restriction Category &amp;elementID=14655", "Click here to submit comment")</f>
        <v>Click here to submit comment</v>
      </c>
    </row>
    <row r="2245" spans="1:17" ht="270" x14ac:dyDescent="0.25">
      <c r="A2245" s="9" t="s">
        <v>6860</v>
      </c>
      <c r="B2245" s="9" t="s">
        <v>6861</v>
      </c>
      <c r="C2245" s="9" t="s">
        <v>6762</v>
      </c>
      <c r="D2245" s="9" t="s">
        <v>6742</v>
      </c>
      <c r="E2245" s="9" t="s">
        <v>11589</v>
      </c>
      <c r="F2245" s="9" t="s">
        <v>11590</v>
      </c>
      <c r="G2245" s="10" t="s">
        <v>11895</v>
      </c>
      <c r="H2245" s="9"/>
      <c r="I2245" s="9"/>
      <c r="J2245" s="9"/>
      <c r="K2245" s="9"/>
      <c r="L2245" s="9"/>
      <c r="M2245" s="9" t="s">
        <v>11591</v>
      </c>
      <c r="N2245" s="9"/>
      <c r="O2245" s="9" t="s">
        <v>11592</v>
      </c>
      <c r="P2245" s="9" t="str">
        <f>HYPERLINK("https://ceds.ed.gov/cedselementdetails.aspx?termid=14659")</f>
        <v>https://ceds.ed.gov/cedselementdetails.aspx?termid=14659</v>
      </c>
      <c r="Q2245" s="9" t="str">
        <f>HYPERLINK("https://ceds.ed.gov/elementComment.aspx?elementName=IPEDS Finance FASB Scholarships and Fellowships Revenue Category &amp;elementID=14659", "Click here to submit comment")</f>
        <v>Click here to submit comment</v>
      </c>
    </row>
    <row r="2246" spans="1:17" ht="409.5" x14ac:dyDescent="0.25">
      <c r="A2246" s="9" t="s">
        <v>6860</v>
      </c>
      <c r="B2246" s="9" t="s">
        <v>6861</v>
      </c>
      <c r="C2246" s="9" t="s">
        <v>6762</v>
      </c>
      <c r="D2246" s="9" t="s">
        <v>6742</v>
      </c>
      <c r="E2246" s="9" t="s">
        <v>11593</v>
      </c>
      <c r="F2246" s="9" t="s">
        <v>11594</v>
      </c>
      <c r="G2246" s="10" t="s">
        <v>11896</v>
      </c>
      <c r="H2246" s="9"/>
      <c r="I2246" s="9"/>
      <c r="J2246" s="9"/>
      <c r="K2246" s="9"/>
      <c r="L2246" s="9"/>
      <c r="M2246" s="9" t="s">
        <v>11595</v>
      </c>
      <c r="N2246" s="9"/>
      <c r="O2246" s="9" t="s">
        <v>11596</v>
      </c>
      <c r="P2246" s="9" t="str">
        <f>HYPERLINK("https://ceds.ed.gov/cedselementdetails.aspx?termid=14651")</f>
        <v>https://ceds.ed.gov/cedselementdetails.aspx?termid=14651</v>
      </c>
      <c r="Q2246" s="9" t="str">
        <f>HYPERLINK("https://ceds.ed.gov/elementComment.aspx?elementName=IPEDS Finance GASB Financial Position Category &amp;elementID=14651", "Click here to submit comment")</f>
        <v>Click here to submit comment</v>
      </c>
    </row>
    <row r="2247" spans="1:17" ht="240" x14ac:dyDescent="0.25">
      <c r="A2247" s="9" t="s">
        <v>6860</v>
      </c>
      <c r="B2247" s="9" t="s">
        <v>6861</v>
      </c>
      <c r="C2247" s="9" t="s">
        <v>6762</v>
      </c>
      <c r="D2247" s="9" t="s">
        <v>6742</v>
      </c>
      <c r="E2247" s="9" t="s">
        <v>11597</v>
      </c>
      <c r="F2247" s="9" t="s">
        <v>11598</v>
      </c>
      <c r="G2247" s="10" t="s">
        <v>11897</v>
      </c>
      <c r="H2247" s="9"/>
      <c r="I2247" s="9"/>
      <c r="J2247" s="9"/>
      <c r="K2247" s="9"/>
      <c r="L2247" s="9" t="s">
        <v>11574</v>
      </c>
      <c r="M2247" s="9" t="s">
        <v>11599</v>
      </c>
      <c r="N2247" s="9"/>
      <c r="O2247" s="9" t="s">
        <v>11600</v>
      </c>
      <c r="P2247" s="9" t="str">
        <f>HYPERLINK("https://ceds.ed.gov/cedselementdetails.aspx?termid=14656")</f>
        <v>https://ceds.ed.gov/cedselementdetails.aspx?termid=14656</v>
      </c>
      <c r="Q2247" s="9" t="str">
        <f>HYPERLINK("https://ceds.ed.gov/elementComment.aspx?elementName=IPEDS Finance GASB Functional Expense Category &amp;elementID=14656", "Click here to submit comment")</f>
        <v>Click here to submit comment</v>
      </c>
    </row>
    <row r="2248" spans="1:17" ht="409.5" x14ac:dyDescent="0.25">
      <c r="A2248" s="9" t="s">
        <v>6860</v>
      </c>
      <c r="B2248" s="9" t="s">
        <v>6861</v>
      </c>
      <c r="C2248" s="9" t="s">
        <v>6762</v>
      </c>
      <c r="D2248" s="9" t="s">
        <v>6742</v>
      </c>
      <c r="E2248" s="9" t="s">
        <v>11601</v>
      </c>
      <c r="F2248" s="9" t="s">
        <v>11602</v>
      </c>
      <c r="G2248" s="10" t="s">
        <v>11898</v>
      </c>
      <c r="H2248" s="9"/>
      <c r="I2248" s="9"/>
      <c r="J2248" s="9"/>
      <c r="K2248" s="9"/>
      <c r="L2248" s="9"/>
      <c r="M2248" s="9" t="s">
        <v>11603</v>
      </c>
      <c r="N2248" s="9"/>
      <c r="O2248" s="9" t="s">
        <v>11604</v>
      </c>
      <c r="P2248" s="9" t="str">
        <f>HYPERLINK("https://ceds.ed.gov/cedselementdetails.aspx?termid=14653")</f>
        <v>https://ceds.ed.gov/cedselementdetails.aspx?termid=14653</v>
      </c>
      <c r="Q2248" s="9" t="str">
        <f>HYPERLINK("https://ceds.ed.gov/elementComment.aspx?elementName=IPEDS Finance GASB Revenue Category &amp;elementID=14653", "Click here to submit comment")</f>
        <v>Click here to submit comment</v>
      </c>
    </row>
    <row r="2249" spans="1:17" ht="315" x14ac:dyDescent="0.25">
      <c r="A2249" s="9" t="s">
        <v>6860</v>
      </c>
      <c r="B2249" s="9" t="s">
        <v>6861</v>
      </c>
      <c r="C2249" s="9" t="s">
        <v>6762</v>
      </c>
      <c r="D2249" s="9" t="s">
        <v>6742</v>
      </c>
      <c r="E2249" s="9" t="s">
        <v>11605</v>
      </c>
      <c r="F2249" s="9" t="s">
        <v>11606</v>
      </c>
      <c r="G2249" s="10" t="s">
        <v>11899</v>
      </c>
      <c r="H2249" s="9"/>
      <c r="I2249" s="9"/>
      <c r="J2249" s="9"/>
      <c r="K2249" s="9"/>
      <c r="L2249" s="9"/>
      <c r="M2249" s="9" t="s">
        <v>11607</v>
      </c>
      <c r="N2249" s="9"/>
      <c r="O2249" s="9" t="s">
        <v>11608</v>
      </c>
      <c r="P2249" s="9" t="str">
        <f>HYPERLINK("https://ceds.ed.gov/cedselementdetails.aspx?termid=14658")</f>
        <v>https://ceds.ed.gov/cedselementdetails.aspx?termid=14658</v>
      </c>
      <c r="Q2249" s="9" t="str">
        <f>HYPERLINK("https://ceds.ed.gov/elementComment.aspx?elementName=IPEDS Finance GASB Scholarships and Fellowships Revenue Category &amp;elementID=14658", "Click here to submit comment")</f>
        <v>Click here to submit comment</v>
      </c>
    </row>
    <row r="2250" spans="1:17" ht="120" x14ac:dyDescent="0.25">
      <c r="A2250" s="9" t="s">
        <v>6860</v>
      </c>
      <c r="B2250" s="9" t="s">
        <v>6861</v>
      </c>
      <c r="C2250" s="9" t="s">
        <v>6762</v>
      </c>
      <c r="D2250" s="9" t="s">
        <v>6742</v>
      </c>
      <c r="E2250" s="9" t="s">
        <v>11609</v>
      </c>
      <c r="F2250" s="9" t="s">
        <v>11610</v>
      </c>
      <c r="G2250" s="10" t="s">
        <v>11900</v>
      </c>
      <c r="H2250" s="9"/>
      <c r="I2250" s="9"/>
      <c r="J2250" s="9"/>
      <c r="K2250" s="9"/>
      <c r="L2250" s="9"/>
      <c r="M2250" s="9" t="s">
        <v>11611</v>
      </c>
      <c r="N2250" s="9"/>
      <c r="O2250" s="9" t="s">
        <v>11612</v>
      </c>
      <c r="P2250" s="9" t="str">
        <f>HYPERLINK("https://ceds.ed.gov/cedselementdetails.aspx?termid=14660")</f>
        <v>https://ceds.ed.gov/cedselementdetails.aspx?termid=14660</v>
      </c>
      <c r="Q2250" s="9" t="str">
        <f>HYPERLINK("https://ceds.ed.gov/elementComment.aspx?elementName=IPEDS Finance Intercollegiate Athletics Expenses &amp;elementID=14660", "Click here to submit comment")</f>
        <v>Click here to submit comment</v>
      </c>
    </row>
    <row r="2251" spans="1:17" ht="120" x14ac:dyDescent="0.25">
      <c r="A2251" s="9" t="s">
        <v>6860</v>
      </c>
      <c r="B2251" s="9" t="s">
        <v>6861</v>
      </c>
      <c r="C2251" s="9" t="s">
        <v>6762</v>
      </c>
      <c r="D2251" s="9" t="s">
        <v>6742</v>
      </c>
      <c r="E2251" s="9" t="s">
        <v>11613</v>
      </c>
      <c r="F2251" s="9" t="s">
        <v>11614</v>
      </c>
      <c r="G2251" s="10" t="s">
        <v>11901</v>
      </c>
      <c r="H2251" s="9"/>
      <c r="I2251" s="9"/>
      <c r="J2251" s="9"/>
      <c r="K2251" s="9"/>
      <c r="L2251" s="9" t="s">
        <v>11615</v>
      </c>
      <c r="M2251" s="9" t="s">
        <v>11616</v>
      </c>
      <c r="N2251" s="9"/>
      <c r="O2251" s="9" t="s">
        <v>11617</v>
      </c>
      <c r="P2251" s="9" t="str">
        <f>HYPERLINK("https://ceds.ed.gov/cedselementdetails.aspx?termid=14657")</f>
        <v>https://ceds.ed.gov/cedselementdetails.aspx?termid=14657</v>
      </c>
      <c r="Q2251" s="9" t="str">
        <f>HYPERLINK("https://ceds.ed.gov/elementComment.aspx?elementName=IPEDS Finance Natural Expense Category &amp;elementID=14657", "Click here to submit comment")</f>
        <v>Click here to submit comment</v>
      </c>
    </row>
    <row r="2252" spans="1:17" ht="75" x14ac:dyDescent="0.25">
      <c r="A2252" s="9" t="s">
        <v>6860</v>
      </c>
      <c r="B2252" s="9" t="s">
        <v>6861</v>
      </c>
      <c r="C2252" s="9" t="s">
        <v>6862</v>
      </c>
      <c r="D2252" s="9" t="s">
        <v>6742</v>
      </c>
      <c r="E2252" s="9" t="s">
        <v>3440</v>
      </c>
      <c r="F2252" s="9" t="s">
        <v>3441</v>
      </c>
      <c r="G2252" s="9" t="s">
        <v>12</v>
      </c>
      <c r="H2252" s="9" t="s">
        <v>6115</v>
      </c>
      <c r="I2252" s="9"/>
      <c r="J2252" s="9" t="s">
        <v>11051</v>
      </c>
      <c r="K2252" s="9"/>
      <c r="L2252" s="9"/>
      <c r="M2252" s="9" t="s">
        <v>3442</v>
      </c>
      <c r="N2252" s="9" t="s">
        <v>3443</v>
      </c>
      <c r="O2252" s="9" t="s">
        <v>3444</v>
      </c>
      <c r="P2252" s="9" t="str">
        <f>HYPERLINK("https://ceds.ed.gov/cedselementdetails.aspx?termid=13166")</f>
        <v>https://ceds.ed.gov/cedselementdetails.aspx?termid=13166</v>
      </c>
      <c r="Q2252" s="9" t="str">
        <f>HYPERLINK("https://ceds.ed.gov/elementComment.aspx?elementName=Institution IPEDS UnitID &amp;elementID=13166", "Click here to submit comment")</f>
        <v>Click here to submit comment</v>
      </c>
    </row>
    <row r="2253" spans="1:17" ht="90" x14ac:dyDescent="0.25">
      <c r="A2253" s="9" t="s">
        <v>6860</v>
      </c>
      <c r="B2253" s="9" t="s">
        <v>6861</v>
      </c>
      <c r="C2253" s="9" t="s">
        <v>6862</v>
      </c>
      <c r="D2253" s="9" t="s">
        <v>6742</v>
      </c>
      <c r="E2253" s="9" t="s">
        <v>5985</v>
      </c>
      <c r="F2253" s="9" t="s">
        <v>5986</v>
      </c>
      <c r="G2253" s="9" t="s">
        <v>12</v>
      </c>
      <c r="H2253" s="9" t="s">
        <v>1552</v>
      </c>
      <c r="I2253" s="9"/>
      <c r="J2253" s="9" t="s">
        <v>1513</v>
      </c>
      <c r="K2253" s="9"/>
      <c r="L2253" s="9" t="s">
        <v>5987</v>
      </c>
      <c r="M2253" s="9" t="s">
        <v>5988</v>
      </c>
      <c r="N2253" s="9"/>
      <c r="O2253" s="9" t="s">
        <v>5989</v>
      </c>
      <c r="P2253" s="9" t="str">
        <f>HYPERLINK("https://ceds.ed.gov/cedselementdetails.aspx?termid=13723")</f>
        <v>https://ceds.ed.gov/cedselementdetails.aspx?termid=13723</v>
      </c>
      <c r="Q2253" s="9" t="str">
        <f>HYPERLINK("https://ceds.ed.gov/elementComment.aspx?elementName=Tuition - Published &amp;elementID=13723", "Click here to submit comment")</f>
        <v>Click here to submit comment</v>
      </c>
    </row>
    <row r="2254" spans="1:17" ht="90" x14ac:dyDescent="0.25">
      <c r="A2254" s="9" t="s">
        <v>6860</v>
      </c>
      <c r="B2254" s="9" t="s">
        <v>6861</v>
      </c>
      <c r="C2254" s="9" t="s">
        <v>6862</v>
      </c>
      <c r="D2254" s="9" t="s">
        <v>6742</v>
      </c>
      <c r="E2254" s="9" t="s">
        <v>5999</v>
      </c>
      <c r="F2254" s="9" t="s">
        <v>6000</v>
      </c>
      <c r="G2254" s="10" t="s">
        <v>6730</v>
      </c>
      <c r="H2254" s="9" t="s">
        <v>1552</v>
      </c>
      <c r="I2254" s="9"/>
      <c r="J2254" s="9"/>
      <c r="K2254" s="9"/>
      <c r="L2254" s="9" t="s">
        <v>344</v>
      </c>
      <c r="M2254" s="9" t="s">
        <v>6001</v>
      </c>
      <c r="N2254" s="9"/>
      <c r="O2254" s="9" t="s">
        <v>6002</v>
      </c>
      <c r="P2254" s="9" t="str">
        <f>HYPERLINK("https://ceds.ed.gov/cedselementdetails.aspx?termid=13725")</f>
        <v>https://ceds.ed.gov/cedselementdetails.aspx?termid=13725</v>
      </c>
      <c r="Q2254" s="9" t="str">
        <f>HYPERLINK("https://ceds.ed.gov/elementComment.aspx?elementName=Tuition Unit &amp;elementID=13725", "Click here to submit comment")</f>
        <v>Click here to submit comment</v>
      </c>
    </row>
    <row r="2255" spans="1:17" ht="45" x14ac:dyDescent="0.25">
      <c r="A2255" s="9" t="s">
        <v>6860</v>
      </c>
      <c r="B2255" s="9" t="s">
        <v>6861</v>
      </c>
      <c r="C2255" s="9" t="s">
        <v>6862</v>
      </c>
      <c r="D2255" s="9" t="s">
        <v>6742</v>
      </c>
      <c r="E2255" s="9" t="s">
        <v>1548</v>
      </c>
      <c r="F2255" s="9" t="s">
        <v>1549</v>
      </c>
      <c r="G2255" s="9" t="s">
        <v>12</v>
      </c>
      <c r="H2255" s="9" t="s">
        <v>1552</v>
      </c>
      <c r="I2255" s="9"/>
      <c r="J2255" s="9" t="s">
        <v>1513</v>
      </c>
      <c r="K2255" s="9"/>
      <c r="L2255" s="9" t="s">
        <v>344</v>
      </c>
      <c r="M2255" s="9" t="s">
        <v>1550</v>
      </c>
      <c r="N2255" s="9"/>
      <c r="O2255" s="9" t="s">
        <v>1551</v>
      </c>
      <c r="P2255" s="9" t="str">
        <f>HYPERLINK("https://ceds.ed.gov/cedselementdetails.aspx?termid=13729")</f>
        <v>https://ceds.ed.gov/cedselementdetails.aspx?termid=13729</v>
      </c>
      <c r="Q2255" s="9" t="str">
        <f>HYPERLINK("https://ceds.ed.gov/elementComment.aspx?elementName=Board Charges &amp;elementID=13729", "Click here to submit comment")</f>
        <v>Click here to submit comment</v>
      </c>
    </row>
    <row r="2256" spans="1:17" ht="60" x14ac:dyDescent="0.25">
      <c r="A2256" s="9" t="s">
        <v>6860</v>
      </c>
      <c r="B2256" s="9" t="s">
        <v>6861</v>
      </c>
      <c r="C2256" s="9" t="s">
        <v>6862</v>
      </c>
      <c r="D2256" s="9" t="s">
        <v>6742</v>
      </c>
      <c r="E2256" s="9" t="s">
        <v>5184</v>
      </c>
      <c r="F2256" s="9" t="s">
        <v>5185</v>
      </c>
      <c r="G2256" s="9" t="s">
        <v>12</v>
      </c>
      <c r="H2256" s="9" t="s">
        <v>1552</v>
      </c>
      <c r="I2256" s="9"/>
      <c r="J2256" s="9" t="s">
        <v>1513</v>
      </c>
      <c r="K2256" s="9"/>
      <c r="L2256" s="9" t="s">
        <v>344</v>
      </c>
      <c r="M2256" s="9" t="s">
        <v>5186</v>
      </c>
      <c r="N2256" s="9"/>
      <c r="O2256" s="9" t="s">
        <v>5187</v>
      </c>
      <c r="P2256" s="9" t="str">
        <f>HYPERLINK("https://ceds.ed.gov/cedselementdetails.aspx?termid=13728")</f>
        <v>https://ceds.ed.gov/cedselementdetails.aspx?termid=13728</v>
      </c>
      <c r="Q2256" s="9" t="str">
        <f>HYPERLINK("https://ceds.ed.gov/elementComment.aspx?elementName=Room Charges &amp;elementID=13728", "Click here to submit comment")</f>
        <v>Click here to submit comment</v>
      </c>
    </row>
    <row r="2257" spans="1:17" ht="120" x14ac:dyDescent="0.25">
      <c r="A2257" s="9" t="s">
        <v>6860</v>
      </c>
      <c r="B2257" s="9" t="s">
        <v>6861</v>
      </c>
      <c r="C2257" s="9" t="s">
        <v>6862</v>
      </c>
      <c r="D2257" s="9" t="s">
        <v>6742</v>
      </c>
      <c r="E2257" s="9" t="s">
        <v>1553</v>
      </c>
      <c r="F2257" s="9" t="s">
        <v>1554</v>
      </c>
      <c r="G2257" s="9" t="s">
        <v>12</v>
      </c>
      <c r="H2257" s="9" t="s">
        <v>1552</v>
      </c>
      <c r="I2257" s="9"/>
      <c r="J2257" s="9" t="s">
        <v>1513</v>
      </c>
      <c r="K2257" s="9"/>
      <c r="L2257" s="9" t="s">
        <v>344</v>
      </c>
      <c r="M2257" s="9" t="s">
        <v>1555</v>
      </c>
      <c r="N2257" s="9"/>
      <c r="O2257" s="9" t="s">
        <v>1556</v>
      </c>
      <c r="P2257" s="9" t="str">
        <f>HYPERLINK("https://ceds.ed.gov/cedselementdetails.aspx?termid=13730")</f>
        <v>https://ceds.ed.gov/cedselementdetails.aspx?termid=13730</v>
      </c>
      <c r="Q2257" s="9" t="str">
        <f>HYPERLINK("https://ceds.ed.gov/elementComment.aspx?elementName=Books and Supplies Costs &amp;elementID=13730", "Click here to submit comment")</f>
        <v>Click here to submit comment</v>
      </c>
    </row>
    <row r="2258" spans="1:17" ht="75" x14ac:dyDescent="0.25">
      <c r="A2258" s="9" t="s">
        <v>6860</v>
      </c>
      <c r="B2258" s="9" t="s">
        <v>6861</v>
      </c>
      <c r="C2258" s="9" t="s">
        <v>6862</v>
      </c>
      <c r="D2258" s="9" t="s">
        <v>6742</v>
      </c>
      <c r="E2258" s="9" t="s">
        <v>5146</v>
      </c>
      <c r="F2258" s="9" t="s">
        <v>5147</v>
      </c>
      <c r="G2258" s="9" t="s">
        <v>12</v>
      </c>
      <c r="H2258" s="9" t="s">
        <v>1552</v>
      </c>
      <c r="I2258" s="9"/>
      <c r="J2258" s="9" t="s">
        <v>1513</v>
      </c>
      <c r="K2258" s="9"/>
      <c r="L2258" s="9" t="s">
        <v>344</v>
      </c>
      <c r="M2258" s="9" t="s">
        <v>5148</v>
      </c>
      <c r="N2258" s="9"/>
      <c r="O2258" s="9" t="s">
        <v>5149</v>
      </c>
      <c r="P2258" s="9" t="str">
        <f>HYPERLINK("https://ceds.ed.gov/cedselementdetails.aspx?termid=13726")</f>
        <v>https://ceds.ed.gov/cedselementdetails.aspx?termid=13726</v>
      </c>
      <c r="Q2258" s="9" t="str">
        <f>HYPERLINK("https://ceds.ed.gov/elementComment.aspx?elementName=Required Student Fees &amp;elementID=13726", "Click here to submit comment")</f>
        <v>Click here to submit comment</v>
      </c>
    </row>
    <row r="2259" spans="1:17" ht="90" x14ac:dyDescent="0.25">
      <c r="A2259" s="9" t="s">
        <v>6860</v>
      </c>
      <c r="B2259" s="9" t="s">
        <v>6861</v>
      </c>
      <c r="C2259" s="9" t="s">
        <v>6862</v>
      </c>
      <c r="D2259" s="9" t="s">
        <v>6742</v>
      </c>
      <c r="E2259" s="9" t="s">
        <v>1834</v>
      </c>
      <c r="F2259" s="9" t="s">
        <v>1835</v>
      </c>
      <c r="G2259" s="9" t="s">
        <v>12</v>
      </c>
      <c r="H2259" s="9" t="s">
        <v>1552</v>
      </c>
      <c r="I2259" s="9"/>
      <c r="J2259" s="9" t="s">
        <v>1513</v>
      </c>
      <c r="K2259" s="9"/>
      <c r="L2259" s="9" t="s">
        <v>344</v>
      </c>
      <c r="M2259" s="9" t="s">
        <v>1836</v>
      </c>
      <c r="N2259" s="9"/>
      <c r="O2259" s="9" t="s">
        <v>1837</v>
      </c>
      <c r="P2259" s="9" t="str">
        <f>HYPERLINK("https://ceds.ed.gov/cedselementdetails.aspx?termid=13733")</f>
        <v>https://ceds.ed.gov/cedselementdetails.aspx?termid=13733</v>
      </c>
      <c r="Q2259" s="9" t="str">
        <f>HYPERLINK("https://ceds.ed.gov/elementComment.aspx?elementName=Comprehensive Fee &amp;elementID=13733", "Click here to submit comment")</f>
        <v>Click here to submit comment</v>
      </c>
    </row>
    <row r="2260" spans="1:17" ht="75" x14ac:dyDescent="0.25">
      <c r="A2260" s="9" t="s">
        <v>6860</v>
      </c>
      <c r="B2260" s="9" t="s">
        <v>6861</v>
      </c>
      <c r="C2260" s="9" t="s">
        <v>6862</v>
      </c>
      <c r="D2260" s="9" t="s">
        <v>6742</v>
      </c>
      <c r="E2260" s="9" t="s">
        <v>4509</v>
      </c>
      <c r="F2260" s="9" t="s">
        <v>4510</v>
      </c>
      <c r="G2260" s="9" t="s">
        <v>12</v>
      </c>
      <c r="H2260" s="9" t="s">
        <v>1552</v>
      </c>
      <c r="I2260" s="9"/>
      <c r="J2260" s="9" t="s">
        <v>1513</v>
      </c>
      <c r="K2260" s="9"/>
      <c r="L2260" s="9" t="s">
        <v>344</v>
      </c>
      <c r="M2260" s="9" t="s">
        <v>4511</v>
      </c>
      <c r="N2260" s="9"/>
      <c r="O2260" s="9" t="s">
        <v>4512</v>
      </c>
      <c r="P2260" s="9" t="str">
        <f>HYPERLINK("https://ceds.ed.gov/cedselementdetails.aspx?termid=13731")</f>
        <v>https://ceds.ed.gov/cedselementdetails.aspx?termid=13731</v>
      </c>
      <c r="Q2260" s="9" t="str">
        <f>HYPERLINK("https://ceds.ed.gov/elementComment.aspx?elementName=Other Student Expenses &amp;elementID=13731", "Click here to submit comment")</f>
        <v>Click here to submit comment</v>
      </c>
    </row>
    <row r="2261" spans="1:17" ht="180" x14ac:dyDescent="0.25">
      <c r="A2261" s="9" t="s">
        <v>6860</v>
      </c>
      <c r="B2261" s="9" t="s">
        <v>6861</v>
      </c>
      <c r="C2261" s="9" t="s">
        <v>6862</v>
      </c>
      <c r="D2261" s="9" t="s">
        <v>6742</v>
      </c>
      <c r="E2261" s="9" t="s">
        <v>4693</v>
      </c>
      <c r="F2261" s="9" t="s">
        <v>4694</v>
      </c>
      <c r="G2261" s="9" t="s">
        <v>12</v>
      </c>
      <c r="H2261" s="9" t="s">
        <v>1552</v>
      </c>
      <c r="I2261" s="9"/>
      <c r="J2261" s="9" t="s">
        <v>1513</v>
      </c>
      <c r="K2261" s="9"/>
      <c r="L2261" s="9" t="s">
        <v>344</v>
      </c>
      <c r="M2261" s="9" t="s">
        <v>4695</v>
      </c>
      <c r="N2261" s="9"/>
      <c r="O2261" s="9" t="s">
        <v>4696</v>
      </c>
      <c r="P2261" s="9" t="str">
        <f>HYPERLINK("https://ceds.ed.gov/cedselementdetails.aspx?termid=13732")</f>
        <v>https://ceds.ed.gov/cedselementdetails.aspx?termid=13732</v>
      </c>
      <c r="Q2261" s="9" t="str">
        <f>HYPERLINK("https://ceds.ed.gov/elementComment.aspx?elementName=Price of Attendance &amp;elementID=13732", "Click here to submit comment")</f>
        <v>Click here to submit comment</v>
      </c>
    </row>
    <row r="2262" spans="1:17" ht="105" x14ac:dyDescent="0.25">
      <c r="A2262" s="9" t="s">
        <v>6860</v>
      </c>
      <c r="B2262" s="9" t="s">
        <v>6861</v>
      </c>
      <c r="C2262" s="9" t="s">
        <v>6862</v>
      </c>
      <c r="D2262" s="9" t="s">
        <v>6742</v>
      </c>
      <c r="E2262" s="9" t="s">
        <v>3449</v>
      </c>
      <c r="F2262" s="9" t="s">
        <v>3450</v>
      </c>
      <c r="G2262" s="9" t="s">
        <v>6106</v>
      </c>
      <c r="H2262" s="9" t="s">
        <v>1552</v>
      </c>
      <c r="I2262" s="9"/>
      <c r="J2262" s="9"/>
      <c r="K2262" s="9"/>
      <c r="L2262" s="9" t="s">
        <v>344</v>
      </c>
      <c r="M2262" s="9" t="s">
        <v>3451</v>
      </c>
      <c r="N2262" s="9"/>
      <c r="O2262" s="9" t="s">
        <v>3452</v>
      </c>
      <c r="P2262" s="9" t="str">
        <f>HYPERLINK("https://ceds.ed.gov/cedselementdetails.aspx?termid=13727")</f>
        <v>https://ceds.ed.gov/cedselementdetails.aspx?termid=13727</v>
      </c>
      <c r="Q2262" s="9" t="str">
        <f>HYPERLINK("https://ceds.ed.gov/elementComment.aspx?elementName=Institutionally Controlled Housing Status &amp;elementID=13727", "Click here to submit comment")</f>
        <v>Click here to submit comment</v>
      </c>
    </row>
    <row r="2263" spans="1:17" ht="90" x14ac:dyDescent="0.25">
      <c r="A2263" s="9" t="s">
        <v>6860</v>
      </c>
      <c r="B2263" s="9" t="s">
        <v>6861</v>
      </c>
      <c r="C2263" s="9" t="s">
        <v>6862</v>
      </c>
      <c r="D2263" s="9" t="s">
        <v>6742</v>
      </c>
      <c r="E2263" s="9" t="s">
        <v>211</v>
      </c>
      <c r="F2263" s="9" t="s">
        <v>212</v>
      </c>
      <c r="G2263" s="10" t="s">
        <v>6325</v>
      </c>
      <c r="H2263" s="9" t="s">
        <v>216</v>
      </c>
      <c r="I2263" s="9"/>
      <c r="J2263" s="9"/>
      <c r="K2263" s="9"/>
      <c r="L2263" s="9"/>
      <c r="M2263" s="9" t="s">
        <v>214</v>
      </c>
      <c r="N2263" s="9"/>
      <c r="O2263" s="9" t="s">
        <v>215</v>
      </c>
      <c r="P2263" s="9" t="str">
        <f>HYPERLINK("https://ceds.ed.gov/cedselementdetails.aspx?termid=14558")</f>
        <v>https://ceds.ed.gov/cedselementdetails.aspx?termid=14558</v>
      </c>
      <c r="Q2263" s="9" t="str">
        <f>HYPERLINK("https://ceds.ed.gov/elementComment.aspx?elementName=Admission Consideration Level &amp;elementID=14558", "Click here to submit comment")</f>
        <v>Click here to submit comment</v>
      </c>
    </row>
    <row r="2264" spans="1:17" ht="345" x14ac:dyDescent="0.25">
      <c r="A2264" s="9" t="s">
        <v>6860</v>
      </c>
      <c r="B2264" s="9" t="s">
        <v>6861</v>
      </c>
      <c r="C2264" s="9" t="s">
        <v>6862</v>
      </c>
      <c r="D2264" s="9" t="s">
        <v>6742</v>
      </c>
      <c r="E2264" s="9" t="s">
        <v>217</v>
      </c>
      <c r="F2264" s="9" t="s">
        <v>218</v>
      </c>
      <c r="G2264" s="10" t="s">
        <v>6326</v>
      </c>
      <c r="H2264" s="9" t="s">
        <v>216</v>
      </c>
      <c r="I2264" s="9"/>
      <c r="J2264" s="9"/>
      <c r="K2264" s="9"/>
      <c r="L2264" s="9"/>
      <c r="M2264" s="9" t="s">
        <v>219</v>
      </c>
      <c r="N2264" s="9"/>
      <c r="O2264" s="9" t="s">
        <v>220</v>
      </c>
      <c r="P2264" s="9" t="str">
        <f>HYPERLINK("https://ceds.ed.gov/cedselementdetails.aspx?termid=14559")</f>
        <v>https://ceds.ed.gov/cedselementdetails.aspx?termid=14559</v>
      </c>
      <c r="Q2264" s="9" t="str">
        <f>HYPERLINK("https://ceds.ed.gov/elementComment.aspx?elementName=Admission Consideration Type &amp;elementID=14559", "Click here to submit comment")</f>
        <v>Click here to submit comment</v>
      </c>
    </row>
    <row r="2265" spans="1:17" ht="150" x14ac:dyDescent="0.25">
      <c r="A2265" s="9" t="s">
        <v>6860</v>
      </c>
      <c r="B2265" s="9" t="s">
        <v>6861</v>
      </c>
      <c r="C2265" s="9" t="s">
        <v>6862</v>
      </c>
      <c r="D2265" s="9" t="s">
        <v>6742</v>
      </c>
      <c r="E2265" s="9" t="s">
        <v>3536</v>
      </c>
      <c r="F2265" s="9" t="s">
        <v>3537</v>
      </c>
      <c r="G2265" s="9" t="s">
        <v>12</v>
      </c>
      <c r="H2265" s="9" t="s">
        <v>216</v>
      </c>
      <c r="I2265" s="9"/>
      <c r="J2265" s="9" t="s">
        <v>45</v>
      </c>
      <c r="K2265" s="9"/>
      <c r="L2265" s="9"/>
      <c r="M2265" s="9" t="s">
        <v>3538</v>
      </c>
      <c r="N2265" s="9"/>
      <c r="O2265" s="9" t="s">
        <v>3539</v>
      </c>
      <c r="P2265" s="9" t="str">
        <f>HYPERLINK("https://ceds.ed.gov/cedselementdetails.aspx?termid=14592")</f>
        <v>https://ceds.ed.gov/cedselementdetails.aspx?termid=14592</v>
      </c>
      <c r="Q2265" s="9" t="str">
        <f>HYPERLINK("https://ceds.ed.gov/elementComment.aspx?elementName=IPEDS Collection Year Designator &amp;elementID=14592", "Click here to submit comment")</f>
        <v>Click here to submit comment</v>
      </c>
    </row>
    <row r="2266" spans="1:17" ht="105" x14ac:dyDescent="0.25">
      <c r="A2266" s="18" t="s">
        <v>6860</v>
      </c>
      <c r="B2266" s="18" t="s">
        <v>6861</v>
      </c>
      <c r="C2266" s="18" t="s">
        <v>6769</v>
      </c>
      <c r="D2266" s="18" t="s">
        <v>6742</v>
      </c>
      <c r="E2266" s="18" t="s">
        <v>4913</v>
      </c>
      <c r="F2266" s="18" t="s">
        <v>4914</v>
      </c>
      <c r="G2266" s="18" t="s">
        <v>12</v>
      </c>
      <c r="H2266" s="18" t="s">
        <v>1963</v>
      </c>
      <c r="I2266" s="18"/>
      <c r="J2266" s="18" t="s">
        <v>119</v>
      </c>
      <c r="K2266" s="18"/>
      <c r="L2266" s="9" t="s">
        <v>120</v>
      </c>
      <c r="M2266" s="18" t="s">
        <v>4915</v>
      </c>
      <c r="N2266" s="18"/>
      <c r="O2266" s="18" t="s">
        <v>4916</v>
      </c>
      <c r="P2266" s="18" t="str">
        <f>HYPERLINK("https://ceds.ed.gov/cedselementdetails.aspx?termid=13618")</f>
        <v>https://ceds.ed.gov/cedselementdetails.aspx?termid=13618</v>
      </c>
      <c r="Q2266" s="18" t="str">
        <f>HYPERLINK("https://ceds.ed.gov/elementComment.aspx?elementName=Program Identifier &amp;elementID=13618", "Click here to submit comment")</f>
        <v>Click here to submit comment</v>
      </c>
    </row>
    <row r="2267" spans="1:17" x14ac:dyDescent="0.25">
      <c r="A2267" s="18"/>
      <c r="B2267" s="18"/>
      <c r="C2267" s="18"/>
      <c r="D2267" s="18"/>
      <c r="E2267" s="18"/>
      <c r="F2267" s="18"/>
      <c r="G2267" s="18"/>
      <c r="H2267" s="18"/>
      <c r="I2267" s="18"/>
      <c r="J2267" s="18"/>
      <c r="K2267" s="18"/>
      <c r="L2267" s="9"/>
      <c r="M2267" s="18"/>
      <c r="N2267" s="18"/>
      <c r="O2267" s="18"/>
      <c r="P2267" s="18"/>
      <c r="Q2267" s="18"/>
    </row>
    <row r="2268" spans="1:17" ht="90" x14ac:dyDescent="0.25">
      <c r="A2268" s="18"/>
      <c r="B2268" s="18"/>
      <c r="C2268" s="18"/>
      <c r="D2268" s="18"/>
      <c r="E2268" s="18"/>
      <c r="F2268" s="18"/>
      <c r="G2268" s="18"/>
      <c r="H2268" s="18"/>
      <c r="I2268" s="18"/>
      <c r="J2268" s="18"/>
      <c r="K2268" s="18"/>
      <c r="L2268" s="9" t="s">
        <v>121</v>
      </c>
      <c r="M2268" s="18"/>
      <c r="N2268" s="18"/>
      <c r="O2268" s="18"/>
      <c r="P2268" s="18"/>
      <c r="Q2268" s="18"/>
    </row>
    <row r="2269" spans="1:17" ht="60" x14ac:dyDescent="0.25">
      <c r="A2269" s="9" t="s">
        <v>6860</v>
      </c>
      <c r="B2269" s="9" t="s">
        <v>6861</v>
      </c>
      <c r="C2269" s="9" t="s">
        <v>6769</v>
      </c>
      <c r="D2269" s="9" t="s">
        <v>6742</v>
      </c>
      <c r="E2269" s="9" t="s">
        <v>4929</v>
      </c>
      <c r="F2269" s="9" t="s">
        <v>4930</v>
      </c>
      <c r="G2269" s="9" t="s">
        <v>12</v>
      </c>
      <c r="H2269" s="9" t="s">
        <v>1963</v>
      </c>
      <c r="I2269" s="9"/>
      <c r="J2269" s="9" t="s">
        <v>92</v>
      </c>
      <c r="K2269" s="9"/>
      <c r="L2269" s="9"/>
      <c r="M2269" s="9" t="s">
        <v>4931</v>
      </c>
      <c r="N2269" s="9"/>
      <c r="O2269" s="9" t="s">
        <v>4932</v>
      </c>
      <c r="P2269" s="9" t="str">
        <f>HYPERLINK("https://ceds.ed.gov/cedselementdetails.aspx?termid=13619")</f>
        <v>https://ceds.ed.gov/cedselementdetails.aspx?termid=13619</v>
      </c>
      <c r="Q2269" s="9" t="str">
        <f>HYPERLINK("https://ceds.ed.gov/elementComment.aspx?elementName=Program Name &amp;elementID=13619", "Click here to submit comment")</f>
        <v>Click here to submit comment</v>
      </c>
    </row>
    <row r="2270" spans="1:17" ht="75" x14ac:dyDescent="0.25">
      <c r="A2270" s="9" t="s">
        <v>6860</v>
      </c>
      <c r="B2270" s="9" t="s">
        <v>6861</v>
      </c>
      <c r="C2270" s="9" t="s">
        <v>6769</v>
      </c>
      <c r="D2270" s="9" t="s">
        <v>6742</v>
      </c>
      <c r="E2270" s="9" t="s">
        <v>4921</v>
      </c>
      <c r="F2270" s="9" t="s">
        <v>4922</v>
      </c>
      <c r="G2270" s="9" t="s">
        <v>12</v>
      </c>
      <c r="H2270" s="9" t="s">
        <v>216</v>
      </c>
      <c r="I2270" s="9"/>
      <c r="J2270" s="9" t="s">
        <v>1513</v>
      </c>
      <c r="K2270" s="9"/>
      <c r="L2270" s="9"/>
      <c r="M2270" s="9" t="s">
        <v>4923</v>
      </c>
      <c r="N2270" s="9"/>
      <c r="O2270" s="9" t="s">
        <v>4924</v>
      </c>
      <c r="P2270" s="9" t="str">
        <f>HYPERLINK("https://ceds.ed.gov/cedselementdetails.aspx?termid=13223")</f>
        <v>https://ceds.ed.gov/cedselementdetails.aspx?termid=13223</v>
      </c>
      <c r="Q2270" s="9" t="str">
        <f>HYPERLINK("https://ceds.ed.gov/elementComment.aspx?elementName=Program Length Hours &amp;elementID=13223", "Click here to submit comment")</f>
        <v>Click here to submit comment</v>
      </c>
    </row>
    <row r="2271" spans="1:17" ht="45" x14ac:dyDescent="0.25">
      <c r="A2271" s="9" t="s">
        <v>6860</v>
      </c>
      <c r="B2271" s="9" t="s">
        <v>6861</v>
      </c>
      <c r="C2271" s="9" t="s">
        <v>6769</v>
      </c>
      <c r="D2271" s="9" t="s">
        <v>6742</v>
      </c>
      <c r="E2271" s="9" t="s">
        <v>4925</v>
      </c>
      <c r="F2271" s="9" t="s">
        <v>4926</v>
      </c>
      <c r="G2271" s="10" t="s">
        <v>6562</v>
      </c>
      <c r="H2271" s="9" t="s">
        <v>216</v>
      </c>
      <c r="I2271" s="9"/>
      <c r="J2271" s="9"/>
      <c r="K2271" s="9"/>
      <c r="L2271" s="9"/>
      <c r="M2271" s="9" t="s">
        <v>4927</v>
      </c>
      <c r="N2271" s="9"/>
      <c r="O2271" s="9" t="s">
        <v>4928</v>
      </c>
      <c r="P2271" s="9" t="str">
        <f>HYPERLINK("https://ceds.ed.gov/cedselementdetails.aspx?termid=13224")</f>
        <v>https://ceds.ed.gov/cedselementdetails.aspx?termid=13224</v>
      </c>
      <c r="Q2271" s="9" t="str">
        <f>HYPERLINK("https://ceds.ed.gov/elementComment.aspx?elementName=Program Length Hours Type &amp;elementID=13224", "Click here to submit comment")</f>
        <v>Click here to submit comment</v>
      </c>
    </row>
    <row r="2272" spans="1:17" ht="75" x14ac:dyDescent="0.25">
      <c r="A2272" s="9" t="s">
        <v>6860</v>
      </c>
      <c r="B2272" s="9" t="s">
        <v>6861</v>
      </c>
      <c r="C2272" s="9" t="s">
        <v>6769</v>
      </c>
      <c r="D2272" s="9" t="s">
        <v>6742</v>
      </c>
      <c r="E2272" s="9" t="s">
        <v>1778</v>
      </c>
      <c r="F2272" s="9" t="s">
        <v>1779</v>
      </c>
      <c r="G2272" s="11" t="s">
        <v>1780</v>
      </c>
      <c r="H2272" s="9" t="s">
        <v>6108</v>
      </c>
      <c r="I2272" s="9"/>
      <c r="J2272" s="9"/>
      <c r="K2272" s="9"/>
      <c r="L2272" s="9"/>
      <c r="M2272" s="9" t="s">
        <v>1781</v>
      </c>
      <c r="N2272" s="9" t="s">
        <v>1782</v>
      </c>
      <c r="O2272" s="9" t="s">
        <v>1783</v>
      </c>
      <c r="P2272" s="9" t="str">
        <f>HYPERLINK("https://ceds.ed.gov/cedselementdetails.aspx?termid=13043")</f>
        <v>https://ceds.ed.gov/cedselementdetails.aspx?termid=13043</v>
      </c>
      <c r="Q2272" s="9" t="str">
        <f>HYPERLINK("https://ceds.ed.gov/elementComment.aspx?elementName=Classification of Instructional Program Code &amp;elementID=13043", "Click here to submit comment")</f>
        <v>Click here to submit comment</v>
      </c>
    </row>
    <row r="2273" spans="1:17" ht="135" x14ac:dyDescent="0.25">
      <c r="A2273" s="9" t="s">
        <v>6860</v>
      </c>
      <c r="B2273" s="9" t="s">
        <v>6861</v>
      </c>
      <c r="C2273" s="9" t="s">
        <v>6769</v>
      </c>
      <c r="D2273" s="9" t="s">
        <v>6742</v>
      </c>
      <c r="E2273" s="9" t="s">
        <v>1784</v>
      </c>
      <c r="F2273" s="9" t="s">
        <v>1785</v>
      </c>
      <c r="G2273" s="10" t="s">
        <v>6407</v>
      </c>
      <c r="H2273" s="9" t="s">
        <v>6115</v>
      </c>
      <c r="I2273" s="9"/>
      <c r="J2273" s="9"/>
      <c r="K2273" s="9"/>
      <c r="L2273" s="9"/>
      <c r="M2273" s="9" t="s">
        <v>1786</v>
      </c>
      <c r="N2273" s="9" t="s">
        <v>1787</v>
      </c>
      <c r="O2273" s="9" t="s">
        <v>1788</v>
      </c>
      <c r="P2273" s="9" t="str">
        <f>HYPERLINK("https://ceds.ed.gov/cedselementdetails.aspx?termid=13044")</f>
        <v>https://ceds.ed.gov/cedselementdetails.aspx?termid=13044</v>
      </c>
      <c r="Q2273" s="9" t="str">
        <f>HYPERLINK("https://ceds.ed.gov/elementComment.aspx?elementName=Classification of Instructional Program Use &amp;elementID=13044", "Click here to submit comment")</f>
        <v>Click here to submit comment</v>
      </c>
    </row>
    <row r="2274" spans="1:17" ht="90" x14ac:dyDescent="0.25">
      <c r="A2274" s="9" t="s">
        <v>6860</v>
      </c>
      <c r="B2274" s="9" t="s">
        <v>6861</v>
      </c>
      <c r="C2274" s="9" t="s">
        <v>6769</v>
      </c>
      <c r="D2274" s="9" t="s">
        <v>6742</v>
      </c>
      <c r="E2274" s="9" t="s">
        <v>1789</v>
      </c>
      <c r="F2274" s="9" t="s">
        <v>1790</v>
      </c>
      <c r="G2274" s="10" t="s">
        <v>6408</v>
      </c>
      <c r="H2274" s="9" t="s">
        <v>6115</v>
      </c>
      <c r="I2274" s="9"/>
      <c r="J2274" s="9"/>
      <c r="K2274" s="9"/>
      <c r="L2274" s="9"/>
      <c r="M2274" s="9" t="s">
        <v>1791</v>
      </c>
      <c r="N2274" s="9" t="s">
        <v>1792</v>
      </c>
      <c r="O2274" s="9" t="s">
        <v>1793</v>
      </c>
      <c r="P2274" s="9" t="str">
        <f>HYPERLINK("https://ceds.ed.gov/cedselementdetails.aspx?termid=13045")</f>
        <v>https://ceds.ed.gov/cedselementdetails.aspx?termid=13045</v>
      </c>
      <c r="Q2274" s="9" t="str">
        <f>HYPERLINK("https://ceds.ed.gov/elementComment.aspx?elementName=Classification of Instructional Program Version &amp;elementID=13045", "Click here to submit comment")</f>
        <v>Click here to submit comment</v>
      </c>
    </row>
    <row r="2275" spans="1:17" ht="180" x14ac:dyDescent="0.25">
      <c r="A2275" s="9" t="s">
        <v>6860</v>
      </c>
      <c r="B2275" s="9" t="s">
        <v>6861</v>
      </c>
      <c r="C2275" s="9" t="s">
        <v>6769</v>
      </c>
      <c r="D2275" s="9" t="s">
        <v>6742</v>
      </c>
      <c r="E2275" s="9" t="s">
        <v>2345</v>
      </c>
      <c r="F2275" s="9" t="s">
        <v>2346</v>
      </c>
      <c r="G2275" s="9" t="s">
        <v>6106</v>
      </c>
      <c r="H2275" s="9"/>
      <c r="I2275" s="9"/>
      <c r="J2275" s="9"/>
      <c r="K2275" s="9"/>
      <c r="L2275" s="9" t="s">
        <v>2341</v>
      </c>
      <c r="M2275" s="9" t="s">
        <v>2347</v>
      </c>
      <c r="N2275" s="9"/>
      <c r="O2275" s="9" t="s">
        <v>2348</v>
      </c>
      <c r="P2275" s="9" t="str">
        <f>HYPERLINK("https://ceds.ed.gov/cedselementdetails.aspx?termid=14289")</f>
        <v>https://ceds.ed.gov/cedselementdetails.aspx?termid=14289</v>
      </c>
      <c r="Q2275" s="9" t="str">
        <f>HYPERLINK("https://ceds.ed.gov/elementComment.aspx?elementName=Distance Education Program Enrollment Indicator &amp;elementID=14289", "Click here to submit comment")</f>
        <v>Click here to submit comment</v>
      </c>
    </row>
    <row r="2276" spans="1:17" ht="210" x14ac:dyDescent="0.25">
      <c r="A2276" s="9" t="s">
        <v>6860</v>
      </c>
      <c r="B2276" s="9" t="s">
        <v>6861</v>
      </c>
      <c r="C2276" s="9" t="s">
        <v>6769</v>
      </c>
      <c r="D2276" s="9" t="s">
        <v>6742</v>
      </c>
      <c r="E2276" s="9" t="s">
        <v>4349</v>
      </c>
      <c r="F2276" s="9" t="s">
        <v>4350</v>
      </c>
      <c r="G2276" s="9" t="s">
        <v>12</v>
      </c>
      <c r="H2276" s="9" t="s">
        <v>6115</v>
      </c>
      <c r="I2276" s="9"/>
      <c r="J2276" s="9" t="s">
        <v>92</v>
      </c>
      <c r="K2276" s="9"/>
      <c r="L2276" s="9"/>
      <c r="M2276" s="9" t="s">
        <v>4351</v>
      </c>
      <c r="N2276" s="9"/>
      <c r="O2276" s="9" t="s">
        <v>4352</v>
      </c>
      <c r="P2276" s="9" t="str">
        <f>HYPERLINK("https://ceds.ed.gov/cedselementdetails.aspx?termid=13197")</f>
        <v>https://ceds.ed.gov/cedselementdetails.aspx?termid=13197</v>
      </c>
      <c r="Q2276" s="9" t="str">
        <f>HYPERLINK("https://ceds.ed.gov/elementComment.aspx?elementName=Normal Length of Time for Completion &amp;elementID=13197", "Click here to submit comment")</f>
        <v>Click here to submit comment</v>
      </c>
    </row>
    <row r="2277" spans="1:17" ht="90" x14ac:dyDescent="0.25">
      <c r="A2277" s="9" t="s">
        <v>6860</v>
      </c>
      <c r="B2277" s="9" t="s">
        <v>6861</v>
      </c>
      <c r="C2277" s="9" t="s">
        <v>6769</v>
      </c>
      <c r="D2277" s="9" t="s">
        <v>6742</v>
      </c>
      <c r="E2277" s="9" t="s">
        <v>4353</v>
      </c>
      <c r="F2277" s="9" t="s">
        <v>4354</v>
      </c>
      <c r="G2277" s="10" t="s">
        <v>6627</v>
      </c>
      <c r="H2277" s="9" t="s">
        <v>6115</v>
      </c>
      <c r="I2277" s="9"/>
      <c r="J2277" s="9"/>
      <c r="K2277" s="9"/>
      <c r="L2277" s="9"/>
      <c r="M2277" s="9" t="s">
        <v>4355</v>
      </c>
      <c r="N2277" s="9"/>
      <c r="O2277" s="9" t="s">
        <v>4356</v>
      </c>
      <c r="P2277" s="9" t="str">
        <f>HYPERLINK("https://ceds.ed.gov/cedselementdetails.aspx?termid=13198")</f>
        <v>https://ceds.ed.gov/cedselementdetails.aspx?termid=13198</v>
      </c>
      <c r="Q2277" s="9" t="str">
        <f>HYPERLINK("https://ceds.ed.gov/elementComment.aspx?elementName=Normal Length of Time for Completion Units &amp;elementID=13198", "Click here to submit comment")</f>
        <v>Click here to submit comment</v>
      </c>
    </row>
    <row r="2278" spans="1:17" ht="75" x14ac:dyDescent="0.25">
      <c r="A2278" s="9" t="s">
        <v>6860</v>
      </c>
      <c r="B2278" s="9" t="s">
        <v>6861</v>
      </c>
      <c r="C2278" s="9" t="s">
        <v>6769</v>
      </c>
      <c r="D2278" s="9" t="s">
        <v>6742</v>
      </c>
      <c r="E2278" s="9" t="s">
        <v>4655</v>
      </c>
      <c r="F2278" s="9" t="s">
        <v>4656</v>
      </c>
      <c r="G2278" s="10" t="s">
        <v>6642</v>
      </c>
      <c r="H2278" s="9" t="s">
        <v>6257</v>
      </c>
      <c r="I2278" s="9"/>
      <c r="J2278" s="9"/>
      <c r="K2278" s="9"/>
      <c r="L2278" s="9"/>
      <c r="M2278" s="9" t="s">
        <v>4657</v>
      </c>
      <c r="N2278" s="9"/>
      <c r="O2278" s="9" t="s">
        <v>4658</v>
      </c>
      <c r="P2278" s="9" t="str">
        <f>HYPERLINK("https://ceds.ed.gov/cedselementdetails.aspx?termid=14595")</f>
        <v>https://ceds.ed.gov/cedselementdetails.aspx?termid=14595</v>
      </c>
      <c r="Q2278" s="9" t="str">
        <f>HYPERLINK("https://ceds.ed.gov/elementComment.aspx?elementName=Postsecondary Program Level &amp;elementID=14595", "Click here to submit comment")</f>
        <v>Click here to submit comment</v>
      </c>
    </row>
    <row r="2279" spans="1:17" ht="180" x14ac:dyDescent="0.25">
      <c r="A2279" s="9" t="s">
        <v>6860</v>
      </c>
      <c r="B2279" s="9" t="s">
        <v>6877</v>
      </c>
      <c r="C2279" s="9"/>
      <c r="D2279" s="9" t="s">
        <v>6742</v>
      </c>
      <c r="E2279" s="9" t="s">
        <v>4623</v>
      </c>
      <c r="F2279" s="9" t="s">
        <v>4624</v>
      </c>
      <c r="G2279" s="9" t="s">
        <v>6106</v>
      </c>
      <c r="H2279" s="9" t="s">
        <v>227</v>
      </c>
      <c r="I2279" s="9"/>
      <c r="J2279" s="9"/>
      <c r="K2279" s="9"/>
      <c r="L2279" s="9" t="s">
        <v>4625</v>
      </c>
      <c r="M2279" s="9" t="s">
        <v>4626</v>
      </c>
      <c r="N2279" s="9"/>
      <c r="O2279" s="9" t="s">
        <v>4627</v>
      </c>
      <c r="P2279" s="9" t="str">
        <f>HYPERLINK("https://ceds.ed.gov/cedselementdetails.aspx?termid=13735")</f>
        <v>https://ceds.ed.gov/cedselementdetails.aspx?termid=13735</v>
      </c>
      <c r="Q2279" s="9" t="str">
        <f>HYPERLINK("https://ceds.ed.gov/elementComment.aspx?elementName=Postsecondary Applicant &amp;elementID=13735", "Click here to submit comment")</f>
        <v>Click here to submit comment</v>
      </c>
    </row>
    <row r="2280" spans="1:17" ht="135" x14ac:dyDescent="0.25">
      <c r="A2280" s="9" t="s">
        <v>6860</v>
      </c>
      <c r="B2280" s="9" t="s">
        <v>6877</v>
      </c>
      <c r="C2280" s="9"/>
      <c r="D2280" s="9" t="s">
        <v>6742</v>
      </c>
      <c r="E2280" s="9" t="s">
        <v>221</v>
      </c>
      <c r="F2280" s="9" t="s">
        <v>222</v>
      </c>
      <c r="G2280" s="10" t="s">
        <v>6327</v>
      </c>
      <c r="H2280" s="9" t="s">
        <v>227</v>
      </c>
      <c r="I2280" s="9"/>
      <c r="J2280" s="9"/>
      <c r="K2280" s="9"/>
      <c r="L2280" s="9" t="s">
        <v>224</v>
      </c>
      <c r="M2280" s="9" t="s">
        <v>225</v>
      </c>
      <c r="N2280" s="9"/>
      <c r="O2280" s="9" t="s">
        <v>226</v>
      </c>
      <c r="P2280" s="9" t="str">
        <f>HYPERLINK("https://ceds.ed.gov/cedselementdetails.aspx?termid=13736")</f>
        <v>https://ceds.ed.gov/cedselementdetails.aspx?termid=13736</v>
      </c>
      <c r="Q2280" s="9" t="str">
        <f>HYPERLINK("https://ceds.ed.gov/elementComment.aspx?elementName=Admitted Student &amp;elementID=13736", "Click here to submit comment")</f>
        <v>Click here to submit comment</v>
      </c>
    </row>
    <row r="2281" spans="1:17" ht="60" x14ac:dyDescent="0.25">
      <c r="A2281" s="9" t="s">
        <v>6860</v>
      </c>
      <c r="B2281" s="9" t="s">
        <v>6877</v>
      </c>
      <c r="C2281" s="9"/>
      <c r="D2281" s="9" t="s">
        <v>6742</v>
      </c>
      <c r="E2281" s="9" t="s">
        <v>6048</v>
      </c>
      <c r="F2281" s="9" t="s">
        <v>6049</v>
      </c>
      <c r="G2281" s="9" t="s">
        <v>6106</v>
      </c>
      <c r="H2281" s="9" t="s">
        <v>227</v>
      </c>
      <c r="I2281" s="9"/>
      <c r="J2281" s="9"/>
      <c r="K2281" s="9"/>
      <c r="L2281" s="9" t="s">
        <v>2909</v>
      </c>
      <c r="M2281" s="9" t="s">
        <v>6050</v>
      </c>
      <c r="N2281" s="9"/>
      <c r="O2281" s="9" t="s">
        <v>6051</v>
      </c>
      <c r="P2281" s="9" t="str">
        <f>HYPERLINK("https://ceds.ed.gov/cedselementdetails.aspx?termid=13738")</f>
        <v>https://ceds.ed.gov/cedselementdetails.aspx?termid=13738</v>
      </c>
      <c r="Q2281" s="9" t="str">
        <f>HYPERLINK("https://ceds.ed.gov/elementComment.aspx?elementName=Wait Listed Student &amp;elementID=13738", "Click here to submit comment")</f>
        <v>Click here to submit comment</v>
      </c>
    </row>
    <row r="2282" spans="1:17" ht="180" x14ac:dyDescent="0.25">
      <c r="A2282" s="9" t="s">
        <v>6860</v>
      </c>
      <c r="B2282" s="9" t="s">
        <v>6877</v>
      </c>
      <c r="C2282" s="9"/>
      <c r="D2282" s="9" t="s">
        <v>6742</v>
      </c>
      <c r="E2282" s="9" t="s">
        <v>3021</v>
      </c>
      <c r="F2282" s="9" t="s">
        <v>3022</v>
      </c>
      <c r="G2282" s="9" t="s">
        <v>12</v>
      </c>
      <c r="H2282" s="9" t="s">
        <v>6217</v>
      </c>
      <c r="I2282" s="9"/>
      <c r="J2282" s="9" t="s">
        <v>3018</v>
      </c>
      <c r="K2282" s="9"/>
      <c r="L2282" s="9" t="s">
        <v>3023</v>
      </c>
      <c r="M2282" s="9" t="s">
        <v>3024</v>
      </c>
      <c r="N2282" s="9" t="s">
        <v>3025</v>
      </c>
      <c r="O2282" s="9" t="s">
        <v>3026</v>
      </c>
      <c r="P2282" s="9" t="str">
        <f>HYPERLINK("https://ceds.ed.gov/cedselementdetails.aspx?termid=13128")</f>
        <v>https://ceds.ed.gov/cedselementdetails.aspx?termid=13128</v>
      </c>
      <c r="Q2282" s="9" t="str">
        <f>HYPERLINK("https://ceds.ed.gov/elementComment.aspx?elementName=Grade Point Average Cumulative &amp;elementID=13128", "Click here to submit comment")</f>
        <v>Click here to submit comment</v>
      </c>
    </row>
    <row r="2283" spans="1:17" ht="105" x14ac:dyDescent="0.25">
      <c r="A2283" s="9" t="s">
        <v>6860</v>
      </c>
      <c r="B2283" s="9" t="s">
        <v>6877</v>
      </c>
      <c r="C2283" s="9"/>
      <c r="D2283" s="9" t="s">
        <v>6742</v>
      </c>
      <c r="E2283" s="9" t="s">
        <v>3027</v>
      </c>
      <c r="F2283" s="9" t="s">
        <v>3028</v>
      </c>
      <c r="G2283" s="10" t="s">
        <v>6524</v>
      </c>
      <c r="H2283" s="9" t="s">
        <v>227</v>
      </c>
      <c r="I2283" s="9"/>
      <c r="J2283" s="9"/>
      <c r="K2283" s="9"/>
      <c r="L2283" s="9" t="s">
        <v>3029</v>
      </c>
      <c r="M2283" s="9" t="s">
        <v>3030</v>
      </c>
      <c r="N2283" s="9" t="s">
        <v>3031</v>
      </c>
      <c r="O2283" s="9" t="s">
        <v>3032</v>
      </c>
      <c r="P2283" s="9" t="str">
        <f>HYPERLINK("https://ceds.ed.gov/cedselementdetails.aspx?termid=13739")</f>
        <v>https://ceds.ed.gov/cedselementdetails.aspx?termid=13739</v>
      </c>
      <c r="Q2283" s="9" t="str">
        <f>HYPERLINK("https://ceds.ed.gov/elementComment.aspx?elementName=Grade Point Average Domain &amp;elementID=13739", "Click here to submit comment")</f>
        <v>Click here to submit comment</v>
      </c>
    </row>
    <row r="2284" spans="1:17" ht="45" x14ac:dyDescent="0.25">
      <c r="A2284" s="9" t="s">
        <v>6860</v>
      </c>
      <c r="B2284" s="9" t="s">
        <v>6877</v>
      </c>
      <c r="C2284" s="9"/>
      <c r="D2284" s="9" t="s">
        <v>6742</v>
      </c>
      <c r="E2284" s="9" t="s">
        <v>3038</v>
      </c>
      <c r="F2284" s="9" t="s">
        <v>3039</v>
      </c>
      <c r="G2284" s="10" t="s">
        <v>6525</v>
      </c>
      <c r="H2284" s="9" t="s">
        <v>6219</v>
      </c>
      <c r="I2284" s="9"/>
      <c r="J2284" s="9"/>
      <c r="K2284" s="9"/>
      <c r="L2284" s="9"/>
      <c r="M2284" s="9" t="s">
        <v>3040</v>
      </c>
      <c r="N2284" s="9" t="s">
        <v>3041</v>
      </c>
      <c r="O2284" s="9" t="s">
        <v>3042</v>
      </c>
      <c r="P2284" s="9" t="str">
        <f>HYPERLINK("https://ceds.ed.gov/cedselementdetails.aspx?termid=13123")</f>
        <v>https://ceds.ed.gov/cedselementdetails.aspx?termid=13123</v>
      </c>
      <c r="Q2284" s="9" t="str">
        <f>HYPERLINK("https://ceds.ed.gov/elementComment.aspx?elementName=Grade Point Average Weighted Indicator &amp;elementID=13123", "Click here to submit comment")</f>
        <v>Click here to submit comment</v>
      </c>
    </row>
    <row r="2285" spans="1:17" ht="90" x14ac:dyDescent="0.25">
      <c r="A2285" s="18" t="s">
        <v>6860</v>
      </c>
      <c r="B2285" s="18" t="s">
        <v>6877</v>
      </c>
      <c r="C2285" s="18"/>
      <c r="D2285" s="18" t="s">
        <v>6742</v>
      </c>
      <c r="E2285" s="18" t="s">
        <v>3117</v>
      </c>
      <c r="F2285" s="18" t="s">
        <v>3118</v>
      </c>
      <c r="G2285" s="18" t="s">
        <v>12</v>
      </c>
      <c r="H2285" s="18" t="s">
        <v>227</v>
      </c>
      <c r="I2285" s="18"/>
      <c r="J2285" s="18" t="s">
        <v>10496</v>
      </c>
      <c r="K2285" s="18"/>
      <c r="L2285" s="9" t="s">
        <v>3119</v>
      </c>
      <c r="M2285" s="18" t="s">
        <v>3121</v>
      </c>
      <c r="N2285" s="18"/>
      <c r="O2285" s="18" t="s">
        <v>3122</v>
      </c>
      <c r="P2285" s="18" t="str">
        <f>HYPERLINK("https://ceds.ed.gov/cedselementdetails.aspx?termid=13740")</f>
        <v>https://ceds.ed.gov/cedselementdetails.aspx?termid=13740</v>
      </c>
      <c r="Q2285" s="18" t="str">
        <f>HYPERLINK("https://ceds.ed.gov/elementComment.aspx?elementName=High School Percentile &amp;elementID=13740", "Click here to submit comment")</f>
        <v>Click here to submit comment</v>
      </c>
    </row>
    <row r="2286" spans="1:17" ht="45" x14ac:dyDescent="0.25">
      <c r="A2286" s="18"/>
      <c r="B2286" s="18"/>
      <c r="C2286" s="18"/>
      <c r="D2286" s="18"/>
      <c r="E2286" s="18"/>
      <c r="F2286" s="18"/>
      <c r="G2286" s="18"/>
      <c r="H2286" s="18"/>
      <c r="I2286" s="18"/>
      <c r="J2286" s="18"/>
      <c r="K2286" s="18"/>
      <c r="L2286" s="9" t="s">
        <v>3120</v>
      </c>
      <c r="M2286" s="18"/>
      <c r="N2286" s="18"/>
      <c r="O2286" s="18"/>
      <c r="P2286" s="18"/>
      <c r="Q2286" s="18"/>
    </row>
    <row r="2287" spans="1:17" ht="120" x14ac:dyDescent="0.25">
      <c r="A2287" s="9" t="s">
        <v>6860</v>
      </c>
      <c r="B2287" s="9" t="s">
        <v>6877</v>
      </c>
      <c r="C2287" s="9"/>
      <c r="D2287" s="9" t="s">
        <v>6742</v>
      </c>
      <c r="E2287" s="9" t="s">
        <v>3123</v>
      </c>
      <c r="F2287" s="9" t="s">
        <v>3124</v>
      </c>
      <c r="G2287" s="9" t="s">
        <v>12</v>
      </c>
      <c r="H2287" s="9" t="s">
        <v>6222</v>
      </c>
      <c r="I2287" s="9"/>
      <c r="J2287" s="9" t="s">
        <v>10489</v>
      </c>
      <c r="K2287" s="9"/>
      <c r="L2287" s="9"/>
      <c r="M2287" s="9" t="s">
        <v>3125</v>
      </c>
      <c r="N2287" s="9"/>
      <c r="O2287" s="9" t="s">
        <v>3126</v>
      </c>
      <c r="P2287" s="9" t="str">
        <f>HYPERLINK("https://ceds.ed.gov/cedselementdetails.aspx?termid=13041")</f>
        <v>https://ceds.ed.gov/cedselementdetails.aspx?termid=13041</v>
      </c>
      <c r="Q2287" s="9" t="str">
        <f>HYPERLINK("https://ceds.ed.gov/elementComment.aspx?elementName=High School Student Class Rank &amp;elementID=13041", "Click here to submit comment")</f>
        <v>Click here to submit comment</v>
      </c>
    </row>
    <row r="2288" spans="1:17" ht="120" x14ac:dyDescent="0.25">
      <c r="A2288" s="9" t="s">
        <v>6860</v>
      </c>
      <c r="B2288" s="9" t="s">
        <v>6877</v>
      </c>
      <c r="C2288" s="9"/>
      <c r="D2288" s="9" t="s">
        <v>6742</v>
      </c>
      <c r="E2288" s="9" t="s">
        <v>5497</v>
      </c>
      <c r="F2288" s="9" t="s">
        <v>5498</v>
      </c>
      <c r="G2288" s="9" t="s">
        <v>12</v>
      </c>
      <c r="H2288" s="9" t="s">
        <v>6222</v>
      </c>
      <c r="I2288" s="9"/>
      <c r="J2288" s="9" t="s">
        <v>10489</v>
      </c>
      <c r="K2288" s="9"/>
      <c r="L2288" s="9"/>
      <c r="M2288" s="9" t="s">
        <v>5499</v>
      </c>
      <c r="N2288" s="9"/>
      <c r="O2288" s="9" t="s">
        <v>5500</v>
      </c>
      <c r="P2288" s="9" t="str">
        <f>HYPERLINK("https://ceds.ed.gov/cedselementdetails.aspx?termid=13294")</f>
        <v>https://ceds.ed.gov/cedselementdetails.aspx?termid=13294</v>
      </c>
      <c r="Q2288" s="9" t="str">
        <f>HYPERLINK("https://ceds.ed.gov/elementComment.aspx?elementName=Size of High School Graduating Class &amp;elementID=13294", "Click here to submit comment")</f>
        <v>Click here to submit comment</v>
      </c>
    </row>
    <row r="2289" spans="1:17" ht="105" x14ac:dyDescent="0.25">
      <c r="A2289" s="9" t="s">
        <v>6860</v>
      </c>
      <c r="B2289" s="9" t="s">
        <v>6863</v>
      </c>
      <c r="C2289" s="9"/>
      <c r="D2289" s="9" t="s">
        <v>6742</v>
      </c>
      <c r="E2289" s="9" t="s">
        <v>4645</v>
      </c>
      <c r="F2289" s="9" t="s">
        <v>4646</v>
      </c>
      <c r="G2289" s="9" t="s">
        <v>6106</v>
      </c>
      <c r="H2289" s="9"/>
      <c r="I2289" s="9"/>
      <c r="J2289" s="9"/>
      <c r="K2289" s="9"/>
      <c r="L2289" s="9" t="s">
        <v>4648</v>
      </c>
      <c r="M2289" s="9" t="s">
        <v>4649</v>
      </c>
      <c r="N2289" s="9"/>
      <c r="O2289" s="9" t="s">
        <v>4650</v>
      </c>
      <c r="P2289" s="9" t="str">
        <f>HYPERLINK("https://ceds.ed.gov/cedselementdetails.aspx?termid=14395")</f>
        <v>https://ceds.ed.gov/cedselementdetails.aspx?termid=14395</v>
      </c>
      <c r="Q2289" s="9" t="str">
        <f>HYPERLINK("https://ceds.ed.gov/elementComment.aspx?elementName=Postsecondary Entering Student Indicator &amp;elementID=14395", "Click here to submit comment")</f>
        <v>Click here to submit comment</v>
      </c>
    </row>
    <row r="2290" spans="1:17" ht="120" x14ac:dyDescent="0.25">
      <c r="A2290" s="9" t="s">
        <v>6860</v>
      </c>
      <c r="B2290" s="9" t="s">
        <v>6863</v>
      </c>
      <c r="C2290" s="9"/>
      <c r="D2290" s="9" t="s">
        <v>6742</v>
      </c>
      <c r="E2290" s="9" t="s">
        <v>4659</v>
      </c>
      <c r="F2290" s="9" t="s">
        <v>4660</v>
      </c>
      <c r="G2290" s="9" t="s">
        <v>12</v>
      </c>
      <c r="H2290" s="9"/>
      <c r="I2290" s="9"/>
      <c r="J2290" s="9" t="s">
        <v>87</v>
      </c>
      <c r="K2290" s="9"/>
      <c r="L2290" s="9" t="s">
        <v>4648</v>
      </c>
      <c r="M2290" s="9" t="s">
        <v>4661</v>
      </c>
      <c r="N2290" s="9"/>
      <c r="O2290" s="9" t="s">
        <v>4662</v>
      </c>
      <c r="P2290" s="9" t="str">
        <f>HYPERLINK("https://ceds.ed.gov/cedselementdetails.aspx?termid=14396")</f>
        <v>https://ceds.ed.gov/cedselementdetails.aspx?termid=14396</v>
      </c>
      <c r="Q2290" s="9" t="str">
        <f>HYPERLINK("https://ceds.ed.gov/elementComment.aspx?elementName=Postsecondary Student Entering Term &amp;elementID=14396", "Click here to submit comment")</f>
        <v>Click here to submit comment</v>
      </c>
    </row>
    <row r="2291" spans="1:17" ht="195" x14ac:dyDescent="0.25">
      <c r="A2291" s="9" t="s">
        <v>6860</v>
      </c>
      <c r="B2291" s="9" t="s">
        <v>6863</v>
      </c>
      <c r="C2291" s="9" t="s">
        <v>6741</v>
      </c>
      <c r="D2291" s="9" t="s">
        <v>6742</v>
      </c>
      <c r="E2291" s="9" t="s">
        <v>2935</v>
      </c>
      <c r="F2291" s="9" t="s">
        <v>2936</v>
      </c>
      <c r="G2291" s="9" t="s">
        <v>12</v>
      </c>
      <c r="H2291" s="9" t="s">
        <v>6211</v>
      </c>
      <c r="I2291" s="9"/>
      <c r="J2291" s="9" t="s">
        <v>1310</v>
      </c>
      <c r="K2291" s="9"/>
      <c r="L2291" s="9" t="s">
        <v>2937</v>
      </c>
      <c r="M2291" s="9" t="s">
        <v>2938</v>
      </c>
      <c r="N2291" s="9"/>
      <c r="O2291" s="9" t="s">
        <v>2939</v>
      </c>
      <c r="P2291" s="9" t="str">
        <f>HYPERLINK("https://ceds.ed.gov/cedselementdetails.aspx?termid=13115")</f>
        <v>https://ceds.ed.gov/cedselementdetails.aspx?termid=13115</v>
      </c>
      <c r="Q2291" s="9" t="str">
        <f>HYPERLINK("https://ceds.ed.gov/elementComment.aspx?elementName=First Name &amp;elementID=13115", "Click here to submit comment")</f>
        <v>Click here to submit comment</v>
      </c>
    </row>
    <row r="2292" spans="1:17" ht="90" customHeight="1" x14ac:dyDescent="0.25">
      <c r="A2292" s="18" t="s">
        <v>6860</v>
      </c>
      <c r="B2292" s="18" t="s">
        <v>6863</v>
      </c>
      <c r="C2292" s="18" t="s">
        <v>6741</v>
      </c>
      <c r="D2292" s="18" t="s">
        <v>6742</v>
      </c>
      <c r="E2292" s="18" t="s">
        <v>4183</v>
      </c>
      <c r="F2292" s="18" t="s">
        <v>4184</v>
      </c>
      <c r="G2292" s="18" t="s">
        <v>12</v>
      </c>
      <c r="H2292" s="18" t="s">
        <v>6211</v>
      </c>
      <c r="I2292" s="18"/>
      <c r="J2292" s="18" t="s">
        <v>1310</v>
      </c>
      <c r="K2292" s="18"/>
      <c r="L2292" s="9" t="s">
        <v>2996</v>
      </c>
      <c r="M2292" s="18" t="s">
        <v>4185</v>
      </c>
      <c r="N2292" s="18"/>
      <c r="O2292" s="18" t="s">
        <v>4186</v>
      </c>
      <c r="P2292" s="18" t="str">
        <f>HYPERLINK("https://ceds.ed.gov/cedselementdetails.aspx?termid=13184")</f>
        <v>https://ceds.ed.gov/cedselementdetails.aspx?termid=13184</v>
      </c>
      <c r="Q2292" s="18" t="str">
        <f>HYPERLINK("https://ceds.ed.gov/elementComment.aspx?elementName=Middle Name &amp;elementID=13184", "Click here to submit comment")</f>
        <v>Click here to submit comment</v>
      </c>
    </row>
    <row r="2293" spans="1:17" ht="90" x14ac:dyDescent="0.25">
      <c r="A2293" s="18"/>
      <c r="B2293" s="18"/>
      <c r="C2293" s="18"/>
      <c r="D2293" s="18"/>
      <c r="E2293" s="18"/>
      <c r="F2293" s="18"/>
      <c r="G2293" s="18"/>
      <c r="H2293" s="18"/>
      <c r="I2293" s="18"/>
      <c r="J2293" s="18"/>
      <c r="K2293" s="18"/>
      <c r="L2293" s="9" t="s">
        <v>2997</v>
      </c>
      <c r="M2293" s="18"/>
      <c r="N2293" s="18"/>
      <c r="O2293" s="18"/>
      <c r="P2293" s="18"/>
      <c r="Q2293" s="18"/>
    </row>
    <row r="2294" spans="1:17" ht="90" customHeight="1" x14ac:dyDescent="0.25">
      <c r="A2294" s="18" t="s">
        <v>6860</v>
      </c>
      <c r="B2294" s="18" t="s">
        <v>6863</v>
      </c>
      <c r="C2294" s="18" t="s">
        <v>6741</v>
      </c>
      <c r="D2294" s="18" t="s">
        <v>6742</v>
      </c>
      <c r="E2294" s="18" t="s">
        <v>3597</v>
      </c>
      <c r="F2294" s="18" t="s">
        <v>3598</v>
      </c>
      <c r="G2294" s="18" t="s">
        <v>12</v>
      </c>
      <c r="H2294" s="18" t="s">
        <v>6211</v>
      </c>
      <c r="I2294" s="18"/>
      <c r="J2294" s="18" t="s">
        <v>1310</v>
      </c>
      <c r="K2294" s="18"/>
      <c r="L2294" s="9" t="s">
        <v>2996</v>
      </c>
      <c r="M2294" s="18" t="s">
        <v>3599</v>
      </c>
      <c r="N2294" s="18" t="s">
        <v>3600</v>
      </c>
      <c r="O2294" s="18" t="s">
        <v>3601</v>
      </c>
      <c r="P2294" s="18" t="str">
        <f>HYPERLINK("https://ceds.ed.gov/cedselementdetails.aspx?termid=13172")</f>
        <v>https://ceds.ed.gov/cedselementdetails.aspx?termid=13172</v>
      </c>
      <c r="Q2294" s="18" t="str">
        <f>HYPERLINK("https://ceds.ed.gov/elementComment.aspx?elementName=Last or Surname &amp;elementID=13172", "Click here to submit comment")</f>
        <v>Click here to submit comment</v>
      </c>
    </row>
    <row r="2295" spans="1:17" ht="90" x14ac:dyDescent="0.25">
      <c r="A2295" s="18"/>
      <c r="B2295" s="18"/>
      <c r="C2295" s="18"/>
      <c r="D2295" s="18"/>
      <c r="E2295" s="18"/>
      <c r="F2295" s="18"/>
      <c r="G2295" s="18"/>
      <c r="H2295" s="18"/>
      <c r="I2295" s="18"/>
      <c r="J2295" s="18"/>
      <c r="K2295" s="18"/>
      <c r="L2295" s="9" t="s">
        <v>2997</v>
      </c>
      <c r="M2295" s="18"/>
      <c r="N2295" s="18"/>
      <c r="O2295" s="18"/>
      <c r="P2295" s="18"/>
      <c r="Q2295" s="18"/>
    </row>
    <row r="2296" spans="1:17" ht="45" customHeight="1" x14ac:dyDescent="0.25">
      <c r="A2296" s="18" t="s">
        <v>6860</v>
      </c>
      <c r="B2296" s="18" t="s">
        <v>6863</v>
      </c>
      <c r="C2296" s="18" t="s">
        <v>6741</v>
      </c>
      <c r="D2296" s="18" t="s">
        <v>6742</v>
      </c>
      <c r="E2296" s="18" t="s">
        <v>2994</v>
      </c>
      <c r="F2296" s="18" t="s">
        <v>2995</v>
      </c>
      <c r="G2296" s="18" t="s">
        <v>12</v>
      </c>
      <c r="H2296" s="18" t="s">
        <v>6212</v>
      </c>
      <c r="I2296" s="18"/>
      <c r="J2296" s="18" t="s">
        <v>2088</v>
      </c>
      <c r="K2296" s="18"/>
      <c r="L2296" s="9" t="s">
        <v>2996</v>
      </c>
      <c r="M2296" s="18" t="s">
        <v>2998</v>
      </c>
      <c r="N2296" s="18"/>
      <c r="O2296" s="18" t="s">
        <v>2999</v>
      </c>
      <c r="P2296" s="18" t="str">
        <f>HYPERLINK("https://ceds.ed.gov/cedselementdetails.aspx?termid=13121")</f>
        <v>https://ceds.ed.gov/cedselementdetails.aspx?termid=13121</v>
      </c>
      <c r="Q2296" s="18" t="str">
        <f>HYPERLINK("https://ceds.ed.gov/elementComment.aspx?elementName=Generation Code or Suffix &amp;elementID=13121", "Click here to submit comment")</f>
        <v>Click here to submit comment</v>
      </c>
    </row>
    <row r="2297" spans="1:17" ht="90" x14ac:dyDescent="0.25">
      <c r="A2297" s="18"/>
      <c r="B2297" s="18"/>
      <c r="C2297" s="18"/>
      <c r="D2297" s="18"/>
      <c r="E2297" s="18"/>
      <c r="F2297" s="18"/>
      <c r="G2297" s="18"/>
      <c r="H2297" s="18"/>
      <c r="I2297" s="18"/>
      <c r="J2297" s="18"/>
      <c r="K2297" s="18"/>
      <c r="L2297" s="9" t="s">
        <v>2997</v>
      </c>
      <c r="M2297" s="18"/>
      <c r="N2297" s="18"/>
      <c r="O2297" s="18"/>
      <c r="P2297" s="18"/>
      <c r="Q2297" s="18"/>
    </row>
    <row r="2298" spans="1:17" ht="105" x14ac:dyDescent="0.25">
      <c r="A2298" s="9" t="s">
        <v>6860</v>
      </c>
      <c r="B2298" s="9" t="s">
        <v>6863</v>
      </c>
      <c r="C2298" s="9" t="s">
        <v>6741</v>
      </c>
      <c r="D2298" s="9" t="s">
        <v>6742</v>
      </c>
      <c r="E2298" s="9" t="s">
        <v>4610</v>
      </c>
      <c r="F2298" s="9" t="s">
        <v>4611</v>
      </c>
      <c r="G2298" s="9" t="s">
        <v>12</v>
      </c>
      <c r="H2298" s="9" t="s">
        <v>6255</v>
      </c>
      <c r="I2298" s="9"/>
      <c r="J2298" s="9" t="s">
        <v>87</v>
      </c>
      <c r="K2298" s="9"/>
      <c r="L2298" s="9"/>
      <c r="M2298" s="9" t="s">
        <v>4612</v>
      </c>
      <c r="N2298" s="9" t="s">
        <v>4613</v>
      </c>
      <c r="O2298" s="9" t="s">
        <v>4614</v>
      </c>
      <c r="P2298" s="9" t="str">
        <f>HYPERLINK("https://ceds.ed.gov/cedselementdetails.aspx?termid=13212")</f>
        <v>https://ceds.ed.gov/cedselementdetails.aspx?termid=13212</v>
      </c>
      <c r="Q2298" s="9" t="str">
        <f>HYPERLINK("https://ceds.ed.gov/elementComment.aspx?elementName=Personal Title or Prefix &amp;elementID=13212", "Click here to submit comment")</f>
        <v>Click here to submit comment</v>
      </c>
    </row>
    <row r="2299" spans="1:17" ht="45" x14ac:dyDescent="0.25">
      <c r="A2299" s="9" t="s">
        <v>6860</v>
      </c>
      <c r="B2299" s="9" t="s">
        <v>6863</v>
      </c>
      <c r="C2299" s="9" t="s">
        <v>6743</v>
      </c>
      <c r="D2299" s="9" t="s">
        <v>6742</v>
      </c>
      <c r="E2299" s="9" t="s">
        <v>4481</v>
      </c>
      <c r="F2299" s="9" t="s">
        <v>4482</v>
      </c>
      <c r="G2299" s="9" t="s">
        <v>12</v>
      </c>
      <c r="H2299" s="9"/>
      <c r="I2299" s="9"/>
      <c r="J2299" s="9" t="s">
        <v>1310</v>
      </c>
      <c r="K2299" s="9"/>
      <c r="L2299" s="9" t="s">
        <v>4483</v>
      </c>
      <c r="M2299" s="9" t="s">
        <v>4484</v>
      </c>
      <c r="N2299" s="9"/>
      <c r="O2299" s="9" t="s">
        <v>4485</v>
      </c>
      <c r="P2299" s="9" t="str">
        <f>HYPERLINK("https://ceds.ed.gov/cedselementdetails.aspx?termid=14486")</f>
        <v>https://ceds.ed.gov/cedselementdetails.aspx?termid=14486</v>
      </c>
      <c r="Q2299" s="9" t="str">
        <f>HYPERLINK("https://ceds.ed.gov/elementComment.aspx?elementName=Other First Name &amp;elementID=14486", "Click here to submit comment")</f>
        <v>Click here to submit comment</v>
      </c>
    </row>
    <row r="2300" spans="1:17" ht="45" x14ac:dyDescent="0.25">
      <c r="A2300" s="9" t="s">
        <v>6860</v>
      </c>
      <c r="B2300" s="9" t="s">
        <v>6863</v>
      </c>
      <c r="C2300" s="9" t="s">
        <v>6743</v>
      </c>
      <c r="D2300" s="9" t="s">
        <v>6742</v>
      </c>
      <c r="E2300" s="9" t="s">
        <v>4486</v>
      </c>
      <c r="F2300" s="9" t="s">
        <v>4487</v>
      </c>
      <c r="G2300" s="9" t="s">
        <v>12</v>
      </c>
      <c r="H2300" s="9"/>
      <c r="I2300" s="9"/>
      <c r="J2300" s="9" t="s">
        <v>1310</v>
      </c>
      <c r="K2300" s="9"/>
      <c r="L2300" s="9" t="s">
        <v>4488</v>
      </c>
      <c r="M2300" s="9" t="s">
        <v>4489</v>
      </c>
      <c r="N2300" s="9"/>
      <c r="O2300" s="9" t="s">
        <v>4490</v>
      </c>
      <c r="P2300" s="9" t="str">
        <f>HYPERLINK("https://ceds.ed.gov/cedselementdetails.aspx?termid=14485")</f>
        <v>https://ceds.ed.gov/cedselementdetails.aspx?termid=14485</v>
      </c>
      <c r="Q2300" s="9" t="str">
        <f>HYPERLINK("https://ceds.ed.gov/elementComment.aspx?elementName=Other Last Name &amp;elementID=14485", "Click here to submit comment")</f>
        <v>Click here to submit comment</v>
      </c>
    </row>
    <row r="2301" spans="1:17" ht="45" x14ac:dyDescent="0.25">
      <c r="A2301" s="9" t="s">
        <v>6860</v>
      </c>
      <c r="B2301" s="9" t="s">
        <v>6863</v>
      </c>
      <c r="C2301" s="9" t="s">
        <v>6743</v>
      </c>
      <c r="D2301" s="9" t="s">
        <v>6742</v>
      </c>
      <c r="E2301" s="9" t="s">
        <v>4491</v>
      </c>
      <c r="F2301" s="9" t="s">
        <v>4492</v>
      </c>
      <c r="G2301" s="9" t="s">
        <v>12</v>
      </c>
      <c r="H2301" s="9"/>
      <c r="I2301" s="9"/>
      <c r="J2301" s="9" t="s">
        <v>1310</v>
      </c>
      <c r="K2301" s="9"/>
      <c r="L2301" s="9" t="s">
        <v>4493</v>
      </c>
      <c r="M2301" s="9" t="s">
        <v>4494</v>
      </c>
      <c r="N2301" s="9"/>
      <c r="O2301" s="9" t="s">
        <v>4495</v>
      </c>
      <c r="P2301" s="9" t="str">
        <f>HYPERLINK("https://ceds.ed.gov/cedselementdetails.aspx?termid=14487")</f>
        <v>https://ceds.ed.gov/cedselementdetails.aspx?termid=14487</v>
      </c>
      <c r="Q2301" s="9" t="str">
        <f>HYPERLINK("https://ceds.ed.gov/elementComment.aspx?elementName=Other Middle Name &amp;elementID=14487", "Click here to submit comment")</f>
        <v>Click here to submit comment</v>
      </c>
    </row>
    <row r="2302" spans="1:17" ht="150" x14ac:dyDescent="0.25">
      <c r="A2302" s="9" t="s">
        <v>6860</v>
      </c>
      <c r="B2302" s="9" t="s">
        <v>6863</v>
      </c>
      <c r="C2302" s="9" t="s">
        <v>6743</v>
      </c>
      <c r="D2302" s="9" t="s">
        <v>6742</v>
      </c>
      <c r="E2302" s="9" t="s">
        <v>4496</v>
      </c>
      <c r="F2302" s="9" t="s">
        <v>4497</v>
      </c>
      <c r="G2302" s="9" t="s">
        <v>12</v>
      </c>
      <c r="H2302" s="9" t="s">
        <v>6212</v>
      </c>
      <c r="I2302" s="9"/>
      <c r="J2302" s="9" t="s">
        <v>119</v>
      </c>
      <c r="K2302" s="9"/>
      <c r="L2302" s="9"/>
      <c r="M2302" s="9" t="s">
        <v>4498</v>
      </c>
      <c r="N2302" s="9"/>
      <c r="O2302" s="9" t="s">
        <v>4499</v>
      </c>
      <c r="P2302" s="9" t="str">
        <f>HYPERLINK("https://ceds.ed.gov/cedselementdetails.aspx?termid=13206")</f>
        <v>https://ceds.ed.gov/cedselementdetails.aspx?termid=13206</v>
      </c>
      <c r="Q2302" s="9" t="str">
        <f>HYPERLINK("https://ceds.ed.gov/elementComment.aspx?elementName=Other Name &amp;elementID=13206", "Click here to submit comment")</f>
        <v>Click here to submit comment</v>
      </c>
    </row>
    <row r="2303" spans="1:17" ht="165" x14ac:dyDescent="0.25">
      <c r="A2303" s="9" t="s">
        <v>6860</v>
      </c>
      <c r="B2303" s="9" t="s">
        <v>6863</v>
      </c>
      <c r="C2303" s="9" t="s">
        <v>6743</v>
      </c>
      <c r="D2303" s="9" t="s">
        <v>6742</v>
      </c>
      <c r="E2303" s="9" t="s">
        <v>4500</v>
      </c>
      <c r="F2303" s="9" t="s">
        <v>4501</v>
      </c>
      <c r="G2303" s="10" t="s">
        <v>6630</v>
      </c>
      <c r="H2303" s="9" t="s">
        <v>6251</v>
      </c>
      <c r="I2303" s="9"/>
      <c r="J2303" s="9" t="s">
        <v>87</v>
      </c>
      <c r="K2303" s="9"/>
      <c r="L2303" s="9"/>
      <c r="M2303" s="9" t="s">
        <v>4502</v>
      </c>
      <c r="N2303" s="9"/>
      <c r="O2303" s="9" t="s">
        <v>4503</v>
      </c>
      <c r="P2303" s="9" t="str">
        <f>HYPERLINK("https://ceds.ed.gov/cedselementdetails.aspx?termid=13627")</f>
        <v>https://ceds.ed.gov/cedselementdetails.aspx?termid=13627</v>
      </c>
      <c r="Q2303" s="9" t="str">
        <f>HYPERLINK("https://ceds.ed.gov/elementComment.aspx?elementName=Other Name Type &amp;elementID=13627", "Click here to submit comment")</f>
        <v>Click here to submit comment</v>
      </c>
    </row>
    <row r="2304" spans="1:17" ht="105" x14ac:dyDescent="0.25">
      <c r="A2304" s="18" t="s">
        <v>6860</v>
      </c>
      <c r="B2304" s="18" t="s">
        <v>6863</v>
      </c>
      <c r="C2304" s="18" t="s">
        <v>6744</v>
      </c>
      <c r="D2304" s="18" t="s">
        <v>6742</v>
      </c>
      <c r="E2304" s="18" t="s">
        <v>5732</v>
      </c>
      <c r="F2304" s="18" t="s">
        <v>5733</v>
      </c>
      <c r="G2304" s="18" t="s">
        <v>12</v>
      </c>
      <c r="H2304" s="18" t="s">
        <v>6290</v>
      </c>
      <c r="I2304" s="18"/>
      <c r="J2304" s="18" t="s">
        <v>119</v>
      </c>
      <c r="K2304" s="18"/>
      <c r="L2304" s="9" t="s">
        <v>120</v>
      </c>
      <c r="M2304" s="18" t="s">
        <v>5734</v>
      </c>
      <c r="N2304" s="18"/>
      <c r="O2304" s="18" t="s">
        <v>5735</v>
      </c>
      <c r="P2304" s="18" t="str">
        <f>HYPERLINK("https://ceds.ed.gov/cedselementdetails.aspx?termid=13157")</f>
        <v>https://ceds.ed.gov/cedselementdetails.aspx?termid=13157</v>
      </c>
      <c r="Q2304" s="18" t="str">
        <f>HYPERLINK("https://ceds.ed.gov/elementComment.aspx?elementName=Student Identifier &amp;elementID=13157", "Click here to submit comment")</f>
        <v>Click here to submit comment</v>
      </c>
    </row>
    <row r="2305" spans="1:17" x14ac:dyDescent="0.25">
      <c r="A2305" s="18"/>
      <c r="B2305" s="18"/>
      <c r="C2305" s="18"/>
      <c r="D2305" s="18"/>
      <c r="E2305" s="18"/>
      <c r="F2305" s="18"/>
      <c r="G2305" s="18"/>
      <c r="H2305" s="18"/>
      <c r="I2305" s="18"/>
      <c r="J2305" s="18"/>
      <c r="K2305" s="18"/>
      <c r="L2305" s="9"/>
      <c r="M2305" s="18"/>
      <c r="N2305" s="18"/>
      <c r="O2305" s="18"/>
      <c r="P2305" s="18"/>
      <c r="Q2305" s="18"/>
    </row>
    <row r="2306" spans="1:17" ht="90" x14ac:dyDescent="0.25">
      <c r="A2306" s="18"/>
      <c r="B2306" s="18"/>
      <c r="C2306" s="18"/>
      <c r="D2306" s="18"/>
      <c r="E2306" s="18"/>
      <c r="F2306" s="18"/>
      <c r="G2306" s="18"/>
      <c r="H2306" s="18"/>
      <c r="I2306" s="18"/>
      <c r="J2306" s="18"/>
      <c r="K2306" s="18"/>
      <c r="L2306" s="9" t="s">
        <v>121</v>
      </c>
      <c r="M2306" s="18"/>
      <c r="N2306" s="18"/>
      <c r="O2306" s="18"/>
      <c r="P2306" s="18"/>
      <c r="Q2306" s="18"/>
    </row>
    <row r="2307" spans="1:17" ht="210" x14ac:dyDescent="0.25">
      <c r="A2307" s="9" t="s">
        <v>6860</v>
      </c>
      <c r="B2307" s="9" t="s">
        <v>6863</v>
      </c>
      <c r="C2307" s="9" t="s">
        <v>6744</v>
      </c>
      <c r="D2307" s="9" t="s">
        <v>6742</v>
      </c>
      <c r="E2307" s="9" t="s">
        <v>5728</v>
      </c>
      <c r="F2307" s="9" t="s">
        <v>5729</v>
      </c>
      <c r="G2307" s="10" t="s">
        <v>6706</v>
      </c>
      <c r="H2307" s="9" t="s">
        <v>6290</v>
      </c>
      <c r="I2307" s="9"/>
      <c r="J2307" s="9"/>
      <c r="K2307" s="9"/>
      <c r="L2307" s="9"/>
      <c r="M2307" s="9" t="s">
        <v>5730</v>
      </c>
      <c r="N2307" s="9"/>
      <c r="O2307" s="9" t="s">
        <v>5731</v>
      </c>
      <c r="P2307" s="9" t="str">
        <f>HYPERLINK("https://ceds.ed.gov/cedselementdetails.aspx?termid=13163")</f>
        <v>https://ceds.ed.gov/cedselementdetails.aspx?termid=13163</v>
      </c>
      <c r="Q2307" s="9" t="str">
        <f>HYPERLINK("https://ceds.ed.gov/elementComment.aspx?elementName=Student Identification System &amp;elementID=13163", "Click here to submit comment")</f>
        <v>Click here to submit comment</v>
      </c>
    </row>
    <row r="2308" spans="1:17" ht="255" x14ac:dyDescent="0.25">
      <c r="A2308" s="9" t="s">
        <v>6860</v>
      </c>
      <c r="B2308" s="9" t="s">
        <v>6863</v>
      </c>
      <c r="C2308" s="9" t="s">
        <v>6744</v>
      </c>
      <c r="D2308" s="9" t="s">
        <v>6742</v>
      </c>
      <c r="E2308" s="9" t="s">
        <v>4606</v>
      </c>
      <c r="F2308" s="9" t="s">
        <v>4607</v>
      </c>
      <c r="G2308" s="10" t="s">
        <v>6637</v>
      </c>
      <c r="H2308" s="9"/>
      <c r="I2308" s="9"/>
      <c r="J2308" s="9"/>
      <c r="K2308" s="9"/>
      <c r="L2308" s="9"/>
      <c r="M2308" s="9" t="s">
        <v>4608</v>
      </c>
      <c r="N2308" s="9"/>
      <c r="O2308" s="9" t="s">
        <v>4609</v>
      </c>
      <c r="P2308" s="9" t="str">
        <f>HYPERLINK("https://ceds.ed.gov/cedselementdetails.aspx?termid=13611")</f>
        <v>https://ceds.ed.gov/cedselementdetails.aspx?termid=13611</v>
      </c>
      <c r="Q2308" s="9" t="str">
        <f>HYPERLINK("https://ceds.ed.gov/elementComment.aspx?elementName=Personal Information Verification &amp;elementID=13611", "Click here to submit comment")</f>
        <v>Click here to submit comment</v>
      </c>
    </row>
    <row r="2309" spans="1:17" ht="210" x14ac:dyDescent="0.25">
      <c r="A2309" s="9" t="s">
        <v>6860</v>
      </c>
      <c r="B2309" s="9" t="s">
        <v>6863</v>
      </c>
      <c r="C2309" s="9" t="s">
        <v>6745</v>
      </c>
      <c r="D2309" s="9" t="s">
        <v>6742</v>
      </c>
      <c r="E2309" s="9" t="s">
        <v>170</v>
      </c>
      <c r="F2309" s="9" t="s">
        <v>171</v>
      </c>
      <c r="G2309" s="10" t="s">
        <v>6319</v>
      </c>
      <c r="H2309" s="9" t="s">
        <v>6115</v>
      </c>
      <c r="I2309" s="9"/>
      <c r="J2309" s="9" t="s">
        <v>87</v>
      </c>
      <c r="K2309" s="9"/>
      <c r="L2309" s="9"/>
      <c r="M2309" s="9" t="s">
        <v>172</v>
      </c>
      <c r="N2309" s="9"/>
      <c r="O2309" s="9" t="s">
        <v>173</v>
      </c>
      <c r="P2309" s="9" t="str">
        <f>HYPERLINK("https://ceds.ed.gov/cedselementdetails.aspx?termid=13358")</f>
        <v>https://ceds.ed.gov/cedselementdetails.aspx?termid=13358</v>
      </c>
      <c r="Q2309" s="9" t="str">
        <f>HYPERLINK("https://ceds.ed.gov/elementComment.aspx?elementName=Address Type for Learner or Family &amp;elementID=13358", "Click here to submit comment")</f>
        <v>Click here to submit comment</v>
      </c>
    </row>
    <row r="2310" spans="1:17" ht="225" x14ac:dyDescent="0.25">
      <c r="A2310" s="9" t="s">
        <v>6860</v>
      </c>
      <c r="B2310" s="9" t="s">
        <v>6863</v>
      </c>
      <c r="C2310" s="9" t="s">
        <v>6745</v>
      </c>
      <c r="D2310" s="9" t="s">
        <v>6742</v>
      </c>
      <c r="E2310" s="9" t="s">
        <v>166</v>
      </c>
      <c r="F2310" s="9" t="s">
        <v>167</v>
      </c>
      <c r="G2310" s="9" t="s">
        <v>12</v>
      </c>
      <c r="H2310" s="9" t="s">
        <v>6113</v>
      </c>
      <c r="I2310" s="9"/>
      <c r="J2310" s="9" t="s">
        <v>119</v>
      </c>
      <c r="K2310" s="9"/>
      <c r="L2310" s="9"/>
      <c r="M2310" s="9" t="s">
        <v>168</v>
      </c>
      <c r="N2310" s="9"/>
      <c r="O2310" s="9" t="s">
        <v>169</v>
      </c>
      <c r="P2310" s="9" t="str">
        <f>HYPERLINK("https://ceds.ed.gov/cedselementdetails.aspx?termid=13269")</f>
        <v>https://ceds.ed.gov/cedselementdetails.aspx?termid=13269</v>
      </c>
      <c r="Q2310" s="9" t="str">
        <f>HYPERLINK("https://ceds.ed.gov/elementComment.aspx?elementName=Address Street Number and Name &amp;elementID=13269", "Click here to submit comment")</f>
        <v>Click here to submit comment</v>
      </c>
    </row>
    <row r="2311" spans="1:17" ht="225" x14ac:dyDescent="0.25">
      <c r="A2311" s="9" t="s">
        <v>6860</v>
      </c>
      <c r="B2311" s="9" t="s">
        <v>6863</v>
      </c>
      <c r="C2311" s="9" t="s">
        <v>6745</v>
      </c>
      <c r="D2311" s="9" t="s">
        <v>6742</v>
      </c>
      <c r="E2311" s="9" t="s">
        <v>149</v>
      </c>
      <c r="F2311" s="9" t="s">
        <v>150</v>
      </c>
      <c r="G2311" s="9" t="s">
        <v>12</v>
      </c>
      <c r="H2311" s="9" t="s">
        <v>6113</v>
      </c>
      <c r="I2311" s="9"/>
      <c r="J2311" s="9" t="s">
        <v>87</v>
      </c>
      <c r="K2311" s="9"/>
      <c r="L2311" s="9"/>
      <c r="M2311" s="9" t="s">
        <v>151</v>
      </c>
      <c r="N2311" s="9"/>
      <c r="O2311" s="9" t="s">
        <v>152</v>
      </c>
      <c r="P2311" s="9" t="str">
        <f>HYPERLINK("https://ceds.ed.gov/cedselementdetails.aspx?termid=13019")</f>
        <v>https://ceds.ed.gov/cedselementdetails.aspx?termid=13019</v>
      </c>
      <c r="Q2311" s="9" t="str">
        <f>HYPERLINK("https://ceds.ed.gov/elementComment.aspx?elementName=Address Apartment Room or Suite Number &amp;elementID=13019", "Click here to submit comment")</f>
        <v>Click here to submit comment</v>
      </c>
    </row>
    <row r="2312" spans="1:17" ht="225" x14ac:dyDescent="0.25">
      <c r="A2312" s="9" t="s">
        <v>6860</v>
      </c>
      <c r="B2312" s="9" t="s">
        <v>6863</v>
      </c>
      <c r="C2312" s="9" t="s">
        <v>6745</v>
      </c>
      <c r="D2312" s="9" t="s">
        <v>6742</v>
      </c>
      <c r="E2312" s="9" t="s">
        <v>153</v>
      </c>
      <c r="F2312" s="9" t="s">
        <v>154</v>
      </c>
      <c r="G2312" s="9" t="s">
        <v>12</v>
      </c>
      <c r="H2312" s="9" t="s">
        <v>6113</v>
      </c>
      <c r="I2312" s="9"/>
      <c r="J2312" s="9" t="s">
        <v>87</v>
      </c>
      <c r="K2312" s="9"/>
      <c r="L2312" s="9"/>
      <c r="M2312" s="9" t="s">
        <v>155</v>
      </c>
      <c r="N2312" s="9"/>
      <c r="O2312" s="9" t="s">
        <v>156</v>
      </c>
      <c r="P2312" s="9" t="str">
        <f>HYPERLINK("https://ceds.ed.gov/cedselementdetails.aspx?termid=13040")</f>
        <v>https://ceds.ed.gov/cedselementdetails.aspx?termid=13040</v>
      </c>
      <c r="Q2312" s="9" t="str">
        <f>HYPERLINK("https://ceds.ed.gov/elementComment.aspx?elementName=Address City &amp;elementID=13040", "Click here to submit comment")</f>
        <v>Click here to submit comment</v>
      </c>
    </row>
    <row r="2313" spans="1:17" ht="409.5" x14ac:dyDescent="0.25">
      <c r="A2313" s="9" t="s">
        <v>6860</v>
      </c>
      <c r="B2313" s="9" t="s">
        <v>6863</v>
      </c>
      <c r="C2313" s="9" t="s">
        <v>6745</v>
      </c>
      <c r="D2313" s="9" t="s">
        <v>6742</v>
      </c>
      <c r="E2313" s="9" t="s">
        <v>5647</v>
      </c>
      <c r="F2313" s="9" t="s">
        <v>5648</v>
      </c>
      <c r="G2313" s="10" t="s">
        <v>6702</v>
      </c>
      <c r="H2313" s="9" t="s">
        <v>6285</v>
      </c>
      <c r="I2313" s="9"/>
      <c r="J2313" s="9"/>
      <c r="K2313" s="9"/>
      <c r="L2313" s="9"/>
      <c r="M2313" s="9" t="s">
        <v>5649</v>
      </c>
      <c r="N2313" s="9"/>
      <c r="O2313" s="9" t="s">
        <v>5650</v>
      </c>
      <c r="P2313" s="9" t="str">
        <f>HYPERLINK("https://ceds.ed.gov/cedselementdetails.aspx?termid=13267")</f>
        <v>https://ceds.ed.gov/cedselementdetails.aspx?termid=13267</v>
      </c>
      <c r="Q2313" s="9" t="str">
        <f>HYPERLINK("https://ceds.ed.gov/elementComment.aspx?elementName=State Abbreviation &amp;elementID=13267", "Click here to submit comment")</f>
        <v>Click here to submit comment</v>
      </c>
    </row>
    <row r="2314" spans="1:17" ht="225" x14ac:dyDescent="0.25">
      <c r="A2314" s="9" t="s">
        <v>6860</v>
      </c>
      <c r="B2314" s="9" t="s">
        <v>6863</v>
      </c>
      <c r="C2314" s="9" t="s">
        <v>6745</v>
      </c>
      <c r="D2314" s="9" t="s">
        <v>6742</v>
      </c>
      <c r="E2314" s="9" t="s">
        <v>161</v>
      </c>
      <c r="F2314" s="9" t="s">
        <v>162</v>
      </c>
      <c r="G2314" s="9" t="s">
        <v>12</v>
      </c>
      <c r="H2314" s="9" t="s">
        <v>6113</v>
      </c>
      <c r="I2314" s="9"/>
      <c r="J2314" s="9" t="s">
        <v>163</v>
      </c>
      <c r="K2314" s="9"/>
      <c r="L2314" s="9"/>
      <c r="M2314" s="9" t="s">
        <v>164</v>
      </c>
      <c r="N2314" s="9"/>
      <c r="O2314" s="9" t="s">
        <v>165</v>
      </c>
      <c r="P2314" s="9" t="str">
        <f>HYPERLINK("https://ceds.ed.gov/cedselementdetails.aspx?termid=13214")</f>
        <v>https://ceds.ed.gov/cedselementdetails.aspx?termid=13214</v>
      </c>
      <c r="Q2314" s="9" t="str">
        <f>HYPERLINK("https://ceds.ed.gov/elementComment.aspx?elementName=Address Postal Code &amp;elementID=13214", "Click here to submit comment")</f>
        <v>Click here to submit comment</v>
      </c>
    </row>
    <row r="2315" spans="1:17" ht="225" x14ac:dyDescent="0.25">
      <c r="A2315" s="9" t="s">
        <v>6860</v>
      </c>
      <c r="B2315" s="9" t="s">
        <v>6863</v>
      </c>
      <c r="C2315" s="9" t="s">
        <v>6745</v>
      </c>
      <c r="D2315" s="9" t="s">
        <v>6742</v>
      </c>
      <c r="E2315" s="9" t="s">
        <v>157</v>
      </c>
      <c r="F2315" s="9" t="s">
        <v>158</v>
      </c>
      <c r="G2315" s="9" t="s">
        <v>12</v>
      </c>
      <c r="H2315" s="9" t="s">
        <v>6113</v>
      </c>
      <c r="I2315" s="9"/>
      <c r="J2315" s="9" t="s">
        <v>87</v>
      </c>
      <c r="K2315" s="9"/>
      <c r="L2315" s="9"/>
      <c r="M2315" s="9" t="s">
        <v>159</v>
      </c>
      <c r="N2315" s="9"/>
      <c r="O2315" s="9" t="s">
        <v>160</v>
      </c>
      <c r="P2315" s="9" t="str">
        <f>HYPERLINK("https://ceds.ed.gov/cedselementdetails.aspx?termid=13190")</f>
        <v>https://ceds.ed.gov/cedselementdetails.aspx?termid=13190</v>
      </c>
      <c r="Q2315" s="9" t="str">
        <f>HYPERLINK("https://ceds.ed.gov/elementComment.aspx?elementName=Address County Name &amp;elementID=13190", "Click here to submit comment")</f>
        <v>Click here to submit comment</v>
      </c>
    </row>
    <row r="2316" spans="1:17" ht="409.5" x14ac:dyDescent="0.25">
      <c r="A2316" s="9" t="s">
        <v>6860</v>
      </c>
      <c r="B2316" s="9" t="s">
        <v>6863</v>
      </c>
      <c r="C2316" s="9" t="s">
        <v>6745</v>
      </c>
      <c r="D2316" s="9" t="s">
        <v>6742</v>
      </c>
      <c r="E2316" s="9" t="s">
        <v>1885</v>
      </c>
      <c r="F2316" s="9" t="s">
        <v>1886</v>
      </c>
      <c r="G2316" s="10" t="s">
        <v>11839</v>
      </c>
      <c r="H2316" s="9" t="s">
        <v>6174</v>
      </c>
      <c r="I2316" s="9"/>
      <c r="J2316" s="9"/>
      <c r="K2316" s="9"/>
      <c r="L2316" s="11" t="s">
        <v>1887</v>
      </c>
      <c r="M2316" s="9" t="s">
        <v>1888</v>
      </c>
      <c r="N2316" s="9"/>
      <c r="O2316" s="9" t="s">
        <v>1889</v>
      </c>
      <c r="P2316" s="9" t="str">
        <f>HYPERLINK("https://ceds.ed.gov/cedselementdetails.aspx?termid=13050")</f>
        <v>https://ceds.ed.gov/cedselementdetails.aspx?termid=13050</v>
      </c>
      <c r="Q2316" s="9" t="str">
        <f>HYPERLINK("https://ceds.ed.gov/elementComment.aspx?elementName=Country Code &amp;elementID=13050", "Click here to submit comment")</f>
        <v>Click here to submit comment</v>
      </c>
    </row>
    <row r="2317" spans="1:17" ht="409.5" x14ac:dyDescent="0.25">
      <c r="A2317" s="9" t="s">
        <v>6860</v>
      </c>
      <c r="B2317" s="9" t="s">
        <v>6863</v>
      </c>
      <c r="C2317" s="9" t="s">
        <v>6745</v>
      </c>
      <c r="D2317" s="9" t="s">
        <v>6742</v>
      </c>
      <c r="E2317" s="9" t="s">
        <v>5691</v>
      </c>
      <c r="F2317" s="9" t="s">
        <v>5692</v>
      </c>
      <c r="G2317" s="10" t="s">
        <v>6672</v>
      </c>
      <c r="H2317" s="9" t="s">
        <v>6115</v>
      </c>
      <c r="I2317" s="9"/>
      <c r="J2317" s="9"/>
      <c r="K2317" s="9"/>
      <c r="L2317" s="9"/>
      <c r="M2317" s="9" t="s">
        <v>5694</v>
      </c>
      <c r="N2317" s="9"/>
      <c r="O2317" s="9" t="s">
        <v>5695</v>
      </c>
      <c r="P2317" s="9" t="str">
        <f>HYPERLINK("https://ceds.ed.gov/cedselementdetails.aspx?termid=13268")</f>
        <v>https://ceds.ed.gov/cedselementdetails.aspx?termid=13268</v>
      </c>
      <c r="Q2317" s="9" t="str">
        <f>HYPERLINK("https://ceds.ed.gov/elementComment.aspx?elementName=State of Residence &amp;elementID=13268", "Click here to submit comment")</f>
        <v>Click here to submit comment</v>
      </c>
    </row>
    <row r="2318" spans="1:17" ht="75" x14ac:dyDescent="0.25">
      <c r="A2318" s="9" t="s">
        <v>6860</v>
      </c>
      <c r="B2318" s="9" t="s">
        <v>6863</v>
      </c>
      <c r="C2318" s="9" t="s">
        <v>6745</v>
      </c>
      <c r="D2318" s="9" t="s">
        <v>6742</v>
      </c>
      <c r="E2318" s="9" t="s">
        <v>3606</v>
      </c>
      <c r="F2318" s="9" t="s">
        <v>3607</v>
      </c>
      <c r="G2318" s="9" t="s">
        <v>12</v>
      </c>
      <c r="H2318" s="9"/>
      <c r="I2318" s="9"/>
      <c r="J2318" s="9" t="s">
        <v>1165</v>
      </c>
      <c r="K2318" s="9"/>
      <c r="L2318" s="9"/>
      <c r="M2318" s="9" t="s">
        <v>3608</v>
      </c>
      <c r="N2318" s="9"/>
      <c r="O2318" s="9" t="s">
        <v>3606</v>
      </c>
      <c r="P2318" s="9" t="str">
        <f>HYPERLINK("https://ceds.ed.gov/cedselementdetails.aspx?termid=13599")</f>
        <v>https://ceds.ed.gov/cedselementdetails.aspx?termid=13599</v>
      </c>
      <c r="Q2318" s="9" t="str">
        <f>HYPERLINK("https://ceds.ed.gov/elementComment.aspx?elementName=Latitude &amp;elementID=13599", "Click here to submit comment")</f>
        <v>Click here to submit comment</v>
      </c>
    </row>
    <row r="2319" spans="1:17" ht="75" x14ac:dyDescent="0.25">
      <c r="A2319" s="9" t="s">
        <v>6860</v>
      </c>
      <c r="B2319" s="9" t="s">
        <v>6863</v>
      </c>
      <c r="C2319" s="9" t="s">
        <v>6745</v>
      </c>
      <c r="D2319" s="9" t="s">
        <v>6742</v>
      </c>
      <c r="E2319" s="9" t="s">
        <v>4139</v>
      </c>
      <c r="F2319" s="9" t="s">
        <v>4140</v>
      </c>
      <c r="G2319" s="9" t="s">
        <v>12</v>
      </c>
      <c r="H2319" s="9"/>
      <c r="I2319" s="9"/>
      <c r="J2319" s="9" t="s">
        <v>1165</v>
      </c>
      <c r="K2319" s="9"/>
      <c r="L2319" s="9"/>
      <c r="M2319" s="9" t="s">
        <v>4141</v>
      </c>
      <c r="N2319" s="9"/>
      <c r="O2319" s="9" t="s">
        <v>4139</v>
      </c>
      <c r="P2319" s="9" t="str">
        <f>HYPERLINK("https://ceds.ed.gov/cedselementdetails.aspx?termid=13600")</f>
        <v>https://ceds.ed.gov/cedselementdetails.aspx?termid=13600</v>
      </c>
      <c r="Q2319" s="9" t="str">
        <f>HYPERLINK("https://ceds.ed.gov/elementComment.aspx?elementName=Longitude &amp;elementID=13600", "Click here to submit comment")</f>
        <v>Click here to submit comment</v>
      </c>
    </row>
    <row r="2320" spans="1:17" ht="90" x14ac:dyDescent="0.25">
      <c r="A2320" s="9" t="s">
        <v>6860</v>
      </c>
      <c r="B2320" s="9" t="s">
        <v>6863</v>
      </c>
      <c r="C2320" s="9" t="s">
        <v>6747</v>
      </c>
      <c r="D2320" s="9" t="s">
        <v>6742</v>
      </c>
      <c r="E2320" s="9" t="s">
        <v>5849</v>
      </c>
      <c r="F2320" s="9" t="s">
        <v>5850</v>
      </c>
      <c r="G2320" s="9" t="s">
        <v>12</v>
      </c>
      <c r="H2320" s="9" t="s">
        <v>6109</v>
      </c>
      <c r="I2320" s="9"/>
      <c r="J2320" s="9" t="s">
        <v>5851</v>
      </c>
      <c r="K2320" s="9"/>
      <c r="L2320" s="9"/>
      <c r="M2320" s="9" t="s">
        <v>5852</v>
      </c>
      <c r="N2320" s="9"/>
      <c r="O2320" s="9" t="s">
        <v>5853</v>
      </c>
      <c r="P2320" s="9" t="str">
        <f>HYPERLINK("https://ceds.ed.gov/cedselementdetails.aspx?termid=13279")</f>
        <v>https://ceds.ed.gov/cedselementdetails.aspx?termid=13279</v>
      </c>
      <c r="Q2320" s="9" t="str">
        <f>HYPERLINK("https://ceds.ed.gov/elementComment.aspx?elementName=Telephone Number &amp;elementID=13279", "Click here to submit comment")</f>
        <v>Click here to submit comment</v>
      </c>
    </row>
    <row r="2321" spans="1:17" ht="90" x14ac:dyDescent="0.25">
      <c r="A2321" s="9" t="s">
        <v>6860</v>
      </c>
      <c r="B2321" s="9" t="s">
        <v>6863</v>
      </c>
      <c r="C2321" s="9" t="s">
        <v>6747</v>
      </c>
      <c r="D2321" s="9" t="s">
        <v>6742</v>
      </c>
      <c r="E2321" s="9" t="s">
        <v>5854</v>
      </c>
      <c r="F2321" s="9" t="s">
        <v>5855</v>
      </c>
      <c r="G2321" s="10" t="s">
        <v>6717</v>
      </c>
      <c r="H2321" s="9" t="s">
        <v>6109</v>
      </c>
      <c r="I2321" s="9"/>
      <c r="J2321" s="9" t="s">
        <v>1900</v>
      </c>
      <c r="K2321" s="9"/>
      <c r="L2321" s="9"/>
      <c r="M2321" s="9" t="s">
        <v>5856</v>
      </c>
      <c r="N2321" s="9"/>
      <c r="O2321" s="9" t="s">
        <v>5857</v>
      </c>
      <c r="P2321" s="9" t="str">
        <f>HYPERLINK("https://ceds.ed.gov/cedselementdetails.aspx?termid=13280")</f>
        <v>https://ceds.ed.gov/cedselementdetails.aspx?termid=13280</v>
      </c>
      <c r="Q2321" s="9" t="str">
        <f>HYPERLINK("https://ceds.ed.gov/elementComment.aspx?elementName=Telephone Number Type &amp;elementID=13280", "Click here to submit comment")</f>
        <v>Click here to submit comment</v>
      </c>
    </row>
    <row r="2322" spans="1:17" ht="90" x14ac:dyDescent="0.25">
      <c r="A2322" s="9" t="s">
        <v>6860</v>
      </c>
      <c r="B2322" s="9" t="s">
        <v>6863</v>
      </c>
      <c r="C2322" s="9" t="s">
        <v>6747</v>
      </c>
      <c r="D2322" s="9" t="s">
        <v>6742</v>
      </c>
      <c r="E2322" s="9" t="s">
        <v>4709</v>
      </c>
      <c r="F2322" s="9" t="s">
        <v>4710</v>
      </c>
      <c r="G2322" s="9" t="s">
        <v>6106</v>
      </c>
      <c r="H2322" s="9" t="s">
        <v>6109</v>
      </c>
      <c r="I2322" s="9"/>
      <c r="J2322" s="9"/>
      <c r="K2322" s="9"/>
      <c r="L2322" s="9"/>
      <c r="M2322" s="9" t="s">
        <v>4711</v>
      </c>
      <c r="N2322" s="9"/>
      <c r="O2322" s="9" t="s">
        <v>4712</v>
      </c>
      <c r="P2322" s="9" t="str">
        <f>HYPERLINK("https://ceds.ed.gov/cedselementdetails.aspx?termid=13219")</f>
        <v>https://ceds.ed.gov/cedselementdetails.aspx?termid=13219</v>
      </c>
      <c r="Q2322" s="9" t="str">
        <f>HYPERLINK("https://ceds.ed.gov/elementComment.aspx?elementName=Primary Telephone Number Indicator &amp;elementID=13219", "Click here to submit comment")</f>
        <v>Click here to submit comment</v>
      </c>
    </row>
    <row r="2323" spans="1:17" ht="90" x14ac:dyDescent="0.25">
      <c r="A2323" s="9" t="s">
        <v>6860</v>
      </c>
      <c r="B2323" s="9" t="s">
        <v>6863</v>
      </c>
      <c r="C2323" s="9" t="s">
        <v>6773</v>
      </c>
      <c r="D2323" s="9" t="s">
        <v>6742</v>
      </c>
      <c r="E2323" s="9" t="s">
        <v>2584</v>
      </c>
      <c r="F2323" s="9" t="s">
        <v>2585</v>
      </c>
      <c r="G2323" s="9" t="s">
        <v>12</v>
      </c>
      <c r="H2323" s="9" t="s">
        <v>6109</v>
      </c>
      <c r="I2323" s="9"/>
      <c r="J2323" s="9" t="s">
        <v>11127</v>
      </c>
      <c r="K2323" s="9"/>
      <c r="L2323" s="9"/>
      <c r="M2323" s="9" t="s">
        <v>2586</v>
      </c>
      <c r="N2323" s="9" t="s">
        <v>2587</v>
      </c>
      <c r="O2323" s="9" t="s">
        <v>2588</v>
      </c>
      <c r="P2323" s="9" t="str">
        <f>HYPERLINK("https://ceds.ed.gov/cedselementdetails.aspx?termid=13088")</f>
        <v>https://ceds.ed.gov/cedselementdetails.aspx?termid=13088</v>
      </c>
      <c r="Q2323" s="9" t="str">
        <f>HYPERLINK("https://ceds.ed.gov/elementComment.aspx?elementName=Electronic Mail Address &amp;elementID=13088", "Click here to submit comment")</f>
        <v>Click here to submit comment</v>
      </c>
    </row>
    <row r="2324" spans="1:17" ht="90" x14ac:dyDescent="0.25">
      <c r="A2324" s="9" t="s">
        <v>6860</v>
      </c>
      <c r="B2324" s="9" t="s">
        <v>6863</v>
      </c>
      <c r="C2324" s="9" t="s">
        <v>6773</v>
      </c>
      <c r="D2324" s="9" t="s">
        <v>6742</v>
      </c>
      <c r="E2324" s="9" t="s">
        <v>2589</v>
      </c>
      <c r="F2324" s="9" t="s">
        <v>2590</v>
      </c>
      <c r="G2324" s="10" t="s">
        <v>6484</v>
      </c>
      <c r="H2324" s="9" t="s">
        <v>6109</v>
      </c>
      <c r="I2324" s="9"/>
      <c r="J2324" s="9"/>
      <c r="K2324" s="9"/>
      <c r="L2324" s="9"/>
      <c r="M2324" s="9" t="s">
        <v>2591</v>
      </c>
      <c r="N2324" s="9" t="s">
        <v>2592</v>
      </c>
      <c r="O2324" s="9" t="s">
        <v>2593</v>
      </c>
      <c r="P2324" s="9" t="str">
        <f>HYPERLINK("https://ceds.ed.gov/cedselementdetails.aspx?termid=13089")</f>
        <v>https://ceds.ed.gov/cedselementdetails.aspx?termid=13089</v>
      </c>
      <c r="Q2324" s="9" t="str">
        <f>HYPERLINK("https://ceds.ed.gov/elementComment.aspx?elementName=Electronic Mail Address Type &amp;elementID=13089", "Click here to submit comment")</f>
        <v>Click here to submit comment</v>
      </c>
    </row>
    <row r="2325" spans="1:17" ht="240" x14ac:dyDescent="0.25">
      <c r="A2325" s="9" t="s">
        <v>6860</v>
      </c>
      <c r="B2325" s="9" t="s">
        <v>6863</v>
      </c>
      <c r="C2325" s="9" t="s">
        <v>6748</v>
      </c>
      <c r="D2325" s="9" t="s">
        <v>6742</v>
      </c>
      <c r="E2325" s="9" t="s">
        <v>1530</v>
      </c>
      <c r="F2325" s="9" t="s">
        <v>1531</v>
      </c>
      <c r="G2325" s="9" t="s">
        <v>12</v>
      </c>
      <c r="H2325" s="9" t="s">
        <v>6151</v>
      </c>
      <c r="I2325" s="9"/>
      <c r="J2325" s="9" t="s">
        <v>73</v>
      </c>
      <c r="K2325" s="9"/>
      <c r="L2325" s="9"/>
      <c r="M2325" s="9" t="s">
        <v>1532</v>
      </c>
      <c r="N2325" s="9"/>
      <c r="O2325" s="9" t="s">
        <v>1530</v>
      </c>
      <c r="P2325" s="9" t="str">
        <f>HYPERLINK("https://ceds.ed.gov/cedselementdetails.aspx?termid=13033")</f>
        <v>https://ceds.ed.gov/cedselementdetails.aspx?termid=13033</v>
      </c>
      <c r="Q2325" s="9" t="str">
        <f>HYPERLINK("https://ceds.ed.gov/elementComment.aspx?elementName=Birthdate &amp;elementID=13033", "Click here to submit comment")</f>
        <v>Click here to submit comment</v>
      </c>
    </row>
    <row r="2326" spans="1:17" ht="255" x14ac:dyDescent="0.25">
      <c r="A2326" s="9" t="s">
        <v>6860</v>
      </c>
      <c r="B2326" s="9" t="s">
        <v>6863</v>
      </c>
      <c r="C2326" s="9" t="s">
        <v>6748</v>
      </c>
      <c r="D2326" s="9" t="s">
        <v>6742</v>
      </c>
      <c r="E2326" s="9" t="s">
        <v>5468</v>
      </c>
      <c r="F2326" s="9" t="s">
        <v>5469</v>
      </c>
      <c r="G2326" s="10" t="s">
        <v>6694</v>
      </c>
      <c r="H2326" s="9" t="s">
        <v>6277</v>
      </c>
      <c r="I2326" s="9"/>
      <c r="J2326" s="9"/>
      <c r="K2326" s="9"/>
      <c r="L2326" s="9" t="s">
        <v>5470</v>
      </c>
      <c r="M2326" s="9" t="s">
        <v>5471</v>
      </c>
      <c r="N2326" s="9"/>
      <c r="O2326" s="9" t="s">
        <v>5468</v>
      </c>
      <c r="P2326" s="9" t="str">
        <f>HYPERLINK("https://ceds.ed.gov/cedselementdetails.aspx?termid=13255")</f>
        <v>https://ceds.ed.gov/cedselementdetails.aspx?termid=13255</v>
      </c>
      <c r="Q2326" s="9" t="str">
        <f>HYPERLINK("https://ceds.ed.gov/elementComment.aspx?elementName=Sex &amp;elementID=13255", "Click here to submit comment")</f>
        <v>Click here to submit comment</v>
      </c>
    </row>
    <row r="2327" spans="1:17" ht="165" customHeight="1" x14ac:dyDescent="0.25">
      <c r="A2327" s="18" t="s">
        <v>6860</v>
      </c>
      <c r="B2327" s="18" t="s">
        <v>6863</v>
      </c>
      <c r="C2327" s="18" t="s">
        <v>6748</v>
      </c>
      <c r="D2327" s="18" t="s">
        <v>6742</v>
      </c>
      <c r="E2327" s="18" t="s">
        <v>334</v>
      </c>
      <c r="F2327" s="18" t="s">
        <v>335</v>
      </c>
      <c r="G2327" s="19" t="s">
        <v>6342</v>
      </c>
      <c r="H2327" s="18" t="s">
        <v>6121</v>
      </c>
      <c r="I2327" s="18"/>
      <c r="J2327" s="18"/>
      <c r="K2327" s="18"/>
      <c r="L2327" s="9" t="s">
        <v>336</v>
      </c>
      <c r="M2327" s="18" t="s">
        <v>340</v>
      </c>
      <c r="N2327" s="18"/>
      <c r="O2327" s="18" t="s">
        <v>341</v>
      </c>
      <c r="P2327" s="18" t="str">
        <f>HYPERLINK("https://ceds.ed.gov/cedselementdetails.aspx?termid=13655")</f>
        <v>https://ceds.ed.gov/cedselementdetails.aspx?termid=13655</v>
      </c>
      <c r="Q2327" s="18" t="str">
        <f>HYPERLINK("https://ceds.ed.gov/elementComment.aspx?elementName=American Indian or Alaska Native &amp;elementID=13655", "Click here to submit comment")</f>
        <v>Click here to submit comment</v>
      </c>
    </row>
    <row r="2328" spans="1:17" x14ac:dyDescent="0.25">
      <c r="A2328" s="18"/>
      <c r="B2328" s="18"/>
      <c r="C2328" s="18"/>
      <c r="D2328" s="18"/>
      <c r="E2328" s="18"/>
      <c r="F2328" s="18"/>
      <c r="G2328" s="18"/>
      <c r="H2328" s="18"/>
      <c r="I2328" s="18"/>
      <c r="J2328" s="18"/>
      <c r="K2328" s="18"/>
      <c r="L2328" s="9"/>
      <c r="M2328" s="18"/>
      <c r="N2328" s="18"/>
      <c r="O2328" s="18"/>
      <c r="P2328" s="18"/>
      <c r="Q2328" s="18"/>
    </row>
    <row r="2329" spans="1:17" x14ac:dyDescent="0.25">
      <c r="A2329" s="18"/>
      <c r="B2329" s="18"/>
      <c r="C2329" s="18"/>
      <c r="D2329" s="18"/>
      <c r="E2329" s="18"/>
      <c r="F2329" s="18"/>
      <c r="G2329" s="18"/>
      <c r="H2329" s="18"/>
      <c r="I2329" s="18"/>
      <c r="J2329" s="18"/>
      <c r="K2329" s="18"/>
      <c r="L2329" s="9" t="s">
        <v>337</v>
      </c>
      <c r="M2329" s="18"/>
      <c r="N2329" s="18"/>
      <c r="O2329" s="18"/>
      <c r="P2329" s="18"/>
      <c r="Q2329" s="18"/>
    </row>
    <row r="2330" spans="1:17" ht="30" x14ac:dyDescent="0.25">
      <c r="A2330" s="18"/>
      <c r="B2330" s="18"/>
      <c r="C2330" s="18"/>
      <c r="D2330" s="18"/>
      <c r="E2330" s="18"/>
      <c r="F2330" s="18"/>
      <c r="G2330" s="18"/>
      <c r="H2330" s="18"/>
      <c r="I2330" s="18"/>
      <c r="J2330" s="18"/>
      <c r="K2330" s="18"/>
      <c r="L2330" s="9" t="s">
        <v>338</v>
      </c>
      <c r="M2330" s="18"/>
      <c r="N2330" s="18"/>
      <c r="O2330" s="18"/>
      <c r="P2330" s="18"/>
      <c r="Q2330" s="18"/>
    </row>
    <row r="2331" spans="1:17" x14ac:dyDescent="0.25">
      <c r="A2331" s="18"/>
      <c r="B2331" s="18"/>
      <c r="C2331" s="18"/>
      <c r="D2331" s="18"/>
      <c r="E2331" s="18"/>
      <c r="F2331" s="18"/>
      <c r="G2331" s="18"/>
      <c r="H2331" s="18"/>
      <c r="I2331" s="18"/>
      <c r="J2331" s="18"/>
      <c r="K2331" s="18"/>
      <c r="L2331" s="9" t="s">
        <v>339</v>
      </c>
      <c r="M2331" s="18"/>
      <c r="N2331" s="18"/>
      <c r="O2331" s="18"/>
      <c r="P2331" s="18"/>
      <c r="Q2331" s="18"/>
    </row>
    <row r="2332" spans="1:17" ht="165" customHeight="1" x14ac:dyDescent="0.25">
      <c r="A2332" s="18" t="s">
        <v>6860</v>
      </c>
      <c r="B2332" s="18" t="s">
        <v>6863</v>
      </c>
      <c r="C2332" s="18" t="s">
        <v>6748</v>
      </c>
      <c r="D2332" s="18" t="s">
        <v>6742</v>
      </c>
      <c r="E2332" s="18" t="s">
        <v>376</v>
      </c>
      <c r="F2332" s="18" t="s">
        <v>377</v>
      </c>
      <c r="G2332" s="19" t="s">
        <v>6342</v>
      </c>
      <c r="H2332" s="18" t="s">
        <v>6121</v>
      </c>
      <c r="I2332" s="18"/>
      <c r="J2332" s="18"/>
      <c r="K2332" s="18"/>
      <c r="L2332" s="9" t="s">
        <v>336</v>
      </c>
      <c r="M2332" s="18" t="s">
        <v>378</v>
      </c>
      <c r="N2332" s="18"/>
      <c r="O2332" s="18" t="s">
        <v>376</v>
      </c>
      <c r="P2332" s="18" t="str">
        <f>HYPERLINK("https://ceds.ed.gov/cedselementdetails.aspx?termid=13656")</f>
        <v>https://ceds.ed.gov/cedselementdetails.aspx?termid=13656</v>
      </c>
      <c r="Q2332" s="18" t="str">
        <f>HYPERLINK("https://ceds.ed.gov/elementComment.aspx?elementName=Asian &amp;elementID=13656", "Click here to submit comment")</f>
        <v>Click here to submit comment</v>
      </c>
    </row>
    <row r="2333" spans="1:17" x14ac:dyDescent="0.25">
      <c r="A2333" s="18"/>
      <c r="B2333" s="18"/>
      <c r="C2333" s="18"/>
      <c r="D2333" s="18"/>
      <c r="E2333" s="18"/>
      <c r="F2333" s="18"/>
      <c r="G2333" s="18"/>
      <c r="H2333" s="18"/>
      <c r="I2333" s="18"/>
      <c r="J2333" s="18"/>
      <c r="K2333" s="18"/>
      <c r="L2333" s="9"/>
      <c r="M2333" s="18"/>
      <c r="N2333" s="18"/>
      <c r="O2333" s="18"/>
      <c r="P2333" s="18"/>
      <c r="Q2333" s="18"/>
    </row>
    <row r="2334" spans="1:17" x14ac:dyDescent="0.25">
      <c r="A2334" s="18"/>
      <c r="B2334" s="18"/>
      <c r="C2334" s="18"/>
      <c r="D2334" s="18"/>
      <c r="E2334" s="18"/>
      <c r="F2334" s="18"/>
      <c r="G2334" s="18"/>
      <c r="H2334" s="18"/>
      <c r="I2334" s="18"/>
      <c r="J2334" s="18"/>
      <c r="K2334" s="18"/>
      <c r="L2334" s="9" t="s">
        <v>337</v>
      </c>
      <c r="M2334" s="18"/>
      <c r="N2334" s="18"/>
      <c r="O2334" s="18"/>
      <c r="P2334" s="18"/>
      <c r="Q2334" s="18"/>
    </row>
    <row r="2335" spans="1:17" ht="30" x14ac:dyDescent="0.25">
      <c r="A2335" s="18"/>
      <c r="B2335" s="18"/>
      <c r="C2335" s="18"/>
      <c r="D2335" s="18"/>
      <c r="E2335" s="18"/>
      <c r="F2335" s="18"/>
      <c r="G2335" s="18"/>
      <c r="H2335" s="18"/>
      <c r="I2335" s="18"/>
      <c r="J2335" s="18"/>
      <c r="K2335" s="18"/>
      <c r="L2335" s="9" t="s">
        <v>338</v>
      </c>
      <c r="M2335" s="18"/>
      <c r="N2335" s="18"/>
      <c r="O2335" s="18"/>
      <c r="P2335" s="18"/>
      <c r="Q2335" s="18"/>
    </row>
    <row r="2336" spans="1:17" x14ac:dyDescent="0.25">
      <c r="A2336" s="18"/>
      <c r="B2336" s="18"/>
      <c r="C2336" s="18"/>
      <c r="D2336" s="18"/>
      <c r="E2336" s="18"/>
      <c r="F2336" s="18"/>
      <c r="G2336" s="18"/>
      <c r="H2336" s="18"/>
      <c r="I2336" s="18"/>
      <c r="J2336" s="18"/>
      <c r="K2336" s="18"/>
      <c r="L2336" s="9" t="s">
        <v>339</v>
      </c>
      <c r="M2336" s="18"/>
      <c r="N2336" s="18"/>
      <c r="O2336" s="18"/>
      <c r="P2336" s="18"/>
      <c r="Q2336" s="18"/>
    </row>
    <row r="2337" spans="1:17" ht="165" customHeight="1" x14ac:dyDescent="0.25">
      <c r="A2337" s="18" t="s">
        <v>6860</v>
      </c>
      <c r="B2337" s="18" t="s">
        <v>6863</v>
      </c>
      <c r="C2337" s="18" t="s">
        <v>6748</v>
      </c>
      <c r="D2337" s="18" t="s">
        <v>6742</v>
      </c>
      <c r="E2337" s="18" t="s">
        <v>1538</v>
      </c>
      <c r="F2337" s="18" t="s">
        <v>1539</v>
      </c>
      <c r="G2337" s="19" t="s">
        <v>6342</v>
      </c>
      <c r="H2337" s="18" t="s">
        <v>6121</v>
      </c>
      <c r="I2337" s="18"/>
      <c r="J2337" s="18"/>
      <c r="K2337" s="18"/>
      <c r="L2337" s="9" t="s">
        <v>336</v>
      </c>
      <c r="M2337" s="18" t="s">
        <v>1540</v>
      </c>
      <c r="N2337" s="18"/>
      <c r="O2337" s="18" t="s">
        <v>1541</v>
      </c>
      <c r="P2337" s="18" t="str">
        <f>HYPERLINK("https://ceds.ed.gov/cedselementdetails.aspx?termid=13657")</f>
        <v>https://ceds.ed.gov/cedselementdetails.aspx?termid=13657</v>
      </c>
      <c r="Q2337" s="18" t="str">
        <f>HYPERLINK("https://ceds.ed.gov/elementComment.aspx?elementName=Black or African American &amp;elementID=13657", "Click here to submit comment")</f>
        <v>Click here to submit comment</v>
      </c>
    </row>
    <row r="2338" spans="1:17" x14ac:dyDescent="0.25">
      <c r="A2338" s="18"/>
      <c r="B2338" s="18"/>
      <c r="C2338" s="18"/>
      <c r="D2338" s="18"/>
      <c r="E2338" s="18"/>
      <c r="F2338" s="18"/>
      <c r="G2338" s="18"/>
      <c r="H2338" s="18"/>
      <c r="I2338" s="18"/>
      <c r="J2338" s="18"/>
      <c r="K2338" s="18"/>
      <c r="L2338" s="9"/>
      <c r="M2338" s="18"/>
      <c r="N2338" s="18"/>
      <c r="O2338" s="18"/>
      <c r="P2338" s="18"/>
      <c r="Q2338" s="18"/>
    </row>
    <row r="2339" spans="1:17" x14ac:dyDescent="0.25">
      <c r="A2339" s="18"/>
      <c r="B2339" s="18"/>
      <c r="C2339" s="18"/>
      <c r="D2339" s="18"/>
      <c r="E2339" s="18"/>
      <c r="F2339" s="18"/>
      <c r="G2339" s="18"/>
      <c r="H2339" s="18"/>
      <c r="I2339" s="18"/>
      <c r="J2339" s="18"/>
      <c r="K2339" s="18"/>
      <c r="L2339" s="9" t="s">
        <v>337</v>
      </c>
      <c r="M2339" s="18"/>
      <c r="N2339" s="18"/>
      <c r="O2339" s="18"/>
      <c r="P2339" s="18"/>
      <c r="Q2339" s="18"/>
    </row>
    <row r="2340" spans="1:17" ht="30" x14ac:dyDescent="0.25">
      <c r="A2340" s="18"/>
      <c r="B2340" s="18"/>
      <c r="C2340" s="18"/>
      <c r="D2340" s="18"/>
      <c r="E2340" s="18"/>
      <c r="F2340" s="18"/>
      <c r="G2340" s="18"/>
      <c r="H2340" s="18"/>
      <c r="I2340" s="18"/>
      <c r="J2340" s="18"/>
      <c r="K2340" s="18"/>
      <c r="L2340" s="9" t="s">
        <v>338</v>
      </c>
      <c r="M2340" s="18"/>
      <c r="N2340" s="18"/>
      <c r="O2340" s="18"/>
      <c r="P2340" s="18"/>
      <c r="Q2340" s="18"/>
    </row>
    <row r="2341" spans="1:17" x14ac:dyDescent="0.25">
      <c r="A2341" s="18"/>
      <c r="B2341" s="18"/>
      <c r="C2341" s="18"/>
      <c r="D2341" s="18"/>
      <c r="E2341" s="18"/>
      <c r="F2341" s="18"/>
      <c r="G2341" s="18"/>
      <c r="H2341" s="18"/>
      <c r="I2341" s="18"/>
      <c r="J2341" s="18"/>
      <c r="K2341" s="18"/>
      <c r="L2341" s="9" t="s">
        <v>339</v>
      </c>
      <c r="M2341" s="18"/>
      <c r="N2341" s="18"/>
      <c r="O2341" s="18"/>
      <c r="P2341" s="18"/>
      <c r="Q2341" s="18"/>
    </row>
    <row r="2342" spans="1:17" ht="165" customHeight="1" x14ac:dyDescent="0.25">
      <c r="A2342" s="18" t="s">
        <v>6860</v>
      </c>
      <c r="B2342" s="18" t="s">
        <v>6863</v>
      </c>
      <c r="C2342" s="18" t="s">
        <v>6748</v>
      </c>
      <c r="D2342" s="18" t="s">
        <v>6742</v>
      </c>
      <c r="E2342" s="18" t="s">
        <v>4314</v>
      </c>
      <c r="F2342" s="18" t="s">
        <v>4315</v>
      </c>
      <c r="G2342" s="19" t="s">
        <v>6342</v>
      </c>
      <c r="H2342" s="18" t="s">
        <v>6121</v>
      </c>
      <c r="I2342" s="18"/>
      <c r="J2342" s="18"/>
      <c r="K2342" s="18"/>
      <c r="L2342" s="9" t="s">
        <v>336</v>
      </c>
      <c r="M2342" s="18" t="s">
        <v>4316</v>
      </c>
      <c r="N2342" s="18"/>
      <c r="O2342" s="18" t="s">
        <v>4317</v>
      </c>
      <c r="P2342" s="18" t="str">
        <f>HYPERLINK("https://ceds.ed.gov/cedselementdetails.aspx?termid=13658")</f>
        <v>https://ceds.ed.gov/cedselementdetails.aspx?termid=13658</v>
      </c>
      <c r="Q2342" s="18" t="str">
        <f>HYPERLINK("https://ceds.ed.gov/elementComment.aspx?elementName=Native Hawaiian or Other Pacific Islander &amp;elementID=13658", "Click here to submit comment")</f>
        <v>Click here to submit comment</v>
      </c>
    </row>
    <row r="2343" spans="1:17" x14ac:dyDescent="0.25">
      <c r="A2343" s="18"/>
      <c r="B2343" s="18"/>
      <c r="C2343" s="18"/>
      <c r="D2343" s="18"/>
      <c r="E2343" s="18"/>
      <c r="F2343" s="18"/>
      <c r="G2343" s="18"/>
      <c r="H2343" s="18"/>
      <c r="I2343" s="18"/>
      <c r="J2343" s="18"/>
      <c r="K2343" s="18"/>
      <c r="L2343" s="9"/>
      <c r="M2343" s="18"/>
      <c r="N2343" s="18"/>
      <c r="O2343" s="18"/>
      <c r="P2343" s="18"/>
      <c r="Q2343" s="18"/>
    </row>
    <row r="2344" spans="1:17" x14ac:dyDescent="0.25">
      <c r="A2344" s="18"/>
      <c r="B2344" s="18"/>
      <c r="C2344" s="18"/>
      <c r="D2344" s="18"/>
      <c r="E2344" s="18"/>
      <c r="F2344" s="18"/>
      <c r="G2344" s="18"/>
      <c r="H2344" s="18"/>
      <c r="I2344" s="18"/>
      <c r="J2344" s="18"/>
      <c r="K2344" s="18"/>
      <c r="L2344" s="9" t="s">
        <v>337</v>
      </c>
      <c r="M2344" s="18"/>
      <c r="N2344" s="18"/>
      <c r="O2344" s="18"/>
      <c r="P2344" s="18"/>
      <c r="Q2344" s="18"/>
    </row>
    <row r="2345" spans="1:17" ht="30" x14ac:dyDescent="0.25">
      <c r="A2345" s="18"/>
      <c r="B2345" s="18"/>
      <c r="C2345" s="18"/>
      <c r="D2345" s="18"/>
      <c r="E2345" s="18"/>
      <c r="F2345" s="18"/>
      <c r="G2345" s="18"/>
      <c r="H2345" s="18"/>
      <c r="I2345" s="18"/>
      <c r="J2345" s="18"/>
      <c r="K2345" s="18"/>
      <c r="L2345" s="9" t="s">
        <v>338</v>
      </c>
      <c r="M2345" s="18"/>
      <c r="N2345" s="18"/>
      <c r="O2345" s="18"/>
      <c r="P2345" s="18"/>
      <c r="Q2345" s="18"/>
    </row>
    <row r="2346" spans="1:17" x14ac:dyDescent="0.25">
      <c r="A2346" s="18"/>
      <c r="B2346" s="18"/>
      <c r="C2346" s="18"/>
      <c r="D2346" s="18"/>
      <c r="E2346" s="18"/>
      <c r="F2346" s="18"/>
      <c r="G2346" s="18"/>
      <c r="H2346" s="18"/>
      <c r="I2346" s="18"/>
      <c r="J2346" s="18"/>
      <c r="K2346" s="18"/>
      <c r="L2346" s="9" t="s">
        <v>339</v>
      </c>
      <c r="M2346" s="18"/>
      <c r="N2346" s="18"/>
      <c r="O2346" s="18"/>
      <c r="P2346" s="18"/>
      <c r="Q2346" s="18"/>
    </row>
    <row r="2347" spans="1:17" ht="165" customHeight="1" x14ac:dyDescent="0.25">
      <c r="A2347" s="18" t="s">
        <v>6860</v>
      </c>
      <c r="B2347" s="18" t="s">
        <v>6863</v>
      </c>
      <c r="C2347" s="18" t="s">
        <v>6748</v>
      </c>
      <c r="D2347" s="18" t="s">
        <v>6742</v>
      </c>
      <c r="E2347" s="18" t="s">
        <v>6077</v>
      </c>
      <c r="F2347" s="18" t="s">
        <v>6078</v>
      </c>
      <c r="G2347" s="19" t="s">
        <v>6342</v>
      </c>
      <c r="H2347" s="18" t="s">
        <v>6121</v>
      </c>
      <c r="I2347" s="18"/>
      <c r="J2347" s="18"/>
      <c r="K2347" s="18"/>
      <c r="L2347" s="9" t="s">
        <v>336</v>
      </c>
      <c r="M2347" s="18" t="s">
        <v>6079</v>
      </c>
      <c r="N2347" s="18"/>
      <c r="O2347" s="18" t="s">
        <v>6077</v>
      </c>
      <c r="P2347" s="18" t="str">
        <f>HYPERLINK("https://ceds.ed.gov/cedselementdetails.aspx?termid=13659")</f>
        <v>https://ceds.ed.gov/cedselementdetails.aspx?termid=13659</v>
      </c>
      <c r="Q2347" s="18" t="str">
        <f>HYPERLINK("https://ceds.ed.gov/elementComment.aspx?elementName=White &amp;elementID=13659", "Click here to submit comment")</f>
        <v>Click here to submit comment</v>
      </c>
    </row>
    <row r="2348" spans="1:17" x14ac:dyDescent="0.25">
      <c r="A2348" s="18"/>
      <c r="B2348" s="18"/>
      <c r="C2348" s="18"/>
      <c r="D2348" s="18"/>
      <c r="E2348" s="18"/>
      <c r="F2348" s="18"/>
      <c r="G2348" s="18"/>
      <c r="H2348" s="18"/>
      <c r="I2348" s="18"/>
      <c r="J2348" s="18"/>
      <c r="K2348" s="18"/>
      <c r="L2348" s="9"/>
      <c r="M2348" s="18"/>
      <c r="N2348" s="18"/>
      <c r="O2348" s="18"/>
      <c r="P2348" s="18"/>
      <c r="Q2348" s="18"/>
    </row>
    <row r="2349" spans="1:17" x14ac:dyDescent="0.25">
      <c r="A2349" s="18"/>
      <c r="B2349" s="18"/>
      <c r="C2349" s="18"/>
      <c r="D2349" s="18"/>
      <c r="E2349" s="18"/>
      <c r="F2349" s="18"/>
      <c r="G2349" s="18"/>
      <c r="H2349" s="18"/>
      <c r="I2349" s="18"/>
      <c r="J2349" s="18"/>
      <c r="K2349" s="18"/>
      <c r="L2349" s="9" t="s">
        <v>337</v>
      </c>
      <c r="M2349" s="18"/>
      <c r="N2349" s="18"/>
      <c r="O2349" s="18"/>
      <c r="P2349" s="18"/>
      <c r="Q2349" s="18"/>
    </row>
    <row r="2350" spans="1:17" ht="30" x14ac:dyDescent="0.25">
      <c r="A2350" s="18"/>
      <c r="B2350" s="18"/>
      <c r="C2350" s="18"/>
      <c r="D2350" s="18"/>
      <c r="E2350" s="18"/>
      <c r="F2350" s="18"/>
      <c r="G2350" s="18"/>
      <c r="H2350" s="18"/>
      <c r="I2350" s="18"/>
      <c r="J2350" s="18"/>
      <c r="K2350" s="18"/>
      <c r="L2350" s="9" t="s">
        <v>338</v>
      </c>
      <c r="M2350" s="18"/>
      <c r="N2350" s="18"/>
      <c r="O2350" s="18"/>
      <c r="P2350" s="18"/>
      <c r="Q2350" s="18"/>
    </row>
    <row r="2351" spans="1:17" x14ac:dyDescent="0.25">
      <c r="A2351" s="18"/>
      <c r="B2351" s="18"/>
      <c r="C2351" s="18"/>
      <c r="D2351" s="18"/>
      <c r="E2351" s="18"/>
      <c r="F2351" s="18"/>
      <c r="G2351" s="18"/>
      <c r="H2351" s="18"/>
      <c r="I2351" s="18"/>
      <c r="J2351" s="18"/>
      <c r="K2351" s="18"/>
      <c r="L2351" s="9" t="s">
        <v>339</v>
      </c>
      <c r="M2351" s="18"/>
      <c r="N2351" s="18"/>
      <c r="O2351" s="18"/>
      <c r="P2351" s="18"/>
      <c r="Q2351" s="18"/>
    </row>
    <row r="2352" spans="1:17" ht="165" customHeight="1" x14ac:dyDescent="0.25">
      <c r="A2352" s="18" t="s">
        <v>6860</v>
      </c>
      <c r="B2352" s="18" t="s">
        <v>6863</v>
      </c>
      <c r="C2352" s="18" t="s">
        <v>6748</v>
      </c>
      <c r="D2352" s="18" t="s">
        <v>6742</v>
      </c>
      <c r="E2352" s="18" t="s">
        <v>3145</v>
      </c>
      <c r="F2352" s="18" t="s">
        <v>3146</v>
      </c>
      <c r="G2352" s="19" t="s">
        <v>6342</v>
      </c>
      <c r="H2352" s="18" t="s">
        <v>6121</v>
      </c>
      <c r="I2352" s="18"/>
      <c r="J2352" s="18"/>
      <c r="K2352" s="18"/>
      <c r="L2352" s="9" t="s">
        <v>336</v>
      </c>
      <c r="M2352" s="18" t="s">
        <v>3147</v>
      </c>
      <c r="N2352" s="18"/>
      <c r="O2352" s="18" t="s">
        <v>3148</v>
      </c>
      <c r="P2352" s="18" t="str">
        <f>HYPERLINK("https://ceds.ed.gov/cedselementdetails.aspx?termid=13144")</f>
        <v>https://ceds.ed.gov/cedselementdetails.aspx?termid=13144</v>
      </c>
      <c r="Q2352" s="18" t="str">
        <f>HYPERLINK("https://ceds.ed.gov/elementComment.aspx?elementName=Hispanic or Latino Ethnicity &amp;elementID=13144", "Click here to submit comment")</f>
        <v>Click here to submit comment</v>
      </c>
    </row>
    <row r="2353" spans="1:17" x14ac:dyDescent="0.25">
      <c r="A2353" s="18"/>
      <c r="B2353" s="18"/>
      <c r="C2353" s="18"/>
      <c r="D2353" s="18"/>
      <c r="E2353" s="18"/>
      <c r="F2353" s="18"/>
      <c r="G2353" s="18"/>
      <c r="H2353" s="18"/>
      <c r="I2353" s="18"/>
      <c r="J2353" s="18"/>
      <c r="K2353" s="18"/>
      <c r="L2353" s="9"/>
      <c r="M2353" s="18"/>
      <c r="N2353" s="18"/>
      <c r="O2353" s="18"/>
      <c r="P2353" s="18"/>
      <c r="Q2353" s="18"/>
    </row>
    <row r="2354" spans="1:17" x14ac:dyDescent="0.25">
      <c r="A2354" s="18"/>
      <c r="B2354" s="18"/>
      <c r="C2354" s="18"/>
      <c r="D2354" s="18"/>
      <c r="E2354" s="18"/>
      <c r="F2354" s="18"/>
      <c r="G2354" s="18"/>
      <c r="H2354" s="18"/>
      <c r="I2354" s="18"/>
      <c r="J2354" s="18"/>
      <c r="K2354" s="18"/>
      <c r="L2354" s="9" t="s">
        <v>337</v>
      </c>
      <c r="M2354" s="18"/>
      <c r="N2354" s="18"/>
      <c r="O2354" s="18"/>
      <c r="P2354" s="18"/>
      <c r="Q2354" s="18"/>
    </row>
    <row r="2355" spans="1:17" ht="30" x14ac:dyDescent="0.25">
      <c r="A2355" s="18"/>
      <c r="B2355" s="18"/>
      <c r="C2355" s="18"/>
      <c r="D2355" s="18"/>
      <c r="E2355" s="18"/>
      <c r="F2355" s="18"/>
      <c r="G2355" s="18"/>
      <c r="H2355" s="18"/>
      <c r="I2355" s="18"/>
      <c r="J2355" s="18"/>
      <c r="K2355" s="18"/>
      <c r="L2355" s="9" t="s">
        <v>338</v>
      </c>
      <c r="M2355" s="18"/>
      <c r="N2355" s="18"/>
      <c r="O2355" s="18"/>
      <c r="P2355" s="18"/>
      <c r="Q2355" s="18"/>
    </row>
    <row r="2356" spans="1:17" x14ac:dyDescent="0.25">
      <c r="A2356" s="18"/>
      <c r="B2356" s="18"/>
      <c r="C2356" s="18"/>
      <c r="D2356" s="18"/>
      <c r="E2356" s="18"/>
      <c r="F2356" s="18"/>
      <c r="G2356" s="18"/>
      <c r="H2356" s="18"/>
      <c r="I2356" s="18"/>
      <c r="J2356" s="18"/>
      <c r="K2356" s="18"/>
      <c r="L2356" s="9" t="s">
        <v>339</v>
      </c>
      <c r="M2356" s="18"/>
      <c r="N2356" s="18"/>
      <c r="O2356" s="18"/>
      <c r="P2356" s="18"/>
      <c r="Q2356" s="18"/>
    </row>
    <row r="2357" spans="1:17" ht="60" x14ac:dyDescent="0.25">
      <c r="A2357" s="9" t="s">
        <v>6860</v>
      </c>
      <c r="B2357" s="9" t="s">
        <v>6863</v>
      </c>
      <c r="C2357" s="9" t="s">
        <v>6748</v>
      </c>
      <c r="D2357" s="9" t="s">
        <v>6742</v>
      </c>
      <c r="E2357" s="9" t="s">
        <v>2234</v>
      </c>
      <c r="F2357" s="9" t="s">
        <v>2235</v>
      </c>
      <c r="G2357" s="10" t="s">
        <v>6443</v>
      </c>
      <c r="H2357" s="9" t="s">
        <v>6185</v>
      </c>
      <c r="I2357" s="9"/>
      <c r="J2357" s="9"/>
      <c r="K2357" s="9"/>
      <c r="L2357" s="9"/>
      <c r="M2357" s="9" t="s">
        <v>2236</v>
      </c>
      <c r="N2357" s="9"/>
      <c r="O2357" s="9" t="s">
        <v>2237</v>
      </c>
      <c r="P2357" s="9" t="str">
        <f>HYPERLINK("https://ceds.ed.gov/cedselementdetails.aspx?termid=13079")</f>
        <v>https://ceds.ed.gov/cedselementdetails.aspx?termid=13079</v>
      </c>
      <c r="Q2357" s="9" t="str">
        <f>HYPERLINK("https://ceds.ed.gov/elementComment.aspx?elementName=Dependency Status &amp;elementID=13079", "Click here to submit comment")</f>
        <v>Click here to submit comment</v>
      </c>
    </row>
    <row r="2358" spans="1:17" ht="105" x14ac:dyDescent="0.25">
      <c r="A2358" s="9" t="s">
        <v>6860</v>
      </c>
      <c r="B2358" s="9" t="s">
        <v>6863</v>
      </c>
      <c r="C2358" s="9" t="s">
        <v>6748</v>
      </c>
      <c r="D2358" s="9" t="s">
        <v>6742</v>
      </c>
      <c r="E2358" s="9" t="s">
        <v>6016</v>
      </c>
      <c r="F2358" s="9" t="s">
        <v>6017</v>
      </c>
      <c r="G2358" s="10" t="s">
        <v>6731</v>
      </c>
      <c r="H2358" s="9" t="s">
        <v>6296</v>
      </c>
      <c r="I2358" s="9"/>
      <c r="J2358" s="9"/>
      <c r="K2358" s="9"/>
      <c r="L2358" s="9" t="s">
        <v>5470</v>
      </c>
      <c r="M2358" s="9" t="s">
        <v>6018</v>
      </c>
      <c r="N2358" s="9"/>
      <c r="O2358" s="9" t="s">
        <v>6019</v>
      </c>
      <c r="P2358" s="9" t="str">
        <f>HYPERLINK("https://ceds.ed.gov/cedselementdetails.aspx?termid=13299")</f>
        <v>https://ceds.ed.gov/cedselementdetails.aspx?termid=13299</v>
      </c>
      <c r="Q2358" s="9" t="str">
        <f>HYPERLINK("https://ceds.ed.gov/elementComment.aspx?elementName=United States Citizenship Status &amp;elementID=13299", "Click here to submit comment")</f>
        <v>Click here to submit comment</v>
      </c>
    </row>
    <row r="2359" spans="1:17" ht="150" x14ac:dyDescent="0.25">
      <c r="A2359" s="9" t="s">
        <v>6860</v>
      </c>
      <c r="B2359" s="9" t="s">
        <v>6863</v>
      </c>
      <c r="C2359" s="9" t="s">
        <v>6748</v>
      </c>
      <c r="D2359" s="9" t="s">
        <v>6742</v>
      </c>
      <c r="E2359" s="9" t="s">
        <v>6028</v>
      </c>
      <c r="F2359" s="9" t="s">
        <v>6029</v>
      </c>
      <c r="G2359" s="10" t="s">
        <v>6733</v>
      </c>
      <c r="H2359" s="9" t="s">
        <v>216</v>
      </c>
      <c r="I2359" s="9"/>
      <c r="J2359" s="9"/>
      <c r="K2359" s="9"/>
      <c r="L2359" s="9"/>
      <c r="M2359" s="9" t="s">
        <v>6030</v>
      </c>
      <c r="N2359" s="9"/>
      <c r="O2359" s="9" t="s">
        <v>6031</v>
      </c>
      <c r="P2359" s="9" t="str">
        <f>HYPERLINK("https://ceds.ed.gov/cedselementdetails.aspx?termid=13196")</f>
        <v>https://ceds.ed.gov/cedselementdetails.aspx?termid=13196</v>
      </c>
      <c r="Q2359" s="9" t="str">
        <f>HYPERLINK("https://ceds.ed.gov/elementComment.aspx?elementName=Visa Type &amp;elementID=13196", "Click here to submit comment")</f>
        <v>Click here to submit comment</v>
      </c>
    </row>
    <row r="2360" spans="1:17" ht="90" x14ac:dyDescent="0.25">
      <c r="A2360" s="9" t="s">
        <v>6860</v>
      </c>
      <c r="B2360" s="9" t="s">
        <v>6863</v>
      </c>
      <c r="C2360" s="9" t="s">
        <v>6748</v>
      </c>
      <c r="D2360" s="9" t="s">
        <v>6742</v>
      </c>
      <c r="E2360" s="9" t="s">
        <v>5995</v>
      </c>
      <c r="F2360" s="9" t="s">
        <v>5996</v>
      </c>
      <c r="G2360" s="10" t="s">
        <v>6729</v>
      </c>
      <c r="H2360" s="9" t="s">
        <v>216</v>
      </c>
      <c r="I2360" s="9"/>
      <c r="J2360" s="9"/>
      <c r="K2360" s="9"/>
      <c r="L2360" s="9"/>
      <c r="M2360" s="9" t="s">
        <v>5997</v>
      </c>
      <c r="N2360" s="9"/>
      <c r="O2360" s="9" t="s">
        <v>5998</v>
      </c>
      <c r="P2360" s="9" t="str">
        <f>HYPERLINK("https://ceds.ed.gov/cedselementdetails.aspx?termid=13297")</f>
        <v>https://ceds.ed.gov/cedselementdetails.aspx?termid=13297</v>
      </c>
      <c r="Q2360" s="9" t="str">
        <f>HYPERLINK("https://ceds.ed.gov/elementComment.aspx?elementName=Tuition Residency Type &amp;elementID=13297", "Click here to submit comment")</f>
        <v>Click here to submit comment</v>
      </c>
    </row>
    <row r="2361" spans="1:17" ht="105" x14ac:dyDescent="0.25">
      <c r="A2361" s="9" t="s">
        <v>6860</v>
      </c>
      <c r="B2361" s="9" t="s">
        <v>6863</v>
      </c>
      <c r="C2361" s="9" t="s">
        <v>6748</v>
      </c>
      <c r="D2361" s="9" t="s">
        <v>6742</v>
      </c>
      <c r="E2361" s="9" t="s">
        <v>1585</v>
      </c>
      <c r="F2361" s="9" t="s">
        <v>1586</v>
      </c>
      <c r="G2361" s="10" t="s">
        <v>6394</v>
      </c>
      <c r="H2361" s="9" t="s">
        <v>216</v>
      </c>
      <c r="I2361" s="9"/>
      <c r="J2361" s="9"/>
      <c r="K2361" s="9"/>
      <c r="L2361" s="9"/>
      <c r="M2361" s="9" t="s">
        <v>1588</v>
      </c>
      <c r="N2361" s="9"/>
      <c r="O2361" s="9" t="s">
        <v>1589</v>
      </c>
      <c r="P2361" s="9" t="str">
        <f>HYPERLINK("https://ceds.ed.gov/cedselementdetails.aspx?termid=13035")</f>
        <v>https://ceds.ed.gov/cedselementdetails.aspx?termid=13035</v>
      </c>
      <c r="Q2361" s="9" t="str">
        <f>HYPERLINK("https://ceds.ed.gov/elementComment.aspx?elementName=Campus Residency Type &amp;elementID=13035", "Click here to submit comment")</f>
        <v>Click here to submit comment</v>
      </c>
    </row>
    <row r="2362" spans="1:17" ht="165" x14ac:dyDescent="0.25">
      <c r="A2362" s="9" t="s">
        <v>6860</v>
      </c>
      <c r="B2362" s="9" t="s">
        <v>6863</v>
      </c>
      <c r="C2362" s="9" t="s">
        <v>6748</v>
      </c>
      <c r="D2362" s="9" t="s">
        <v>6742</v>
      </c>
      <c r="E2362" s="9" t="s">
        <v>4068</v>
      </c>
      <c r="F2362" s="9" t="s">
        <v>4069</v>
      </c>
      <c r="G2362" s="10" t="s">
        <v>6602</v>
      </c>
      <c r="H2362" s="9" t="s">
        <v>25</v>
      </c>
      <c r="I2362" s="9"/>
      <c r="J2362" s="9"/>
      <c r="K2362" s="9"/>
      <c r="L2362" s="9"/>
      <c r="M2362" s="9" t="s">
        <v>4070</v>
      </c>
      <c r="N2362" s="9" t="s">
        <v>4071</v>
      </c>
      <c r="O2362" s="9" t="s">
        <v>4072</v>
      </c>
      <c r="P2362" s="9" t="str">
        <f>HYPERLINK("https://ceds.ed.gov/cedselementdetails.aspx?termid=13179")</f>
        <v>https://ceds.ed.gov/cedselementdetails.aspx?termid=13179</v>
      </c>
      <c r="Q2362" s="9" t="str">
        <f>HYPERLINK("https://ceds.ed.gov/elementComment.aspx?elementName=Limited English Proficiency - Postsecondary &amp;elementID=13179", "Click here to submit comment")</f>
        <v>Click here to submit comment</v>
      </c>
    </row>
    <row r="2363" spans="1:17" ht="45" x14ac:dyDescent="0.25">
      <c r="A2363" s="9" t="s">
        <v>6860</v>
      </c>
      <c r="B2363" s="9" t="s">
        <v>6863</v>
      </c>
      <c r="C2363" s="9" t="s">
        <v>6748</v>
      </c>
      <c r="D2363" s="9" t="s">
        <v>6742</v>
      </c>
      <c r="E2363" s="9" t="s">
        <v>1811</v>
      </c>
      <c r="F2363" s="9" t="s">
        <v>1812</v>
      </c>
      <c r="G2363" s="9" t="s">
        <v>12</v>
      </c>
      <c r="H2363" s="9" t="s">
        <v>6169</v>
      </c>
      <c r="I2363" s="9"/>
      <c r="J2363" s="9" t="s">
        <v>1813</v>
      </c>
      <c r="K2363" s="9"/>
      <c r="L2363" s="9"/>
      <c r="M2363" s="9" t="s">
        <v>1814</v>
      </c>
      <c r="N2363" s="9"/>
      <c r="O2363" s="9" t="s">
        <v>1815</v>
      </c>
      <c r="P2363" s="9" t="str">
        <f>HYPERLINK("https://ceds.ed.gov/cedselementdetails.aspx?termid=13577")</f>
        <v>https://ceds.ed.gov/cedselementdetails.aspx?termid=13577</v>
      </c>
      <c r="Q2363" s="9" t="str">
        <f>HYPERLINK("https://ceds.ed.gov/elementComment.aspx?elementName=Cohort Graduation Year &amp;elementID=13577", "Click here to submit comment")</f>
        <v>Click here to submit comment</v>
      </c>
    </row>
    <row r="2364" spans="1:17" ht="165" x14ac:dyDescent="0.25">
      <c r="A2364" s="9" t="s">
        <v>6860</v>
      </c>
      <c r="B2364" s="9" t="s">
        <v>6863</v>
      </c>
      <c r="C2364" s="9" t="s">
        <v>6748</v>
      </c>
      <c r="D2364" s="9" t="s">
        <v>6742</v>
      </c>
      <c r="E2364" s="9" t="s">
        <v>4154</v>
      </c>
      <c r="F2364" s="9" t="s">
        <v>4155</v>
      </c>
      <c r="G2364" s="10" t="s">
        <v>6610</v>
      </c>
      <c r="H2364" s="9"/>
      <c r="I2364" s="9"/>
      <c r="J2364" s="9"/>
      <c r="K2364" s="9"/>
      <c r="L2364" s="9"/>
      <c r="M2364" s="9" t="s">
        <v>4156</v>
      </c>
      <c r="N2364" s="9"/>
      <c r="O2364" s="9" t="s">
        <v>4157</v>
      </c>
      <c r="P2364" s="9" t="str">
        <f>HYPERLINK("https://ceds.ed.gov/cedselementdetails.aspx?termid=14194")</f>
        <v>https://ceds.ed.gov/cedselementdetails.aspx?termid=14194</v>
      </c>
      <c r="Q2364" s="9" t="str">
        <f>HYPERLINK("https://ceds.ed.gov/elementComment.aspx?elementName=Maternal Guardian Education &amp;elementID=14194", "Click here to submit comment")</f>
        <v>Click here to submit comment</v>
      </c>
    </row>
    <row r="2365" spans="1:17" ht="75" x14ac:dyDescent="0.25">
      <c r="A2365" s="9" t="s">
        <v>6860</v>
      </c>
      <c r="B2365" s="9" t="s">
        <v>6863</v>
      </c>
      <c r="C2365" s="9" t="s">
        <v>6748</v>
      </c>
      <c r="D2365" s="9" t="s">
        <v>6742</v>
      </c>
      <c r="E2365" s="9" t="s">
        <v>4250</v>
      </c>
      <c r="F2365" s="9" t="s">
        <v>4251</v>
      </c>
      <c r="G2365" s="10" t="s">
        <v>6619</v>
      </c>
      <c r="H2365" s="9"/>
      <c r="I2365" s="9"/>
      <c r="J2365" s="9"/>
      <c r="K2365" s="9"/>
      <c r="L2365" s="9"/>
      <c r="M2365" s="9" t="s">
        <v>4252</v>
      </c>
      <c r="N2365" s="9"/>
      <c r="O2365" s="9" t="s">
        <v>4253</v>
      </c>
      <c r="P2365" s="9" t="str">
        <f>HYPERLINK("https://ceds.ed.gov/cedselementdetails.aspx?termid=14556")</f>
        <v>https://ceds.ed.gov/cedselementdetails.aspx?termid=14556</v>
      </c>
      <c r="Q2365" s="9" t="str">
        <f>HYPERLINK("https://ceds.ed.gov/elementComment.aspx?elementName=Military Active Student Indicator &amp;elementID=14556", "Click here to submit comment")</f>
        <v>Click here to submit comment</v>
      </c>
    </row>
    <row r="2366" spans="1:17" ht="105" x14ac:dyDescent="0.25">
      <c r="A2366" s="9" t="s">
        <v>6860</v>
      </c>
      <c r="B2366" s="9" t="s">
        <v>6863</v>
      </c>
      <c r="C2366" s="9" t="s">
        <v>6748</v>
      </c>
      <c r="D2366" s="9" t="s">
        <v>6742</v>
      </c>
      <c r="E2366" s="9" t="s">
        <v>4254</v>
      </c>
      <c r="F2366" s="9" t="s">
        <v>4255</v>
      </c>
      <c r="G2366" s="10" t="s">
        <v>6620</v>
      </c>
      <c r="H2366" s="9"/>
      <c r="I2366" s="9"/>
      <c r="J2366" s="9"/>
      <c r="K2366" s="9"/>
      <c r="L2366" s="9"/>
      <c r="M2366" s="9" t="s">
        <v>4256</v>
      </c>
      <c r="N2366" s="9"/>
      <c r="O2366" s="9" t="s">
        <v>4257</v>
      </c>
      <c r="P2366" s="9" t="str">
        <f>HYPERLINK("https://ceds.ed.gov/cedselementdetails.aspx?termid=14621")</f>
        <v>https://ceds.ed.gov/cedselementdetails.aspx?termid=14621</v>
      </c>
      <c r="Q2366" s="9" t="str">
        <f>HYPERLINK("https://ceds.ed.gov/elementComment.aspx?elementName=Military Branch &amp;elementID=14621", "Click here to submit comment")</f>
        <v>Click here to submit comment</v>
      </c>
    </row>
    <row r="2367" spans="1:17" ht="75" x14ac:dyDescent="0.25">
      <c r="A2367" s="9" t="s">
        <v>6860</v>
      </c>
      <c r="B2367" s="9" t="s">
        <v>6863</v>
      </c>
      <c r="C2367" s="9" t="s">
        <v>6748</v>
      </c>
      <c r="D2367" s="9" t="s">
        <v>6742</v>
      </c>
      <c r="E2367" s="9" t="s">
        <v>4267</v>
      </c>
      <c r="F2367" s="9" t="s">
        <v>4268</v>
      </c>
      <c r="G2367" s="10" t="s">
        <v>6622</v>
      </c>
      <c r="H2367" s="9"/>
      <c r="I2367" s="9"/>
      <c r="J2367" s="9"/>
      <c r="K2367" s="9"/>
      <c r="L2367" s="9"/>
      <c r="M2367" s="9" t="s">
        <v>4269</v>
      </c>
      <c r="N2367" s="9"/>
      <c r="O2367" s="9" t="s">
        <v>4270</v>
      </c>
      <c r="P2367" s="9" t="str">
        <f>HYPERLINK("https://ceds.ed.gov/cedselementdetails.aspx?termid=14557")</f>
        <v>https://ceds.ed.gov/cedselementdetails.aspx?termid=14557</v>
      </c>
      <c r="Q2367" s="9" t="str">
        <f>HYPERLINK("https://ceds.ed.gov/elementComment.aspx?elementName=Military Veteran Student Indicator &amp;elementID=14557", "Click here to submit comment")</f>
        <v>Click here to submit comment</v>
      </c>
    </row>
    <row r="2368" spans="1:17" ht="60" x14ac:dyDescent="0.25">
      <c r="A2368" s="9" t="s">
        <v>6860</v>
      </c>
      <c r="B2368" s="9" t="s">
        <v>6863</v>
      </c>
      <c r="C2368" s="9" t="s">
        <v>6748</v>
      </c>
      <c r="D2368" s="9" t="s">
        <v>6742</v>
      </c>
      <c r="E2368" s="9" t="s">
        <v>4382</v>
      </c>
      <c r="F2368" s="9" t="s">
        <v>4383</v>
      </c>
      <c r="G2368" s="9" t="s">
        <v>12</v>
      </c>
      <c r="H2368" s="9"/>
      <c r="I2368" s="9"/>
      <c r="J2368" s="9" t="s">
        <v>10489</v>
      </c>
      <c r="K2368" s="9"/>
      <c r="L2368" s="9"/>
      <c r="M2368" s="9" t="s">
        <v>4384</v>
      </c>
      <c r="N2368" s="9"/>
      <c r="O2368" s="9" t="s">
        <v>4385</v>
      </c>
      <c r="P2368" s="9" t="str">
        <f>HYPERLINK("https://ceds.ed.gov/cedselementdetails.aspx?termid=14384")</f>
        <v>https://ceds.ed.gov/cedselementdetails.aspx?termid=14384</v>
      </c>
      <c r="Q2368" s="9" t="str">
        <f>HYPERLINK("https://ceds.ed.gov/elementComment.aspx?elementName=Number of Dependents &amp;elementID=14384", "Click here to submit comment")</f>
        <v>Click here to submit comment</v>
      </c>
    </row>
    <row r="2369" spans="1:17" ht="165" x14ac:dyDescent="0.25">
      <c r="A2369" s="9" t="s">
        <v>6860</v>
      </c>
      <c r="B2369" s="9" t="s">
        <v>6863</v>
      </c>
      <c r="C2369" s="9" t="s">
        <v>6748</v>
      </c>
      <c r="D2369" s="9" t="s">
        <v>6742</v>
      </c>
      <c r="E2369" s="9" t="s">
        <v>4541</v>
      </c>
      <c r="F2369" s="9" t="s">
        <v>4542</v>
      </c>
      <c r="G2369" s="10" t="s">
        <v>6610</v>
      </c>
      <c r="H2369" s="9"/>
      <c r="I2369" s="9"/>
      <c r="J2369" s="9"/>
      <c r="K2369" s="9"/>
      <c r="L2369" s="9"/>
      <c r="M2369" s="9" t="s">
        <v>4543</v>
      </c>
      <c r="N2369" s="9"/>
      <c r="O2369" s="9" t="s">
        <v>4544</v>
      </c>
      <c r="P2369" s="9" t="str">
        <f>HYPERLINK("https://ceds.ed.gov/cedselementdetails.aspx?termid=14195")</f>
        <v>https://ceds.ed.gov/cedselementdetails.aspx?termid=14195</v>
      </c>
      <c r="Q2369" s="9" t="str">
        <f>HYPERLINK("https://ceds.ed.gov/elementComment.aspx?elementName=Paternal Guardian Education &amp;elementID=14195", "Click here to submit comment")</f>
        <v>Click here to submit comment</v>
      </c>
    </row>
    <row r="2370" spans="1:17" ht="105" x14ac:dyDescent="0.25">
      <c r="A2370" s="9" t="s">
        <v>6860</v>
      </c>
      <c r="B2370" s="9" t="s">
        <v>6863</v>
      </c>
      <c r="C2370" s="9" t="s">
        <v>6748</v>
      </c>
      <c r="D2370" s="9" t="s">
        <v>6742</v>
      </c>
      <c r="E2370" s="9" t="s">
        <v>12220</v>
      </c>
      <c r="F2370" s="9" t="s">
        <v>5485</v>
      </c>
      <c r="G2370" s="9" t="s">
        <v>6106</v>
      </c>
      <c r="H2370" s="9" t="s">
        <v>6169</v>
      </c>
      <c r="I2370" s="9"/>
      <c r="J2370" s="9"/>
      <c r="K2370" s="9"/>
      <c r="L2370" s="9"/>
      <c r="M2370" s="9" t="s">
        <v>5486</v>
      </c>
      <c r="N2370" s="9"/>
      <c r="O2370" s="9" t="s">
        <v>5487</v>
      </c>
      <c r="P2370" s="9" t="str">
        <f>HYPERLINK("https://ceds.ed.gov/cedselementdetails.aspx?termid=13573")</f>
        <v>https://ceds.ed.gov/cedselementdetails.aspx?termid=13573</v>
      </c>
      <c r="Q2370" s="9" t="str">
        <f>HYPERLINK("https://ceds.ed.gov/elementComment.aspx?elementName=Single Parent or Single Pregnant Woman Status &amp;elementID=13573", "Click here to submit comment")</f>
        <v>Click here to submit comment</v>
      </c>
    </row>
    <row r="2371" spans="1:17" ht="270" x14ac:dyDescent="0.25">
      <c r="A2371" s="9" t="s">
        <v>6860</v>
      </c>
      <c r="B2371" s="9" t="s">
        <v>6863</v>
      </c>
      <c r="C2371" s="9" t="s">
        <v>6864</v>
      </c>
      <c r="D2371" s="9" t="s">
        <v>6742</v>
      </c>
      <c r="E2371" s="9" t="s">
        <v>5643</v>
      </c>
      <c r="F2371" s="9" t="s">
        <v>5644</v>
      </c>
      <c r="G2371" s="10" t="s">
        <v>6701</v>
      </c>
      <c r="H2371" s="9" t="s">
        <v>216</v>
      </c>
      <c r="I2371" s="9"/>
      <c r="J2371" s="9"/>
      <c r="K2371" s="9"/>
      <c r="L2371" s="9"/>
      <c r="M2371" s="9" t="s">
        <v>5645</v>
      </c>
      <c r="N2371" s="9"/>
      <c r="O2371" s="9" t="s">
        <v>5646</v>
      </c>
      <c r="P2371" s="9" t="str">
        <f>HYPERLINK("https://ceds.ed.gov/cedselementdetails.aspx?termid=13266")</f>
        <v>https://ceds.ed.gov/cedselementdetails.aspx?termid=13266</v>
      </c>
      <c r="Q2371" s="9" t="str">
        <f>HYPERLINK("https://ceds.ed.gov/elementComment.aspx?elementName=Standardized Admission Test Type &amp;elementID=13266", "Click here to submit comment")</f>
        <v>Click here to submit comment</v>
      </c>
    </row>
    <row r="2372" spans="1:17" ht="45" x14ac:dyDescent="0.25">
      <c r="A2372" s="9" t="s">
        <v>6860</v>
      </c>
      <c r="B2372" s="9" t="s">
        <v>6863</v>
      </c>
      <c r="C2372" s="9" t="s">
        <v>6864</v>
      </c>
      <c r="D2372" s="9" t="s">
        <v>6742</v>
      </c>
      <c r="E2372" s="9" t="s">
        <v>5638</v>
      </c>
      <c r="F2372" s="9" t="s">
        <v>5639</v>
      </c>
      <c r="G2372" s="9" t="s">
        <v>12</v>
      </c>
      <c r="H2372" s="9" t="s">
        <v>216</v>
      </c>
      <c r="I2372" s="9"/>
      <c r="J2372" s="9" t="s">
        <v>134</v>
      </c>
      <c r="K2372" s="9"/>
      <c r="L2372" s="9"/>
      <c r="M2372" s="9" t="s">
        <v>5641</v>
      </c>
      <c r="N2372" s="9"/>
      <c r="O2372" s="9" t="s">
        <v>5642</v>
      </c>
      <c r="P2372" s="9" t="str">
        <f>HYPERLINK("https://ceds.ed.gov/cedselementdetails.aspx?termid=13265")</f>
        <v>https://ceds.ed.gov/cedselementdetails.aspx?termid=13265</v>
      </c>
      <c r="Q2372" s="9" t="str">
        <f>HYPERLINK("https://ceds.ed.gov/elementComment.aspx?elementName=Standardized Admission Test Score &amp;elementID=13265", "Click here to submit comment")</f>
        <v>Click here to submit comment</v>
      </c>
    </row>
    <row r="2373" spans="1:17" ht="105" x14ac:dyDescent="0.25">
      <c r="A2373" s="18" t="s">
        <v>6860</v>
      </c>
      <c r="B2373" s="18" t="s">
        <v>6863</v>
      </c>
      <c r="C2373" s="18" t="s">
        <v>6874</v>
      </c>
      <c r="D2373" s="18" t="s">
        <v>6742</v>
      </c>
      <c r="E2373" s="18" t="s">
        <v>5732</v>
      </c>
      <c r="F2373" s="18" t="s">
        <v>5733</v>
      </c>
      <c r="G2373" s="18" t="s">
        <v>12</v>
      </c>
      <c r="H2373" s="18" t="s">
        <v>6290</v>
      </c>
      <c r="I2373" s="18"/>
      <c r="J2373" s="18" t="s">
        <v>119</v>
      </c>
      <c r="K2373" s="18"/>
      <c r="L2373" s="9" t="s">
        <v>120</v>
      </c>
      <c r="M2373" s="18" t="s">
        <v>5734</v>
      </c>
      <c r="N2373" s="18"/>
      <c r="O2373" s="18" t="s">
        <v>5735</v>
      </c>
      <c r="P2373" s="18" t="str">
        <f>HYPERLINK("https://ceds.ed.gov/cedselementdetails.aspx?termid=13157")</f>
        <v>https://ceds.ed.gov/cedselementdetails.aspx?termid=13157</v>
      </c>
      <c r="Q2373" s="18" t="str">
        <f>HYPERLINK("https://ceds.ed.gov/elementComment.aspx?elementName=Student Identifier &amp;elementID=13157", "Click here to submit comment")</f>
        <v>Click here to submit comment</v>
      </c>
    </row>
    <row r="2374" spans="1:17" x14ac:dyDescent="0.25">
      <c r="A2374" s="18"/>
      <c r="B2374" s="18"/>
      <c r="C2374" s="18"/>
      <c r="D2374" s="18"/>
      <c r="E2374" s="18"/>
      <c r="F2374" s="18"/>
      <c r="G2374" s="18"/>
      <c r="H2374" s="18"/>
      <c r="I2374" s="18"/>
      <c r="J2374" s="18"/>
      <c r="K2374" s="18"/>
      <c r="L2374" s="9"/>
      <c r="M2374" s="18"/>
      <c r="N2374" s="18"/>
      <c r="O2374" s="18"/>
      <c r="P2374" s="18"/>
      <c r="Q2374" s="18"/>
    </row>
    <row r="2375" spans="1:17" ht="90" x14ac:dyDescent="0.25">
      <c r="A2375" s="18"/>
      <c r="B2375" s="18"/>
      <c r="C2375" s="18"/>
      <c r="D2375" s="18"/>
      <c r="E2375" s="18"/>
      <c r="F2375" s="18"/>
      <c r="G2375" s="18"/>
      <c r="H2375" s="18"/>
      <c r="I2375" s="18"/>
      <c r="J2375" s="18"/>
      <c r="K2375" s="18"/>
      <c r="L2375" s="9" t="s">
        <v>121</v>
      </c>
      <c r="M2375" s="18"/>
      <c r="N2375" s="18"/>
      <c r="O2375" s="18"/>
      <c r="P2375" s="18"/>
      <c r="Q2375" s="18"/>
    </row>
    <row r="2376" spans="1:17" ht="210" x14ac:dyDescent="0.25">
      <c r="A2376" s="9" t="s">
        <v>6860</v>
      </c>
      <c r="B2376" s="9" t="s">
        <v>6863</v>
      </c>
      <c r="C2376" s="9" t="s">
        <v>6874</v>
      </c>
      <c r="D2376" s="9" t="s">
        <v>6742</v>
      </c>
      <c r="E2376" s="9" t="s">
        <v>5728</v>
      </c>
      <c r="F2376" s="9" t="s">
        <v>5729</v>
      </c>
      <c r="G2376" s="10" t="s">
        <v>6706</v>
      </c>
      <c r="H2376" s="9" t="s">
        <v>6290</v>
      </c>
      <c r="I2376" s="9"/>
      <c r="J2376" s="9"/>
      <c r="K2376" s="9"/>
      <c r="L2376" s="9"/>
      <c r="M2376" s="9" t="s">
        <v>5730</v>
      </c>
      <c r="N2376" s="9"/>
      <c r="O2376" s="9" t="s">
        <v>5731</v>
      </c>
      <c r="P2376" s="9" t="str">
        <f>HYPERLINK("https://ceds.ed.gov/cedselementdetails.aspx?termid=13163")</f>
        <v>https://ceds.ed.gov/cedselementdetails.aspx?termid=13163</v>
      </c>
      <c r="Q2376" s="9" t="str">
        <f>HYPERLINK("https://ceds.ed.gov/elementComment.aspx?elementName=Student Identification System &amp;elementID=13163", "Click here to submit comment")</f>
        <v>Click here to submit comment</v>
      </c>
    </row>
    <row r="2377" spans="1:17" ht="105" x14ac:dyDescent="0.25">
      <c r="A2377" s="18" t="s">
        <v>6860</v>
      </c>
      <c r="B2377" s="18" t="s">
        <v>6863</v>
      </c>
      <c r="C2377" s="18" t="s">
        <v>6874</v>
      </c>
      <c r="D2377" s="18" t="s">
        <v>6742</v>
      </c>
      <c r="E2377" s="18" t="s">
        <v>5340</v>
      </c>
      <c r="F2377" s="18" t="s">
        <v>256</v>
      </c>
      <c r="G2377" s="18" t="s">
        <v>12</v>
      </c>
      <c r="H2377" s="18" t="s">
        <v>6273</v>
      </c>
      <c r="I2377" s="18"/>
      <c r="J2377" s="18" t="s">
        <v>119</v>
      </c>
      <c r="K2377" s="18"/>
      <c r="L2377" s="9" t="s">
        <v>120</v>
      </c>
      <c r="M2377" s="18" t="s">
        <v>5341</v>
      </c>
      <c r="N2377" s="18"/>
      <c r="O2377" s="18" t="s">
        <v>5342</v>
      </c>
      <c r="P2377" s="18" t="str">
        <f>HYPERLINK("https://ceds.ed.gov/cedselementdetails.aspx?termid=13155")</f>
        <v>https://ceds.ed.gov/cedselementdetails.aspx?termid=13155</v>
      </c>
      <c r="Q2377" s="18" t="str">
        <f>HYPERLINK("https://ceds.ed.gov/elementComment.aspx?elementName=School Identifier &amp;elementID=13155", "Click here to submit comment")</f>
        <v>Click here to submit comment</v>
      </c>
    </row>
    <row r="2378" spans="1:17" x14ac:dyDescent="0.25">
      <c r="A2378" s="18"/>
      <c r="B2378" s="18"/>
      <c r="C2378" s="18"/>
      <c r="D2378" s="18"/>
      <c r="E2378" s="18"/>
      <c r="F2378" s="18"/>
      <c r="G2378" s="18"/>
      <c r="H2378" s="18"/>
      <c r="I2378" s="18"/>
      <c r="J2378" s="18"/>
      <c r="K2378" s="18"/>
      <c r="L2378" s="9"/>
      <c r="M2378" s="18"/>
      <c r="N2378" s="18"/>
      <c r="O2378" s="18"/>
      <c r="P2378" s="18"/>
      <c r="Q2378" s="18"/>
    </row>
    <row r="2379" spans="1:17" ht="90" x14ac:dyDescent="0.25">
      <c r="A2379" s="18"/>
      <c r="B2379" s="18"/>
      <c r="C2379" s="18"/>
      <c r="D2379" s="18"/>
      <c r="E2379" s="18"/>
      <c r="F2379" s="18"/>
      <c r="G2379" s="18"/>
      <c r="H2379" s="18"/>
      <c r="I2379" s="18"/>
      <c r="J2379" s="18"/>
      <c r="K2379" s="18"/>
      <c r="L2379" s="9" t="s">
        <v>121</v>
      </c>
      <c r="M2379" s="18"/>
      <c r="N2379" s="18"/>
      <c r="O2379" s="18"/>
      <c r="P2379" s="18"/>
      <c r="Q2379" s="18"/>
    </row>
    <row r="2380" spans="1:17" ht="270" x14ac:dyDescent="0.25">
      <c r="A2380" s="9" t="s">
        <v>6860</v>
      </c>
      <c r="B2380" s="9" t="s">
        <v>6863</v>
      </c>
      <c r="C2380" s="9" t="s">
        <v>6874</v>
      </c>
      <c r="D2380" s="9" t="s">
        <v>6742</v>
      </c>
      <c r="E2380" s="9" t="s">
        <v>5337</v>
      </c>
      <c r="F2380" s="9" t="s">
        <v>252</v>
      </c>
      <c r="G2380" s="10" t="s">
        <v>6685</v>
      </c>
      <c r="H2380" s="9" t="s">
        <v>6273</v>
      </c>
      <c r="I2380" s="9"/>
      <c r="J2380" s="9"/>
      <c r="K2380" s="9"/>
      <c r="L2380" s="9"/>
      <c r="M2380" s="9" t="s">
        <v>5338</v>
      </c>
      <c r="N2380" s="9"/>
      <c r="O2380" s="9" t="s">
        <v>5339</v>
      </c>
      <c r="P2380" s="9" t="str">
        <f>HYPERLINK("https://ceds.ed.gov/cedselementdetails.aspx?termid=13161")</f>
        <v>https://ceds.ed.gov/cedselementdetails.aspx?termid=13161</v>
      </c>
      <c r="Q2380" s="9" t="str">
        <f>HYPERLINK("https://ceds.ed.gov/elementComment.aspx?elementName=School Identification System &amp;elementID=13161", "Click here to submit comment")</f>
        <v>Click here to submit comment</v>
      </c>
    </row>
    <row r="2381" spans="1:17" ht="105" x14ac:dyDescent="0.25">
      <c r="A2381" s="18" t="s">
        <v>6860</v>
      </c>
      <c r="B2381" s="18" t="s">
        <v>6863</v>
      </c>
      <c r="C2381" s="18" t="s">
        <v>6874</v>
      </c>
      <c r="D2381" s="18" t="s">
        <v>6742</v>
      </c>
      <c r="E2381" s="18" t="s">
        <v>4106</v>
      </c>
      <c r="F2381" s="18" t="s">
        <v>4107</v>
      </c>
      <c r="G2381" s="18" t="s">
        <v>12</v>
      </c>
      <c r="H2381" s="18" t="s">
        <v>6241</v>
      </c>
      <c r="I2381" s="18"/>
      <c r="J2381" s="18" t="s">
        <v>119</v>
      </c>
      <c r="K2381" s="18"/>
      <c r="L2381" s="9" t="s">
        <v>120</v>
      </c>
      <c r="M2381" s="18" t="s">
        <v>4108</v>
      </c>
      <c r="N2381" s="18" t="s">
        <v>4109</v>
      </c>
      <c r="O2381" s="18" t="s">
        <v>4110</v>
      </c>
      <c r="P2381" s="18" t="str">
        <f>HYPERLINK("https://ceds.ed.gov/cedselementdetails.aspx?termid=13153")</f>
        <v>https://ceds.ed.gov/cedselementdetails.aspx?termid=13153</v>
      </c>
      <c r="Q2381" s="18" t="str">
        <f>HYPERLINK("https://ceds.ed.gov/elementComment.aspx?elementName=Local Education Agency Identifier &amp;elementID=13153", "Click here to submit comment")</f>
        <v>Click here to submit comment</v>
      </c>
    </row>
    <row r="2382" spans="1:17" x14ac:dyDescent="0.25">
      <c r="A2382" s="18"/>
      <c r="B2382" s="18"/>
      <c r="C2382" s="18"/>
      <c r="D2382" s="18"/>
      <c r="E2382" s="18"/>
      <c r="F2382" s="18"/>
      <c r="G2382" s="18"/>
      <c r="H2382" s="18"/>
      <c r="I2382" s="18"/>
      <c r="J2382" s="18"/>
      <c r="K2382" s="18"/>
      <c r="L2382" s="9"/>
      <c r="M2382" s="18"/>
      <c r="N2382" s="18"/>
      <c r="O2382" s="18"/>
      <c r="P2382" s="18"/>
      <c r="Q2382" s="18"/>
    </row>
    <row r="2383" spans="1:17" ht="90" x14ac:dyDescent="0.25">
      <c r="A2383" s="18"/>
      <c r="B2383" s="18"/>
      <c r="C2383" s="18"/>
      <c r="D2383" s="18"/>
      <c r="E2383" s="18"/>
      <c r="F2383" s="18"/>
      <c r="G2383" s="18"/>
      <c r="H2383" s="18"/>
      <c r="I2383" s="18"/>
      <c r="J2383" s="18"/>
      <c r="K2383" s="18"/>
      <c r="L2383" s="9" t="s">
        <v>121</v>
      </c>
      <c r="M2383" s="18"/>
      <c r="N2383" s="18"/>
      <c r="O2383" s="18"/>
      <c r="P2383" s="18"/>
      <c r="Q2383" s="18"/>
    </row>
    <row r="2384" spans="1:17" ht="240" x14ac:dyDescent="0.25">
      <c r="A2384" s="9" t="s">
        <v>6860</v>
      </c>
      <c r="B2384" s="9" t="s">
        <v>6863</v>
      </c>
      <c r="C2384" s="9" t="s">
        <v>6874</v>
      </c>
      <c r="D2384" s="9" t="s">
        <v>6742</v>
      </c>
      <c r="E2384" s="9" t="s">
        <v>4101</v>
      </c>
      <c r="F2384" s="9" t="s">
        <v>4102</v>
      </c>
      <c r="G2384" s="10" t="s">
        <v>6605</v>
      </c>
      <c r="H2384" s="9" t="s">
        <v>6241</v>
      </c>
      <c r="I2384" s="9"/>
      <c r="J2384" s="9"/>
      <c r="K2384" s="9"/>
      <c r="L2384" s="9"/>
      <c r="M2384" s="9" t="s">
        <v>4103</v>
      </c>
      <c r="N2384" s="9" t="s">
        <v>4104</v>
      </c>
      <c r="O2384" s="9" t="s">
        <v>4105</v>
      </c>
      <c r="P2384" s="9" t="str">
        <f>HYPERLINK("https://ceds.ed.gov/cedselementdetails.aspx?termid=13159")</f>
        <v>https://ceds.ed.gov/cedselementdetails.aspx?termid=13159</v>
      </c>
      <c r="Q2384" s="9" t="str">
        <f>HYPERLINK("https://ceds.ed.gov/elementComment.aspx?elementName=Local Education Agency Identification System &amp;elementID=13159", "Click here to submit comment")</f>
        <v>Click here to submit comment</v>
      </c>
    </row>
    <row r="2385" spans="1:17" ht="225" x14ac:dyDescent="0.25">
      <c r="A2385" s="9" t="s">
        <v>6860</v>
      </c>
      <c r="B2385" s="9" t="s">
        <v>6863</v>
      </c>
      <c r="C2385" s="9" t="s">
        <v>6874</v>
      </c>
      <c r="D2385" s="9" t="s">
        <v>6742</v>
      </c>
      <c r="E2385" s="9" t="s">
        <v>4296</v>
      </c>
      <c r="F2385" s="9" t="s">
        <v>4297</v>
      </c>
      <c r="G2385" s="9" t="s">
        <v>12</v>
      </c>
      <c r="H2385" s="9" t="s">
        <v>6245</v>
      </c>
      <c r="I2385" s="9"/>
      <c r="J2385" s="9" t="s">
        <v>92</v>
      </c>
      <c r="K2385" s="9"/>
      <c r="L2385" s="9"/>
      <c r="M2385" s="9" t="s">
        <v>4298</v>
      </c>
      <c r="N2385" s="9"/>
      <c r="O2385" s="9" t="s">
        <v>4299</v>
      </c>
      <c r="P2385" s="9" t="str">
        <f>HYPERLINK("https://ceds.ed.gov/cedselementdetails.aspx?termid=13191")</f>
        <v>https://ceds.ed.gov/cedselementdetails.aspx?termid=13191</v>
      </c>
      <c r="Q2385" s="9" t="str">
        <f>HYPERLINK("https://ceds.ed.gov/elementComment.aspx?elementName=Name of Institution &amp;elementID=13191", "Click here to submit comment")</f>
        <v>Click here to submit comment</v>
      </c>
    </row>
    <row r="2386" spans="1:17" ht="90" x14ac:dyDescent="0.25">
      <c r="A2386" s="9" t="s">
        <v>6860</v>
      </c>
      <c r="B2386" s="9" t="s">
        <v>6863</v>
      </c>
      <c r="C2386" s="9" t="s">
        <v>6874</v>
      </c>
      <c r="D2386" s="9" t="s">
        <v>6742</v>
      </c>
      <c r="E2386" s="9" t="s">
        <v>5476</v>
      </c>
      <c r="F2386" s="9" t="s">
        <v>5477</v>
      </c>
      <c r="G2386" s="9" t="s">
        <v>12</v>
      </c>
      <c r="H2386" s="9"/>
      <c r="I2386" s="9"/>
      <c r="J2386" s="9" t="s">
        <v>87</v>
      </c>
      <c r="K2386" s="9"/>
      <c r="L2386" s="9" t="s">
        <v>5478</v>
      </c>
      <c r="M2386" s="9" t="s">
        <v>5479</v>
      </c>
      <c r="N2386" s="9"/>
      <c r="O2386" s="9" t="s">
        <v>5480</v>
      </c>
      <c r="P2386" s="9" t="str">
        <f>HYPERLINK("https://ceds.ed.gov/cedselementdetails.aspx?termid=14459")</f>
        <v>https://ceds.ed.gov/cedselementdetails.aspx?termid=14459</v>
      </c>
      <c r="Q2386" s="9" t="str">
        <f>HYPERLINK("https://ceds.ed.gov/elementComment.aspx?elementName=Short Name of Institution &amp;elementID=14459", "Click here to submit comment")</f>
        <v>Click here to submit comment</v>
      </c>
    </row>
    <row r="2387" spans="1:17" ht="180" x14ac:dyDescent="0.25">
      <c r="A2387" s="9" t="s">
        <v>6860</v>
      </c>
      <c r="B2387" s="9" t="s">
        <v>6863</v>
      </c>
      <c r="C2387" s="9" t="s">
        <v>6874</v>
      </c>
      <c r="D2387" s="9" t="s">
        <v>6742</v>
      </c>
      <c r="E2387" s="9" t="s">
        <v>1894</v>
      </c>
      <c r="F2387" s="9" t="s">
        <v>1895</v>
      </c>
      <c r="G2387" s="9" t="s">
        <v>12</v>
      </c>
      <c r="H2387" s="9"/>
      <c r="I2387" s="9"/>
      <c r="J2387" s="9" t="s">
        <v>10933</v>
      </c>
      <c r="K2387" s="9"/>
      <c r="L2387" s="9"/>
      <c r="M2387" s="9" t="s">
        <v>1896</v>
      </c>
      <c r="N2387" s="9"/>
      <c r="O2387" s="9" t="s">
        <v>1897</v>
      </c>
      <c r="P2387" s="9" t="str">
        <f>HYPERLINK("https://ceds.ed.gov/cedselementdetails.aspx?termid=14176")</f>
        <v>https://ceds.ed.gov/cedselementdetails.aspx?termid=14176</v>
      </c>
      <c r="Q2387" s="9" t="str">
        <f>HYPERLINK("https://ceds.ed.gov/elementComment.aspx?elementName=County ANSI Code &amp;elementID=14176", "Click here to submit comment")</f>
        <v>Click here to submit comment</v>
      </c>
    </row>
    <row r="2388" spans="1:17" ht="135" x14ac:dyDescent="0.25">
      <c r="A2388" s="9" t="s">
        <v>6860</v>
      </c>
      <c r="B2388" s="9" t="s">
        <v>6863</v>
      </c>
      <c r="C2388" s="9" t="s">
        <v>6874</v>
      </c>
      <c r="D2388" s="9" t="s">
        <v>6742</v>
      </c>
      <c r="E2388" s="9" t="s">
        <v>2268</v>
      </c>
      <c r="F2388" s="9" t="s">
        <v>2269</v>
      </c>
      <c r="G2388" s="9" t="s">
        <v>12</v>
      </c>
      <c r="H2388" s="9" t="s">
        <v>6186</v>
      </c>
      <c r="I2388" s="9"/>
      <c r="J2388" s="9" t="s">
        <v>2270</v>
      </c>
      <c r="K2388" s="9"/>
      <c r="L2388" s="9"/>
      <c r="M2388" s="9" t="s">
        <v>2271</v>
      </c>
      <c r="N2388" s="9"/>
      <c r="O2388" s="9" t="s">
        <v>2272</v>
      </c>
      <c r="P2388" s="9" t="str">
        <f>HYPERLINK("https://ceds.ed.gov/cedselementdetails.aspx?termid=13081")</f>
        <v>https://ceds.ed.gov/cedselementdetails.aspx?termid=13081</v>
      </c>
      <c r="Q2388" s="9" t="str">
        <f>HYPERLINK("https://ceds.ed.gov/elementComment.aspx?elementName=Diploma or Credential Award Date &amp;elementID=13081", "Click here to submit comment")</f>
        <v>Click here to submit comment</v>
      </c>
    </row>
    <row r="2389" spans="1:17" ht="180" x14ac:dyDescent="0.25">
      <c r="A2389" s="9" t="s">
        <v>6860</v>
      </c>
      <c r="B2389" s="9" t="s">
        <v>6863</v>
      </c>
      <c r="C2389" s="9" t="s">
        <v>6874</v>
      </c>
      <c r="D2389" s="9" t="s">
        <v>6742</v>
      </c>
      <c r="E2389" s="9" t="s">
        <v>3021</v>
      </c>
      <c r="F2389" s="9" t="s">
        <v>3022</v>
      </c>
      <c r="G2389" s="9" t="s">
        <v>12</v>
      </c>
      <c r="H2389" s="9" t="s">
        <v>6217</v>
      </c>
      <c r="I2389" s="9"/>
      <c r="J2389" s="9" t="s">
        <v>3018</v>
      </c>
      <c r="K2389" s="9"/>
      <c r="L2389" s="9" t="s">
        <v>3023</v>
      </c>
      <c r="M2389" s="9" t="s">
        <v>3024</v>
      </c>
      <c r="N2389" s="9" t="s">
        <v>3025</v>
      </c>
      <c r="O2389" s="9" t="s">
        <v>3026</v>
      </c>
      <c r="P2389" s="9" t="str">
        <f>HYPERLINK("https://ceds.ed.gov/cedselementdetails.aspx?termid=13128")</f>
        <v>https://ceds.ed.gov/cedselementdetails.aspx?termid=13128</v>
      </c>
      <c r="Q2389" s="9" t="str">
        <f>HYPERLINK("https://ceds.ed.gov/elementComment.aspx?elementName=Grade Point Average Cumulative &amp;elementID=13128", "Click here to submit comment")</f>
        <v>Click here to submit comment</v>
      </c>
    </row>
    <row r="2390" spans="1:17" ht="45" x14ac:dyDescent="0.25">
      <c r="A2390" s="9" t="s">
        <v>6860</v>
      </c>
      <c r="B2390" s="9" t="s">
        <v>6863</v>
      </c>
      <c r="C2390" s="9" t="s">
        <v>6874</v>
      </c>
      <c r="D2390" s="9" t="s">
        <v>6742</v>
      </c>
      <c r="E2390" s="9" t="s">
        <v>3038</v>
      </c>
      <c r="F2390" s="9" t="s">
        <v>3039</v>
      </c>
      <c r="G2390" s="10" t="s">
        <v>6525</v>
      </c>
      <c r="H2390" s="9" t="s">
        <v>6219</v>
      </c>
      <c r="I2390" s="9"/>
      <c r="J2390" s="9"/>
      <c r="K2390" s="9"/>
      <c r="L2390" s="9"/>
      <c r="M2390" s="9" t="s">
        <v>3040</v>
      </c>
      <c r="N2390" s="9" t="s">
        <v>3041</v>
      </c>
      <c r="O2390" s="9" t="s">
        <v>3042</v>
      </c>
      <c r="P2390" s="9" t="str">
        <f>HYPERLINK("https://ceds.ed.gov/cedselementdetails.aspx?termid=13123")</f>
        <v>https://ceds.ed.gov/cedselementdetails.aspx?termid=13123</v>
      </c>
      <c r="Q2390" s="9" t="str">
        <f>HYPERLINK("https://ceds.ed.gov/elementComment.aspx?elementName=Grade Point Average Weighted Indicator &amp;elementID=13123", "Click here to submit comment")</f>
        <v>Click here to submit comment</v>
      </c>
    </row>
    <row r="2391" spans="1:17" ht="285" x14ac:dyDescent="0.25">
      <c r="A2391" s="9" t="s">
        <v>6860</v>
      </c>
      <c r="B2391" s="9" t="s">
        <v>6863</v>
      </c>
      <c r="C2391" s="9" t="s">
        <v>6874</v>
      </c>
      <c r="D2391" s="9" t="s">
        <v>6742</v>
      </c>
      <c r="E2391" s="9" t="s">
        <v>3109</v>
      </c>
      <c r="F2391" s="9" t="s">
        <v>3110</v>
      </c>
      <c r="G2391" s="10" t="s">
        <v>6532</v>
      </c>
      <c r="H2391" s="9" t="s">
        <v>6220</v>
      </c>
      <c r="I2391" s="9"/>
      <c r="J2391" s="9"/>
      <c r="K2391" s="9"/>
      <c r="L2391" s="9"/>
      <c r="M2391" s="9" t="s">
        <v>3111</v>
      </c>
      <c r="N2391" s="9"/>
      <c r="O2391" s="9" t="s">
        <v>3112</v>
      </c>
      <c r="P2391" s="9" t="str">
        <f>HYPERLINK("https://ceds.ed.gov/cedselementdetails.aspx?termid=13138")</f>
        <v>https://ceds.ed.gov/cedselementdetails.aspx?termid=13138</v>
      </c>
      <c r="Q2391" s="9" t="str">
        <f>HYPERLINK("https://ceds.ed.gov/elementComment.aspx?elementName=High School Diploma Type &amp;elementID=13138", "Click here to submit comment")</f>
        <v>Click here to submit comment</v>
      </c>
    </row>
    <row r="2392" spans="1:17" ht="60" x14ac:dyDescent="0.25">
      <c r="A2392" s="9" t="s">
        <v>6860</v>
      </c>
      <c r="B2392" s="9" t="s">
        <v>6863</v>
      </c>
      <c r="C2392" s="9" t="s">
        <v>6874</v>
      </c>
      <c r="D2392" s="9" t="s">
        <v>6742</v>
      </c>
      <c r="E2392" s="9" t="s">
        <v>1816</v>
      </c>
      <c r="F2392" s="9" t="s">
        <v>1817</v>
      </c>
      <c r="G2392" s="9" t="s">
        <v>12</v>
      </c>
      <c r="H2392" s="9" t="s">
        <v>6161</v>
      </c>
      <c r="I2392" s="9"/>
      <c r="J2392" s="9" t="s">
        <v>1813</v>
      </c>
      <c r="K2392" s="9"/>
      <c r="L2392" s="9"/>
      <c r="M2392" s="9" t="s">
        <v>1818</v>
      </c>
      <c r="N2392" s="9"/>
      <c r="O2392" s="9" t="s">
        <v>1819</v>
      </c>
      <c r="P2392" s="9" t="str">
        <f>HYPERLINK("https://ceds.ed.gov/cedselementdetails.aspx?termid=13046")</f>
        <v>https://ceds.ed.gov/cedselementdetails.aspx?termid=13046</v>
      </c>
      <c r="Q2392" s="9" t="str">
        <f>HYPERLINK("https://ceds.ed.gov/elementComment.aspx?elementName=Cohort Year &amp;elementID=13046", "Click here to submit comment")</f>
        <v>Click here to submit comment</v>
      </c>
    </row>
    <row r="2393" spans="1:17" ht="30" customHeight="1" x14ac:dyDescent="0.25">
      <c r="A2393" s="18" t="s">
        <v>6860</v>
      </c>
      <c r="B2393" s="18" t="s">
        <v>6863</v>
      </c>
      <c r="C2393" s="18" t="s">
        <v>6865</v>
      </c>
      <c r="D2393" s="18" t="s">
        <v>6742</v>
      </c>
      <c r="E2393" s="18" t="s">
        <v>2849</v>
      </c>
      <c r="F2393" s="18" t="s">
        <v>2850</v>
      </c>
      <c r="G2393" s="18" t="s">
        <v>6106</v>
      </c>
      <c r="H2393" s="18" t="s">
        <v>227</v>
      </c>
      <c r="I2393" s="18"/>
      <c r="J2393" s="18"/>
      <c r="K2393" s="18"/>
      <c r="L2393" s="9" t="s">
        <v>2852</v>
      </c>
      <c r="M2393" s="18" t="s">
        <v>2854</v>
      </c>
      <c r="N2393" s="18"/>
      <c r="O2393" s="18" t="s">
        <v>2855</v>
      </c>
      <c r="P2393" s="18" t="str">
        <f>HYPERLINK("https://ceds.ed.gov/cedselementdetails.aspx?termid=13745")</f>
        <v>https://ceds.ed.gov/cedselementdetails.aspx?termid=13745</v>
      </c>
      <c r="Q2393" s="18" t="str">
        <f>HYPERLINK("https://ceds.ed.gov/elementComment.aspx?elementName=Financial Aid Applicant &amp;elementID=13745", "Click here to submit comment")</f>
        <v>Click here to submit comment</v>
      </c>
    </row>
    <row r="2394" spans="1:17" ht="45" x14ac:dyDescent="0.25">
      <c r="A2394" s="18"/>
      <c r="B2394" s="18"/>
      <c r="C2394" s="18"/>
      <c r="D2394" s="18"/>
      <c r="E2394" s="18"/>
      <c r="F2394" s="18"/>
      <c r="G2394" s="18"/>
      <c r="H2394" s="18"/>
      <c r="I2394" s="18"/>
      <c r="J2394" s="18"/>
      <c r="K2394" s="18"/>
      <c r="L2394" s="9" t="s">
        <v>2853</v>
      </c>
      <c r="M2394" s="18"/>
      <c r="N2394" s="18"/>
      <c r="O2394" s="18"/>
      <c r="P2394" s="18"/>
      <c r="Q2394" s="18"/>
    </row>
    <row r="2395" spans="1:17" ht="120" x14ac:dyDescent="0.25">
      <c r="A2395" s="9" t="s">
        <v>6860</v>
      </c>
      <c r="B2395" s="9" t="s">
        <v>6863</v>
      </c>
      <c r="C2395" s="9" t="s">
        <v>6865</v>
      </c>
      <c r="D2395" s="9" t="s">
        <v>6742</v>
      </c>
      <c r="E2395" s="9" t="s">
        <v>2856</v>
      </c>
      <c r="F2395" s="9" t="s">
        <v>2857</v>
      </c>
      <c r="G2395" s="10" t="s">
        <v>6509</v>
      </c>
      <c r="H2395" s="9" t="s">
        <v>227</v>
      </c>
      <c r="I2395" s="9"/>
      <c r="J2395" s="9"/>
      <c r="K2395" s="9"/>
      <c r="L2395" s="9" t="s">
        <v>2858</v>
      </c>
      <c r="M2395" s="9" t="s">
        <v>2859</v>
      </c>
      <c r="N2395" s="9"/>
      <c r="O2395" s="9" t="s">
        <v>2860</v>
      </c>
      <c r="P2395" s="9" t="str">
        <f>HYPERLINK("https://ceds.ed.gov/cedselementdetails.aspx?termid=14186")</f>
        <v>https://ceds.ed.gov/cedselementdetails.aspx?termid=14186</v>
      </c>
      <c r="Q2395" s="9" t="str">
        <f>HYPERLINK("https://ceds.ed.gov/elementComment.aspx?elementName=Financial Aid Application Type &amp;elementID=14186", "Click here to submit comment")</f>
        <v>Click here to submit comment</v>
      </c>
    </row>
    <row r="2396" spans="1:17" ht="60" x14ac:dyDescent="0.25">
      <c r="A2396" s="9" t="s">
        <v>6860</v>
      </c>
      <c r="B2396" s="9" t="s">
        <v>6863</v>
      </c>
      <c r="C2396" s="9" t="s">
        <v>6865</v>
      </c>
      <c r="D2396" s="9" t="s">
        <v>6742</v>
      </c>
      <c r="E2396" s="9" t="s">
        <v>2907</v>
      </c>
      <c r="F2396" s="9" t="s">
        <v>2908</v>
      </c>
      <c r="G2396" s="9" t="s">
        <v>12</v>
      </c>
      <c r="H2396" s="9" t="s">
        <v>227</v>
      </c>
      <c r="I2396" s="9"/>
      <c r="J2396" s="9" t="s">
        <v>1513</v>
      </c>
      <c r="K2396" s="9"/>
      <c r="L2396" s="9" t="s">
        <v>2909</v>
      </c>
      <c r="M2396" s="9" t="s">
        <v>2910</v>
      </c>
      <c r="N2396" s="9"/>
      <c r="O2396" s="9" t="s">
        <v>2911</v>
      </c>
      <c r="P2396" s="9" t="str">
        <f>HYPERLINK("https://ceds.ed.gov/cedselementdetails.aspx?termid=13747")</f>
        <v>https://ceds.ed.gov/cedselementdetails.aspx?termid=13747</v>
      </c>
      <c r="Q2396" s="9" t="str">
        <f>HYPERLINK("https://ceds.ed.gov/elementComment.aspx?elementName=Financial Need &amp;elementID=13747", "Click here to submit comment")</f>
        <v>Click here to submit comment</v>
      </c>
    </row>
    <row r="2397" spans="1:17" ht="45" x14ac:dyDescent="0.25">
      <c r="A2397" s="9" t="s">
        <v>6860</v>
      </c>
      <c r="B2397" s="9" t="s">
        <v>6863</v>
      </c>
      <c r="C2397" s="9" t="s">
        <v>6865</v>
      </c>
      <c r="D2397" s="9" t="s">
        <v>6742</v>
      </c>
      <c r="E2397" s="9" t="s">
        <v>2912</v>
      </c>
      <c r="F2397" s="9" t="s">
        <v>2913</v>
      </c>
      <c r="G2397" s="10" t="s">
        <v>6517</v>
      </c>
      <c r="H2397" s="9" t="s">
        <v>227</v>
      </c>
      <c r="I2397" s="9"/>
      <c r="J2397" s="9"/>
      <c r="K2397" s="9"/>
      <c r="L2397" s="9" t="s">
        <v>2914</v>
      </c>
      <c r="M2397" s="9" t="s">
        <v>2915</v>
      </c>
      <c r="N2397" s="9"/>
      <c r="O2397" s="9" t="s">
        <v>2916</v>
      </c>
      <c r="P2397" s="9" t="str">
        <f>HYPERLINK("https://ceds.ed.gov/cedselementdetails.aspx?termid=14188")</f>
        <v>https://ceds.ed.gov/cedselementdetails.aspx?termid=14188</v>
      </c>
      <c r="Q2397" s="9" t="str">
        <f>HYPERLINK("https://ceds.ed.gov/elementComment.aspx?elementName=Financial Need Determination Methodology &amp;elementID=14188", "Click here to submit comment")</f>
        <v>Click here to submit comment</v>
      </c>
    </row>
    <row r="2398" spans="1:17" ht="45" customHeight="1" x14ac:dyDescent="0.25">
      <c r="A2398" s="18" t="s">
        <v>6860</v>
      </c>
      <c r="B2398" s="18" t="s">
        <v>6863</v>
      </c>
      <c r="C2398" s="18" t="s">
        <v>6865</v>
      </c>
      <c r="D2398" s="18" t="s">
        <v>6742</v>
      </c>
      <c r="E2398" s="18" t="s">
        <v>2867</v>
      </c>
      <c r="F2398" s="18" t="s">
        <v>2868</v>
      </c>
      <c r="G2398" s="19" t="s">
        <v>6510</v>
      </c>
      <c r="H2398" s="18" t="s">
        <v>6210</v>
      </c>
      <c r="I2398" s="18"/>
      <c r="J2398" s="18"/>
      <c r="K2398" s="18"/>
      <c r="L2398" s="9" t="s">
        <v>2869</v>
      </c>
      <c r="M2398" s="18" t="s">
        <v>2871</v>
      </c>
      <c r="N2398" s="18"/>
      <c r="O2398" s="18" t="s">
        <v>2872</v>
      </c>
      <c r="P2398" s="18" t="str">
        <f>HYPERLINK("https://ceds.ed.gov/cedselementdetails.aspx?termid=13362")</f>
        <v>https://ceds.ed.gov/cedselementdetails.aspx?termid=13362</v>
      </c>
      <c r="Q2398" s="18" t="str">
        <f>HYPERLINK("https://ceds.ed.gov/elementComment.aspx?elementName=Financial Aid Award Status &amp;elementID=13362", "Click here to submit comment")</f>
        <v>Click here to submit comment</v>
      </c>
    </row>
    <row r="2399" spans="1:17" ht="30" x14ac:dyDescent="0.25">
      <c r="A2399" s="18"/>
      <c r="B2399" s="18"/>
      <c r="C2399" s="18"/>
      <c r="D2399" s="18"/>
      <c r="E2399" s="18"/>
      <c r="F2399" s="18"/>
      <c r="G2399" s="18"/>
      <c r="H2399" s="18"/>
      <c r="I2399" s="18"/>
      <c r="J2399" s="18"/>
      <c r="K2399" s="18"/>
      <c r="L2399" s="9" t="s">
        <v>2870</v>
      </c>
      <c r="M2399" s="18"/>
      <c r="N2399" s="18"/>
      <c r="O2399" s="18"/>
      <c r="P2399" s="18"/>
      <c r="Q2399" s="18"/>
    </row>
    <row r="2400" spans="1:17" ht="409.6" customHeight="1" x14ac:dyDescent="0.25">
      <c r="A2400" s="18" t="s">
        <v>6860</v>
      </c>
      <c r="B2400" s="18" t="s">
        <v>6863</v>
      </c>
      <c r="C2400" s="18" t="s">
        <v>6865</v>
      </c>
      <c r="D2400" s="18" t="s">
        <v>6742</v>
      </c>
      <c r="E2400" s="18" t="s">
        <v>2873</v>
      </c>
      <c r="F2400" s="18" t="s">
        <v>2874</v>
      </c>
      <c r="G2400" s="19" t="s">
        <v>6511</v>
      </c>
      <c r="H2400" s="18" t="s">
        <v>6210</v>
      </c>
      <c r="I2400" s="18"/>
      <c r="J2400" s="18"/>
      <c r="K2400" s="18"/>
      <c r="L2400" s="9" t="s">
        <v>2875</v>
      </c>
      <c r="M2400" s="18" t="s">
        <v>2876</v>
      </c>
      <c r="N2400" s="18"/>
      <c r="O2400" s="18" t="s">
        <v>2877</v>
      </c>
      <c r="P2400" s="18" t="str">
        <f>HYPERLINK("https://ceds.ed.gov/cedselementdetails.aspx?termid=13113")</f>
        <v>https://ceds.ed.gov/cedselementdetails.aspx?termid=13113</v>
      </c>
      <c r="Q2400" s="18" t="str">
        <f>HYPERLINK("https://ceds.ed.gov/elementComment.aspx?elementName=Financial Aid Award Type &amp;elementID=13113", "Click here to submit comment")</f>
        <v>Click here to submit comment</v>
      </c>
    </row>
    <row r="2401" spans="1:17" ht="45" x14ac:dyDescent="0.25">
      <c r="A2401" s="18"/>
      <c r="B2401" s="18"/>
      <c r="C2401" s="18"/>
      <c r="D2401" s="18"/>
      <c r="E2401" s="18"/>
      <c r="F2401" s="18"/>
      <c r="G2401" s="18"/>
      <c r="H2401" s="18"/>
      <c r="I2401" s="18"/>
      <c r="J2401" s="18"/>
      <c r="K2401" s="18"/>
      <c r="L2401" s="9" t="s">
        <v>2864</v>
      </c>
      <c r="M2401" s="18"/>
      <c r="N2401" s="18"/>
      <c r="O2401" s="18"/>
      <c r="P2401" s="18"/>
      <c r="Q2401" s="18"/>
    </row>
    <row r="2402" spans="1:17" ht="30" customHeight="1" x14ac:dyDescent="0.25">
      <c r="A2402" s="18" t="s">
        <v>6860</v>
      </c>
      <c r="B2402" s="18" t="s">
        <v>6863</v>
      </c>
      <c r="C2402" s="18" t="s">
        <v>6865</v>
      </c>
      <c r="D2402" s="18" t="s">
        <v>6742</v>
      </c>
      <c r="E2402" s="18" t="s">
        <v>2861</v>
      </c>
      <c r="F2402" s="18" t="s">
        <v>2862</v>
      </c>
      <c r="G2402" s="18" t="s">
        <v>12</v>
      </c>
      <c r="H2402" s="18" t="s">
        <v>6210</v>
      </c>
      <c r="I2402" s="18"/>
      <c r="J2402" s="18" t="s">
        <v>1513</v>
      </c>
      <c r="K2402" s="18"/>
      <c r="L2402" s="9" t="s">
        <v>2863</v>
      </c>
      <c r="M2402" s="18" t="s">
        <v>2865</v>
      </c>
      <c r="N2402" s="18"/>
      <c r="O2402" s="18" t="s">
        <v>2866</v>
      </c>
      <c r="P2402" s="18" t="str">
        <f>HYPERLINK("https://ceds.ed.gov/cedselementdetails.aspx?termid=13112")</f>
        <v>https://ceds.ed.gov/cedselementdetails.aspx?termid=13112</v>
      </c>
      <c r="Q2402" s="18" t="str">
        <f>HYPERLINK("https://ceds.ed.gov/elementComment.aspx?elementName=Financial Aid Award Amount &amp;elementID=13112", "Click here to submit comment")</f>
        <v>Click here to submit comment</v>
      </c>
    </row>
    <row r="2403" spans="1:17" ht="45" x14ac:dyDescent="0.25">
      <c r="A2403" s="18"/>
      <c r="B2403" s="18"/>
      <c r="C2403" s="18"/>
      <c r="D2403" s="18"/>
      <c r="E2403" s="18"/>
      <c r="F2403" s="18"/>
      <c r="G2403" s="18"/>
      <c r="H2403" s="18"/>
      <c r="I2403" s="18"/>
      <c r="J2403" s="18"/>
      <c r="K2403" s="18"/>
      <c r="L2403" s="9" t="s">
        <v>2864</v>
      </c>
      <c r="M2403" s="18"/>
      <c r="N2403" s="18"/>
      <c r="O2403" s="18"/>
      <c r="P2403" s="18"/>
      <c r="Q2403" s="18"/>
    </row>
    <row r="2404" spans="1:17" ht="150" x14ac:dyDescent="0.25">
      <c r="A2404" s="9" t="s">
        <v>6860</v>
      </c>
      <c r="B2404" s="9" t="s">
        <v>6863</v>
      </c>
      <c r="C2404" s="9" t="s">
        <v>6865</v>
      </c>
      <c r="D2404" s="9" t="s">
        <v>6742</v>
      </c>
      <c r="E2404" s="9" t="s">
        <v>2878</v>
      </c>
      <c r="F2404" s="9" t="s">
        <v>2879</v>
      </c>
      <c r="G2404" s="9" t="s">
        <v>12</v>
      </c>
      <c r="H2404" s="9"/>
      <c r="I2404" s="9"/>
      <c r="J2404" s="9" t="s">
        <v>1513</v>
      </c>
      <c r="K2404" s="9"/>
      <c r="L2404" s="9"/>
      <c r="M2404" s="9" t="s">
        <v>2880</v>
      </c>
      <c r="N2404" s="9"/>
      <c r="O2404" s="9" t="s">
        <v>2881</v>
      </c>
      <c r="P2404" s="9" t="str">
        <f>HYPERLINK("https://ceds.ed.gov/cedselementdetails.aspx?termid=14319")</f>
        <v>https://ceds.ed.gov/cedselementdetails.aspx?termid=14319</v>
      </c>
      <c r="Q2404" s="9" t="str">
        <f>HYPERLINK("https://ceds.ed.gov/elementComment.aspx?elementName=Financial Aid Income Level &amp;elementID=14319", "Click here to submit comment")</f>
        <v>Click here to submit comment</v>
      </c>
    </row>
    <row r="2405" spans="1:17" ht="105" x14ac:dyDescent="0.25">
      <c r="A2405" s="9" t="s">
        <v>6860</v>
      </c>
      <c r="B2405" s="9" t="s">
        <v>6863</v>
      </c>
      <c r="C2405" s="9" t="s">
        <v>6865</v>
      </c>
      <c r="D2405" s="9" t="s">
        <v>6742</v>
      </c>
      <c r="E2405" s="9" t="s">
        <v>2882</v>
      </c>
      <c r="F2405" s="9" t="s">
        <v>2883</v>
      </c>
      <c r="G2405" s="10" t="s">
        <v>6512</v>
      </c>
      <c r="H2405" s="9" t="s">
        <v>1963</v>
      </c>
      <c r="I2405" s="9"/>
      <c r="J2405" s="9"/>
      <c r="K2405" s="9"/>
      <c r="L2405" s="9"/>
      <c r="M2405" s="9" t="s">
        <v>2884</v>
      </c>
      <c r="N2405" s="9"/>
      <c r="O2405" s="9" t="s">
        <v>2885</v>
      </c>
      <c r="P2405" s="9" t="str">
        <f>HYPERLINK("https://ceds.ed.gov/cedselementdetails.aspx?termid=14588")</f>
        <v>https://ceds.ed.gov/cedselementdetails.aspx?termid=14588</v>
      </c>
      <c r="Q2405" s="9" t="str">
        <f>HYPERLINK("https://ceds.ed.gov/elementComment.aspx?elementName=Financial Aid Veteran’s Benefit Status &amp;elementID=14588", "Click here to submit comment")</f>
        <v>Click here to submit comment</v>
      </c>
    </row>
    <row r="2406" spans="1:17" ht="60" x14ac:dyDescent="0.25">
      <c r="A2406" s="9" t="s">
        <v>6860</v>
      </c>
      <c r="B2406" s="9" t="s">
        <v>6863</v>
      </c>
      <c r="C2406" s="9" t="s">
        <v>6865</v>
      </c>
      <c r="D2406" s="9" t="s">
        <v>6742</v>
      </c>
      <c r="E2406" s="9" t="s">
        <v>2886</v>
      </c>
      <c r="F2406" s="9" t="s">
        <v>2887</v>
      </c>
      <c r="G2406" s="10" t="s">
        <v>6513</v>
      </c>
      <c r="H2406" s="9" t="s">
        <v>216</v>
      </c>
      <c r="I2406" s="9"/>
      <c r="J2406" s="9"/>
      <c r="K2406" s="9"/>
      <c r="L2406" s="9"/>
      <c r="M2406" s="9" t="s">
        <v>2888</v>
      </c>
      <c r="N2406" s="9"/>
      <c r="O2406" s="9" t="s">
        <v>2889</v>
      </c>
      <c r="P2406" s="9" t="str">
        <f>HYPERLINK("https://ceds.ed.gov/cedselementdetails.aspx?termid=14589")</f>
        <v>https://ceds.ed.gov/cedselementdetails.aspx?termid=14589</v>
      </c>
      <c r="Q2406" s="9" t="str">
        <f>HYPERLINK("https://ceds.ed.gov/elementComment.aspx?elementName=Financial Aid Veteran’s Benefit Type &amp;elementID=14589", "Click here to submit comment")</f>
        <v>Click here to submit comment</v>
      </c>
    </row>
    <row r="2407" spans="1:17" ht="60" x14ac:dyDescent="0.25">
      <c r="A2407" s="9" t="s">
        <v>6860</v>
      </c>
      <c r="B2407" s="9" t="s">
        <v>6863</v>
      </c>
      <c r="C2407" s="9" t="s">
        <v>6865</v>
      </c>
      <c r="D2407" s="9" t="s">
        <v>6742</v>
      </c>
      <c r="E2407" s="9" t="s">
        <v>2890</v>
      </c>
      <c r="F2407" s="9" t="s">
        <v>2891</v>
      </c>
      <c r="G2407" s="9" t="s">
        <v>12</v>
      </c>
      <c r="H2407" s="9" t="s">
        <v>2250</v>
      </c>
      <c r="I2407" s="9"/>
      <c r="J2407" s="9" t="s">
        <v>45</v>
      </c>
      <c r="K2407" s="9"/>
      <c r="L2407" s="9"/>
      <c r="M2407" s="9" t="s">
        <v>2892</v>
      </c>
      <c r="N2407" s="9"/>
      <c r="O2407" s="9" t="s">
        <v>2893</v>
      </c>
      <c r="P2407" s="9" t="str">
        <f>HYPERLINK("https://ceds.ed.gov/cedselementdetails.aspx?termid=14590")</f>
        <v>https://ceds.ed.gov/cedselementdetails.aspx?termid=14590</v>
      </c>
      <c r="Q2407" s="9" t="str">
        <f>HYPERLINK("https://ceds.ed.gov/elementComment.aspx?elementName=Financial Aid Year Designator &amp;elementID=14590", "Click here to submit comment")</f>
        <v>Click here to submit comment</v>
      </c>
    </row>
    <row r="2408" spans="1:17" ht="105" x14ac:dyDescent="0.25">
      <c r="A2408" s="9" t="s">
        <v>6860</v>
      </c>
      <c r="B2408" s="9" t="s">
        <v>6863</v>
      </c>
      <c r="C2408" s="9" t="s">
        <v>6866</v>
      </c>
      <c r="D2408" s="9" t="s">
        <v>6742</v>
      </c>
      <c r="E2408" s="9" t="s">
        <v>2203</v>
      </c>
      <c r="F2408" s="9" t="s">
        <v>2204</v>
      </c>
      <c r="G2408" s="9" t="s">
        <v>6106</v>
      </c>
      <c r="H2408" s="9" t="s">
        <v>6108</v>
      </c>
      <c r="I2408" s="9"/>
      <c r="J2408" s="9"/>
      <c r="K2408" s="9"/>
      <c r="L2408" s="9"/>
      <c r="M2408" s="9" t="s">
        <v>2205</v>
      </c>
      <c r="N2408" s="9"/>
      <c r="O2408" s="9" t="s">
        <v>2206</v>
      </c>
      <c r="P2408" s="9" t="str">
        <f>HYPERLINK("https://ceds.ed.gov/cedselementdetails.aspx?termid=13078")</f>
        <v>https://ceds.ed.gov/cedselementdetails.aspx?termid=13078</v>
      </c>
      <c r="Q2408" s="9" t="str">
        <f>HYPERLINK("https://ceds.ed.gov/elementComment.aspx?elementName=Degree or Certificate Seeking Student &amp;elementID=13078", "Click here to submit comment")</f>
        <v>Click here to submit comment</v>
      </c>
    </row>
    <row r="2409" spans="1:17" ht="195" x14ac:dyDescent="0.25">
      <c r="A2409" s="9" t="s">
        <v>6860</v>
      </c>
      <c r="B2409" s="9" t="s">
        <v>6863</v>
      </c>
      <c r="C2409" s="9" t="s">
        <v>6866</v>
      </c>
      <c r="D2409" s="9" t="s">
        <v>6742</v>
      </c>
      <c r="E2409" s="9" t="s">
        <v>1806</v>
      </c>
      <c r="F2409" s="9" t="s">
        <v>1807</v>
      </c>
      <c r="G2409" s="10" t="s">
        <v>6410</v>
      </c>
      <c r="H2409" s="9" t="s">
        <v>216</v>
      </c>
      <c r="I2409" s="9"/>
      <c r="J2409" s="9"/>
      <c r="K2409" s="9"/>
      <c r="L2409" s="9"/>
      <c r="M2409" s="9" t="s">
        <v>1809</v>
      </c>
      <c r="N2409" s="9"/>
      <c r="O2409" s="9" t="s">
        <v>1810</v>
      </c>
      <c r="P2409" s="9" t="str">
        <f>HYPERLINK("https://ceds.ed.gov/cedselementdetails.aspx?termid=13106")</f>
        <v>https://ceds.ed.gov/cedselementdetails.aspx?termid=13106</v>
      </c>
      <c r="Q2409" s="9" t="str">
        <f>HYPERLINK("https://ceds.ed.gov/elementComment.aspx?elementName=Cohort Exclusion &amp;elementID=13106", "Click here to submit comment")</f>
        <v>Click here to submit comment</v>
      </c>
    </row>
    <row r="2410" spans="1:17" ht="195" x14ac:dyDescent="0.25">
      <c r="A2410" s="9" t="s">
        <v>6860</v>
      </c>
      <c r="B2410" s="9" t="s">
        <v>6863</v>
      </c>
      <c r="C2410" s="9" t="s">
        <v>6866</v>
      </c>
      <c r="D2410" s="9" t="s">
        <v>6742</v>
      </c>
      <c r="E2410" s="9" t="s">
        <v>2940</v>
      </c>
      <c r="F2410" s="9" t="s">
        <v>2941</v>
      </c>
      <c r="G2410" s="9" t="s">
        <v>6106</v>
      </c>
      <c r="H2410" s="9" t="s">
        <v>6115</v>
      </c>
      <c r="I2410" s="9"/>
      <c r="J2410" s="9"/>
      <c r="K2410" s="9"/>
      <c r="L2410" s="9"/>
      <c r="M2410" s="9" t="s">
        <v>2942</v>
      </c>
      <c r="N2410" s="9"/>
      <c r="O2410" s="9" t="s">
        <v>2943</v>
      </c>
      <c r="P2410" s="9" t="str">
        <f>HYPERLINK("https://ceds.ed.gov/cedselementdetails.aspx?termid=13117")</f>
        <v>https://ceds.ed.gov/cedselementdetails.aspx?termid=13117</v>
      </c>
      <c r="Q2410" s="9" t="str">
        <f>HYPERLINK("https://ceds.ed.gov/elementComment.aspx?elementName=First Time Postsecondary Student &amp;elementID=13117", "Click here to submit comment")</f>
        <v>Click here to submit comment</v>
      </c>
    </row>
    <row r="2411" spans="1:17" ht="90" x14ac:dyDescent="0.25">
      <c r="A2411" s="9" t="s">
        <v>6860</v>
      </c>
      <c r="B2411" s="9" t="s">
        <v>6863</v>
      </c>
      <c r="C2411" s="9" t="s">
        <v>6866</v>
      </c>
      <c r="D2411" s="9" t="s">
        <v>6742</v>
      </c>
      <c r="E2411" s="9" t="s">
        <v>5736</v>
      </c>
      <c r="F2411" s="9" t="s">
        <v>5737</v>
      </c>
      <c r="G2411" s="10" t="s">
        <v>6707</v>
      </c>
      <c r="H2411" s="9" t="s">
        <v>6115</v>
      </c>
      <c r="I2411" s="9"/>
      <c r="J2411" s="9"/>
      <c r="K2411" s="9"/>
      <c r="L2411" s="9"/>
      <c r="M2411" s="9" t="s">
        <v>5738</v>
      </c>
      <c r="N2411" s="9"/>
      <c r="O2411" s="9" t="s">
        <v>5739</v>
      </c>
      <c r="P2411" s="9" t="str">
        <f>HYPERLINK("https://ceds.ed.gov/cedselementdetails.aspx?termid=13272")</f>
        <v>https://ceds.ed.gov/cedselementdetails.aspx?termid=13272</v>
      </c>
      <c r="Q2411" s="9" t="str">
        <f>HYPERLINK("https://ceds.ed.gov/elementComment.aspx?elementName=Student Level &amp;elementID=13272", "Click here to submit comment")</f>
        <v>Click here to submit comment</v>
      </c>
    </row>
    <row r="2412" spans="1:17" ht="90" x14ac:dyDescent="0.25">
      <c r="A2412" s="9" t="s">
        <v>6860</v>
      </c>
      <c r="B2412" s="9" t="s">
        <v>6863</v>
      </c>
      <c r="C2412" s="9" t="s">
        <v>6866</v>
      </c>
      <c r="D2412" s="9" t="s">
        <v>6742</v>
      </c>
      <c r="E2412" s="9" t="s">
        <v>2699</v>
      </c>
      <c r="F2412" s="9" t="s">
        <v>2700</v>
      </c>
      <c r="G2412" s="9" t="s">
        <v>12</v>
      </c>
      <c r="H2412" s="9" t="s">
        <v>6204</v>
      </c>
      <c r="I2412" s="9"/>
      <c r="J2412" s="9" t="s">
        <v>73</v>
      </c>
      <c r="K2412" s="9"/>
      <c r="L2412" s="9"/>
      <c r="M2412" s="9" t="s">
        <v>2701</v>
      </c>
      <c r="N2412" s="9"/>
      <c r="O2412" s="9" t="s">
        <v>2702</v>
      </c>
      <c r="P2412" s="9" t="str">
        <f>HYPERLINK("https://ceds.ed.gov/cedselementdetails.aspx?termid=13098")</f>
        <v>https://ceds.ed.gov/cedselementdetails.aspx?termid=13098</v>
      </c>
      <c r="Q2412" s="9" t="str">
        <f>HYPERLINK("https://ceds.ed.gov/elementComment.aspx?elementName=Entry Date into Postsecondary &amp;elementID=13098", "Click here to submit comment")</f>
        <v>Click here to submit comment</v>
      </c>
    </row>
    <row r="2413" spans="1:17" ht="195" x14ac:dyDescent="0.25">
      <c r="A2413" s="9" t="s">
        <v>6860</v>
      </c>
      <c r="B2413" s="9" t="s">
        <v>6863</v>
      </c>
      <c r="C2413" s="9" t="s">
        <v>6866</v>
      </c>
      <c r="D2413" s="9" t="s">
        <v>6742</v>
      </c>
      <c r="E2413" s="9" t="s">
        <v>2682</v>
      </c>
      <c r="F2413" s="9" t="s">
        <v>2683</v>
      </c>
      <c r="G2413" s="9" t="s">
        <v>12</v>
      </c>
      <c r="H2413" s="9" t="s">
        <v>6202</v>
      </c>
      <c r="I2413" s="9"/>
      <c r="J2413" s="9" t="s">
        <v>73</v>
      </c>
      <c r="K2413" s="9"/>
      <c r="L2413" s="9"/>
      <c r="M2413" s="9" t="s">
        <v>2684</v>
      </c>
      <c r="N2413" s="9"/>
      <c r="O2413" s="9" t="s">
        <v>2685</v>
      </c>
      <c r="P2413" s="9" t="str">
        <f>HYPERLINK("https://ceds.ed.gov/cedselementdetails.aspx?termid=13097")</f>
        <v>https://ceds.ed.gov/cedselementdetails.aspx?termid=13097</v>
      </c>
      <c r="Q2413" s="9" t="str">
        <f>HYPERLINK("https://ceds.ed.gov/elementComment.aspx?elementName=Enrollment Entry Date &amp;elementID=13097", "Click here to submit comment")</f>
        <v>Click here to submit comment</v>
      </c>
    </row>
    <row r="2414" spans="1:17" ht="60" x14ac:dyDescent="0.25">
      <c r="A2414" s="9" t="s">
        <v>6860</v>
      </c>
      <c r="B2414" s="9" t="s">
        <v>6863</v>
      </c>
      <c r="C2414" s="9" t="s">
        <v>6866</v>
      </c>
      <c r="D2414" s="9" t="s">
        <v>6742</v>
      </c>
      <c r="E2414" s="9" t="s">
        <v>2686</v>
      </c>
      <c r="F2414" s="9" t="s">
        <v>2687</v>
      </c>
      <c r="G2414" s="9" t="s">
        <v>12</v>
      </c>
      <c r="H2414" s="9" t="s">
        <v>25</v>
      </c>
      <c r="I2414" s="9"/>
      <c r="J2414" s="9" t="s">
        <v>73</v>
      </c>
      <c r="K2414" s="9"/>
      <c r="L2414" s="9"/>
      <c r="M2414" s="9" t="s">
        <v>2688</v>
      </c>
      <c r="N2414" s="9"/>
      <c r="O2414" s="9" t="s">
        <v>2689</v>
      </c>
      <c r="P2414" s="9" t="str">
        <f>HYPERLINK("https://ceds.ed.gov/cedselementdetails.aspx?termid=13107")</f>
        <v>https://ceds.ed.gov/cedselementdetails.aspx?termid=13107</v>
      </c>
      <c r="Q2414" s="9" t="str">
        <f>HYPERLINK("https://ceds.ed.gov/elementComment.aspx?elementName=Enrollment Exit Date &amp;elementID=13107", "Click here to submit comment")</f>
        <v>Click here to submit comment</v>
      </c>
    </row>
    <row r="2415" spans="1:17" ht="75" x14ac:dyDescent="0.25">
      <c r="A2415" s="9" t="s">
        <v>6860</v>
      </c>
      <c r="B2415" s="9" t="s">
        <v>6863</v>
      </c>
      <c r="C2415" s="9" t="s">
        <v>6866</v>
      </c>
      <c r="D2415" s="9" t="s">
        <v>6742</v>
      </c>
      <c r="E2415" s="9" t="s">
        <v>3420</v>
      </c>
      <c r="F2415" s="9" t="s">
        <v>3421</v>
      </c>
      <c r="G2415" s="9" t="s">
        <v>12</v>
      </c>
      <c r="H2415" s="9" t="s">
        <v>6115</v>
      </c>
      <c r="I2415" s="9"/>
      <c r="J2415" s="9" t="s">
        <v>87</v>
      </c>
      <c r="K2415" s="9"/>
      <c r="L2415" s="9"/>
      <c r="M2415" s="9" t="s">
        <v>3422</v>
      </c>
      <c r="N2415" s="9"/>
      <c r="O2415" s="9" t="s">
        <v>3423</v>
      </c>
      <c r="P2415" s="9" t="str">
        <f>HYPERLINK("https://ceds.ed.gov/cedselementdetails.aspx?termid=13165")</f>
        <v>https://ceds.ed.gov/cedselementdetails.aspx?termid=13165</v>
      </c>
      <c r="Q2415" s="9" t="str">
        <f>HYPERLINK("https://ceds.ed.gov/elementComment.aspx?elementName=Initial Enrollment Term &amp;elementID=13165", "Click here to submit comment")</f>
        <v>Click here to submit comment</v>
      </c>
    </row>
    <row r="2416" spans="1:17" ht="105" x14ac:dyDescent="0.25">
      <c r="A2416" s="9" t="s">
        <v>6860</v>
      </c>
      <c r="B2416" s="9" t="s">
        <v>6863</v>
      </c>
      <c r="C2416" s="9" t="s">
        <v>6866</v>
      </c>
      <c r="D2416" s="9" t="s">
        <v>6742</v>
      </c>
      <c r="E2416" s="9" t="s">
        <v>4651</v>
      </c>
      <c r="F2416" s="9" t="s">
        <v>4652</v>
      </c>
      <c r="G2416" s="10" t="s">
        <v>6641</v>
      </c>
      <c r="H2416" s="9" t="s">
        <v>1963</v>
      </c>
      <c r="I2416" s="9"/>
      <c r="J2416" s="9"/>
      <c r="K2416" s="9"/>
      <c r="L2416" s="9"/>
      <c r="M2416" s="9" t="s">
        <v>4653</v>
      </c>
      <c r="N2416" s="9"/>
      <c r="O2416" s="9" t="s">
        <v>4654</v>
      </c>
      <c r="P2416" s="9" t="str">
        <f>HYPERLINK("https://ceds.ed.gov/cedselementdetails.aspx?termid=14596")</f>
        <v>https://ceds.ed.gov/cedselementdetails.aspx?termid=14596</v>
      </c>
      <c r="Q2416" s="9" t="str">
        <f>HYPERLINK("https://ceds.ed.gov/elementComment.aspx?elementName=Postsecondary Exit or Withdrawal Type &amp;elementID=14596", "Click here to submit comment")</f>
        <v>Click here to submit comment</v>
      </c>
    </row>
    <row r="2417" spans="1:17" ht="75" x14ac:dyDescent="0.25">
      <c r="A2417" s="9" t="s">
        <v>6860</v>
      </c>
      <c r="B2417" s="9" t="s">
        <v>6863</v>
      </c>
      <c r="C2417" s="9" t="s">
        <v>6866</v>
      </c>
      <c r="D2417" s="9" t="s">
        <v>6742</v>
      </c>
      <c r="E2417" s="9" t="s">
        <v>5960</v>
      </c>
      <c r="F2417" s="9" t="s">
        <v>5961</v>
      </c>
      <c r="G2417" s="10" t="s">
        <v>6727</v>
      </c>
      <c r="H2417" s="9" t="s">
        <v>6115</v>
      </c>
      <c r="I2417" s="9"/>
      <c r="J2417" s="9"/>
      <c r="K2417" s="9"/>
      <c r="L2417" s="9"/>
      <c r="M2417" s="9" t="s">
        <v>5962</v>
      </c>
      <c r="N2417" s="9"/>
      <c r="O2417" s="9" t="s">
        <v>5963</v>
      </c>
      <c r="P2417" s="9" t="str">
        <f>HYPERLINK("https://ceds.ed.gov/cedselementdetails.aspx?termid=13296")</f>
        <v>https://ceds.ed.gov/cedselementdetails.aspx?termid=13296</v>
      </c>
      <c r="Q2417" s="9" t="str">
        <f>HYPERLINK("https://ceds.ed.gov/elementComment.aspx?elementName=Transfer-ready &amp;elementID=13296", "Click here to submit comment")</f>
        <v>Click here to submit comment</v>
      </c>
    </row>
    <row r="2418" spans="1:17" ht="45" x14ac:dyDescent="0.25">
      <c r="A2418" s="9" t="s">
        <v>6860</v>
      </c>
      <c r="B2418" s="9" t="s">
        <v>6863</v>
      </c>
      <c r="C2418" s="9" t="s">
        <v>6866</v>
      </c>
      <c r="D2418" s="9" t="s">
        <v>6742</v>
      </c>
      <c r="E2418" s="9" t="s">
        <v>2246</v>
      </c>
      <c r="F2418" s="9" t="s">
        <v>2247</v>
      </c>
      <c r="G2418" s="10" t="s">
        <v>6444</v>
      </c>
      <c r="H2418" s="9" t="s">
        <v>2250</v>
      </c>
      <c r="I2418" s="9"/>
      <c r="J2418" s="9"/>
      <c r="K2418" s="9"/>
      <c r="L2418" s="9"/>
      <c r="M2418" s="9" t="s">
        <v>2248</v>
      </c>
      <c r="N2418" s="9"/>
      <c r="O2418" s="9" t="s">
        <v>2249</v>
      </c>
      <c r="P2418" s="9" t="str">
        <f>HYPERLINK("https://ceds.ed.gov/cedselementdetails.aspx?termid=14567")</f>
        <v>https://ceds.ed.gov/cedselementdetails.aspx?termid=14567</v>
      </c>
      <c r="Q2418" s="9" t="str">
        <f>HYPERLINK("https://ceds.ed.gov/elementComment.aspx?elementName=Developmental Education Referral Status &amp;elementID=14567", "Click here to submit comment")</f>
        <v>Click here to submit comment</v>
      </c>
    </row>
    <row r="2419" spans="1:17" ht="165" x14ac:dyDescent="0.25">
      <c r="A2419" s="9" t="s">
        <v>6860</v>
      </c>
      <c r="B2419" s="9" t="s">
        <v>6863</v>
      </c>
      <c r="C2419" s="9" t="s">
        <v>6866</v>
      </c>
      <c r="D2419" s="9" t="s">
        <v>6742</v>
      </c>
      <c r="E2419" s="9" t="s">
        <v>2251</v>
      </c>
      <c r="F2419" s="9" t="s">
        <v>2252</v>
      </c>
      <c r="G2419" s="10" t="s">
        <v>6445</v>
      </c>
      <c r="H2419" s="9" t="s">
        <v>2250</v>
      </c>
      <c r="I2419" s="9"/>
      <c r="J2419" s="9"/>
      <c r="K2419" s="9"/>
      <c r="L2419" s="9"/>
      <c r="M2419" s="9" t="s">
        <v>2253</v>
      </c>
      <c r="N2419" s="9"/>
      <c r="O2419" s="9" t="s">
        <v>2254</v>
      </c>
      <c r="P2419" s="9" t="str">
        <f>HYPERLINK("https://ceds.ed.gov/cedselementdetails.aspx?termid=14568")</f>
        <v>https://ceds.ed.gov/cedselementdetails.aspx?termid=14568</v>
      </c>
      <c r="Q2419" s="9" t="str">
        <f>HYPERLINK("https://ceds.ed.gov/elementComment.aspx?elementName=Developmental Education Type &amp;elementID=14568", "Click here to submit comment")</f>
        <v>Click here to submit comment</v>
      </c>
    </row>
    <row r="2420" spans="1:17" ht="105" x14ac:dyDescent="0.25">
      <c r="A2420" s="18" t="s">
        <v>6860</v>
      </c>
      <c r="B2420" s="18" t="s">
        <v>6863</v>
      </c>
      <c r="C2420" s="18" t="s">
        <v>6867</v>
      </c>
      <c r="D2420" s="18" t="s">
        <v>6742</v>
      </c>
      <c r="E2420" s="18" t="s">
        <v>4913</v>
      </c>
      <c r="F2420" s="18" t="s">
        <v>4914</v>
      </c>
      <c r="G2420" s="18" t="s">
        <v>12</v>
      </c>
      <c r="H2420" s="18" t="s">
        <v>1963</v>
      </c>
      <c r="I2420" s="18"/>
      <c r="J2420" s="18" t="s">
        <v>119</v>
      </c>
      <c r="K2420" s="18"/>
      <c r="L2420" s="9" t="s">
        <v>120</v>
      </c>
      <c r="M2420" s="18" t="s">
        <v>4915</v>
      </c>
      <c r="N2420" s="18"/>
      <c r="O2420" s="18" t="s">
        <v>4916</v>
      </c>
      <c r="P2420" s="18" t="str">
        <f>HYPERLINK("https://ceds.ed.gov/cedselementdetails.aspx?termid=13618")</f>
        <v>https://ceds.ed.gov/cedselementdetails.aspx?termid=13618</v>
      </c>
      <c r="Q2420" s="18" t="str">
        <f>HYPERLINK("https://ceds.ed.gov/elementComment.aspx?elementName=Program Identifier &amp;elementID=13618", "Click here to submit comment")</f>
        <v>Click here to submit comment</v>
      </c>
    </row>
    <row r="2421" spans="1:17" x14ac:dyDescent="0.25">
      <c r="A2421" s="18"/>
      <c r="B2421" s="18"/>
      <c r="C2421" s="18"/>
      <c r="D2421" s="18"/>
      <c r="E2421" s="18"/>
      <c r="F2421" s="18"/>
      <c r="G2421" s="18"/>
      <c r="H2421" s="18"/>
      <c r="I2421" s="18"/>
      <c r="J2421" s="18"/>
      <c r="K2421" s="18"/>
      <c r="L2421" s="9"/>
      <c r="M2421" s="18"/>
      <c r="N2421" s="18"/>
      <c r="O2421" s="18"/>
      <c r="P2421" s="18"/>
      <c r="Q2421" s="18"/>
    </row>
    <row r="2422" spans="1:17" ht="90" x14ac:dyDescent="0.25">
      <c r="A2422" s="18"/>
      <c r="B2422" s="18"/>
      <c r="C2422" s="18"/>
      <c r="D2422" s="18"/>
      <c r="E2422" s="18"/>
      <c r="F2422" s="18"/>
      <c r="G2422" s="18"/>
      <c r="H2422" s="18"/>
      <c r="I2422" s="18"/>
      <c r="J2422" s="18"/>
      <c r="K2422" s="18"/>
      <c r="L2422" s="9" t="s">
        <v>121</v>
      </c>
      <c r="M2422" s="18"/>
      <c r="N2422" s="18"/>
      <c r="O2422" s="18"/>
      <c r="P2422" s="18"/>
      <c r="Q2422" s="18"/>
    </row>
    <row r="2423" spans="1:17" ht="60" x14ac:dyDescent="0.25">
      <c r="A2423" s="9" t="s">
        <v>6860</v>
      </c>
      <c r="B2423" s="9" t="s">
        <v>6863</v>
      </c>
      <c r="C2423" s="9" t="s">
        <v>6867</v>
      </c>
      <c r="D2423" s="9" t="s">
        <v>6742</v>
      </c>
      <c r="E2423" s="9" t="s">
        <v>4929</v>
      </c>
      <c r="F2423" s="9" t="s">
        <v>4930</v>
      </c>
      <c r="G2423" s="9" t="s">
        <v>12</v>
      </c>
      <c r="H2423" s="9" t="s">
        <v>1963</v>
      </c>
      <c r="I2423" s="9"/>
      <c r="J2423" s="9" t="s">
        <v>92</v>
      </c>
      <c r="K2423" s="9"/>
      <c r="L2423" s="9"/>
      <c r="M2423" s="9" t="s">
        <v>4931</v>
      </c>
      <c r="N2423" s="9"/>
      <c r="O2423" s="9" t="s">
        <v>4932</v>
      </c>
      <c r="P2423" s="9" t="str">
        <f>HYPERLINK("https://ceds.ed.gov/cedselementdetails.aspx?termid=13619")</f>
        <v>https://ceds.ed.gov/cedselementdetails.aspx?termid=13619</v>
      </c>
      <c r="Q2423" s="9" t="str">
        <f>HYPERLINK("https://ceds.ed.gov/elementComment.aspx?elementName=Program Name &amp;elementID=13619", "Click here to submit comment")</f>
        <v>Click here to submit comment</v>
      </c>
    </row>
    <row r="2424" spans="1:17" ht="135" x14ac:dyDescent="0.25">
      <c r="A2424" s="9" t="s">
        <v>6860</v>
      </c>
      <c r="B2424" s="9" t="s">
        <v>6863</v>
      </c>
      <c r="C2424" s="9" t="s">
        <v>6867</v>
      </c>
      <c r="D2424" s="9" t="s">
        <v>6742</v>
      </c>
      <c r="E2424" s="9" t="s">
        <v>4940</v>
      </c>
      <c r="F2424" s="9" t="s">
        <v>4941</v>
      </c>
      <c r="G2424" s="10" t="s">
        <v>6664</v>
      </c>
      <c r="H2424" s="9" t="s">
        <v>1963</v>
      </c>
      <c r="I2424" s="9"/>
      <c r="J2424" s="9"/>
      <c r="K2424" s="9"/>
      <c r="L2424" s="9"/>
      <c r="M2424" s="9" t="s">
        <v>4942</v>
      </c>
      <c r="N2424" s="9"/>
      <c r="O2424" s="9" t="s">
        <v>4943</v>
      </c>
      <c r="P2424" s="9" t="str">
        <f>HYPERLINK("https://ceds.ed.gov/cedselementdetails.aspx?termid=14209")</f>
        <v>https://ceds.ed.gov/cedselementdetails.aspx?termid=14209</v>
      </c>
      <c r="Q2424" s="9" t="str">
        <f>HYPERLINK("https://ceds.ed.gov/elementComment.aspx?elementName=Program Participation Status &amp;elementID=14209", "Click here to submit comment")</f>
        <v>Click here to submit comment</v>
      </c>
    </row>
    <row r="2425" spans="1:17" ht="60" x14ac:dyDescent="0.25">
      <c r="A2425" s="9" t="s">
        <v>6860</v>
      </c>
      <c r="B2425" s="9" t="s">
        <v>6863</v>
      </c>
      <c r="C2425" s="9" t="s">
        <v>6867</v>
      </c>
      <c r="D2425" s="9" t="s">
        <v>6742</v>
      </c>
      <c r="E2425" s="9" t="s">
        <v>4936</v>
      </c>
      <c r="F2425" s="9" t="s">
        <v>4937</v>
      </c>
      <c r="G2425" s="9" t="s">
        <v>12</v>
      </c>
      <c r="H2425" s="9" t="s">
        <v>6267</v>
      </c>
      <c r="I2425" s="9"/>
      <c r="J2425" s="9" t="s">
        <v>73</v>
      </c>
      <c r="K2425" s="9"/>
      <c r="L2425" s="9"/>
      <c r="M2425" s="9" t="s">
        <v>4938</v>
      </c>
      <c r="N2425" s="9"/>
      <c r="O2425" s="9" t="s">
        <v>4939</v>
      </c>
      <c r="P2425" s="9" t="str">
        <f>HYPERLINK("https://ceds.ed.gov/cedselementdetails.aspx?termid=13583")</f>
        <v>https://ceds.ed.gov/cedselementdetails.aspx?termid=13583</v>
      </c>
      <c r="Q2425" s="9" t="str">
        <f>HYPERLINK("https://ceds.ed.gov/elementComment.aspx?elementName=Program Participation Start Date &amp;elementID=13583", "Click here to submit comment")</f>
        <v>Click here to submit comment</v>
      </c>
    </row>
    <row r="2426" spans="1:17" ht="45" x14ac:dyDescent="0.25">
      <c r="A2426" s="9" t="s">
        <v>6860</v>
      </c>
      <c r="B2426" s="9" t="s">
        <v>6863</v>
      </c>
      <c r="C2426" s="9" t="s">
        <v>6867</v>
      </c>
      <c r="D2426" s="9" t="s">
        <v>6742</v>
      </c>
      <c r="E2426" s="9" t="s">
        <v>4933</v>
      </c>
      <c r="F2426" s="9" t="s">
        <v>1641</v>
      </c>
      <c r="G2426" s="9" t="s">
        <v>12</v>
      </c>
      <c r="H2426" s="9" t="s">
        <v>6266</v>
      </c>
      <c r="I2426" s="9"/>
      <c r="J2426" s="9" t="s">
        <v>73</v>
      </c>
      <c r="K2426" s="9"/>
      <c r="L2426" s="9"/>
      <c r="M2426" s="9" t="s">
        <v>4934</v>
      </c>
      <c r="N2426" s="9"/>
      <c r="O2426" s="9" t="s">
        <v>4935</v>
      </c>
      <c r="P2426" s="9" t="str">
        <f>HYPERLINK("https://ceds.ed.gov/cedselementdetails.aspx?termid=13584")</f>
        <v>https://ceds.ed.gov/cedselementdetails.aspx?termid=13584</v>
      </c>
      <c r="Q2426" s="9" t="str">
        <f>HYPERLINK("https://ceds.ed.gov/elementComment.aspx?elementName=Program Participation Exit Date &amp;elementID=13584", "Click here to submit comment")</f>
        <v>Click here to submit comment</v>
      </c>
    </row>
    <row r="2427" spans="1:17" ht="60" x14ac:dyDescent="0.25">
      <c r="A2427" s="9" t="s">
        <v>6860</v>
      </c>
      <c r="B2427" s="9" t="s">
        <v>6863</v>
      </c>
      <c r="C2427" s="9" t="s">
        <v>6867</v>
      </c>
      <c r="D2427" s="9" t="s">
        <v>6742</v>
      </c>
      <c r="E2427" s="9" t="s">
        <v>5956</v>
      </c>
      <c r="F2427" s="9" t="s">
        <v>5957</v>
      </c>
      <c r="G2427" s="9" t="s">
        <v>6213</v>
      </c>
      <c r="H2427" s="9" t="s">
        <v>2250</v>
      </c>
      <c r="I2427" s="9"/>
      <c r="J2427" s="9"/>
      <c r="K2427" s="9"/>
      <c r="L2427" s="9"/>
      <c r="M2427" s="9" t="s">
        <v>5958</v>
      </c>
      <c r="N2427" s="9"/>
      <c r="O2427" s="9" t="s">
        <v>5959</v>
      </c>
      <c r="P2427" s="9" t="str">
        <f>HYPERLINK("https://ceds.ed.gov/cedselementdetails.aspx?termid=14610")</f>
        <v>https://ceds.ed.gov/cedselementdetails.aspx?termid=14610</v>
      </c>
      <c r="Q2427" s="9" t="str">
        <f>HYPERLINK("https://ceds.ed.gov/elementComment.aspx?elementName=Transfer-out Indicator &amp;elementID=14610", "Click here to submit comment")</f>
        <v>Click here to submit comment</v>
      </c>
    </row>
    <row r="2428" spans="1:17" ht="75" x14ac:dyDescent="0.25">
      <c r="A2428" s="9" t="s">
        <v>6860</v>
      </c>
      <c r="B2428" s="9" t="s">
        <v>6863</v>
      </c>
      <c r="C2428" s="9" t="s">
        <v>6867</v>
      </c>
      <c r="D2428" s="9" t="s">
        <v>6742</v>
      </c>
      <c r="E2428" s="9" t="s">
        <v>4921</v>
      </c>
      <c r="F2428" s="9" t="s">
        <v>4922</v>
      </c>
      <c r="G2428" s="9" t="s">
        <v>12</v>
      </c>
      <c r="H2428" s="9" t="s">
        <v>216</v>
      </c>
      <c r="I2428" s="9"/>
      <c r="J2428" s="9" t="s">
        <v>1513</v>
      </c>
      <c r="K2428" s="9"/>
      <c r="L2428" s="9"/>
      <c r="M2428" s="9" t="s">
        <v>4923</v>
      </c>
      <c r="N2428" s="9"/>
      <c r="O2428" s="9" t="s">
        <v>4924</v>
      </c>
      <c r="P2428" s="9" t="str">
        <f>HYPERLINK("https://ceds.ed.gov/cedselementdetails.aspx?termid=13223")</f>
        <v>https://ceds.ed.gov/cedselementdetails.aspx?termid=13223</v>
      </c>
      <c r="Q2428" s="9" t="str">
        <f>HYPERLINK("https://ceds.ed.gov/elementComment.aspx?elementName=Program Length Hours &amp;elementID=13223", "Click here to submit comment")</f>
        <v>Click here to submit comment</v>
      </c>
    </row>
    <row r="2429" spans="1:17" ht="45" x14ac:dyDescent="0.25">
      <c r="A2429" s="9" t="s">
        <v>6860</v>
      </c>
      <c r="B2429" s="9" t="s">
        <v>6863</v>
      </c>
      <c r="C2429" s="9" t="s">
        <v>6867</v>
      </c>
      <c r="D2429" s="9" t="s">
        <v>6742</v>
      </c>
      <c r="E2429" s="9" t="s">
        <v>4925</v>
      </c>
      <c r="F2429" s="9" t="s">
        <v>4926</v>
      </c>
      <c r="G2429" s="10" t="s">
        <v>6562</v>
      </c>
      <c r="H2429" s="9" t="s">
        <v>216</v>
      </c>
      <c r="I2429" s="9"/>
      <c r="J2429" s="9"/>
      <c r="K2429" s="9"/>
      <c r="L2429" s="9"/>
      <c r="M2429" s="9" t="s">
        <v>4927</v>
      </c>
      <c r="N2429" s="9"/>
      <c r="O2429" s="9" t="s">
        <v>4928</v>
      </c>
      <c r="P2429" s="9" t="str">
        <f>HYPERLINK("https://ceds.ed.gov/cedselementdetails.aspx?termid=13224")</f>
        <v>https://ceds.ed.gov/cedselementdetails.aspx?termid=13224</v>
      </c>
      <c r="Q2429" s="9" t="str">
        <f>HYPERLINK("https://ceds.ed.gov/elementComment.aspx?elementName=Program Length Hours Type &amp;elementID=13224", "Click here to submit comment")</f>
        <v>Click here to submit comment</v>
      </c>
    </row>
    <row r="2430" spans="1:17" ht="210" x14ac:dyDescent="0.25">
      <c r="A2430" s="9" t="s">
        <v>6860</v>
      </c>
      <c r="B2430" s="9" t="s">
        <v>6863</v>
      </c>
      <c r="C2430" s="9" t="s">
        <v>6867</v>
      </c>
      <c r="D2430" s="9" t="s">
        <v>6742</v>
      </c>
      <c r="E2430" s="9" t="s">
        <v>4349</v>
      </c>
      <c r="F2430" s="9" t="s">
        <v>4350</v>
      </c>
      <c r="G2430" s="9" t="s">
        <v>12</v>
      </c>
      <c r="H2430" s="9" t="s">
        <v>6115</v>
      </c>
      <c r="I2430" s="9"/>
      <c r="J2430" s="9" t="s">
        <v>92</v>
      </c>
      <c r="K2430" s="9"/>
      <c r="L2430" s="9"/>
      <c r="M2430" s="9" t="s">
        <v>4351</v>
      </c>
      <c r="N2430" s="9"/>
      <c r="O2430" s="9" t="s">
        <v>4352</v>
      </c>
      <c r="P2430" s="9" t="str">
        <f>HYPERLINK("https://ceds.ed.gov/cedselementdetails.aspx?termid=13197")</f>
        <v>https://ceds.ed.gov/cedselementdetails.aspx?termid=13197</v>
      </c>
      <c r="Q2430" s="9" t="str">
        <f>HYPERLINK("https://ceds.ed.gov/elementComment.aspx?elementName=Normal Length of Time for Completion &amp;elementID=13197", "Click here to submit comment")</f>
        <v>Click here to submit comment</v>
      </c>
    </row>
    <row r="2431" spans="1:17" ht="90" x14ac:dyDescent="0.25">
      <c r="A2431" s="9" t="s">
        <v>6860</v>
      </c>
      <c r="B2431" s="9" t="s">
        <v>6863</v>
      </c>
      <c r="C2431" s="9" t="s">
        <v>6867</v>
      </c>
      <c r="D2431" s="9" t="s">
        <v>6742</v>
      </c>
      <c r="E2431" s="9" t="s">
        <v>4353</v>
      </c>
      <c r="F2431" s="9" t="s">
        <v>4354</v>
      </c>
      <c r="G2431" s="10" t="s">
        <v>6627</v>
      </c>
      <c r="H2431" s="9" t="s">
        <v>6115</v>
      </c>
      <c r="I2431" s="9"/>
      <c r="J2431" s="9"/>
      <c r="K2431" s="9"/>
      <c r="L2431" s="9"/>
      <c r="M2431" s="9" t="s">
        <v>4355</v>
      </c>
      <c r="N2431" s="9"/>
      <c r="O2431" s="9" t="s">
        <v>4356</v>
      </c>
      <c r="P2431" s="9" t="str">
        <f>HYPERLINK("https://ceds.ed.gov/cedselementdetails.aspx?termid=13198")</f>
        <v>https://ceds.ed.gov/cedselementdetails.aspx?termid=13198</v>
      </c>
      <c r="Q2431" s="9" t="str">
        <f>HYPERLINK("https://ceds.ed.gov/elementComment.aspx?elementName=Normal Length of Time for Completion Units &amp;elementID=13198", "Click here to submit comment")</f>
        <v>Click here to submit comment</v>
      </c>
    </row>
    <row r="2432" spans="1:17" ht="75" x14ac:dyDescent="0.25">
      <c r="A2432" s="9" t="s">
        <v>6860</v>
      </c>
      <c r="B2432" s="9" t="s">
        <v>6863</v>
      </c>
      <c r="C2432" s="9" t="s">
        <v>6867</v>
      </c>
      <c r="D2432" s="9" t="s">
        <v>6742</v>
      </c>
      <c r="E2432" s="9" t="s">
        <v>4655</v>
      </c>
      <c r="F2432" s="9" t="s">
        <v>4656</v>
      </c>
      <c r="G2432" s="10" t="s">
        <v>6642</v>
      </c>
      <c r="H2432" s="9" t="s">
        <v>6257</v>
      </c>
      <c r="I2432" s="9"/>
      <c r="J2432" s="9"/>
      <c r="K2432" s="9"/>
      <c r="L2432" s="9"/>
      <c r="M2432" s="9" t="s">
        <v>4657</v>
      </c>
      <c r="N2432" s="9"/>
      <c r="O2432" s="9" t="s">
        <v>4658</v>
      </c>
      <c r="P2432" s="9" t="str">
        <f>HYPERLINK("https://ceds.ed.gov/cedselementdetails.aspx?termid=14595")</f>
        <v>https://ceds.ed.gov/cedselementdetails.aspx?termid=14595</v>
      </c>
      <c r="Q2432" s="9" t="str">
        <f>HYPERLINK("https://ceds.ed.gov/elementComment.aspx?elementName=Postsecondary Program Level &amp;elementID=14595", "Click here to submit comment")</f>
        <v>Click here to submit comment</v>
      </c>
    </row>
    <row r="2433" spans="1:17" ht="285" x14ac:dyDescent="0.25">
      <c r="A2433" s="9" t="s">
        <v>6860</v>
      </c>
      <c r="B2433" s="9" t="s">
        <v>6863</v>
      </c>
      <c r="C2433" s="9" t="s">
        <v>6867</v>
      </c>
      <c r="D2433" s="9" t="s">
        <v>6742</v>
      </c>
      <c r="E2433" s="9" t="s">
        <v>2690</v>
      </c>
      <c r="F2433" s="9" t="s">
        <v>2691</v>
      </c>
      <c r="G2433" s="10" t="s">
        <v>6311</v>
      </c>
      <c r="H2433" s="9" t="s">
        <v>6115</v>
      </c>
      <c r="I2433" s="9"/>
      <c r="J2433" s="9"/>
      <c r="K2433" s="9"/>
      <c r="L2433" s="9"/>
      <c r="M2433" s="9" t="s">
        <v>2693</v>
      </c>
      <c r="N2433" s="9"/>
      <c r="O2433" s="9" t="s">
        <v>2694</v>
      </c>
      <c r="P2433" s="9" t="str">
        <f>HYPERLINK("https://ceds.ed.gov/cedselementdetails.aspx?termid=13360")</f>
        <v>https://ceds.ed.gov/cedselementdetails.aspx?termid=13360</v>
      </c>
      <c r="Q2433" s="9" t="str">
        <f>HYPERLINK("https://ceds.ed.gov/elementComment.aspx?elementName=Enrollment in Postsecondary Award Type &amp;elementID=13360", "Click here to submit comment")</f>
        <v>Click here to submit comment</v>
      </c>
    </row>
    <row r="2434" spans="1:17" ht="75" x14ac:dyDescent="0.25">
      <c r="A2434" s="9" t="s">
        <v>6860</v>
      </c>
      <c r="B2434" s="9" t="s">
        <v>6863</v>
      </c>
      <c r="C2434" s="9" t="s">
        <v>6867</v>
      </c>
      <c r="D2434" s="9" t="s">
        <v>6742</v>
      </c>
      <c r="E2434" s="9" t="s">
        <v>1778</v>
      </c>
      <c r="F2434" s="9" t="s">
        <v>1779</v>
      </c>
      <c r="G2434" s="11" t="s">
        <v>1780</v>
      </c>
      <c r="H2434" s="9" t="s">
        <v>6108</v>
      </c>
      <c r="I2434" s="9"/>
      <c r="J2434" s="9"/>
      <c r="K2434" s="9"/>
      <c r="L2434" s="9"/>
      <c r="M2434" s="9" t="s">
        <v>1781</v>
      </c>
      <c r="N2434" s="9" t="s">
        <v>1782</v>
      </c>
      <c r="O2434" s="9" t="s">
        <v>1783</v>
      </c>
      <c r="P2434" s="9" t="str">
        <f>HYPERLINK("https://ceds.ed.gov/cedselementdetails.aspx?termid=13043")</f>
        <v>https://ceds.ed.gov/cedselementdetails.aspx?termid=13043</v>
      </c>
      <c r="Q2434" s="9" t="str">
        <f>HYPERLINK("https://ceds.ed.gov/elementComment.aspx?elementName=Classification of Instructional Program Code &amp;elementID=13043", "Click here to submit comment")</f>
        <v>Click here to submit comment</v>
      </c>
    </row>
    <row r="2435" spans="1:17" ht="135" x14ac:dyDescent="0.25">
      <c r="A2435" s="9" t="s">
        <v>6860</v>
      </c>
      <c r="B2435" s="9" t="s">
        <v>6863</v>
      </c>
      <c r="C2435" s="9" t="s">
        <v>6867</v>
      </c>
      <c r="D2435" s="9" t="s">
        <v>6742</v>
      </c>
      <c r="E2435" s="9" t="s">
        <v>1784</v>
      </c>
      <c r="F2435" s="9" t="s">
        <v>1785</v>
      </c>
      <c r="G2435" s="10" t="s">
        <v>6407</v>
      </c>
      <c r="H2435" s="9" t="s">
        <v>6115</v>
      </c>
      <c r="I2435" s="9"/>
      <c r="J2435" s="9"/>
      <c r="K2435" s="9"/>
      <c r="L2435" s="9"/>
      <c r="M2435" s="9" t="s">
        <v>1786</v>
      </c>
      <c r="N2435" s="9" t="s">
        <v>1787</v>
      </c>
      <c r="O2435" s="9" t="s">
        <v>1788</v>
      </c>
      <c r="P2435" s="9" t="str">
        <f>HYPERLINK("https://ceds.ed.gov/cedselementdetails.aspx?termid=13044")</f>
        <v>https://ceds.ed.gov/cedselementdetails.aspx?termid=13044</v>
      </c>
      <c r="Q2435" s="9" t="str">
        <f>HYPERLINK("https://ceds.ed.gov/elementComment.aspx?elementName=Classification of Instructional Program Use &amp;elementID=13044", "Click here to submit comment")</f>
        <v>Click here to submit comment</v>
      </c>
    </row>
    <row r="2436" spans="1:17" ht="90" x14ac:dyDescent="0.25">
      <c r="A2436" s="9" t="s">
        <v>6860</v>
      </c>
      <c r="B2436" s="9" t="s">
        <v>6863</v>
      </c>
      <c r="C2436" s="9" t="s">
        <v>6867</v>
      </c>
      <c r="D2436" s="9" t="s">
        <v>6742</v>
      </c>
      <c r="E2436" s="9" t="s">
        <v>1789</v>
      </c>
      <c r="F2436" s="9" t="s">
        <v>1790</v>
      </c>
      <c r="G2436" s="10" t="s">
        <v>6408</v>
      </c>
      <c r="H2436" s="9" t="s">
        <v>6115</v>
      </c>
      <c r="I2436" s="9"/>
      <c r="J2436" s="9"/>
      <c r="K2436" s="9"/>
      <c r="L2436" s="9"/>
      <c r="M2436" s="9" t="s">
        <v>1791</v>
      </c>
      <c r="N2436" s="9" t="s">
        <v>1792</v>
      </c>
      <c r="O2436" s="9" t="s">
        <v>1793</v>
      </c>
      <c r="P2436" s="9" t="str">
        <f>HYPERLINK("https://ceds.ed.gov/cedselementdetails.aspx?termid=13045")</f>
        <v>https://ceds.ed.gov/cedselementdetails.aspx?termid=13045</v>
      </c>
      <c r="Q2436" s="9" t="str">
        <f>HYPERLINK("https://ceds.ed.gov/elementComment.aspx?elementName=Classification of Instructional Program Version &amp;elementID=13045", "Click here to submit comment")</f>
        <v>Click here to submit comment</v>
      </c>
    </row>
    <row r="2437" spans="1:17" ht="180" x14ac:dyDescent="0.25">
      <c r="A2437" s="9" t="s">
        <v>6860</v>
      </c>
      <c r="B2437" s="9" t="s">
        <v>6863</v>
      </c>
      <c r="C2437" s="9" t="s">
        <v>6867</v>
      </c>
      <c r="D2437" s="9" t="s">
        <v>6742</v>
      </c>
      <c r="E2437" s="9" t="s">
        <v>2345</v>
      </c>
      <c r="F2437" s="9" t="s">
        <v>2346</v>
      </c>
      <c r="G2437" s="9" t="s">
        <v>6106</v>
      </c>
      <c r="H2437" s="9"/>
      <c r="I2437" s="9"/>
      <c r="J2437" s="9"/>
      <c r="K2437" s="9"/>
      <c r="L2437" s="9" t="s">
        <v>2341</v>
      </c>
      <c r="M2437" s="9" t="s">
        <v>2347</v>
      </c>
      <c r="N2437" s="9"/>
      <c r="O2437" s="9" t="s">
        <v>2348</v>
      </c>
      <c r="P2437" s="9" t="str">
        <f>HYPERLINK("https://ceds.ed.gov/cedselementdetails.aspx?termid=14289")</f>
        <v>https://ceds.ed.gov/cedselementdetails.aspx?termid=14289</v>
      </c>
      <c r="Q2437" s="9" t="str">
        <f>HYPERLINK("https://ceds.ed.gov/elementComment.aspx?elementName=Distance Education Program Enrollment Indicator &amp;elementID=14289", "Click here to submit comment")</f>
        <v>Click here to submit comment</v>
      </c>
    </row>
    <row r="2438" spans="1:17" ht="180" x14ac:dyDescent="0.25">
      <c r="A2438" s="9" t="s">
        <v>6860</v>
      </c>
      <c r="B2438" s="9" t="s">
        <v>6863</v>
      </c>
      <c r="C2438" s="9" t="s">
        <v>6868</v>
      </c>
      <c r="D2438" s="9" t="s">
        <v>6742</v>
      </c>
      <c r="E2438" s="9" t="s">
        <v>4420</v>
      </c>
      <c r="F2438" s="9" t="s">
        <v>4421</v>
      </c>
      <c r="G2438" s="9" t="s">
        <v>12</v>
      </c>
      <c r="H2438" s="9"/>
      <c r="I2438" s="9"/>
      <c r="J2438" s="9" t="s">
        <v>11650</v>
      </c>
      <c r="K2438" s="9"/>
      <c r="L2438" s="9"/>
      <c r="M2438" s="9" t="s">
        <v>4422</v>
      </c>
      <c r="N2438" s="9" t="s">
        <v>4423</v>
      </c>
      <c r="O2438" s="9" t="s">
        <v>4423</v>
      </c>
      <c r="P2438" s="9" t="str">
        <f>HYPERLINK("https://ceds.ed.gov/cedselementdetails.aspx?termid=13203")</f>
        <v>https://ceds.ed.gov/cedselementdetails.aspx?termid=13203</v>
      </c>
      <c r="Q2438" s="9" t="str">
        <f>HYPERLINK("https://ceds.ed.gov/elementComment.aspx?elementName=Office of Postsecondary Education Identifier &amp;elementID=13203", "Click here to submit comment")</f>
        <v>Click here to submit comment</v>
      </c>
    </row>
    <row r="2439" spans="1:17" ht="225" x14ac:dyDescent="0.25">
      <c r="A2439" s="9" t="s">
        <v>6860</v>
      </c>
      <c r="B2439" s="9" t="s">
        <v>6863</v>
      </c>
      <c r="C2439" s="9" t="s">
        <v>6868</v>
      </c>
      <c r="D2439" s="9" t="s">
        <v>6742</v>
      </c>
      <c r="E2439" s="9" t="s">
        <v>4296</v>
      </c>
      <c r="F2439" s="9" t="s">
        <v>4297</v>
      </c>
      <c r="G2439" s="9" t="s">
        <v>12</v>
      </c>
      <c r="H2439" s="9" t="s">
        <v>6245</v>
      </c>
      <c r="I2439" s="9"/>
      <c r="J2439" s="9" t="s">
        <v>92</v>
      </c>
      <c r="K2439" s="9"/>
      <c r="L2439" s="9"/>
      <c r="M2439" s="9" t="s">
        <v>4298</v>
      </c>
      <c r="N2439" s="9"/>
      <c r="O2439" s="9" t="s">
        <v>4299</v>
      </c>
      <c r="P2439" s="9" t="str">
        <f>HYPERLINK("https://ceds.ed.gov/cedselementdetails.aspx?termid=13191")</f>
        <v>https://ceds.ed.gov/cedselementdetails.aspx?termid=13191</v>
      </c>
      <c r="Q2439" s="9" t="str">
        <f>HYPERLINK("https://ceds.ed.gov/elementComment.aspx?elementName=Name of Institution &amp;elementID=13191", "Click here to submit comment")</f>
        <v>Click here to submit comment</v>
      </c>
    </row>
    <row r="2440" spans="1:17" ht="75" x14ac:dyDescent="0.25">
      <c r="A2440" s="9" t="s">
        <v>6860</v>
      </c>
      <c r="B2440" s="9" t="s">
        <v>6863</v>
      </c>
      <c r="C2440" s="9" t="s">
        <v>6868</v>
      </c>
      <c r="D2440" s="9" t="s">
        <v>6742</v>
      </c>
      <c r="E2440" s="9" t="s">
        <v>4655</v>
      </c>
      <c r="F2440" s="9" t="s">
        <v>4656</v>
      </c>
      <c r="G2440" s="10" t="s">
        <v>6642</v>
      </c>
      <c r="H2440" s="9" t="s">
        <v>6257</v>
      </c>
      <c r="I2440" s="9"/>
      <c r="J2440" s="9"/>
      <c r="K2440" s="9"/>
      <c r="L2440" s="9"/>
      <c r="M2440" s="9" t="s">
        <v>4657</v>
      </c>
      <c r="N2440" s="9"/>
      <c r="O2440" s="9" t="s">
        <v>4658</v>
      </c>
      <c r="P2440" s="9" t="str">
        <f>HYPERLINK("https://ceds.ed.gov/cedselementdetails.aspx?termid=14595")</f>
        <v>https://ceds.ed.gov/cedselementdetails.aspx?termid=14595</v>
      </c>
      <c r="Q2440" s="9" t="str">
        <f>HYPERLINK("https://ceds.ed.gov/elementComment.aspx?elementName=Postsecondary Program Level &amp;elementID=14595", "Click here to submit comment")</f>
        <v>Click here to submit comment</v>
      </c>
    </row>
    <row r="2441" spans="1:17" ht="409.5" x14ac:dyDescent="0.25">
      <c r="A2441" s="9" t="s">
        <v>6860</v>
      </c>
      <c r="B2441" s="9" t="s">
        <v>6863</v>
      </c>
      <c r="C2441" s="9" t="s">
        <v>6868</v>
      </c>
      <c r="D2441" s="9" t="s">
        <v>6742</v>
      </c>
      <c r="E2441" s="9" t="s">
        <v>11677</v>
      </c>
      <c r="F2441" s="9" t="s">
        <v>17</v>
      </c>
      <c r="G2441" s="10" t="s">
        <v>11906</v>
      </c>
      <c r="H2441" s="9"/>
      <c r="I2441" s="9"/>
      <c r="J2441" s="9"/>
      <c r="K2441" s="9"/>
      <c r="L2441" s="9"/>
      <c r="M2441" s="9" t="s">
        <v>11678</v>
      </c>
      <c r="N2441" s="9"/>
      <c r="O2441" s="9" t="s">
        <v>11679</v>
      </c>
      <c r="P2441" s="9" t="str">
        <f>HYPERLINK("https://ceds.ed.gov/cedselementdetails.aspx?termid=14649")</f>
        <v>https://ceds.ed.gov/cedselementdetails.aspx?termid=14649</v>
      </c>
      <c r="Q2441" s="9" t="str">
        <f>HYPERLINK("https://ceds.ed.gov/elementComment.aspx?elementName=PESC Award Level Type &amp;elementID=14649", "Click here to submit comment")</f>
        <v>Click here to submit comment</v>
      </c>
    </row>
    <row r="2442" spans="1:17" ht="45" x14ac:dyDescent="0.25">
      <c r="A2442" s="9" t="s">
        <v>6860</v>
      </c>
      <c r="B2442" s="9" t="s">
        <v>6863</v>
      </c>
      <c r="C2442" s="9" t="s">
        <v>6868</v>
      </c>
      <c r="D2442" s="9" t="s">
        <v>6742</v>
      </c>
      <c r="E2442" s="9" t="s">
        <v>20</v>
      </c>
      <c r="F2442" s="9" t="s">
        <v>21</v>
      </c>
      <c r="G2442" s="9" t="s">
        <v>12</v>
      </c>
      <c r="H2442" s="9" t="s">
        <v>25</v>
      </c>
      <c r="I2442" s="9"/>
      <c r="J2442" s="9" t="s">
        <v>22</v>
      </c>
      <c r="K2442" s="9"/>
      <c r="L2442" s="9"/>
      <c r="M2442" s="9" t="s">
        <v>23</v>
      </c>
      <c r="N2442" s="9"/>
      <c r="O2442" s="9" t="s">
        <v>24</v>
      </c>
      <c r="P2442" s="9" t="str">
        <f>HYPERLINK("https://ceds.ed.gov/cedselementdetails.aspx?termid=13003")</f>
        <v>https://ceds.ed.gov/cedselementdetails.aspx?termid=13003</v>
      </c>
      <c r="Q2442" s="9" t="str">
        <f>HYPERLINK("https://ceds.ed.gov/elementComment.aspx?elementName=Academic Award Title &amp;elementID=13003", "Click here to submit comment")</f>
        <v>Click here to submit comment</v>
      </c>
    </row>
    <row r="2443" spans="1:17" ht="60" x14ac:dyDescent="0.25">
      <c r="A2443" s="9" t="s">
        <v>6860</v>
      </c>
      <c r="B2443" s="9" t="s">
        <v>6863</v>
      </c>
      <c r="C2443" s="9" t="s">
        <v>6868</v>
      </c>
      <c r="D2443" s="9" t="s">
        <v>6742</v>
      </c>
      <c r="E2443" s="9" t="s">
        <v>10</v>
      </c>
      <c r="F2443" s="9" t="s">
        <v>11</v>
      </c>
      <c r="G2443" s="9" t="s">
        <v>12</v>
      </c>
      <c r="H2443" s="9" t="s">
        <v>6107</v>
      </c>
      <c r="I2443" s="9"/>
      <c r="J2443" s="9" t="s">
        <v>13</v>
      </c>
      <c r="K2443" s="9"/>
      <c r="L2443" s="9"/>
      <c r="M2443" s="9" t="s">
        <v>14</v>
      </c>
      <c r="N2443" s="9"/>
      <c r="O2443" s="9" t="s">
        <v>15</v>
      </c>
      <c r="P2443" s="9" t="str">
        <f>HYPERLINK("https://ceds.ed.gov/cedselementdetails.aspx?termid=13001")</f>
        <v>https://ceds.ed.gov/cedselementdetails.aspx?termid=13001</v>
      </c>
      <c r="Q2443" s="9" t="str">
        <f>HYPERLINK("https://ceds.ed.gov/elementComment.aspx?elementName=Academic Award Date &amp;elementID=13001", "Click here to submit comment")</f>
        <v>Click here to submit comment</v>
      </c>
    </row>
    <row r="2444" spans="1:17" ht="135" x14ac:dyDescent="0.25">
      <c r="A2444" s="9" t="s">
        <v>6860</v>
      </c>
      <c r="B2444" s="9" t="s">
        <v>6863</v>
      </c>
      <c r="C2444" s="9" t="s">
        <v>6868</v>
      </c>
      <c r="D2444" s="9" t="s">
        <v>6742</v>
      </c>
      <c r="E2444" s="9" t="s">
        <v>2268</v>
      </c>
      <c r="F2444" s="9" t="s">
        <v>2269</v>
      </c>
      <c r="G2444" s="9" t="s">
        <v>12</v>
      </c>
      <c r="H2444" s="9" t="s">
        <v>6186</v>
      </c>
      <c r="I2444" s="9"/>
      <c r="J2444" s="9" t="s">
        <v>2270</v>
      </c>
      <c r="K2444" s="9"/>
      <c r="L2444" s="9"/>
      <c r="M2444" s="9" t="s">
        <v>2271</v>
      </c>
      <c r="N2444" s="9"/>
      <c r="O2444" s="9" t="s">
        <v>2272</v>
      </c>
      <c r="P2444" s="9" t="str">
        <f>HYPERLINK("https://ceds.ed.gov/cedselementdetails.aspx?termid=13081")</f>
        <v>https://ceds.ed.gov/cedselementdetails.aspx?termid=13081</v>
      </c>
      <c r="Q2444" s="9" t="str">
        <f>HYPERLINK("https://ceds.ed.gov/elementComment.aspx?elementName=Diploma or Credential Award Date &amp;elementID=13081", "Click here to submit comment")</f>
        <v>Click here to submit comment</v>
      </c>
    </row>
    <row r="2445" spans="1:17" ht="285" x14ac:dyDescent="0.25">
      <c r="A2445" s="9" t="s">
        <v>6860</v>
      </c>
      <c r="B2445" s="9" t="s">
        <v>6863</v>
      </c>
      <c r="C2445" s="9" t="s">
        <v>6868</v>
      </c>
      <c r="D2445" s="9" t="s">
        <v>6742</v>
      </c>
      <c r="E2445" s="9" t="s">
        <v>16</v>
      </c>
      <c r="F2445" s="9" t="s">
        <v>17</v>
      </c>
      <c r="G2445" s="10" t="s">
        <v>6311</v>
      </c>
      <c r="H2445" s="9" t="s">
        <v>6108</v>
      </c>
      <c r="I2445" s="9"/>
      <c r="J2445" s="9"/>
      <c r="K2445" s="9"/>
      <c r="L2445" s="9"/>
      <c r="M2445" s="9" t="s">
        <v>18</v>
      </c>
      <c r="N2445" s="9"/>
      <c r="O2445" s="9" t="s">
        <v>19</v>
      </c>
      <c r="P2445" s="9" t="str">
        <f>HYPERLINK("https://ceds.ed.gov/cedselementdetails.aspx?termid=13002")</f>
        <v>https://ceds.ed.gov/cedselementdetails.aspx?termid=13002</v>
      </c>
      <c r="Q2445" s="9" t="str">
        <f>HYPERLINK("https://ceds.ed.gov/elementComment.aspx?elementName=Academic Award Level Conferred &amp;elementID=13002", "Click here to submit comment")</f>
        <v>Click here to submit comment</v>
      </c>
    </row>
    <row r="2446" spans="1:17" ht="90" x14ac:dyDescent="0.25">
      <c r="A2446" s="9" t="s">
        <v>6860</v>
      </c>
      <c r="B2446" s="9" t="s">
        <v>6863</v>
      </c>
      <c r="C2446" s="9" t="s">
        <v>6868</v>
      </c>
      <c r="D2446" s="9" t="s">
        <v>6742</v>
      </c>
      <c r="E2446" s="9" t="s">
        <v>10465</v>
      </c>
      <c r="F2446" s="9" t="s">
        <v>10466</v>
      </c>
      <c r="G2446" s="10" t="s">
        <v>11784</v>
      </c>
      <c r="H2446" s="9"/>
      <c r="I2446" s="9"/>
      <c r="J2446" s="9"/>
      <c r="K2446" s="9"/>
      <c r="L2446" s="9"/>
      <c r="M2446" s="9" t="s">
        <v>10468</v>
      </c>
      <c r="N2446" s="9"/>
      <c r="O2446" s="9" t="s">
        <v>10469</v>
      </c>
      <c r="P2446" s="9" t="str">
        <f>HYPERLINK("https://ceds.ed.gov/cedselementdetails.aspx?termid=14647")</f>
        <v>https://ceds.ed.gov/cedselementdetails.aspx?termid=14647</v>
      </c>
      <c r="Q2446" s="9" t="str">
        <f>HYPERLINK("https://ceds.ed.gov/elementComment.aspx?elementName=Academic Award Prerequisite Type &amp;elementID=14647", "Click here to submit comment")</f>
        <v>Click here to submit comment</v>
      </c>
    </row>
    <row r="2447" spans="1:17" ht="45" x14ac:dyDescent="0.25">
      <c r="A2447" s="9" t="s">
        <v>6860</v>
      </c>
      <c r="B2447" s="9" t="s">
        <v>6863</v>
      </c>
      <c r="C2447" s="9" t="s">
        <v>6868</v>
      </c>
      <c r="D2447" s="9" t="s">
        <v>6742</v>
      </c>
      <c r="E2447" s="9" t="s">
        <v>10470</v>
      </c>
      <c r="F2447" s="9" t="s">
        <v>10471</v>
      </c>
      <c r="G2447" s="9" t="s">
        <v>12</v>
      </c>
      <c r="H2447" s="9"/>
      <c r="I2447" s="9"/>
      <c r="J2447" s="9" t="s">
        <v>1143</v>
      </c>
      <c r="K2447" s="9"/>
      <c r="L2447" s="9"/>
      <c r="M2447" s="9" t="s">
        <v>10472</v>
      </c>
      <c r="N2447" s="9"/>
      <c r="O2447" s="9" t="s">
        <v>10473</v>
      </c>
      <c r="P2447" s="9" t="str">
        <f>HYPERLINK("https://ceds.ed.gov/cedselementdetails.aspx?termid=14646")</f>
        <v>https://ceds.ed.gov/cedselementdetails.aspx?termid=14646</v>
      </c>
      <c r="Q2447" s="9" t="str">
        <f>HYPERLINK("https://ceds.ed.gov/elementComment.aspx?elementName=Academic Award Requirements URL &amp;elementID=14646", "Click here to submit comment")</f>
        <v>Click here to submit comment</v>
      </c>
    </row>
    <row r="2448" spans="1:17" ht="75" x14ac:dyDescent="0.25">
      <c r="A2448" s="9" t="s">
        <v>6860</v>
      </c>
      <c r="B2448" s="9" t="s">
        <v>6863</v>
      </c>
      <c r="C2448" s="9" t="s">
        <v>6868</v>
      </c>
      <c r="D2448" s="9" t="s">
        <v>6742</v>
      </c>
      <c r="E2448" s="9" t="s">
        <v>1778</v>
      </c>
      <c r="F2448" s="9" t="s">
        <v>1779</v>
      </c>
      <c r="G2448" s="11" t="s">
        <v>1780</v>
      </c>
      <c r="H2448" s="9" t="s">
        <v>6108</v>
      </c>
      <c r="I2448" s="9"/>
      <c r="J2448" s="9"/>
      <c r="K2448" s="9"/>
      <c r="L2448" s="9"/>
      <c r="M2448" s="9" t="s">
        <v>1781</v>
      </c>
      <c r="N2448" s="9" t="s">
        <v>1782</v>
      </c>
      <c r="O2448" s="9" t="s">
        <v>1783</v>
      </c>
      <c r="P2448" s="9" t="str">
        <f>HYPERLINK("https://ceds.ed.gov/cedselementdetails.aspx?termid=13043")</f>
        <v>https://ceds.ed.gov/cedselementdetails.aspx?termid=13043</v>
      </c>
      <c r="Q2448" s="9" t="str">
        <f>HYPERLINK("https://ceds.ed.gov/elementComment.aspx?elementName=Classification of Instructional Program Code &amp;elementID=13043", "Click here to submit comment")</f>
        <v>Click here to submit comment</v>
      </c>
    </row>
    <row r="2449" spans="1:17" ht="135" x14ac:dyDescent="0.25">
      <c r="A2449" s="9" t="s">
        <v>6860</v>
      </c>
      <c r="B2449" s="9" t="s">
        <v>6863</v>
      </c>
      <c r="C2449" s="9" t="s">
        <v>6868</v>
      </c>
      <c r="D2449" s="9" t="s">
        <v>6742</v>
      </c>
      <c r="E2449" s="9" t="s">
        <v>1784</v>
      </c>
      <c r="F2449" s="9" t="s">
        <v>1785</v>
      </c>
      <c r="G2449" s="10" t="s">
        <v>6407</v>
      </c>
      <c r="H2449" s="9" t="s">
        <v>6115</v>
      </c>
      <c r="I2449" s="9"/>
      <c r="J2449" s="9"/>
      <c r="K2449" s="9"/>
      <c r="L2449" s="9"/>
      <c r="M2449" s="9" t="s">
        <v>1786</v>
      </c>
      <c r="N2449" s="9" t="s">
        <v>1787</v>
      </c>
      <c r="O2449" s="9" t="s">
        <v>1788</v>
      </c>
      <c r="P2449" s="9" t="str">
        <f>HYPERLINK("https://ceds.ed.gov/cedselementdetails.aspx?termid=13044")</f>
        <v>https://ceds.ed.gov/cedselementdetails.aspx?termid=13044</v>
      </c>
      <c r="Q2449" s="9" t="str">
        <f>HYPERLINK("https://ceds.ed.gov/elementComment.aspx?elementName=Classification of Instructional Program Use &amp;elementID=13044", "Click here to submit comment")</f>
        <v>Click here to submit comment</v>
      </c>
    </row>
    <row r="2450" spans="1:17" ht="90" x14ac:dyDescent="0.25">
      <c r="A2450" s="9" t="s">
        <v>6860</v>
      </c>
      <c r="B2450" s="9" t="s">
        <v>6863</v>
      </c>
      <c r="C2450" s="9" t="s">
        <v>6868</v>
      </c>
      <c r="D2450" s="9" t="s">
        <v>6742</v>
      </c>
      <c r="E2450" s="9" t="s">
        <v>1789</v>
      </c>
      <c r="F2450" s="9" t="s">
        <v>1790</v>
      </c>
      <c r="G2450" s="10" t="s">
        <v>6408</v>
      </c>
      <c r="H2450" s="9" t="s">
        <v>6115</v>
      </c>
      <c r="I2450" s="9"/>
      <c r="J2450" s="9"/>
      <c r="K2450" s="9"/>
      <c r="L2450" s="9"/>
      <c r="M2450" s="9" t="s">
        <v>1791</v>
      </c>
      <c r="N2450" s="9" t="s">
        <v>1792</v>
      </c>
      <c r="O2450" s="9" t="s">
        <v>1793</v>
      </c>
      <c r="P2450" s="9" t="str">
        <f>HYPERLINK("https://ceds.ed.gov/cedselementdetails.aspx?termid=13045")</f>
        <v>https://ceds.ed.gov/cedselementdetails.aspx?termid=13045</v>
      </c>
      <c r="Q2450" s="9" t="str">
        <f>HYPERLINK("https://ceds.ed.gov/elementComment.aspx?elementName=Classification of Instructional Program Version &amp;elementID=13045", "Click here to submit comment")</f>
        <v>Click here to submit comment</v>
      </c>
    </row>
    <row r="2451" spans="1:17" ht="150" x14ac:dyDescent="0.25">
      <c r="A2451" s="9" t="s">
        <v>6860</v>
      </c>
      <c r="B2451" s="9" t="s">
        <v>6863</v>
      </c>
      <c r="C2451" s="9" t="s">
        <v>6868</v>
      </c>
      <c r="D2451" s="9" t="s">
        <v>6742</v>
      </c>
      <c r="E2451" s="9" t="s">
        <v>2366</v>
      </c>
      <c r="F2451" s="9" t="s">
        <v>2367</v>
      </c>
      <c r="G2451" s="10" t="s">
        <v>6459</v>
      </c>
      <c r="H2451" s="9"/>
      <c r="I2451" s="9"/>
      <c r="J2451" s="9"/>
      <c r="K2451" s="9"/>
      <c r="L2451" s="11" t="s">
        <v>2368</v>
      </c>
      <c r="M2451" s="9" t="s">
        <v>2369</v>
      </c>
      <c r="N2451" s="9"/>
      <c r="O2451" s="9" t="s">
        <v>2370</v>
      </c>
      <c r="P2451" s="9" t="str">
        <f>HYPERLINK("https://ceds.ed.gov/cedselementdetails.aspx?termid=14622")</f>
        <v>https://ceds.ed.gov/cedselementdetails.aspx?termid=14622</v>
      </c>
      <c r="Q2451" s="9" t="str">
        <f>HYPERLINK("https://ceds.ed.gov/elementComment.aspx?elementName=DQP Categories of Learning &amp;elementID=14622", "Click here to submit comment")</f>
        <v>Click here to submit comment</v>
      </c>
    </row>
    <row r="2452" spans="1:17" ht="195" x14ac:dyDescent="0.25">
      <c r="A2452" s="9" t="s">
        <v>6860</v>
      </c>
      <c r="B2452" s="9" t="s">
        <v>6863</v>
      </c>
      <c r="C2452" s="9" t="s">
        <v>6868</v>
      </c>
      <c r="D2452" s="9" t="s">
        <v>6742</v>
      </c>
      <c r="E2452" s="9" t="s">
        <v>4880</v>
      </c>
      <c r="F2452" s="9" t="s">
        <v>4881</v>
      </c>
      <c r="G2452" s="10" t="s">
        <v>6660</v>
      </c>
      <c r="H2452" s="9"/>
      <c r="I2452" s="9"/>
      <c r="J2452" s="9"/>
      <c r="K2452" s="9"/>
      <c r="L2452" s="9"/>
      <c r="M2452" s="9" t="s">
        <v>4882</v>
      </c>
      <c r="N2452" s="9"/>
      <c r="O2452" s="9" t="s">
        <v>4883</v>
      </c>
      <c r="P2452" s="9" t="str">
        <f>HYPERLINK("https://ceds.ed.gov/cedselementdetails.aspx?termid=13780")</f>
        <v>https://ceds.ed.gov/cedselementdetails.aspx?termid=13780</v>
      </c>
      <c r="Q2452" s="9" t="str">
        <f>HYPERLINK("https://ceds.ed.gov/elementComment.aspx?elementName=Professional or Technical Credential Conferred &amp;elementID=13780", "Click here to submit comment")</f>
        <v>Click here to submit comment</v>
      </c>
    </row>
    <row r="2453" spans="1:17" ht="375" x14ac:dyDescent="0.25">
      <c r="A2453" s="9" t="s">
        <v>6860</v>
      </c>
      <c r="B2453" s="9" t="s">
        <v>6863</v>
      </c>
      <c r="C2453" s="9" t="s">
        <v>11928</v>
      </c>
      <c r="D2453" s="9" t="s">
        <v>6742</v>
      </c>
      <c r="E2453" s="9" t="s">
        <v>4583</v>
      </c>
      <c r="F2453" s="9" t="s">
        <v>4584</v>
      </c>
      <c r="G2453" s="10" t="s">
        <v>6635</v>
      </c>
      <c r="H2453" s="9"/>
      <c r="I2453" s="9"/>
      <c r="J2453" s="9"/>
      <c r="K2453" s="9"/>
      <c r="L2453" s="9"/>
      <c r="M2453" s="9" t="s">
        <v>4585</v>
      </c>
      <c r="N2453" s="9"/>
      <c r="O2453" s="9" t="s">
        <v>4586</v>
      </c>
      <c r="P2453" s="9" t="str">
        <f>HYPERLINK("https://ceds.ed.gov/cedselementdetails.aspx?termid=14550")</f>
        <v>https://ceds.ed.gov/cedselementdetails.aspx?termid=14550</v>
      </c>
      <c r="Q2453" s="9" t="str">
        <f>HYPERLINK("https://ceds.ed.gov/elementComment.aspx?elementName=Person Identification System &amp;elementID=14550", "Click here to submit comment")</f>
        <v>Click here to submit comment</v>
      </c>
    </row>
    <row r="2454" spans="1:17" ht="105" x14ac:dyDescent="0.25">
      <c r="A2454" s="18" t="s">
        <v>6860</v>
      </c>
      <c r="B2454" s="18" t="s">
        <v>6863</v>
      </c>
      <c r="C2454" s="18" t="s">
        <v>11928</v>
      </c>
      <c r="D2454" s="18" t="s">
        <v>6742</v>
      </c>
      <c r="E2454" s="18" t="s">
        <v>4587</v>
      </c>
      <c r="F2454" s="18" t="s">
        <v>4588</v>
      </c>
      <c r="G2454" s="18" t="s">
        <v>12</v>
      </c>
      <c r="H2454" s="18"/>
      <c r="I2454" s="18"/>
      <c r="J2454" s="18" t="s">
        <v>119</v>
      </c>
      <c r="K2454" s="18"/>
      <c r="L2454" s="9" t="s">
        <v>120</v>
      </c>
      <c r="M2454" s="18" t="s">
        <v>4589</v>
      </c>
      <c r="N2454" s="18"/>
      <c r="O2454" s="18" t="s">
        <v>4590</v>
      </c>
      <c r="P2454" s="18" t="str">
        <f>HYPERLINK("https://ceds.ed.gov/cedselementdetails.aspx?termid=14551")</f>
        <v>https://ceds.ed.gov/cedselementdetails.aspx?termid=14551</v>
      </c>
      <c r="Q2454" s="18" t="str">
        <f>HYPERLINK("https://ceds.ed.gov/elementComment.aspx?elementName=Person Identifier &amp;elementID=14551", "Click here to submit comment")</f>
        <v>Click here to submit comment</v>
      </c>
    </row>
    <row r="2455" spans="1:17" x14ac:dyDescent="0.25">
      <c r="A2455" s="18"/>
      <c r="B2455" s="18"/>
      <c r="C2455" s="18"/>
      <c r="D2455" s="18"/>
      <c r="E2455" s="18"/>
      <c r="F2455" s="18"/>
      <c r="G2455" s="18"/>
      <c r="H2455" s="18"/>
      <c r="I2455" s="18"/>
      <c r="J2455" s="18"/>
      <c r="K2455" s="18"/>
      <c r="L2455" s="9"/>
      <c r="M2455" s="18"/>
      <c r="N2455" s="18"/>
      <c r="O2455" s="18"/>
      <c r="P2455" s="18"/>
      <c r="Q2455" s="18"/>
    </row>
    <row r="2456" spans="1:17" ht="90" x14ac:dyDescent="0.25">
      <c r="A2456" s="18"/>
      <c r="B2456" s="18"/>
      <c r="C2456" s="18"/>
      <c r="D2456" s="18"/>
      <c r="E2456" s="18"/>
      <c r="F2456" s="18"/>
      <c r="G2456" s="18"/>
      <c r="H2456" s="18"/>
      <c r="I2456" s="18"/>
      <c r="J2456" s="18"/>
      <c r="K2456" s="18"/>
      <c r="L2456" s="9" t="s">
        <v>121</v>
      </c>
      <c r="M2456" s="18"/>
      <c r="N2456" s="18"/>
      <c r="O2456" s="18"/>
      <c r="P2456" s="18"/>
      <c r="Q2456" s="18"/>
    </row>
    <row r="2457" spans="1:17" ht="375" x14ac:dyDescent="0.25">
      <c r="A2457" s="9" t="s">
        <v>6860</v>
      </c>
      <c r="B2457" s="9" t="s">
        <v>6863</v>
      </c>
      <c r="C2457" s="9" t="s">
        <v>11929</v>
      </c>
      <c r="D2457" s="9" t="s">
        <v>6742</v>
      </c>
      <c r="E2457" s="9" t="s">
        <v>4583</v>
      </c>
      <c r="F2457" s="9" t="s">
        <v>4584</v>
      </c>
      <c r="G2457" s="10" t="s">
        <v>6635</v>
      </c>
      <c r="H2457" s="9"/>
      <c r="I2457" s="9"/>
      <c r="J2457" s="9"/>
      <c r="K2457" s="9"/>
      <c r="L2457" s="9"/>
      <c r="M2457" s="9" t="s">
        <v>4585</v>
      </c>
      <c r="N2457" s="9"/>
      <c r="O2457" s="9" t="s">
        <v>4586</v>
      </c>
      <c r="P2457" s="9" t="str">
        <f>HYPERLINK("https://ceds.ed.gov/cedselementdetails.aspx?termid=14550")</f>
        <v>https://ceds.ed.gov/cedselementdetails.aspx?termid=14550</v>
      </c>
      <c r="Q2457" s="9" t="str">
        <f>HYPERLINK("https://ceds.ed.gov/elementComment.aspx?elementName=Person Identification System &amp;elementID=14550", "Click here to submit comment")</f>
        <v>Click here to submit comment</v>
      </c>
    </row>
    <row r="2458" spans="1:17" ht="105" x14ac:dyDescent="0.25">
      <c r="A2458" s="18" t="s">
        <v>6860</v>
      </c>
      <c r="B2458" s="18" t="s">
        <v>6863</v>
      </c>
      <c r="C2458" s="18" t="s">
        <v>11929</v>
      </c>
      <c r="D2458" s="18" t="s">
        <v>6742</v>
      </c>
      <c r="E2458" s="18" t="s">
        <v>4587</v>
      </c>
      <c r="F2458" s="18" t="s">
        <v>4588</v>
      </c>
      <c r="G2458" s="18" t="s">
        <v>12</v>
      </c>
      <c r="H2458" s="18"/>
      <c r="I2458" s="18"/>
      <c r="J2458" s="18" t="s">
        <v>119</v>
      </c>
      <c r="K2458" s="18"/>
      <c r="L2458" s="9" t="s">
        <v>120</v>
      </c>
      <c r="M2458" s="18" t="s">
        <v>4589</v>
      </c>
      <c r="N2458" s="18"/>
      <c r="O2458" s="18" t="s">
        <v>4590</v>
      </c>
      <c r="P2458" s="18" t="str">
        <f>HYPERLINK("https://ceds.ed.gov/cedselementdetails.aspx?termid=14551")</f>
        <v>https://ceds.ed.gov/cedselementdetails.aspx?termid=14551</v>
      </c>
      <c r="Q2458" s="18" t="str">
        <f>HYPERLINK("https://ceds.ed.gov/elementComment.aspx?elementName=Person Identifier &amp;elementID=14551", "Click here to submit comment")</f>
        <v>Click here to submit comment</v>
      </c>
    </row>
    <row r="2459" spans="1:17" x14ac:dyDescent="0.25">
      <c r="A2459" s="18"/>
      <c r="B2459" s="18"/>
      <c r="C2459" s="18"/>
      <c r="D2459" s="18"/>
      <c r="E2459" s="18"/>
      <c r="F2459" s="18"/>
      <c r="G2459" s="18"/>
      <c r="H2459" s="18"/>
      <c r="I2459" s="18"/>
      <c r="J2459" s="18"/>
      <c r="K2459" s="18"/>
      <c r="L2459" s="9"/>
      <c r="M2459" s="18"/>
      <c r="N2459" s="18"/>
      <c r="O2459" s="18"/>
      <c r="P2459" s="18"/>
      <c r="Q2459" s="18"/>
    </row>
    <row r="2460" spans="1:17" ht="90" x14ac:dyDescent="0.25">
      <c r="A2460" s="18"/>
      <c r="B2460" s="18"/>
      <c r="C2460" s="18"/>
      <c r="D2460" s="18"/>
      <c r="E2460" s="18"/>
      <c r="F2460" s="18"/>
      <c r="G2460" s="18"/>
      <c r="H2460" s="18"/>
      <c r="I2460" s="18"/>
      <c r="J2460" s="18"/>
      <c r="K2460" s="18"/>
      <c r="L2460" s="9" t="s">
        <v>121</v>
      </c>
      <c r="M2460" s="18"/>
      <c r="N2460" s="18"/>
      <c r="O2460" s="18"/>
      <c r="P2460" s="18"/>
      <c r="Q2460" s="18"/>
    </row>
    <row r="2461" spans="1:17" ht="90" x14ac:dyDescent="0.25">
      <c r="A2461" s="9" t="s">
        <v>6860</v>
      </c>
      <c r="B2461" s="9" t="s">
        <v>6863</v>
      </c>
      <c r="C2461" s="9" t="s">
        <v>6869</v>
      </c>
      <c r="D2461" s="9" t="s">
        <v>6742</v>
      </c>
      <c r="E2461" s="9" t="s">
        <v>4641</v>
      </c>
      <c r="F2461" s="9" t="s">
        <v>4642</v>
      </c>
      <c r="G2461" s="10" t="s">
        <v>6640</v>
      </c>
      <c r="H2461" s="9" t="s">
        <v>6115</v>
      </c>
      <c r="I2461" s="9"/>
      <c r="J2461" s="9"/>
      <c r="K2461" s="9"/>
      <c r="L2461" s="9"/>
      <c r="M2461" s="9" t="s">
        <v>4643</v>
      </c>
      <c r="N2461" s="9"/>
      <c r="O2461" s="9" t="s">
        <v>4644</v>
      </c>
      <c r="P2461" s="9" t="str">
        <f>HYPERLINK("https://ceds.ed.gov/cedselementdetails.aspx?termid=13095")</f>
        <v>https://ceds.ed.gov/cedselementdetails.aspx?termid=13095</v>
      </c>
      <c r="Q2461" s="9" t="str">
        <f>HYPERLINK("https://ceds.ed.gov/elementComment.aspx?elementName=Postsecondary Enrollment Type &amp;elementID=13095", "Click here to submit comment")</f>
        <v>Click here to submit comment</v>
      </c>
    </row>
    <row r="2462" spans="1:17" ht="135" x14ac:dyDescent="0.25">
      <c r="A2462" s="9" t="s">
        <v>6860</v>
      </c>
      <c r="B2462" s="9" t="s">
        <v>6863</v>
      </c>
      <c r="C2462" s="9" t="s">
        <v>6869</v>
      </c>
      <c r="D2462" s="9" t="s">
        <v>6742</v>
      </c>
      <c r="E2462" s="9" t="s">
        <v>4636</v>
      </c>
      <c r="F2462" s="9" t="s">
        <v>4637</v>
      </c>
      <c r="G2462" s="10" t="s">
        <v>6639</v>
      </c>
      <c r="H2462" s="9" t="s">
        <v>6256</v>
      </c>
      <c r="I2462" s="9"/>
      <c r="J2462" s="9"/>
      <c r="K2462" s="9"/>
      <c r="L2462" s="9" t="s">
        <v>4638</v>
      </c>
      <c r="M2462" s="9" t="s">
        <v>4639</v>
      </c>
      <c r="N2462" s="9"/>
      <c r="O2462" s="9" t="s">
        <v>4640</v>
      </c>
      <c r="P2462" s="9" t="str">
        <f>HYPERLINK("https://ceds.ed.gov/cedselementdetails.aspx?termid=13096")</f>
        <v>https://ceds.ed.gov/cedselementdetails.aspx?termid=13096</v>
      </c>
      <c r="Q2462" s="9" t="str">
        <f>HYPERLINK("https://ceds.ed.gov/elementComment.aspx?elementName=Postsecondary Enrollment Status &amp;elementID=13096", "Click here to submit comment")</f>
        <v>Click here to submit comment</v>
      </c>
    </row>
    <row r="2463" spans="1:17" ht="180" x14ac:dyDescent="0.25">
      <c r="A2463" s="9" t="s">
        <v>6860</v>
      </c>
      <c r="B2463" s="9" t="s">
        <v>6863</v>
      </c>
      <c r="C2463" s="9" t="s">
        <v>6869</v>
      </c>
      <c r="D2463" s="9" t="s">
        <v>6742</v>
      </c>
      <c r="E2463" s="9" t="s">
        <v>38</v>
      </c>
      <c r="F2463" s="9" t="s">
        <v>39</v>
      </c>
      <c r="G2463" s="10" t="s">
        <v>6314</v>
      </c>
      <c r="H2463" s="9" t="s">
        <v>6111</v>
      </c>
      <c r="I2463" s="9"/>
      <c r="J2463" s="9"/>
      <c r="K2463" s="9"/>
      <c r="L2463" s="9" t="s">
        <v>40</v>
      </c>
      <c r="M2463" s="9" t="s">
        <v>41</v>
      </c>
      <c r="N2463" s="9"/>
      <c r="O2463" s="9" t="s">
        <v>42</v>
      </c>
      <c r="P2463" s="9" t="str">
        <f>HYPERLINK("https://ceds.ed.gov/cedselementdetails.aspx?termid=13703")</f>
        <v>https://ceds.ed.gov/cedselementdetails.aspx?termid=13703</v>
      </c>
      <c r="Q2463" s="9" t="str">
        <f>HYPERLINK("https://ceds.ed.gov/elementComment.aspx?elementName=Academic Term Designator &amp;elementID=13703", "Click here to submit comment")</f>
        <v>Click here to submit comment</v>
      </c>
    </row>
    <row r="2464" spans="1:17" ht="60" x14ac:dyDescent="0.25">
      <c r="A2464" s="9" t="s">
        <v>6860</v>
      </c>
      <c r="B2464" s="9" t="s">
        <v>6863</v>
      </c>
      <c r="C2464" s="9" t="s">
        <v>6869</v>
      </c>
      <c r="D2464" s="9" t="s">
        <v>6742</v>
      </c>
      <c r="E2464" s="9" t="s">
        <v>43</v>
      </c>
      <c r="F2464" s="9" t="s">
        <v>44</v>
      </c>
      <c r="G2464" s="9" t="s">
        <v>12</v>
      </c>
      <c r="H2464" s="9" t="s">
        <v>6111</v>
      </c>
      <c r="I2464" s="9"/>
      <c r="J2464" s="9" t="s">
        <v>45</v>
      </c>
      <c r="K2464" s="9"/>
      <c r="L2464" s="9"/>
      <c r="M2464" s="9" t="s">
        <v>46</v>
      </c>
      <c r="N2464" s="9"/>
      <c r="O2464" s="9" t="s">
        <v>47</v>
      </c>
      <c r="P2464" s="9" t="str">
        <f>HYPERLINK("https://ceds.ed.gov/cedselementdetails.aspx?termid=13702")</f>
        <v>https://ceds.ed.gov/cedselementdetails.aspx?termid=13702</v>
      </c>
      <c r="Q2464" s="9" t="str">
        <f>HYPERLINK("https://ceds.ed.gov/elementComment.aspx?elementName=Academic Year Designator &amp;elementID=13702", "Click here to submit comment")</f>
        <v>Click here to submit comment</v>
      </c>
    </row>
    <row r="2465" spans="1:17" ht="45" x14ac:dyDescent="0.25">
      <c r="A2465" s="9" t="s">
        <v>6860</v>
      </c>
      <c r="B2465" s="9" t="s">
        <v>6863</v>
      </c>
      <c r="C2465" s="9" t="s">
        <v>6869</v>
      </c>
      <c r="D2465" s="9" t="s">
        <v>6742</v>
      </c>
      <c r="E2465" s="9" t="s">
        <v>3471</v>
      </c>
      <c r="F2465" s="9" t="s">
        <v>3472</v>
      </c>
      <c r="G2465" s="10" t="s">
        <v>6562</v>
      </c>
      <c r="H2465" s="9" t="s">
        <v>6115</v>
      </c>
      <c r="I2465" s="9"/>
      <c r="J2465" s="9"/>
      <c r="K2465" s="9"/>
      <c r="L2465" s="9"/>
      <c r="M2465" s="9" t="s">
        <v>3473</v>
      </c>
      <c r="N2465" s="9"/>
      <c r="O2465" s="9" t="s">
        <v>3474</v>
      </c>
      <c r="P2465" s="9" t="str">
        <f>HYPERLINK("https://ceds.ed.gov/cedselementdetails.aspx?termid=13169")</f>
        <v>https://ceds.ed.gov/cedselementdetails.aspx?termid=13169</v>
      </c>
      <c r="Q2465" s="9" t="str">
        <f>HYPERLINK("https://ceds.ed.gov/elementComment.aspx?elementName=Instructional Activity Hours Type &amp;elementID=13169", "Click here to submit comment")</f>
        <v>Click here to submit comment</v>
      </c>
    </row>
    <row r="2466" spans="1:17" ht="45" x14ac:dyDescent="0.25">
      <c r="A2466" s="9" t="s">
        <v>6860</v>
      </c>
      <c r="B2466" s="9" t="s">
        <v>6863</v>
      </c>
      <c r="C2466" s="9" t="s">
        <v>6869</v>
      </c>
      <c r="D2466" s="9" t="s">
        <v>6742</v>
      </c>
      <c r="E2466" s="9" t="s">
        <v>3462</v>
      </c>
      <c r="F2466" s="9" t="s">
        <v>3463</v>
      </c>
      <c r="G2466" s="9" t="s">
        <v>12</v>
      </c>
      <c r="H2466" s="9" t="s">
        <v>6115</v>
      </c>
      <c r="I2466" s="9"/>
      <c r="J2466" s="9" t="s">
        <v>1513</v>
      </c>
      <c r="K2466" s="9"/>
      <c r="L2466" s="9"/>
      <c r="M2466" s="9" t="s">
        <v>3464</v>
      </c>
      <c r="N2466" s="9"/>
      <c r="O2466" s="9" t="s">
        <v>3465</v>
      </c>
      <c r="P2466" s="9" t="str">
        <f>HYPERLINK("https://ceds.ed.gov/cedselementdetails.aspx?termid=13168")</f>
        <v>https://ceds.ed.gov/cedselementdetails.aspx?termid=13168</v>
      </c>
      <c r="Q2466" s="9" t="str">
        <f>HYPERLINK("https://ceds.ed.gov/elementComment.aspx?elementName=Instructional Activity Hours Attempted &amp;elementID=13168", "Click here to submit comment")</f>
        <v>Click here to submit comment</v>
      </c>
    </row>
    <row r="2467" spans="1:17" ht="45" x14ac:dyDescent="0.25">
      <c r="A2467" s="9" t="s">
        <v>6860</v>
      </c>
      <c r="B2467" s="9" t="s">
        <v>6863</v>
      </c>
      <c r="C2467" s="9" t="s">
        <v>6869</v>
      </c>
      <c r="D2467" s="9" t="s">
        <v>6742</v>
      </c>
      <c r="E2467" s="9" t="s">
        <v>3466</v>
      </c>
      <c r="F2467" s="9" t="s">
        <v>3467</v>
      </c>
      <c r="G2467" s="9" t="s">
        <v>12</v>
      </c>
      <c r="H2467" s="9" t="s">
        <v>3470</v>
      </c>
      <c r="I2467" s="9"/>
      <c r="J2467" s="9" t="s">
        <v>1513</v>
      </c>
      <c r="K2467" s="9"/>
      <c r="L2467" s="9"/>
      <c r="M2467" s="9" t="s">
        <v>3468</v>
      </c>
      <c r="N2467" s="9"/>
      <c r="O2467" s="9" t="s">
        <v>3469</v>
      </c>
      <c r="P2467" s="9" t="str">
        <f>HYPERLINK("https://ceds.ed.gov/cedselementdetails.aspx?termid=13361")</f>
        <v>https://ceds.ed.gov/cedselementdetails.aspx?termid=13361</v>
      </c>
      <c r="Q2467" s="9" t="str">
        <f>HYPERLINK("https://ceds.ed.gov/elementComment.aspx?elementName=Instructional Activity Hours Completed &amp;elementID=13361", "Click here to submit comment")</f>
        <v>Click here to submit comment</v>
      </c>
    </row>
    <row r="2468" spans="1:17" ht="210" x14ac:dyDescent="0.25">
      <c r="A2468" s="9" t="s">
        <v>6860</v>
      </c>
      <c r="B2468" s="9" t="s">
        <v>6863</v>
      </c>
      <c r="C2468" s="9" t="s">
        <v>6869</v>
      </c>
      <c r="D2468" s="9" t="s">
        <v>6742</v>
      </c>
      <c r="E2468" s="9" t="s">
        <v>5944</v>
      </c>
      <c r="F2468" s="9" t="s">
        <v>5945</v>
      </c>
      <c r="G2468" s="9" t="s">
        <v>6106</v>
      </c>
      <c r="H2468" s="9" t="s">
        <v>6115</v>
      </c>
      <c r="I2468" s="9"/>
      <c r="J2468" s="9"/>
      <c r="K2468" s="9"/>
      <c r="L2468" s="9"/>
      <c r="M2468" s="9" t="s">
        <v>5946</v>
      </c>
      <c r="N2468" s="9"/>
      <c r="O2468" s="9" t="s">
        <v>5947</v>
      </c>
      <c r="P2468" s="9" t="str">
        <f>HYPERLINK("https://ceds.ed.gov/cedselementdetails.aspx?termid=13292")</f>
        <v>https://ceds.ed.gov/cedselementdetails.aspx?termid=13292</v>
      </c>
      <c r="Q2468" s="9" t="str">
        <f>HYPERLINK("https://ceds.ed.gov/elementComment.aspx?elementName=Title IV Participant and Recipient &amp;elementID=13292", "Click here to submit comment")</f>
        <v>Click here to submit comment</v>
      </c>
    </row>
    <row r="2469" spans="1:17" ht="345" x14ac:dyDescent="0.25">
      <c r="A2469" s="9" t="s">
        <v>6860</v>
      </c>
      <c r="B2469" s="9" t="s">
        <v>6863</v>
      </c>
      <c r="C2469" s="9" t="s">
        <v>6869</v>
      </c>
      <c r="D2469" s="9" t="s">
        <v>6742</v>
      </c>
      <c r="E2469" s="9" t="s">
        <v>2338</v>
      </c>
      <c r="F2469" s="9" t="s">
        <v>2339</v>
      </c>
      <c r="G2469" s="10" t="s">
        <v>6456</v>
      </c>
      <c r="H2469" s="9" t="s">
        <v>2344</v>
      </c>
      <c r="I2469" s="9"/>
      <c r="J2469" s="9"/>
      <c r="K2469" s="9"/>
      <c r="L2469" s="9" t="s">
        <v>2341</v>
      </c>
      <c r="M2469" s="9" t="s">
        <v>2342</v>
      </c>
      <c r="N2469" s="9"/>
      <c r="O2469" s="9" t="s">
        <v>2343</v>
      </c>
      <c r="P2469" s="9" t="str">
        <f>HYPERLINK("https://ceds.ed.gov/cedselementdetails.aspx?termid=13704")</f>
        <v>https://ceds.ed.gov/cedselementdetails.aspx?termid=13704</v>
      </c>
      <c r="Q2469" s="9" t="str">
        <f>HYPERLINK("https://ceds.ed.gov/elementComment.aspx?elementName=Distance Education Course Enrollment &amp;elementID=13704", "Click here to submit comment")</f>
        <v>Click here to submit comment</v>
      </c>
    </row>
    <row r="2470" spans="1:17" ht="105" x14ac:dyDescent="0.25">
      <c r="A2470" s="9" t="s">
        <v>6860</v>
      </c>
      <c r="B2470" s="9" t="s">
        <v>6863</v>
      </c>
      <c r="C2470" s="9" t="s">
        <v>6869</v>
      </c>
      <c r="D2470" s="9" t="s">
        <v>6742</v>
      </c>
      <c r="E2470" s="9" t="s">
        <v>4663</v>
      </c>
      <c r="F2470" s="9" t="s">
        <v>4664</v>
      </c>
      <c r="G2470" s="9" t="s">
        <v>6106</v>
      </c>
      <c r="H2470" s="9" t="s">
        <v>227</v>
      </c>
      <c r="I2470" s="9"/>
      <c r="J2470" s="9"/>
      <c r="K2470" s="9"/>
      <c r="L2470" s="9" t="s">
        <v>4665</v>
      </c>
      <c r="M2470" s="9" t="s">
        <v>4666</v>
      </c>
      <c r="N2470" s="9"/>
      <c r="O2470" s="9" t="s">
        <v>4667</v>
      </c>
      <c r="P2470" s="9" t="str">
        <f>HYPERLINK("https://ceds.ed.gov/cedselementdetails.aspx?termid=13741")</f>
        <v>https://ceds.ed.gov/cedselementdetails.aspx?termid=13741</v>
      </c>
      <c r="Q2470" s="9" t="str">
        <f>HYPERLINK("https://ceds.ed.gov/elementComment.aspx?elementName=Postsecondary Student Housing On-Campus &amp;elementID=13741", "Click here to submit comment")</f>
        <v>Click here to submit comment</v>
      </c>
    </row>
    <row r="2471" spans="1:17" ht="60" x14ac:dyDescent="0.25">
      <c r="A2471" s="9" t="s">
        <v>6860</v>
      </c>
      <c r="B2471" s="9" t="s">
        <v>6863</v>
      </c>
      <c r="C2471" s="9" t="s">
        <v>6869</v>
      </c>
      <c r="D2471" s="9" t="s">
        <v>6742</v>
      </c>
      <c r="E2471" s="9" t="s">
        <v>2965</v>
      </c>
      <c r="F2471" s="9" t="s">
        <v>2966</v>
      </c>
      <c r="G2471" s="9" t="s">
        <v>6106</v>
      </c>
      <c r="H2471" s="9" t="s">
        <v>227</v>
      </c>
      <c r="I2471" s="9"/>
      <c r="J2471" s="9"/>
      <c r="K2471" s="9"/>
      <c r="L2471" s="9"/>
      <c r="M2471" s="9" t="s">
        <v>2967</v>
      </c>
      <c r="N2471" s="9"/>
      <c r="O2471" s="9" t="s">
        <v>2968</v>
      </c>
      <c r="P2471" s="9" t="str">
        <f>HYPERLINK("https://ceds.ed.gov/cedselementdetails.aspx?termid=13743")</f>
        <v>https://ceds.ed.gov/cedselementdetails.aspx?termid=13743</v>
      </c>
      <c r="Q2471" s="9" t="str">
        <f>HYPERLINK("https://ceds.ed.gov/elementComment.aspx?elementName=Fraternity Participation Status &amp;elementID=13743", "Click here to submit comment")</f>
        <v>Click here to submit comment</v>
      </c>
    </row>
    <row r="2472" spans="1:17" ht="60" x14ac:dyDescent="0.25">
      <c r="A2472" s="9" t="s">
        <v>6860</v>
      </c>
      <c r="B2472" s="9" t="s">
        <v>6863</v>
      </c>
      <c r="C2472" s="9" t="s">
        <v>6869</v>
      </c>
      <c r="D2472" s="9" t="s">
        <v>6742</v>
      </c>
      <c r="E2472" s="9" t="s">
        <v>5508</v>
      </c>
      <c r="F2472" s="9" t="s">
        <v>5509</v>
      </c>
      <c r="G2472" s="9" t="s">
        <v>6106</v>
      </c>
      <c r="H2472" s="9" t="s">
        <v>227</v>
      </c>
      <c r="I2472" s="9"/>
      <c r="J2472" s="9"/>
      <c r="K2472" s="9"/>
      <c r="L2472" s="9"/>
      <c r="M2472" s="9" t="s">
        <v>5510</v>
      </c>
      <c r="N2472" s="9"/>
      <c r="O2472" s="9" t="s">
        <v>5511</v>
      </c>
      <c r="P2472" s="9" t="str">
        <f>HYPERLINK("https://ceds.ed.gov/cedselementdetails.aspx?termid=13744")</f>
        <v>https://ceds.ed.gov/cedselementdetails.aspx?termid=13744</v>
      </c>
      <c r="Q2472" s="9" t="str">
        <f>HYPERLINK("https://ceds.ed.gov/elementComment.aspx?elementName=Sorority Participation Status &amp;elementID=13744", "Click here to submit comment")</f>
        <v>Click here to submit comment</v>
      </c>
    </row>
    <row r="2473" spans="1:17" ht="75" x14ac:dyDescent="0.25">
      <c r="A2473" s="9" t="s">
        <v>6860</v>
      </c>
      <c r="B2473" s="9" t="s">
        <v>6863</v>
      </c>
      <c r="C2473" s="9" t="s">
        <v>6869</v>
      </c>
      <c r="D2473" s="9" t="s">
        <v>6742</v>
      </c>
      <c r="E2473" s="9" t="s">
        <v>2273</v>
      </c>
      <c r="F2473" s="9" t="s">
        <v>2274</v>
      </c>
      <c r="G2473" s="10" t="s">
        <v>6447</v>
      </c>
      <c r="H2473" s="9" t="s">
        <v>6188</v>
      </c>
      <c r="I2473" s="9"/>
      <c r="J2473" s="9"/>
      <c r="K2473" s="9"/>
      <c r="L2473" s="9"/>
      <c r="M2473" s="9" t="s">
        <v>2275</v>
      </c>
      <c r="N2473" s="9"/>
      <c r="O2473" s="9" t="s">
        <v>2276</v>
      </c>
      <c r="P2473" s="9" t="str">
        <f>HYPERLINK("https://ceds.ed.gov/cedselementdetails.aspx?termid=14569")</f>
        <v>https://ceds.ed.gov/cedselementdetails.aspx?termid=14569</v>
      </c>
      <c r="Q2473" s="9" t="str">
        <f>HYPERLINK("https://ceds.ed.gov/elementComment.aspx?elementName=Directory Information Block Status &amp;elementID=14569", "Click here to submit comment")</f>
        <v>Click here to submit comment</v>
      </c>
    </row>
    <row r="2474" spans="1:17" ht="180" x14ac:dyDescent="0.25">
      <c r="A2474" s="9" t="s">
        <v>6860</v>
      </c>
      <c r="B2474" s="9" t="s">
        <v>6863</v>
      </c>
      <c r="C2474" s="9" t="s">
        <v>6827</v>
      </c>
      <c r="D2474" s="9" t="s">
        <v>6742</v>
      </c>
      <c r="E2474" s="9" t="s">
        <v>38</v>
      </c>
      <c r="F2474" s="9" t="s">
        <v>39</v>
      </c>
      <c r="G2474" s="10" t="s">
        <v>6314</v>
      </c>
      <c r="H2474" s="9" t="s">
        <v>6111</v>
      </c>
      <c r="I2474" s="9"/>
      <c r="J2474" s="9"/>
      <c r="K2474" s="9"/>
      <c r="L2474" s="9" t="s">
        <v>40</v>
      </c>
      <c r="M2474" s="9" t="s">
        <v>41</v>
      </c>
      <c r="N2474" s="9"/>
      <c r="O2474" s="9" t="s">
        <v>42</v>
      </c>
      <c r="P2474" s="9" t="str">
        <f>HYPERLINK("https://ceds.ed.gov/cedselementdetails.aspx?termid=13703")</f>
        <v>https://ceds.ed.gov/cedselementdetails.aspx?termid=13703</v>
      </c>
      <c r="Q2474" s="9" t="str">
        <f>HYPERLINK("https://ceds.ed.gov/elementComment.aspx?elementName=Academic Term Designator &amp;elementID=13703", "Click here to submit comment")</f>
        <v>Click here to submit comment</v>
      </c>
    </row>
    <row r="2475" spans="1:17" ht="60" x14ac:dyDescent="0.25">
      <c r="A2475" s="9" t="s">
        <v>6860</v>
      </c>
      <c r="B2475" s="9" t="s">
        <v>6863</v>
      </c>
      <c r="C2475" s="9" t="s">
        <v>6827</v>
      </c>
      <c r="D2475" s="9" t="s">
        <v>6742</v>
      </c>
      <c r="E2475" s="9" t="s">
        <v>43</v>
      </c>
      <c r="F2475" s="9" t="s">
        <v>44</v>
      </c>
      <c r="G2475" s="9" t="s">
        <v>12</v>
      </c>
      <c r="H2475" s="9" t="s">
        <v>6111</v>
      </c>
      <c r="I2475" s="9"/>
      <c r="J2475" s="9" t="s">
        <v>45</v>
      </c>
      <c r="K2475" s="9"/>
      <c r="L2475" s="9"/>
      <c r="M2475" s="9" t="s">
        <v>46</v>
      </c>
      <c r="N2475" s="9"/>
      <c r="O2475" s="9" t="s">
        <v>47</v>
      </c>
      <c r="P2475" s="9" t="str">
        <f>HYPERLINK("https://ceds.ed.gov/cedselementdetails.aspx?termid=13702")</f>
        <v>https://ceds.ed.gov/cedselementdetails.aspx?termid=13702</v>
      </c>
      <c r="Q2475" s="9" t="str">
        <f>HYPERLINK("https://ceds.ed.gov/elementComment.aspx?elementName=Academic Year Designator &amp;elementID=13702", "Click here to submit comment")</f>
        <v>Click here to submit comment</v>
      </c>
    </row>
    <row r="2476" spans="1:17" ht="45" x14ac:dyDescent="0.25">
      <c r="A2476" s="9" t="s">
        <v>6860</v>
      </c>
      <c r="B2476" s="9" t="s">
        <v>6863</v>
      </c>
      <c r="C2476" s="9" t="s">
        <v>6827</v>
      </c>
      <c r="D2476" s="9" t="s">
        <v>6742</v>
      </c>
      <c r="E2476" s="9" t="s">
        <v>3016</v>
      </c>
      <c r="F2476" s="9" t="s">
        <v>3017</v>
      </c>
      <c r="G2476" s="9" t="s">
        <v>12</v>
      </c>
      <c r="H2476" s="9" t="s">
        <v>25</v>
      </c>
      <c r="I2476" s="9"/>
      <c r="J2476" s="9" t="s">
        <v>3018</v>
      </c>
      <c r="K2476" s="9"/>
      <c r="L2476" s="9"/>
      <c r="M2476" s="9" t="s">
        <v>3019</v>
      </c>
      <c r="N2476" s="9"/>
      <c r="O2476" s="9" t="s">
        <v>3020</v>
      </c>
      <c r="P2476" s="9" t="str">
        <f>HYPERLINK("https://ceds.ed.gov/cedselementdetails.aspx?termid=13127")</f>
        <v>https://ceds.ed.gov/cedselementdetails.aspx?termid=13127</v>
      </c>
      <c r="Q2476" s="9" t="str">
        <f>HYPERLINK("https://ceds.ed.gov/elementComment.aspx?elementName=Grade Point Average &amp;elementID=13127", "Click here to submit comment")</f>
        <v>Click here to submit comment</v>
      </c>
    </row>
    <row r="2477" spans="1:17" ht="180" x14ac:dyDescent="0.25">
      <c r="A2477" s="9" t="s">
        <v>6860</v>
      </c>
      <c r="B2477" s="9" t="s">
        <v>6863</v>
      </c>
      <c r="C2477" s="9" t="s">
        <v>6827</v>
      </c>
      <c r="D2477" s="9" t="s">
        <v>6742</v>
      </c>
      <c r="E2477" s="9" t="s">
        <v>3021</v>
      </c>
      <c r="F2477" s="9" t="s">
        <v>3022</v>
      </c>
      <c r="G2477" s="9" t="s">
        <v>12</v>
      </c>
      <c r="H2477" s="9" t="s">
        <v>6217</v>
      </c>
      <c r="I2477" s="9"/>
      <c r="J2477" s="9" t="s">
        <v>3018</v>
      </c>
      <c r="K2477" s="9"/>
      <c r="L2477" s="9" t="s">
        <v>3023</v>
      </c>
      <c r="M2477" s="9" t="s">
        <v>3024</v>
      </c>
      <c r="N2477" s="9" t="s">
        <v>3025</v>
      </c>
      <c r="O2477" s="9" t="s">
        <v>3026</v>
      </c>
      <c r="P2477" s="9" t="str">
        <f>HYPERLINK("https://ceds.ed.gov/cedselementdetails.aspx?termid=13128")</f>
        <v>https://ceds.ed.gov/cedselementdetails.aspx?termid=13128</v>
      </c>
      <c r="Q2477" s="9" t="str">
        <f>HYPERLINK("https://ceds.ed.gov/elementComment.aspx?elementName=Grade Point Average Cumulative &amp;elementID=13128", "Click here to submit comment")</f>
        <v>Click here to submit comment</v>
      </c>
    </row>
    <row r="2478" spans="1:17" ht="75" x14ac:dyDescent="0.25">
      <c r="A2478" s="9" t="s">
        <v>6860</v>
      </c>
      <c r="B2478" s="9" t="s">
        <v>6863</v>
      </c>
      <c r="C2478" s="9" t="s">
        <v>6827</v>
      </c>
      <c r="D2478" s="9" t="s">
        <v>6742</v>
      </c>
      <c r="E2478" s="9" t="s">
        <v>2371</v>
      </c>
      <c r="F2478" s="9" t="s">
        <v>2372</v>
      </c>
      <c r="G2478" s="9" t="s">
        <v>12</v>
      </c>
      <c r="H2478" s="9" t="s">
        <v>25</v>
      </c>
      <c r="I2478" s="9"/>
      <c r="J2478" s="9" t="s">
        <v>1513</v>
      </c>
      <c r="K2478" s="9"/>
      <c r="L2478" s="9"/>
      <c r="M2478" s="9" t="s">
        <v>2373</v>
      </c>
      <c r="N2478" s="9"/>
      <c r="O2478" s="9" t="s">
        <v>2374</v>
      </c>
      <c r="P2478" s="9" t="str">
        <f>HYPERLINK("https://ceds.ed.gov/cedselementdetails.aspx?termid=13085")</f>
        <v>https://ceds.ed.gov/cedselementdetails.aspx?termid=13085</v>
      </c>
      <c r="Q2478" s="9" t="str">
        <f>HYPERLINK("https://ceds.ed.gov/elementComment.aspx?elementName=Dual Credit Dual Enrollment Credits Awarded &amp;elementID=13085", "Click here to submit comment")</f>
        <v>Click here to submit comment</v>
      </c>
    </row>
    <row r="2479" spans="1:17" ht="90" x14ac:dyDescent="0.25">
      <c r="A2479" s="9" t="s">
        <v>6860</v>
      </c>
      <c r="B2479" s="9" t="s">
        <v>6863</v>
      </c>
      <c r="C2479" s="9" t="s">
        <v>6827</v>
      </c>
      <c r="D2479" s="9" t="s">
        <v>6742</v>
      </c>
      <c r="E2479" s="9" t="s">
        <v>291</v>
      </c>
      <c r="F2479" s="9" t="s">
        <v>292</v>
      </c>
      <c r="G2479" s="9" t="s">
        <v>12</v>
      </c>
      <c r="H2479" s="9" t="s">
        <v>25</v>
      </c>
      <c r="I2479" s="9"/>
      <c r="J2479" s="9" t="s">
        <v>10489</v>
      </c>
      <c r="K2479" s="9"/>
      <c r="L2479" s="9"/>
      <c r="M2479" s="9" t="s">
        <v>294</v>
      </c>
      <c r="N2479" s="9" t="s">
        <v>295</v>
      </c>
      <c r="O2479" s="9" t="s">
        <v>296</v>
      </c>
      <c r="P2479" s="9" t="str">
        <f>HYPERLINK("https://ceds.ed.gov/cedselementdetails.aspx?termid=13018")</f>
        <v>https://ceds.ed.gov/cedselementdetails.aspx?termid=13018</v>
      </c>
      <c r="Q2479" s="9" t="str">
        <f>HYPERLINK("https://ceds.ed.gov/elementComment.aspx?elementName=Advanced Placement Credits Awarded &amp;elementID=13018", "Click here to submit comment")</f>
        <v>Click here to submit comment</v>
      </c>
    </row>
    <row r="2480" spans="1:17" ht="45" x14ac:dyDescent="0.25">
      <c r="A2480" s="9" t="s">
        <v>6860</v>
      </c>
      <c r="B2480" s="9" t="s">
        <v>6863</v>
      </c>
      <c r="C2480" s="9" t="s">
        <v>6827</v>
      </c>
      <c r="D2480" s="9" t="s">
        <v>6742</v>
      </c>
      <c r="E2480" s="9" t="s">
        <v>2095</v>
      </c>
      <c r="F2480" s="9" t="s">
        <v>2096</v>
      </c>
      <c r="G2480" s="9" t="s">
        <v>12</v>
      </c>
      <c r="H2480" s="9"/>
      <c r="I2480" s="9"/>
      <c r="J2480" s="9" t="s">
        <v>10489</v>
      </c>
      <c r="K2480" s="9"/>
      <c r="L2480" s="9"/>
      <c r="M2480" s="9" t="s">
        <v>2097</v>
      </c>
      <c r="N2480" s="9"/>
      <c r="O2480" s="9" t="s">
        <v>2098</v>
      </c>
      <c r="P2480" s="9" t="str">
        <f>HYPERLINK("https://ceds.ed.gov/cedselementdetails.aspx?termid=14282")</f>
        <v>https://ceds.ed.gov/cedselementdetails.aspx?termid=14282</v>
      </c>
      <c r="Q2480" s="9" t="str">
        <f>HYPERLINK("https://ceds.ed.gov/elementComment.aspx?elementName=Course Total &amp;elementID=14282", "Click here to submit comment")</f>
        <v>Click here to submit comment</v>
      </c>
    </row>
    <row r="2481" spans="1:17" ht="105" x14ac:dyDescent="0.25">
      <c r="A2481" s="18" t="s">
        <v>6860</v>
      </c>
      <c r="B2481" s="18" t="s">
        <v>6863</v>
      </c>
      <c r="C2481" s="18" t="s">
        <v>6829</v>
      </c>
      <c r="D2481" s="18" t="s">
        <v>6742</v>
      </c>
      <c r="E2481" s="18" t="s">
        <v>4913</v>
      </c>
      <c r="F2481" s="18" t="s">
        <v>4914</v>
      </c>
      <c r="G2481" s="18" t="s">
        <v>12</v>
      </c>
      <c r="H2481" s="18" t="s">
        <v>1963</v>
      </c>
      <c r="I2481" s="18"/>
      <c r="J2481" s="18" t="s">
        <v>119</v>
      </c>
      <c r="K2481" s="18"/>
      <c r="L2481" s="9" t="s">
        <v>120</v>
      </c>
      <c r="M2481" s="18" t="s">
        <v>4915</v>
      </c>
      <c r="N2481" s="18"/>
      <c r="O2481" s="18" t="s">
        <v>4916</v>
      </c>
      <c r="P2481" s="18" t="str">
        <f>HYPERLINK("https://ceds.ed.gov/cedselementdetails.aspx?termid=13618")</f>
        <v>https://ceds.ed.gov/cedselementdetails.aspx?termid=13618</v>
      </c>
      <c r="Q2481" s="18" t="str">
        <f>HYPERLINK("https://ceds.ed.gov/elementComment.aspx?elementName=Program Identifier &amp;elementID=13618", "Click here to submit comment")</f>
        <v>Click here to submit comment</v>
      </c>
    </row>
    <row r="2482" spans="1:17" x14ac:dyDescent="0.25">
      <c r="A2482" s="18"/>
      <c r="B2482" s="18"/>
      <c r="C2482" s="18"/>
      <c r="D2482" s="18"/>
      <c r="E2482" s="18"/>
      <c r="F2482" s="18"/>
      <c r="G2482" s="18"/>
      <c r="H2482" s="18"/>
      <c r="I2482" s="18"/>
      <c r="J2482" s="18"/>
      <c r="K2482" s="18"/>
      <c r="L2482" s="9"/>
      <c r="M2482" s="18"/>
      <c r="N2482" s="18"/>
      <c r="O2482" s="18"/>
      <c r="P2482" s="18"/>
      <c r="Q2482" s="18"/>
    </row>
    <row r="2483" spans="1:17" ht="90" x14ac:dyDescent="0.25">
      <c r="A2483" s="18"/>
      <c r="B2483" s="18"/>
      <c r="C2483" s="18"/>
      <c r="D2483" s="18"/>
      <c r="E2483" s="18"/>
      <c r="F2483" s="18"/>
      <c r="G2483" s="18"/>
      <c r="H2483" s="18"/>
      <c r="I2483" s="18"/>
      <c r="J2483" s="18"/>
      <c r="K2483" s="18"/>
      <c r="L2483" s="9" t="s">
        <v>121</v>
      </c>
      <c r="M2483" s="18"/>
      <c r="N2483" s="18"/>
      <c r="O2483" s="18"/>
      <c r="P2483" s="18"/>
      <c r="Q2483" s="18"/>
    </row>
    <row r="2484" spans="1:17" ht="75" x14ac:dyDescent="0.25">
      <c r="A2484" s="9" t="s">
        <v>6860</v>
      </c>
      <c r="B2484" s="9" t="s">
        <v>6863</v>
      </c>
      <c r="C2484" s="9" t="s">
        <v>6829</v>
      </c>
      <c r="D2484" s="9" t="s">
        <v>6742</v>
      </c>
      <c r="E2484" s="9" t="s">
        <v>1778</v>
      </c>
      <c r="F2484" s="9" t="s">
        <v>1779</v>
      </c>
      <c r="G2484" s="11" t="s">
        <v>1780</v>
      </c>
      <c r="H2484" s="9" t="s">
        <v>6108</v>
      </c>
      <c r="I2484" s="9"/>
      <c r="J2484" s="9"/>
      <c r="K2484" s="9"/>
      <c r="L2484" s="9"/>
      <c r="M2484" s="9" t="s">
        <v>1781</v>
      </c>
      <c r="N2484" s="9" t="s">
        <v>1782</v>
      </c>
      <c r="O2484" s="9" t="s">
        <v>1783</v>
      </c>
      <c r="P2484" s="9" t="str">
        <f>HYPERLINK("https://ceds.ed.gov/cedselementdetails.aspx?termid=13043")</f>
        <v>https://ceds.ed.gov/cedselementdetails.aspx?termid=13043</v>
      </c>
      <c r="Q2484" s="9" t="str">
        <f>HYPERLINK("https://ceds.ed.gov/elementComment.aspx?elementName=Classification of Instructional Program Code &amp;elementID=13043", "Click here to submit comment")</f>
        <v>Click here to submit comment</v>
      </c>
    </row>
    <row r="2485" spans="1:17" ht="45" x14ac:dyDescent="0.25">
      <c r="A2485" s="9" t="s">
        <v>6860</v>
      </c>
      <c r="B2485" s="9" t="s">
        <v>6863</v>
      </c>
      <c r="C2485" s="9" t="s">
        <v>6829</v>
      </c>
      <c r="D2485" s="9" t="s">
        <v>6742</v>
      </c>
      <c r="E2485" s="9" t="s">
        <v>20</v>
      </c>
      <c r="F2485" s="9" t="s">
        <v>21</v>
      </c>
      <c r="G2485" s="9" t="s">
        <v>12</v>
      </c>
      <c r="H2485" s="9" t="s">
        <v>25</v>
      </c>
      <c r="I2485" s="9"/>
      <c r="J2485" s="9" t="s">
        <v>22</v>
      </c>
      <c r="K2485" s="9"/>
      <c r="L2485" s="9"/>
      <c r="M2485" s="9" t="s">
        <v>23</v>
      </c>
      <c r="N2485" s="9"/>
      <c r="O2485" s="9" t="s">
        <v>24</v>
      </c>
      <c r="P2485" s="9" t="str">
        <f>HYPERLINK("https://ceds.ed.gov/cedselementdetails.aspx?termid=13003")</f>
        <v>https://ceds.ed.gov/cedselementdetails.aspx?termid=13003</v>
      </c>
      <c r="Q2485" s="9" t="str">
        <f>HYPERLINK("https://ceds.ed.gov/elementComment.aspx?elementName=Academic Award Title &amp;elementID=13003", "Click here to submit comment")</f>
        <v>Click here to submit comment</v>
      </c>
    </row>
    <row r="2486" spans="1:17" ht="409.5" x14ac:dyDescent="0.25">
      <c r="A2486" s="9" t="s">
        <v>6860</v>
      </c>
      <c r="B2486" s="9" t="s">
        <v>6863</v>
      </c>
      <c r="C2486" s="9" t="s">
        <v>6829</v>
      </c>
      <c r="D2486" s="9" t="s">
        <v>6742</v>
      </c>
      <c r="E2486" s="9" t="s">
        <v>11677</v>
      </c>
      <c r="F2486" s="9" t="s">
        <v>17</v>
      </c>
      <c r="G2486" s="10" t="s">
        <v>11906</v>
      </c>
      <c r="H2486" s="9"/>
      <c r="I2486" s="9"/>
      <c r="J2486" s="9"/>
      <c r="K2486" s="9"/>
      <c r="L2486" s="9"/>
      <c r="M2486" s="9" t="s">
        <v>11678</v>
      </c>
      <c r="N2486" s="9"/>
      <c r="O2486" s="9" t="s">
        <v>11679</v>
      </c>
      <c r="P2486" s="9" t="str">
        <f>HYPERLINK("https://ceds.ed.gov/cedselementdetails.aspx?termid=14649")</f>
        <v>https://ceds.ed.gov/cedselementdetails.aspx?termid=14649</v>
      </c>
      <c r="Q2486" s="9" t="str">
        <f>HYPERLINK("https://ceds.ed.gov/elementComment.aspx?elementName=PESC Award Level Type &amp;elementID=14649", "Click here to submit comment")</f>
        <v>Click here to submit comment</v>
      </c>
    </row>
    <row r="2487" spans="1:17" ht="60" x14ac:dyDescent="0.25">
      <c r="A2487" s="9" t="s">
        <v>6860</v>
      </c>
      <c r="B2487" s="9" t="s">
        <v>6863</v>
      </c>
      <c r="C2487" s="9" t="s">
        <v>6829</v>
      </c>
      <c r="D2487" s="9" t="s">
        <v>6742</v>
      </c>
      <c r="E2487" s="9" t="s">
        <v>10</v>
      </c>
      <c r="F2487" s="9" t="s">
        <v>11</v>
      </c>
      <c r="G2487" s="9" t="s">
        <v>12</v>
      </c>
      <c r="H2487" s="9" t="s">
        <v>6107</v>
      </c>
      <c r="I2487" s="9"/>
      <c r="J2487" s="9" t="s">
        <v>13</v>
      </c>
      <c r="K2487" s="9"/>
      <c r="L2487" s="9"/>
      <c r="M2487" s="9" t="s">
        <v>14</v>
      </c>
      <c r="N2487" s="9"/>
      <c r="O2487" s="9" t="s">
        <v>15</v>
      </c>
      <c r="P2487" s="9" t="str">
        <f>HYPERLINK("https://ceds.ed.gov/cedselementdetails.aspx?termid=13001")</f>
        <v>https://ceds.ed.gov/cedselementdetails.aspx?termid=13001</v>
      </c>
      <c r="Q2487" s="9" t="str">
        <f>HYPERLINK("https://ceds.ed.gov/elementComment.aspx?elementName=Academic Award Date &amp;elementID=13001", "Click here to submit comment")</f>
        <v>Click here to submit comment</v>
      </c>
    </row>
    <row r="2488" spans="1:17" ht="135" x14ac:dyDescent="0.25">
      <c r="A2488" s="9" t="s">
        <v>6860</v>
      </c>
      <c r="B2488" s="9" t="s">
        <v>6863</v>
      </c>
      <c r="C2488" s="9" t="s">
        <v>6829</v>
      </c>
      <c r="D2488" s="9" t="s">
        <v>6742</v>
      </c>
      <c r="E2488" s="9" t="s">
        <v>2268</v>
      </c>
      <c r="F2488" s="9" t="s">
        <v>2269</v>
      </c>
      <c r="G2488" s="9" t="s">
        <v>12</v>
      </c>
      <c r="H2488" s="9" t="s">
        <v>6186</v>
      </c>
      <c r="I2488" s="9"/>
      <c r="J2488" s="9" t="s">
        <v>2270</v>
      </c>
      <c r="K2488" s="9"/>
      <c r="L2488" s="9"/>
      <c r="M2488" s="9" t="s">
        <v>2271</v>
      </c>
      <c r="N2488" s="9"/>
      <c r="O2488" s="9" t="s">
        <v>2272</v>
      </c>
      <c r="P2488" s="9" t="str">
        <f>HYPERLINK("https://ceds.ed.gov/cedselementdetails.aspx?termid=13081")</f>
        <v>https://ceds.ed.gov/cedselementdetails.aspx?termid=13081</v>
      </c>
      <c r="Q2488" s="9" t="str">
        <f>HYPERLINK("https://ceds.ed.gov/elementComment.aspx?elementName=Diploma or Credential Award Date &amp;elementID=13081", "Click here to submit comment")</f>
        <v>Click here to submit comment</v>
      </c>
    </row>
    <row r="2489" spans="1:17" ht="75" x14ac:dyDescent="0.25">
      <c r="A2489" s="9" t="s">
        <v>6860</v>
      </c>
      <c r="B2489" s="9" t="s">
        <v>6863</v>
      </c>
      <c r="C2489" s="9" t="s">
        <v>6829</v>
      </c>
      <c r="D2489" s="9" t="s">
        <v>6742</v>
      </c>
      <c r="E2489" s="9" t="s">
        <v>4655</v>
      </c>
      <c r="F2489" s="9" t="s">
        <v>4656</v>
      </c>
      <c r="G2489" s="10" t="s">
        <v>6642</v>
      </c>
      <c r="H2489" s="9" t="s">
        <v>6257</v>
      </c>
      <c r="I2489" s="9"/>
      <c r="J2489" s="9"/>
      <c r="K2489" s="9"/>
      <c r="L2489" s="9"/>
      <c r="M2489" s="9" t="s">
        <v>4657</v>
      </c>
      <c r="N2489" s="9"/>
      <c r="O2489" s="9" t="s">
        <v>4658</v>
      </c>
      <c r="P2489" s="9" t="str">
        <f>HYPERLINK("https://ceds.ed.gov/cedselementdetails.aspx?termid=14595")</f>
        <v>https://ceds.ed.gov/cedselementdetails.aspx?termid=14595</v>
      </c>
      <c r="Q2489" s="9" t="str">
        <f>HYPERLINK("https://ceds.ed.gov/elementComment.aspx?elementName=Postsecondary Program Level &amp;elementID=14595", "Click here to submit comment")</f>
        <v>Click here to submit comment</v>
      </c>
    </row>
    <row r="2490" spans="1:17" ht="285" x14ac:dyDescent="0.25">
      <c r="A2490" s="9" t="s">
        <v>6860</v>
      </c>
      <c r="B2490" s="9" t="s">
        <v>6863</v>
      </c>
      <c r="C2490" s="9" t="s">
        <v>6829</v>
      </c>
      <c r="D2490" s="9" t="s">
        <v>6742</v>
      </c>
      <c r="E2490" s="9" t="s">
        <v>16</v>
      </c>
      <c r="F2490" s="9" t="s">
        <v>17</v>
      </c>
      <c r="G2490" s="10" t="s">
        <v>6311</v>
      </c>
      <c r="H2490" s="9" t="s">
        <v>6108</v>
      </c>
      <c r="I2490" s="9"/>
      <c r="J2490" s="9"/>
      <c r="K2490" s="9"/>
      <c r="L2490" s="9"/>
      <c r="M2490" s="9" t="s">
        <v>18</v>
      </c>
      <c r="N2490" s="9"/>
      <c r="O2490" s="9" t="s">
        <v>19</v>
      </c>
      <c r="P2490" s="9" t="str">
        <f>HYPERLINK("https://ceds.ed.gov/cedselementdetails.aspx?termid=13002")</f>
        <v>https://ceds.ed.gov/cedselementdetails.aspx?termid=13002</v>
      </c>
      <c r="Q2490" s="9" t="str">
        <f>HYPERLINK("https://ceds.ed.gov/elementComment.aspx?elementName=Academic Award Level Conferred &amp;elementID=13002", "Click here to submit comment")</f>
        <v>Click here to submit comment</v>
      </c>
    </row>
    <row r="2491" spans="1:17" ht="90" x14ac:dyDescent="0.25">
      <c r="A2491" s="9" t="s">
        <v>6860</v>
      </c>
      <c r="B2491" s="9" t="s">
        <v>6863</v>
      </c>
      <c r="C2491" s="9" t="s">
        <v>6829</v>
      </c>
      <c r="D2491" s="9" t="s">
        <v>6742</v>
      </c>
      <c r="E2491" s="9" t="s">
        <v>10465</v>
      </c>
      <c r="F2491" s="9" t="s">
        <v>10466</v>
      </c>
      <c r="G2491" s="10" t="s">
        <v>11784</v>
      </c>
      <c r="H2491" s="9"/>
      <c r="I2491" s="9"/>
      <c r="J2491" s="9"/>
      <c r="K2491" s="9"/>
      <c r="L2491" s="9"/>
      <c r="M2491" s="9" t="s">
        <v>10468</v>
      </c>
      <c r="N2491" s="9"/>
      <c r="O2491" s="9" t="s">
        <v>10469</v>
      </c>
      <c r="P2491" s="9" t="str">
        <f>HYPERLINK("https://ceds.ed.gov/cedselementdetails.aspx?termid=14647")</f>
        <v>https://ceds.ed.gov/cedselementdetails.aspx?termid=14647</v>
      </c>
      <c r="Q2491" s="9" t="str">
        <f>HYPERLINK("https://ceds.ed.gov/elementComment.aspx?elementName=Academic Award Prerequisite Type &amp;elementID=14647", "Click here to submit comment")</f>
        <v>Click here to submit comment</v>
      </c>
    </row>
    <row r="2492" spans="1:17" ht="45" x14ac:dyDescent="0.25">
      <c r="A2492" s="9" t="s">
        <v>6860</v>
      </c>
      <c r="B2492" s="9" t="s">
        <v>6863</v>
      </c>
      <c r="C2492" s="9" t="s">
        <v>6829</v>
      </c>
      <c r="D2492" s="9" t="s">
        <v>6742</v>
      </c>
      <c r="E2492" s="9" t="s">
        <v>10470</v>
      </c>
      <c r="F2492" s="9" t="s">
        <v>10471</v>
      </c>
      <c r="G2492" s="9" t="s">
        <v>12</v>
      </c>
      <c r="H2492" s="9"/>
      <c r="I2492" s="9"/>
      <c r="J2492" s="9" t="s">
        <v>1143</v>
      </c>
      <c r="K2492" s="9"/>
      <c r="L2492" s="9"/>
      <c r="M2492" s="9" t="s">
        <v>10472</v>
      </c>
      <c r="N2492" s="9"/>
      <c r="O2492" s="9" t="s">
        <v>10473</v>
      </c>
      <c r="P2492" s="9" t="str">
        <f>HYPERLINK("https://ceds.ed.gov/cedselementdetails.aspx?termid=14646")</f>
        <v>https://ceds.ed.gov/cedselementdetails.aspx?termid=14646</v>
      </c>
      <c r="Q2492" s="9" t="str">
        <f>HYPERLINK("https://ceds.ed.gov/elementComment.aspx?elementName=Academic Award Requirements URL &amp;elementID=14646", "Click here to submit comment")</f>
        <v>Click here to submit comment</v>
      </c>
    </row>
    <row r="2493" spans="1:17" ht="135" x14ac:dyDescent="0.25">
      <c r="A2493" s="9" t="s">
        <v>6860</v>
      </c>
      <c r="B2493" s="9" t="s">
        <v>6863</v>
      </c>
      <c r="C2493" s="9" t="s">
        <v>6829</v>
      </c>
      <c r="D2493" s="9" t="s">
        <v>6742</v>
      </c>
      <c r="E2493" s="9" t="s">
        <v>1784</v>
      </c>
      <c r="F2493" s="9" t="s">
        <v>1785</v>
      </c>
      <c r="G2493" s="10" t="s">
        <v>6407</v>
      </c>
      <c r="H2493" s="9" t="s">
        <v>6115</v>
      </c>
      <c r="I2493" s="9"/>
      <c r="J2493" s="9"/>
      <c r="K2493" s="9"/>
      <c r="L2493" s="9"/>
      <c r="M2493" s="9" t="s">
        <v>1786</v>
      </c>
      <c r="N2493" s="9" t="s">
        <v>1787</v>
      </c>
      <c r="O2493" s="9" t="s">
        <v>1788</v>
      </c>
      <c r="P2493" s="9" t="str">
        <f>HYPERLINK("https://ceds.ed.gov/cedselementdetails.aspx?termid=13044")</f>
        <v>https://ceds.ed.gov/cedselementdetails.aspx?termid=13044</v>
      </c>
      <c r="Q2493" s="9" t="str">
        <f>HYPERLINK("https://ceds.ed.gov/elementComment.aspx?elementName=Classification of Instructional Program Use &amp;elementID=13044", "Click here to submit comment")</f>
        <v>Click here to submit comment</v>
      </c>
    </row>
    <row r="2494" spans="1:17" ht="90" x14ac:dyDescent="0.25">
      <c r="A2494" s="9" t="s">
        <v>6860</v>
      </c>
      <c r="B2494" s="9" t="s">
        <v>6863</v>
      </c>
      <c r="C2494" s="9" t="s">
        <v>6829</v>
      </c>
      <c r="D2494" s="9" t="s">
        <v>6742</v>
      </c>
      <c r="E2494" s="9" t="s">
        <v>1789</v>
      </c>
      <c r="F2494" s="9" t="s">
        <v>1790</v>
      </c>
      <c r="G2494" s="10" t="s">
        <v>6408</v>
      </c>
      <c r="H2494" s="9" t="s">
        <v>6115</v>
      </c>
      <c r="I2494" s="9"/>
      <c r="J2494" s="9"/>
      <c r="K2494" s="9"/>
      <c r="L2494" s="9"/>
      <c r="M2494" s="9" t="s">
        <v>1791</v>
      </c>
      <c r="N2494" s="9" t="s">
        <v>1792</v>
      </c>
      <c r="O2494" s="9" t="s">
        <v>1793</v>
      </c>
      <c r="P2494" s="9" t="str">
        <f>HYPERLINK("https://ceds.ed.gov/cedselementdetails.aspx?termid=13045")</f>
        <v>https://ceds.ed.gov/cedselementdetails.aspx?termid=13045</v>
      </c>
      <c r="Q2494" s="9" t="str">
        <f>HYPERLINK("https://ceds.ed.gov/elementComment.aspx?elementName=Classification of Instructional Program Version &amp;elementID=13045", "Click here to submit comment")</f>
        <v>Click here to submit comment</v>
      </c>
    </row>
    <row r="2495" spans="1:17" ht="270" x14ac:dyDescent="0.25">
      <c r="A2495" s="9" t="s">
        <v>6860</v>
      </c>
      <c r="B2495" s="9" t="s">
        <v>6863</v>
      </c>
      <c r="C2495" s="9" t="s">
        <v>6829</v>
      </c>
      <c r="D2495" s="9" t="s">
        <v>6742</v>
      </c>
      <c r="E2495" s="9" t="s">
        <v>2115</v>
      </c>
      <c r="F2495" s="9" t="s">
        <v>2116</v>
      </c>
      <c r="G2495" s="10" t="s">
        <v>6437</v>
      </c>
      <c r="H2495" s="9"/>
      <c r="I2495" s="9"/>
      <c r="J2495" s="9"/>
      <c r="K2495" s="9"/>
      <c r="L2495" s="9"/>
      <c r="M2495" s="9" t="s">
        <v>2117</v>
      </c>
      <c r="N2495" s="9"/>
      <c r="O2495" s="9" t="s">
        <v>2118</v>
      </c>
      <c r="P2495" s="9" t="str">
        <f>HYPERLINK("https://ceds.ed.gov/cedselementdetails.aspx?termid=14283")</f>
        <v>https://ceds.ed.gov/cedselementdetails.aspx?termid=14283</v>
      </c>
      <c r="Q2495" s="9" t="str">
        <f>HYPERLINK("https://ceds.ed.gov/elementComment.aspx?elementName=Credit Hours Applied Other Program &amp;elementID=14283", "Click here to submit comment")</f>
        <v>Click here to submit comment</v>
      </c>
    </row>
    <row r="2496" spans="1:17" ht="150" x14ac:dyDescent="0.25">
      <c r="A2496" s="9" t="s">
        <v>6860</v>
      </c>
      <c r="B2496" s="9" t="s">
        <v>6863</v>
      </c>
      <c r="C2496" s="9" t="s">
        <v>6829</v>
      </c>
      <c r="D2496" s="9" t="s">
        <v>6742</v>
      </c>
      <c r="E2496" s="9" t="s">
        <v>2366</v>
      </c>
      <c r="F2496" s="9" t="s">
        <v>2367</v>
      </c>
      <c r="G2496" s="10" t="s">
        <v>6459</v>
      </c>
      <c r="H2496" s="9"/>
      <c r="I2496" s="9"/>
      <c r="J2496" s="9"/>
      <c r="K2496" s="9"/>
      <c r="L2496" s="11" t="s">
        <v>2368</v>
      </c>
      <c r="M2496" s="9" t="s">
        <v>2369</v>
      </c>
      <c r="N2496" s="9"/>
      <c r="O2496" s="9" t="s">
        <v>2370</v>
      </c>
      <c r="P2496" s="9" t="str">
        <f>HYPERLINK("https://ceds.ed.gov/cedselementdetails.aspx?termid=14622")</f>
        <v>https://ceds.ed.gov/cedselementdetails.aspx?termid=14622</v>
      </c>
      <c r="Q2496" s="9" t="str">
        <f>HYPERLINK("https://ceds.ed.gov/elementComment.aspx?elementName=DQP Categories of Learning &amp;elementID=14622", "Click here to submit comment")</f>
        <v>Click here to submit comment</v>
      </c>
    </row>
    <row r="2497" spans="1:17" ht="195" x14ac:dyDescent="0.25">
      <c r="A2497" s="9" t="s">
        <v>6860</v>
      </c>
      <c r="B2497" s="9" t="s">
        <v>6863</v>
      </c>
      <c r="C2497" s="9" t="s">
        <v>6829</v>
      </c>
      <c r="D2497" s="9" t="s">
        <v>6742</v>
      </c>
      <c r="E2497" s="9" t="s">
        <v>4880</v>
      </c>
      <c r="F2497" s="9" t="s">
        <v>4881</v>
      </c>
      <c r="G2497" s="10" t="s">
        <v>6660</v>
      </c>
      <c r="H2497" s="9"/>
      <c r="I2497" s="9"/>
      <c r="J2497" s="9"/>
      <c r="K2497" s="9"/>
      <c r="L2497" s="9"/>
      <c r="M2497" s="9" t="s">
        <v>4882</v>
      </c>
      <c r="N2497" s="9"/>
      <c r="O2497" s="9" t="s">
        <v>4883</v>
      </c>
      <c r="P2497" s="9" t="str">
        <f>HYPERLINK("https://ceds.ed.gov/cedselementdetails.aspx?termid=13780")</f>
        <v>https://ceds.ed.gov/cedselementdetails.aspx?termid=13780</v>
      </c>
      <c r="Q2497" s="9" t="str">
        <f>HYPERLINK("https://ceds.ed.gov/elementComment.aspx?elementName=Professional or Technical Credential Conferred &amp;elementID=13780", "Click here to submit comment")</f>
        <v>Click here to submit comment</v>
      </c>
    </row>
    <row r="2498" spans="1:17" ht="105" x14ac:dyDescent="0.25">
      <c r="A2498" s="18" t="s">
        <v>6860</v>
      </c>
      <c r="B2498" s="18" t="s">
        <v>6863</v>
      </c>
      <c r="C2498" s="18" t="s">
        <v>11930</v>
      </c>
      <c r="D2498" s="18" t="s">
        <v>6742</v>
      </c>
      <c r="E2498" s="18" t="s">
        <v>4587</v>
      </c>
      <c r="F2498" s="18" t="s">
        <v>4588</v>
      </c>
      <c r="G2498" s="18" t="s">
        <v>12</v>
      </c>
      <c r="H2498" s="18"/>
      <c r="I2498" s="18"/>
      <c r="J2498" s="18" t="s">
        <v>119</v>
      </c>
      <c r="K2498" s="18"/>
      <c r="L2498" s="9" t="s">
        <v>120</v>
      </c>
      <c r="M2498" s="18" t="s">
        <v>4589</v>
      </c>
      <c r="N2498" s="18"/>
      <c r="O2498" s="18" t="s">
        <v>4590</v>
      </c>
      <c r="P2498" s="18" t="str">
        <f>HYPERLINK("https://ceds.ed.gov/cedselementdetails.aspx?termid=14551")</f>
        <v>https://ceds.ed.gov/cedselementdetails.aspx?termid=14551</v>
      </c>
      <c r="Q2498" s="18" t="str">
        <f>HYPERLINK("https://ceds.ed.gov/elementComment.aspx?elementName=Person Identifier &amp;elementID=14551", "Click here to submit comment")</f>
        <v>Click here to submit comment</v>
      </c>
    </row>
    <row r="2499" spans="1:17" x14ac:dyDescent="0.25">
      <c r="A2499" s="18"/>
      <c r="B2499" s="18"/>
      <c r="C2499" s="18"/>
      <c r="D2499" s="18"/>
      <c r="E2499" s="18"/>
      <c r="F2499" s="18"/>
      <c r="G2499" s="18"/>
      <c r="H2499" s="18"/>
      <c r="I2499" s="18"/>
      <c r="J2499" s="18"/>
      <c r="K2499" s="18"/>
      <c r="L2499" s="9"/>
      <c r="M2499" s="18"/>
      <c r="N2499" s="18"/>
      <c r="O2499" s="18"/>
      <c r="P2499" s="18"/>
      <c r="Q2499" s="18"/>
    </row>
    <row r="2500" spans="1:17" ht="90" x14ac:dyDescent="0.25">
      <c r="A2500" s="18"/>
      <c r="B2500" s="18"/>
      <c r="C2500" s="18"/>
      <c r="D2500" s="18"/>
      <c r="E2500" s="18"/>
      <c r="F2500" s="18"/>
      <c r="G2500" s="18"/>
      <c r="H2500" s="18"/>
      <c r="I2500" s="18"/>
      <c r="J2500" s="18"/>
      <c r="K2500" s="18"/>
      <c r="L2500" s="9" t="s">
        <v>121</v>
      </c>
      <c r="M2500" s="18"/>
      <c r="N2500" s="18"/>
      <c r="O2500" s="18"/>
      <c r="P2500" s="18"/>
      <c r="Q2500" s="18"/>
    </row>
    <row r="2501" spans="1:17" ht="375" x14ac:dyDescent="0.25">
      <c r="A2501" s="9" t="s">
        <v>6860</v>
      </c>
      <c r="B2501" s="9" t="s">
        <v>6863</v>
      </c>
      <c r="C2501" s="9" t="s">
        <v>11930</v>
      </c>
      <c r="D2501" s="9" t="s">
        <v>6742</v>
      </c>
      <c r="E2501" s="9" t="s">
        <v>4583</v>
      </c>
      <c r="F2501" s="9" t="s">
        <v>4584</v>
      </c>
      <c r="G2501" s="10" t="s">
        <v>6635</v>
      </c>
      <c r="H2501" s="9"/>
      <c r="I2501" s="9"/>
      <c r="J2501" s="9"/>
      <c r="K2501" s="9"/>
      <c r="L2501" s="9"/>
      <c r="M2501" s="9" t="s">
        <v>4585</v>
      </c>
      <c r="N2501" s="9"/>
      <c r="O2501" s="9" t="s">
        <v>4586</v>
      </c>
      <c r="P2501" s="9" t="str">
        <f>HYPERLINK("https://ceds.ed.gov/cedselementdetails.aspx?termid=14550")</f>
        <v>https://ceds.ed.gov/cedselementdetails.aspx?termid=14550</v>
      </c>
      <c r="Q2501" s="9" t="str">
        <f>HYPERLINK("https://ceds.ed.gov/elementComment.aspx?elementName=Person Identification System &amp;elementID=14550", "Click here to submit comment")</f>
        <v>Click here to submit comment</v>
      </c>
    </row>
    <row r="2502" spans="1:17" ht="105" x14ac:dyDescent="0.25">
      <c r="A2502" s="18" t="s">
        <v>6860</v>
      </c>
      <c r="B2502" s="18" t="s">
        <v>6863</v>
      </c>
      <c r="C2502" s="18" t="s">
        <v>11931</v>
      </c>
      <c r="D2502" s="18" t="s">
        <v>6742</v>
      </c>
      <c r="E2502" s="18" t="s">
        <v>4587</v>
      </c>
      <c r="F2502" s="18" t="s">
        <v>4588</v>
      </c>
      <c r="G2502" s="18" t="s">
        <v>12</v>
      </c>
      <c r="H2502" s="18"/>
      <c r="I2502" s="18"/>
      <c r="J2502" s="18" t="s">
        <v>119</v>
      </c>
      <c r="K2502" s="18"/>
      <c r="L2502" s="9" t="s">
        <v>120</v>
      </c>
      <c r="M2502" s="18" t="s">
        <v>4589</v>
      </c>
      <c r="N2502" s="18"/>
      <c r="O2502" s="18" t="s">
        <v>4590</v>
      </c>
      <c r="P2502" s="18" t="str">
        <f>HYPERLINK("https://ceds.ed.gov/cedselementdetails.aspx?termid=14551")</f>
        <v>https://ceds.ed.gov/cedselementdetails.aspx?termid=14551</v>
      </c>
      <c r="Q2502" s="18" t="str">
        <f>HYPERLINK("https://ceds.ed.gov/elementComment.aspx?elementName=Person Identifier &amp;elementID=14551", "Click here to submit comment")</f>
        <v>Click here to submit comment</v>
      </c>
    </row>
    <row r="2503" spans="1:17" x14ac:dyDescent="0.25">
      <c r="A2503" s="18"/>
      <c r="B2503" s="18"/>
      <c r="C2503" s="18"/>
      <c r="D2503" s="18"/>
      <c r="E2503" s="18"/>
      <c r="F2503" s="18"/>
      <c r="G2503" s="18"/>
      <c r="H2503" s="18"/>
      <c r="I2503" s="18"/>
      <c r="J2503" s="18"/>
      <c r="K2503" s="18"/>
      <c r="L2503" s="9"/>
      <c r="M2503" s="18"/>
      <c r="N2503" s="18"/>
      <c r="O2503" s="18"/>
      <c r="P2503" s="18"/>
      <c r="Q2503" s="18"/>
    </row>
    <row r="2504" spans="1:17" ht="90" x14ac:dyDescent="0.25">
      <c r="A2504" s="18"/>
      <c r="B2504" s="18"/>
      <c r="C2504" s="18"/>
      <c r="D2504" s="18"/>
      <c r="E2504" s="18"/>
      <c r="F2504" s="18"/>
      <c r="G2504" s="18"/>
      <c r="H2504" s="18"/>
      <c r="I2504" s="18"/>
      <c r="J2504" s="18"/>
      <c r="K2504" s="18"/>
      <c r="L2504" s="9" t="s">
        <v>121</v>
      </c>
      <c r="M2504" s="18"/>
      <c r="N2504" s="18"/>
      <c r="O2504" s="18"/>
      <c r="P2504" s="18"/>
      <c r="Q2504" s="18"/>
    </row>
    <row r="2505" spans="1:17" ht="375" x14ac:dyDescent="0.25">
      <c r="A2505" s="9" t="s">
        <v>6860</v>
      </c>
      <c r="B2505" s="9" t="s">
        <v>6863</v>
      </c>
      <c r="C2505" s="9" t="s">
        <v>11931</v>
      </c>
      <c r="D2505" s="9" t="s">
        <v>6742</v>
      </c>
      <c r="E2505" s="9" t="s">
        <v>4583</v>
      </c>
      <c r="F2505" s="9" t="s">
        <v>4584</v>
      </c>
      <c r="G2505" s="10" t="s">
        <v>6635</v>
      </c>
      <c r="H2505" s="9"/>
      <c r="I2505" s="9"/>
      <c r="J2505" s="9"/>
      <c r="K2505" s="9"/>
      <c r="L2505" s="9"/>
      <c r="M2505" s="9" t="s">
        <v>4585</v>
      </c>
      <c r="N2505" s="9"/>
      <c r="O2505" s="9" t="s">
        <v>4586</v>
      </c>
      <c r="P2505" s="9" t="str">
        <f>HYPERLINK("https://ceds.ed.gov/cedselementdetails.aspx?termid=14550")</f>
        <v>https://ceds.ed.gov/cedselementdetails.aspx?termid=14550</v>
      </c>
      <c r="Q2505" s="9" t="str">
        <f>HYPERLINK("https://ceds.ed.gov/elementComment.aspx?elementName=Person Identification System &amp;elementID=14550", "Click here to submit comment")</f>
        <v>Click here to submit comment</v>
      </c>
    </row>
    <row r="2506" spans="1:17" ht="105" x14ac:dyDescent="0.25">
      <c r="A2506" s="18" t="s">
        <v>6860</v>
      </c>
      <c r="B2506" s="18" t="s">
        <v>6863</v>
      </c>
      <c r="C2506" s="18" t="s">
        <v>6828</v>
      </c>
      <c r="D2506" s="18" t="s">
        <v>6742</v>
      </c>
      <c r="E2506" s="18" t="s">
        <v>117</v>
      </c>
      <c r="F2506" s="18" t="s">
        <v>118</v>
      </c>
      <c r="G2506" s="18" t="s">
        <v>12</v>
      </c>
      <c r="H2506" s="18" t="s">
        <v>6109</v>
      </c>
      <c r="I2506" s="18"/>
      <c r="J2506" s="18" t="s">
        <v>119</v>
      </c>
      <c r="K2506" s="18"/>
      <c r="L2506" s="9" t="s">
        <v>120</v>
      </c>
      <c r="M2506" s="18" t="s">
        <v>122</v>
      </c>
      <c r="N2506" s="18"/>
      <c r="O2506" s="18" t="s">
        <v>123</v>
      </c>
      <c r="P2506" s="18" t="str">
        <f>HYPERLINK("https://ceds.ed.gov/cedselementdetails.aspx?termid=13006")</f>
        <v>https://ceds.ed.gov/cedselementdetails.aspx?termid=13006</v>
      </c>
      <c r="Q2506" s="18" t="str">
        <f>HYPERLINK("https://ceds.ed.gov/elementComment.aspx?elementName=Activity Identifier &amp;elementID=13006", "Click here to submit comment")</f>
        <v>Click here to submit comment</v>
      </c>
    </row>
    <row r="2507" spans="1:17" x14ac:dyDescent="0.25">
      <c r="A2507" s="18"/>
      <c r="B2507" s="18"/>
      <c r="C2507" s="18"/>
      <c r="D2507" s="18"/>
      <c r="E2507" s="18"/>
      <c r="F2507" s="18"/>
      <c r="G2507" s="18"/>
      <c r="H2507" s="18"/>
      <c r="I2507" s="18"/>
      <c r="J2507" s="18"/>
      <c r="K2507" s="18"/>
      <c r="L2507" s="9"/>
      <c r="M2507" s="18"/>
      <c r="N2507" s="18"/>
      <c r="O2507" s="18"/>
      <c r="P2507" s="18"/>
      <c r="Q2507" s="18"/>
    </row>
    <row r="2508" spans="1:17" ht="90" x14ac:dyDescent="0.25">
      <c r="A2508" s="18"/>
      <c r="B2508" s="18"/>
      <c r="C2508" s="18"/>
      <c r="D2508" s="18"/>
      <c r="E2508" s="18"/>
      <c r="F2508" s="18"/>
      <c r="G2508" s="18"/>
      <c r="H2508" s="18"/>
      <c r="I2508" s="18"/>
      <c r="J2508" s="18"/>
      <c r="K2508" s="18"/>
      <c r="L2508" s="9" t="s">
        <v>121</v>
      </c>
      <c r="M2508" s="18"/>
      <c r="N2508" s="18"/>
      <c r="O2508" s="18"/>
      <c r="P2508" s="18"/>
      <c r="Q2508" s="18"/>
    </row>
    <row r="2509" spans="1:17" ht="90" x14ac:dyDescent="0.25">
      <c r="A2509" s="9" t="s">
        <v>6860</v>
      </c>
      <c r="B2509" s="9" t="s">
        <v>6863</v>
      </c>
      <c r="C2509" s="9" t="s">
        <v>6828</v>
      </c>
      <c r="D2509" s="9" t="s">
        <v>6742</v>
      </c>
      <c r="E2509" s="9" t="s">
        <v>141</v>
      </c>
      <c r="F2509" s="9" t="s">
        <v>142</v>
      </c>
      <c r="G2509" s="9" t="s">
        <v>12</v>
      </c>
      <c r="H2509" s="9" t="s">
        <v>6109</v>
      </c>
      <c r="I2509" s="9"/>
      <c r="J2509" s="9" t="s">
        <v>92</v>
      </c>
      <c r="K2509" s="9"/>
      <c r="L2509" s="9"/>
      <c r="M2509" s="9" t="s">
        <v>143</v>
      </c>
      <c r="N2509" s="9"/>
      <c r="O2509" s="9" t="s">
        <v>144</v>
      </c>
      <c r="P2509" s="9" t="str">
        <f>HYPERLINK("https://ceds.ed.gov/cedselementdetails.aspx?termid=13009")</f>
        <v>https://ceds.ed.gov/cedselementdetails.aspx?termid=13009</v>
      </c>
      <c r="Q2509" s="9" t="str">
        <f>HYPERLINK("https://ceds.ed.gov/elementComment.aspx?elementName=Activity Title &amp;elementID=13009", "Click here to submit comment")</f>
        <v>Click here to submit comment</v>
      </c>
    </row>
    <row r="2510" spans="1:17" ht="90" x14ac:dyDescent="0.25">
      <c r="A2510" s="9" t="s">
        <v>6860</v>
      </c>
      <c r="B2510" s="9" t="s">
        <v>6863</v>
      </c>
      <c r="C2510" s="9" t="s">
        <v>6828</v>
      </c>
      <c r="D2510" s="9" t="s">
        <v>6742</v>
      </c>
      <c r="E2510" s="9" t="s">
        <v>113</v>
      </c>
      <c r="F2510" s="9" t="s">
        <v>114</v>
      </c>
      <c r="G2510" s="9" t="s">
        <v>12</v>
      </c>
      <c r="H2510" s="9"/>
      <c r="I2510" s="9"/>
      <c r="J2510" s="9" t="s">
        <v>68</v>
      </c>
      <c r="K2510" s="9"/>
      <c r="L2510" s="9"/>
      <c r="M2510" s="9" t="s">
        <v>115</v>
      </c>
      <c r="N2510" s="9"/>
      <c r="O2510" s="9" t="s">
        <v>116</v>
      </c>
      <c r="P2510" s="9" t="str">
        <f>HYPERLINK("https://ceds.ed.gov/cedselementdetails.aspx?termid=14505")</f>
        <v>https://ceds.ed.gov/cedselementdetails.aspx?termid=14505</v>
      </c>
      <c r="Q2510" s="9" t="str">
        <f>HYPERLINK("https://ceds.ed.gov/elementComment.aspx?elementName=Activity Description &amp;elementID=14505", "Click here to submit comment")</f>
        <v>Click here to submit comment</v>
      </c>
    </row>
    <row r="2511" spans="1:17" ht="90" x14ac:dyDescent="0.25">
      <c r="A2511" s="9" t="s">
        <v>6860</v>
      </c>
      <c r="B2511" s="9" t="s">
        <v>6863</v>
      </c>
      <c r="C2511" s="9" t="s">
        <v>6828</v>
      </c>
      <c r="D2511" s="9" t="s">
        <v>6742</v>
      </c>
      <c r="E2511" s="9" t="s">
        <v>124</v>
      </c>
      <c r="F2511" s="9" t="s">
        <v>125</v>
      </c>
      <c r="G2511" s="9" t="s">
        <v>12</v>
      </c>
      <c r="H2511" s="9" t="s">
        <v>6109</v>
      </c>
      <c r="I2511" s="9"/>
      <c r="J2511" s="9" t="s">
        <v>73</v>
      </c>
      <c r="K2511" s="9"/>
      <c r="L2511" s="9"/>
      <c r="M2511" s="9" t="s">
        <v>126</v>
      </c>
      <c r="N2511" s="9"/>
      <c r="O2511" s="9" t="s">
        <v>127</v>
      </c>
      <c r="P2511" s="9" t="str">
        <f>HYPERLINK("https://ceds.ed.gov/cedselementdetails.aspx?termid=13007")</f>
        <v>https://ceds.ed.gov/cedselementdetails.aspx?termid=13007</v>
      </c>
      <c r="Q2511" s="9" t="str">
        <f>HYPERLINK("https://ceds.ed.gov/elementComment.aspx?elementName=Activity Involvement Begin Date &amp;elementID=13007", "Click here to submit comment")</f>
        <v>Click here to submit comment</v>
      </c>
    </row>
    <row r="2512" spans="1:17" ht="90" x14ac:dyDescent="0.25">
      <c r="A2512" s="9" t="s">
        <v>6860</v>
      </c>
      <c r="B2512" s="9" t="s">
        <v>6863</v>
      </c>
      <c r="C2512" s="9" t="s">
        <v>6828</v>
      </c>
      <c r="D2512" s="9" t="s">
        <v>6742</v>
      </c>
      <c r="E2512" s="9" t="s">
        <v>128</v>
      </c>
      <c r="F2512" s="9" t="s">
        <v>129</v>
      </c>
      <c r="G2512" s="9" t="s">
        <v>12</v>
      </c>
      <c r="H2512" s="9" t="s">
        <v>6109</v>
      </c>
      <c r="I2512" s="9"/>
      <c r="J2512" s="9" t="s">
        <v>73</v>
      </c>
      <c r="K2512" s="9"/>
      <c r="L2512" s="9"/>
      <c r="M2512" s="9" t="s">
        <v>130</v>
      </c>
      <c r="N2512" s="9"/>
      <c r="O2512" s="9" t="s">
        <v>131</v>
      </c>
      <c r="P2512" s="9" t="str">
        <f>HYPERLINK("https://ceds.ed.gov/cedselementdetails.aspx?termid=13008")</f>
        <v>https://ceds.ed.gov/cedselementdetails.aspx?termid=13008</v>
      </c>
      <c r="Q2512" s="9" t="str">
        <f>HYPERLINK("https://ceds.ed.gov/elementComment.aspx?elementName=Activity Involvement End Date &amp;elementID=13008", "Click here to submit comment")</f>
        <v>Click here to submit comment</v>
      </c>
    </row>
    <row r="2513" spans="1:17" ht="90" x14ac:dyDescent="0.25">
      <c r="A2513" s="9" t="s">
        <v>6860</v>
      </c>
      <c r="B2513" s="9" t="s">
        <v>6863</v>
      </c>
      <c r="C2513" s="9" t="s">
        <v>6828</v>
      </c>
      <c r="D2513" s="9" t="s">
        <v>6742</v>
      </c>
      <c r="E2513" s="9" t="s">
        <v>132</v>
      </c>
      <c r="F2513" s="9" t="s">
        <v>133</v>
      </c>
      <c r="G2513" s="9" t="s">
        <v>12</v>
      </c>
      <c r="H2513" s="9"/>
      <c r="I2513" s="9"/>
      <c r="J2513" s="9" t="s">
        <v>134</v>
      </c>
      <c r="K2513" s="9"/>
      <c r="L2513" s="9"/>
      <c r="M2513" s="9" t="s">
        <v>135</v>
      </c>
      <c r="N2513" s="9"/>
      <c r="O2513" s="9" t="s">
        <v>136</v>
      </c>
      <c r="P2513" s="9" t="str">
        <f>HYPERLINK("https://ceds.ed.gov/cedselementdetails.aspx?termid=14502")</f>
        <v>https://ceds.ed.gov/cedselementdetails.aspx?termid=14502</v>
      </c>
      <c r="Q2513" s="9" t="str">
        <f>HYPERLINK("https://ceds.ed.gov/elementComment.aspx?elementName=Activity Time Involved &amp;elementID=14502", "Click here to submit comment")</f>
        <v>Click here to submit comment</v>
      </c>
    </row>
    <row r="2514" spans="1:17" ht="105" x14ac:dyDescent="0.25">
      <c r="A2514" s="9" t="s">
        <v>6860</v>
      </c>
      <c r="B2514" s="9" t="s">
        <v>6863</v>
      </c>
      <c r="C2514" s="9" t="s">
        <v>6828</v>
      </c>
      <c r="D2514" s="9" t="s">
        <v>6742</v>
      </c>
      <c r="E2514" s="9" t="s">
        <v>137</v>
      </c>
      <c r="F2514" s="9" t="s">
        <v>138</v>
      </c>
      <c r="G2514" s="10" t="s">
        <v>6317</v>
      </c>
      <c r="H2514" s="9"/>
      <c r="I2514" s="9"/>
      <c r="J2514" s="9"/>
      <c r="K2514" s="9"/>
      <c r="L2514" s="9"/>
      <c r="M2514" s="9" t="s">
        <v>139</v>
      </c>
      <c r="N2514" s="9"/>
      <c r="O2514" s="9" t="s">
        <v>140</v>
      </c>
      <c r="P2514" s="9" t="str">
        <f>HYPERLINK("https://ceds.ed.gov/cedselementdetails.aspx?termid=14503")</f>
        <v>https://ceds.ed.gov/cedselementdetails.aspx?termid=14503</v>
      </c>
      <c r="Q2514" s="9" t="str">
        <f>HYPERLINK("https://ceds.ed.gov/elementComment.aspx?elementName=Activity Time Measurement Type &amp;elementID=14503", "Click here to submit comment")</f>
        <v>Click here to submit comment</v>
      </c>
    </row>
    <row r="2515" spans="1:17" ht="45" x14ac:dyDescent="0.25">
      <c r="A2515" s="9" t="s">
        <v>6860</v>
      </c>
      <c r="B2515" s="9" t="s">
        <v>6863</v>
      </c>
      <c r="C2515" s="9" t="s">
        <v>6831</v>
      </c>
      <c r="D2515" s="9" t="s">
        <v>6742</v>
      </c>
      <c r="E2515" s="9" t="s">
        <v>1648</v>
      </c>
      <c r="F2515" s="9" t="s">
        <v>1649</v>
      </c>
      <c r="G2515" s="9" t="s">
        <v>12</v>
      </c>
      <c r="H2515" s="9"/>
      <c r="I2515" s="9"/>
      <c r="J2515" s="9" t="s">
        <v>73</v>
      </c>
      <c r="K2515" s="9"/>
      <c r="L2515" s="9"/>
      <c r="M2515" s="9" t="s">
        <v>1650</v>
      </c>
      <c r="N2515" s="9"/>
      <c r="O2515" s="9" t="s">
        <v>1651</v>
      </c>
      <c r="P2515" s="9" t="str">
        <f>HYPERLINK("https://ceds.ed.gov/cedselementdetails.aspx?termid=14563")</f>
        <v>https://ceds.ed.gov/cedselementdetails.aspx?termid=14563</v>
      </c>
      <c r="Q2515" s="9" t="str">
        <f>HYPERLINK("https://ceds.ed.gov/elementComment.aspx?elementName=Career Pathways Program Participation Start Date &amp;elementID=14563", "Click here to submit comment")</f>
        <v>Click here to submit comment</v>
      </c>
    </row>
    <row r="2516" spans="1:17" ht="45" x14ac:dyDescent="0.25">
      <c r="A2516" s="9" t="s">
        <v>6860</v>
      </c>
      <c r="B2516" s="9" t="s">
        <v>6863</v>
      </c>
      <c r="C2516" s="9" t="s">
        <v>6831</v>
      </c>
      <c r="D2516" s="9" t="s">
        <v>6742</v>
      </c>
      <c r="E2516" s="9" t="s">
        <v>1640</v>
      </c>
      <c r="F2516" s="9" t="s">
        <v>1641</v>
      </c>
      <c r="G2516" s="9" t="s">
        <v>12</v>
      </c>
      <c r="H2516" s="9"/>
      <c r="I2516" s="9"/>
      <c r="J2516" s="9" t="s">
        <v>73</v>
      </c>
      <c r="K2516" s="9"/>
      <c r="L2516" s="9"/>
      <c r="M2516" s="9" t="s">
        <v>1642</v>
      </c>
      <c r="N2516" s="9"/>
      <c r="O2516" s="9" t="s">
        <v>1643</v>
      </c>
      <c r="P2516" s="9" t="str">
        <f>HYPERLINK("https://ceds.ed.gov/cedselementdetails.aspx?termid=14562")</f>
        <v>https://ceds.ed.gov/cedselementdetails.aspx?termid=14562</v>
      </c>
      <c r="Q2516" s="9" t="str">
        <f>HYPERLINK("https://ceds.ed.gov/elementComment.aspx?elementName=Career Pathways Program Participation Exit Date &amp;elementID=14562", "Click here to submit comment")</f>
        <v>Click here to submit comment</v>
      </c>
    </row>
    <row r="2517" spans="1:17" ht="75" x14ac:dyDescent="0.25">
      <c r="A2517" s="9" t="s">
        <v>6860</v>
      </c>
      <c r="B2517" s="9" t="s">
        <v>6863</v>
      </c>
      <c r="C2517" s="9" t="s">
        <v>6831</v>
      </c>
      <c r="D2517" s="9" t="s">
        <v>6742</v>
      </c>
      <c r="E2517" s="9" t="s">
        <v>1644</v>
      </c>
      <c r="F2517" s="9" t="s">
        <v>1645</v>
      </c>
      <c r="G2517" s="9" t="s">
        <v>6106</v>
      </c>
      <c r="H2517" s="9"/>
      <c r="I2517" s="9"/>
      <c r="J2517" s="9"/>
      <c r="K2517" s="9"/>
      <c r="L2517" s="9"/>
      <c r="M2517" s="9" t="s">
        <v>1646</v>
      </c>
      <c r="N2517" s="9"/>
      <c r="O2517" s="9" t="s">
        <v>1647</v>
      </c>
      <c r="P2517" s="9" t="str">
        <f>HYPERLINK("https://ceds.ed.gov/cedselementdetails.aspx?termid=14257")</f>
        <v>https://ceds.ed.gov/cedselementdetails.aspx?termid=14257</v>
      </c>
      <c r="Q2517" s="9" t="str">
        <f>HYPERLINK("https://ceds.ed.gov/elementComment.aspx?elementName=Career Pathways Program Participation Indicator &amp;elementID=14257", "Click here to submit comment")</f>
        <v>Click here to submit comment</v>
      </c>
    </row>
    <row r="2518" spans="1:17" ht="105" x14ac:dyDescent="0.25">
      <c r="A2518" s="9" t="s">
        <v>6860</v>
      </c>
      <c r="B2518" s="9" t="s">
        <v>6863</v>
      </c>
      <c r="C2518" s="9" t="s">
        <v>6831</v>
      </c>
      <c r="D2518" s="9" t="s">
        <v>6742</v>
      </c>
      <c r="E2518" s="9" t="s">
        <v>1601</v>
      </c>
      <c r="F2518" s="9" t="s">
        <v>1602</v>
      </c>
      <c r="G2518" s="9" t="s">
        <v>6106</v>
      </c>
      <c r="H2518" s="9" t="s">
        <v>6155</v>
      </c>
      <c r="I2518" s="9"/>
      <c r="J2518" s="9"/>
      <c r="K2518" s="9"/>
      <c r="L2518" s="9"/>
      <c r="M2518" s="9" t="s">
        <v>1603</v>
      </c>
      <c r="N2518" s="9" t="s">
        <v>1604</v>
      </c>
      <c r="O2518" s="9" t="s">
        <v>1605</v>
      </c>
      <c r="P2518" s="9" t="str">
        <f>HYPERLINK("https://ceds.ed.gov/cedselementdetails.aspx?termid=13037")</f>
        <v>https://ceds.ed.gov/cedselementdetails.aspx?termid=13037</v>
      </c>
      <c r="Q2518" s="9" t="str">
        <f>HYPERLINK("https://ceds.ed.gov/elementComment.aspx?elementName=Career and Technical Education Concentrator &amp;elementID=13037", "Click here to submit comment")</f>
        <v>Click here to submit comment</v>
      </c>
    </row>
    <row r="2519" spans="1:17" ht="75" x14ac:dyDescent="0.25">
      <c r="A2519" s="9" t="s">
        <v>6860</v>
      </c>
      <c r="B2519" s="9" t="s">
        <v>6863</v>
      </c>
      <c r="C2519" s="9" t="s">
        <v>6831</v>
      </c>
      <c r="D2519" s="9" t="s">
        <v>6742</v>
      </c>
      <c r="E2519" s="9" t="s">
        <v>1622</v>
      </c>
      <c r="F2519" s="9" t="s">
        <v>1623</v>
      </c>
      <c r="G2519" s="9" t="s">
        <v>6106</v>
      </c>
      <c r="H2519" s="9" t="s">
        <v>199</v>
      </c>
      <c r="I2519" s="9"/>
      <c r="J2519" s="9"/>
      <c r="K2519" s="9"/>
      <c r="L2519" s="9"/>
      <c r="M2519" s="9" t="s">
        <v>1624</v>
      </c>
      <c r="N2519" s="9" t="s">
        <v>1625</v>
      </c>
      <c r="O2519" s="9" t="s">
        <v>1626</v>
      </c>
      <c r="P2519" s="9" t="str">
        <f>HYPERLINK("https://ceds.ed.gov/cedselementdetails.aspx?termid=13585")</f>
        <v>https://ceds.ed.gov/cedselementdetails.aspx?termid=13585</v>
      </c>
      <c r="Q2519" s="9" t="str">
        <f>HYPERLINK("https://ceds.ed.gov/elementComment.aspx?elementName=Career and Technical Education Participant &amp;elementID=13585", "Click here to submit comment")</f>
        <v>Click here to submit comment</v>
      </c>
    </row>
    <row r="2520" spans="1:17" ht="90" x14ac:dyDescent="0.25">
      <c r="A2520" s="9" t="s">
        <v>6860</v>
      </c>
      <c r="B2520" s="9" t="s">
        <v>6863</v>
      </c>
      <c r="C2520" s="9" t="s">
        <v>6831</v>
      </c>
      <c r="D2520" s="9" t="s">
        <v>6742</v>
      </c>
      <c r="E2520" s="9" t="s">
        <v>1652</v>
      </c>
      <c r="F2520" s="9" t="s">
        <v>1653</v>
      </c>
      <c r="G2520" s="10" t="s">
        <v>6398</v>
      </c>
      <c r="H2520" s="9" t="s">
        <v>199</v>
      </c>
      <c r="I2520" s="9"/>
      <c r="J2520" s="9"/>
      <c r="K2520" s="9"/>
      <c r="L2520" s="9"/>
      <c r="M2520" s="9" t="s">
        <v>1654</v>
      </c>
      <c r="N2520" s="9" t="s">
        <v>1655</v>
      </c>
      <c r="O2520" s="9" t="s">
        <v>1656</v>
      </c>
      <c r="P2520" s="9" t="str">
        <f>HYPERLINK("https://ceds.ed.gov/cedselementdetails.aspx?termid=13581")</f>
        <v>https://ceds.ed.gov/cedselementdetails.aspx?termid=13581</v>
      </c>
      <c r="Q2520" s="9" t="str">
        <f>HYPERLINK("https://ceds.ed.gov/elementComment.aspx?elementName=Career Technical Education Nontraditional Gender Status &amp;elementID=13581", "Click here to submit comment")</f>
        <v>Click here to submit comment</v>
      </c>
    </row>
    <row r="2521" spans="1:17" ht="270" x14ac:dyDescent="0.25">
      <c r="A2521" s="9" t="s">
        <v>6860</v>
      </c>
      <c r="B2521" s="9" t="s">
        <v>6863</v>
      </c>
      <c r="C2521" s="9" t="s">
        <v>6831</v>
      </c>
      <c r="D2521" s="9" t="s">
        <v>6742</v>
      </c>
      <c r="E2521" s="9" t="s">
        <v>1657</v>
      </c>
      <c r="F2521" s="9" t="s">
        <v>1658</v>
      </c>
      <c r="G2521" s="9" t="s">
        <v>6106</v>
      </c>
      <c r="H2521" s="9" t="s">
        <v>199</v>
      </c>
      <c r="I2521" s="9"/>
      <c r="J2521" s="9"/>
      <c r="K2521" s="9"/>
      <c r="L2521" s="9"/>
      <c r="M2521" s="9" t="s">
        <v>1659</v>
      </c>
      <c r="N2521" s="9" t="s">
        <v>1660</v>
      </c>
      <c r="O2521" s="9" t="s">
        <v>1661</v>
      </c>
      <c r="P2521" s="9" t="str">
        <f>HYPERLINK("https://ceds.ed.gov/cedselementdetails.aspx?termid=13084")</f>
        <v>https://ceds.ed.gov/cedselementdetails.aspx?termid=13084</v>
      </c>
      <c r="Q2521" s="9" t="str">
        <f>HYPERLINK("https://ceds.ed.gov/elementComment.aspx?elementName=Career-Technical-Adult Education Displaced Homemaker Indicator &amp;elementID=13084", "Click here to submit comment")</f>
        <v>Click here to submit comment</v>
      </c>
    </row>
    <row r="2522" spans="1:17" ht="90" x14ac:dyDescent="0.25">
      <c r="A2522" s="9" t="s">
        <v>6860</v>
      </c>
      <c r="B2522" s="9" t="s">
        <v>6863</v>
      </c>
      <c r="C2522" s="9" t="s">
        <v>6831</v>
      </c>
      <c r="D2522" s="9" t="s">
        <v>6742</v>
      </c>
      <c r="E2522" s="9" t="s">
        <v>1617</v>
      </c>
      <c r="F2522" s="9" t="s">
        <v>1618</v>
      </c>
      <c r="G2522" s="9" t="s">
        <v>6106</v>
      </c>
      <c r="H2522" s="9" t="s">
        <v>199</v>
      </c>
      <c r="I2522" s="9"/>
      <c r="J2522" s="9"/>
      <c r="K2522" s="9"/>
      <c r="L2522" s="9"/>
      <c r="M2522" s="9" t="s">
        <v>1619</v>
      </c>
      <c r="N2522" s="9" t="s">
        <v>1620</v>
      </c>
      <c r="O2522" s="9" t="s">
        <v>1621</v>
      </c>
      <c r="P2522" s="9" t="str">
        <f>HYPERLINK("https://ceds.ed.gov/cedselementdetails.aspx?termid=13586")</f>
        <v>https://ceds.ed.gov/cedselementdetails.aspx?termid=13586</v>
      </c>
      <c r="Q2522" s="9" t="str">
        <f>HYPERLINK("https://ceds.ed.gov/elementComment.aspx?elementName=Career and Technical Education Nontraditional Completion &amp;elementID=13586", "Click here to submit comment")</f>
        <v>Click here to submit comment</v>
      </c>
    </row>
    <row r="2523" spans="1:17" ht="45" x14ac:dyDescent="0.25">
      <c r="A2523" s="9" t="s">
        <v>6860</v>
      </c>
      <c r="B2523" s="9" t="s">
        <v>6863</v>
      </c>
      <c r="C2523" s="9" t="s">
        <v>6770</v>
      </c>
      <c r="D2523" s="9" t="s">
        <v>6742</v>
      </c>
      <c r="E2523" s="9" t="s">
        <v>2291</v>
      </c>
      <c r="F2523" s="9" t="s">
        <v>2292</v>
      </c>
      <c r="G2523" s="9" t="s">
        <v>6106</v>
      </c>
      <c r="H2523" s="9" t="s">
        <v>199</v>
      </c>
      <c r="I2523" s="9"/>
      <c r="J2523" s="9"/>
      <c r="K2523" s="9"/>
      <c r="L2523" s="9"/>
      <c r="M2523" s="9" t="s">
        <v>2293</v>
      </c>
      <c r="N2523" s="9"/>
      <c r="O2523" s="9" t="s">
        <v>2294</v>
      </c>
      <c r="P2523" s="9" t="str">
        <f>HYPERLINK("https://ceds.ed.gov/cedselementdetails.aspx?termid=13569")</f>
        <v>https://ceds.ed.gov/cedselementdetails.aspx?termid=13569</v>
      </c>
      <c r="Q2523" s="9" t="str">
        <f>HYPERLINK("https://ceds.ed.gov/elementComment.aspx?elementName=Disability Status &amp;elementID=13569", "Click here to submit comment")</f>
        <v>Click here to submit comment</v>
      </c>
    </row>
    <row r="2524" spans="1:17" ht="285" x14ac:dyDescent="0.25">
      <c r="A2524" s="9" t="s">
        <v>6860</v>
      </c>
      <c r="B2524" s="9" t="s">
        <v>6863</v>
      </c>
      <c r="C2524" s="9" t="s">
        <v>6770</v>
      </c>
      <c r="D2524" s="9" t="s">
        <v>6742</v>
      </c>
      <c r="E2524" s="9" t="s">
        <v>3199</v>
      </c>
      <c r="F2524" s="9" t="s">
        <v>3200</v>
      </c>
      <c r="G2524" s="9" t="s">
        <v>6106</v>
      </c>
      <c r="H2524" s="9" t="s">
        <v>6228</v>
      </c>
      <c r="I2524" s="9"/>
      <c r="J2524" s="9"/>
      <c r="K2524" s="9"/>
      <c r="L2524" s="9"/>
      <c r="M2524" s="9" t="s">
        <v>3201</v>
      </c>
      <c r="N2524" s="9"/>
      <c r="O2524" s="9" t="s">
        <v>3202</v>
      </c>
      <c r="P2524" s="9" t="str">
        <f>HYPERLINK("https://ceds.ed.gov/cedselementdetails.aspx?termid=13151")</f>
        <v>https://ceds.ed.gov/cedselementdetails.aspx?termid=13151</v>
      </c>
      <c r="Q2524" s="9" t="str">
        <f>HYPERLINK("https://ceds.ed.gov/elementComment.aspx?elementName=IDEA Indicator &amp;elementID=13151", "Click here to submit comment")</f>
        <v>Click here to submit comment</v>
      </c>
    </row>
    <row r="2525" spans="1:17" ht="210" x14ac:dyDescent="0.25">
      <c r="A2525" s="9" t="s">
        <v>6860</v>
      </c>
      <c r="B2525" s="9" t="s">
        <v>6863</v>
      </c>
      <c r="C2525" s="9" t="s">
        <v>6770</v>
      </c>
      <c r="D2525" s="9" t="s">
        <v>6742</v>
      </c>
      <c r="E2525" s="9" t="s">
        <v>4705</v>
      </c>
      <c r="F2525" s="9" t="s">
        <v>4706</v>
      </c>
      <c r="G2525" s="10" t="s">
        <v>6648</v>
      </c>
      <c r="H2525" s="9" t="s">
        <v>6259</v>
      </c>
      <c r="I2525" s="9"/>
      <c r="J2525" s="9"/>
      <c r="K2525" s="9"/>
      <c r="L2525" s="9" t="s">
        <v>11683</v>
      </c>
      <c r="M2525" s="9" t="s">
        <v>4707</v>
      </c>
      <c r="N2525" s="9"/>
      <c r="O2525" s="9" t="s">
        <v>4708</v>
      </c>
      <c r="P2525" s="9" t="str">
        <f>HYPERLINK("https://ceds.ed.gov/cedselementdetails.aspx?termid=13218")</f>
        <v>https://ceds.ed.gov/cedselementdetails.aspx?termid=13218</v>
      </c>
      <c r="Q2525" s="9" t="str">
        <f>HYPERLINK("https://ceds.ed.gov/elementComment.aspx?elementName=Primary Disability Type &amp;elementID=13218", "Click here to submit comment")</f>
        <v>Click here to submit comment</v>
      </c>
    </row>
    <row r="2526" spans="1:17" ht="375" x14ac:dyDescent="0.25">
      <c r="A2526" s="9" t="s">
        <v>6860</v>
      </c>
      <c r="B2526" s="9" t="s">
        <v>6863</v>
      </c>
      <c r="C2526" s="9" t="s">
        <v>6770</v>
      </c>
      <c r="D2526" s="9" t="s">
        <v>6742</v>
      </c>
      <c r="E2526" s="9" t="s">
        <v>48</v>
      </c>
      <c r="F2526" s="9" t="s">
        <v>49</v>
      </c>
      <c r="G2526" s="10" t="s">
        <v>6315</v>
      </c>
      <c r="H2526" s="9"/>
      <c r="I2526" s="9"/>
      <c r="J2526" s="9"/>
      <c r="K2526" s="9"/>
      <c r="L2526" s="9"/>
      <c r="M2526" s="9" t="s">
        <v>51</v>
      </c>
      <c r="N2526" s="9"/>
      <c r="O2526" s="9" t="s">
        <v>52</v>
      </c>
      <c r="P2526" s="9" t="str">
        <f>HYPERLINK("https://ceds.ed.gov/cedselementdetails.aspx?termid=14243")</f>
        <v>https://ceds.ed.gov/cedselementdetails.aspx?termid=14243</v>
      </c>
      <c r="Q2526" s="9" t="str">
        <f>HYPERLINK("https://ceds.ed.gov/elementComment.aspx?elementName=Accommodations Needed Type &amp;elementID=14243", "Click here to submit comment")</f>
        <v>Click here to submit comment</v>
      </c>
    </row>
    <row r="2527" spans="1:17" ht="255" x14ac:dyDescent="0.25">
      <c r="A2527" s="9" t="s">
        <v>6860</v>
      </c>
      <c r="B2527" s="9" t="s">
        <v>6863</v>
      </c>
      <c r="C2527" s="9" t="s">
        <v>6770</v>
      </c>
      <c r="D2527" s="9" t="s">
        <v>6742</v>
      </c>
      <c r="E2527" s="9" t="s">
        <v>2282</v>
      </c>
      <c r="F2527" s="9" t="s">
        <v>2283</v>
      </c>
      <c r="G2527" s="10" t="s">
        <v>6449</v>
      </c>
      <c r="H2527" s="9"/>
      <c r="I2527" s="9"/>
      <c r="J2527" s="9"/>
      <c r="K2527" s="9"/>
      <c r="L2527" s="9" t="s">
        <v>2284</v>
      </c>
      <c r="M2527" s="9" t="s">
        <v>2285</v>
      </c>
      <c r="N2527" s="9"/>
      <c r="O2527" s="9" t="s">
        <v>2286</v>
      </c>
      <c r="P2527" s="9" t="str">
        <f>HYPERLINK("https://ceds.ed.gov/cedselementdetails.aspx?termid=14286")</f>
        <v>https://ceds.ed.gov/cedselementdetails.aspx?termid=14286</v>
      </c>
      <c r="Q2527" s="9" t="str">
        <f>HYPERLINK("https://ceds.ed.gov/elementComment.aspx?elementName=Disability Condition Type &amp;elementID=14286", "Click here to submit comment")</f>
        <v>Click here to submit comment</v>
      </c>
    </row>
    <row r="2528" spans="1:17" ht="75" x14ac:dyDescent="0.25">
      <c r="A2528" s="9" t="s">
        <v>6860</v>
      </c>
      <c r="B2528" s="9" t="s">
        <v>6863</v>
      </c>
      <c r="C2528" s="9" t="s">
        <v>6770</v>
      </c>
      <c r="D2528" s="9" t="s">
        <v>6742</v>
      </c>
      <c r="E2528" s="9" t="s">
        <v>2277</v>
      </c>
      <c r="F2528" s="9" t="s">
        <v>2278</v>
      </c>
      <c r="G2528" s="10" t="s">
        <v>6448</v>
      </c>
      <c r="H2528" s="9"/>
      <c r="I2528" s="9"/>
      <c r="J2528" s="9"/>
      <c r="K2528" s="9"/>
      <c r="L2528" s="9"/>
      <c r="M2528" s="9" t="s">
        <v>2279</v>
      </c>
      <c r="N2528" s="9" t="s">
        <v>2280</v>
      </c>
      <c r="O2528" s="9" t="s">
        <v>2281</v>
      </c>
      <c r="P2528" s="9" t="str">
        <f>HYPERLINK("https://ceds.ed.gov/cedselementdetails.aspx?termid=14285")</f>
        <v>https://ceds.ed.gov/cedselementdetails.aspx?termid=14285</v>
      </c>
      <c r="Q2528" s="9" t="str">
        <f>HYPERLINK("https://ceds.ed.gov/elementComment.aspx?elementName=Disability Condition Status Type &amp;elementID=14285", "Click here to submit comment")</f>
        <v>Click here to submit comment</v>
      </c>
    </row>
    <row r="2529" spans="1:17" ht="180" x14ac:dyDescent="0.25">
      <c r="A2529" s="9" t="s">
        <v>6860</v>
      </c>
      <c r="B2529" s="9" t="s">
        <v>6863</v>
      </c>
      <c r="C2529" s="9" t="s">
        <v>6770</v>
      </c>
      <c r="D2529" s="9" t="s">
        <v>6742</v>
      </c>
      <c r="E2529" s="9" t="s">
        <v>2287</v>
      </c>
      <c r="F2529" s="9" t="s">
        <v>2288</v>
      </c>
      <c r="G2529" s="10" t="s">
        <v>6450</v>
      </c>
      <c r="H2529" s="9"/>
      <c r="I2529" s="9"/>
      <c r="J2529" s="9"/>
      <c r="K2529" s="9"/>
      <c r="L2529" s="9" t="s">
        <v>2284</v>
      </c>
      <c r="M2529" s="9" t="s">
        <v>2289</v>
      </c>
      <c r="N2529" s="9"/>
      <c r="O2529" s="9" t="s">
        <v>2290</v>
      </c>
      <c r="P2529" s="9" t="str">
        <f>HYPERLINK("https://ceds.ed.gov/cedselementdetails.aspx?termid=14287")</f>
        <v>https://ceds.ed.gov/cedselementdetails.aspx?termid=14287</v>
      </c>
      <c r="Q2529" s="9" t="str">
        <f>HYPERLINK("https://ceds.ed.gov/elementComment.aspx?elementName=Disability Determination Source Type &amp;elementID=14287", "Click here to submit comment")</f>
        <v>Click here to submit comment</v>
      </c>
    </row>
    <row r="2530" spans="1:17" ht="135" x14ac:dyDescent="0.25">
      <c r="A2530" s="9" t="s">
        <v>6860</v>
      </c>
      <c r="B2530" s="9" t="s">
        <v>6863</v>
      </c>
      <c r="C2530" s="9" t="s">
        <v>6870</v>
      </c>
      <c r="D2530" s="9" t="s">
        <v>6742</v>
      </c>
      <c r="E2530" s="9" t="s">
        <v>2362</v>
      </c>
      <c r="F2530" s="9" t="s">
        <v>2363</v>
      </c>
      <c r="G2530" s="10" t="s">
        <v>6458</v>
      </c>
      <c r="H2530" s="9"/>
      <c r="I2530" s="9"/>
      <c r="J2530" s="9"/>
      <c r="K2530" s="9"/>
      <c r="L2530" s="9"/>
      <c r="M2530" s="9" t="s">
        <v>2364</v>
      </c>
      <c r="N2530" s="9"/>
      <c r="O2530" s="9" t="s">
        <v>2365</v>
      </c>
      <c r="P2530" s="9" t="str">
        <f>HYPERLINK("https://ceds.ed.gov/cedselementdetails.aspx?termid=14293")</f>
        <v>https://ceds.ed.gov/cedselementdetails.aspx?termid=14293</v>
      </c>
      <c r="Q2530" s="9" t="str">
        <f>HYPERLINK("https://ceds.ed.gov/elementComment.aspx?elementName=Doctoral Exams Required Type &amp;elementID=14293", "Click here to submit comment")</f>
        <v>Click here to submit comment</v>
      </c>
    </row>
    <row r="2531" spans="1:17" ht="60" x14ac:dyDescent="0.25">
      <c r="A2531" s="9" t="s">
        <v>6860</v>
      </c>
      <c r="B2531" s="9" t="s">
        <v>6863</v>
      </c>
      <c r="C2531" s="9" t="s">
        <v>6870</v>
      </c>
      <c r="D2531" s="9" t="s">
        <v>6742</v>
      </c>
      <c r="E2531" s="9" t="s">
        <v>2358</v>
      </c>
      <c r="F2531" s="9" t="s">
        <v>2359</v>
      </c>
      <c r="G2531" s="9" t="s">
        <v>12</v>
      </c>
      <c r="H2531" s="9"/>
      <c r="I2531" s="9"/>
      <c r="J2531" s="9" t="s">
        <v>73</v>
      </c>
      <c r="K2531" s="9"/>
      <c r="L2531" s="9"/>
      <c r="M2531" s="9" t="s">
        <v>2360</v>
      </c>
      <c r="N2531" s="9"/>
      <c r="O2531" s="9" t="s">
        <v>2361</v>
      </c>
      <c r="P2531" s="9" t="str">
        <f>HYPERLINK("https://ceds.ed.gov/cedselementdetails.aspx?termid=14292")</f>
        <v>https://ceds.ed.gov/cedselementdetails.aspx?termid=14292</v>
      </c>
      <c r="Q2531" s="9" t="str">
        <f>HYPERLINK("https://ceds.ed.gov/elementComment.aspx?elementName=Doctoral Exam Taken Date &amp;elementID=14292", "Click here to submit comment")</f>
        <v>Click here to submit comment</v>
      </c>
    </row>
    <row r="2532" spans="1:17" ht="105" x14ac:dyDescent="0.25">
      <c r="A2532" s="9" t="s">
        <v>6860</v>
      </c>
      <c r="B2532" s="9" t="s">
        <v>6863</v>
      </c>
      <c r="C2532" s="9" t="s">
        <v>6870</v>
      </c>
      <c r="D2532" s="9" t="s">
        <v>6742</v>
      </c>
      <c r="E2532" s="9" t="s">
        <v>3064</v>
      </c>
      <c r="F2532" s="9" t="s">
        <v>3065</v>
      </c>
      <c r="G2532" s="10" t="s">
        <v>6528</v>
      </c>
      <c r="H2532" s="9"/>
      <c r="I2532" s="9"/>
      <c r="J2532" s="9"/>
      <c r="K2532" s="9"/>
      <c r="L2532" s="9"/>
      <c r="M2532" s="9" t="s">
        <v>3066</v>
      </c>
      <c r="N2532" s="9"/>
      <c r="O2532" s="9" t="s">
        <v>3067</v>
      </c>
      <c r="P2532" s="9" t="str">
        <f>HYPERLINK("https://ceds.ed.gov/cedselementdetails.aspx?termid=14324")</f>
        <v>https://ceds.ed.gov/cedselementdetails.aspx?termid=14324</v>
      </c>
      <c r="Q2532" s="9" t="str">
        <f>HYPERLINK("https://ceds.ed.gov/elementComment.aspx?elementName=Graduate or Doctoral Exam Results Status &amp;elementID=14324", "Click here to submit comment")</f>
        <v>Click here to submit comment</v>
      </c>
    </row>
    <row r="2533" spans="1:17" ht="75" x14ac:dyDescent="0.25">
      <c r="A2533" s="9" t="s">
        <v>6860</v>
      </c>
      <c r="B2533" s="9" t="s">
        <v>6863</v>
      </c>
      <c r="C2533" s="9" t="s">
        <v>6870</v>
      </c>
      <c r="D2533" s="9" t="s">
        <v>6742</v>
      </c>
      <c r="E2533" s="9" t="s">
        <v>2349</v>
      </c>
      <c r="F2533" s="9" t="s">
        <v>2350</v>
      </c>
      <c r="G2533" s="10" t="s">
        <v>6457</v>
      </c>
      <c r="H2533" s="9"/>
      <c r="I2533" s="9"/>
      <c r="J2533" s="9"/>
      <c r="K2533" s="9"/>
      <c r="L2533" s="9"/>
      <c r="M2533" s="9" t="s">
        <v>2352</v>
      </c>
      <c r="N2533" s="9"/>
      <c r="O2533" s="9" t="s">
        <v>2353</v>
      </c>
      <c r="P2533" s="9" t="str">
        <f>HYPERLINK("https://ceds.ed.gov/cedselementdetails.aspx?termid=14290")</f>
        <v>https://ceds.ed.gov/cedselementdetails.aspx?termid=14290</v>
      </c>
      <c r="Q2533" s="9" t="str">
        <f>HYPERLINK("https://ceds.ed.gov/elementComment.aspx?elementName=Doctoral Candidacy Admit Indicator &amp;elementID=14290", "Click here to submit comment")</f>
        <v>Click here to submit comment</v>
      </c>
    </row>
    <row r="2534" spans="1:17" ht="45" x14ac:dyDescent="0.25">
      <c r="A2534" s="9" t="s">
        <v>6860</v>
      </c>
      <c r="B2534" s="9" t="s">
        <v>6863</v>
      </c>
      <c r="C2534" s="9" t="s">
        <v>6870</v>
      </c>
      <c r="D2534" s="9" t="s">
        <v>6742</v>
      </c>
      <c r="E2534" s="9" t="s">
        <v>2354</v>
      </c>
      <c r="F2534" s="9" t="s">
        <v>2355</v>
      </c>
      <c r="G2534" s="9" t="s">
        <v>12</v>
      </c>
      <c r="H2534" s="9"/>
      <c r="I2534" s="9"/>
      <c r="J2534" s="9" t="s">
        <v>73</v>
      </c>
      <c r="K2534" s="9"/>
      <c r="L2534" s="9"/>
      <c r="M2534" s="9" t="s">
        <v>2356</v>
      </c>
      <c r="N2534" s="9"/>
      <c r="O2534" s="9" t="s">
        <v>2357</v>
      </c>
      <c r="P2534" s="9" t="str">
        <f>HYPERLINK("https://ceds.ed.gov/cedselementdetails.aspx?termid=14291")</f>
        <v>https://ceds.ed.gov/cedselementdetails.aspx?termid=14291</v>
      </c>
      <c r="Q2534" s="9" t="str">
        <f>HYPERLINK("https://ceds.ed.gov/elementComment.aspx?elementName=Doctoral Candidacy Date &amp;elementID=14291", "Click here to submit comment")</f>
        <v>Click here to submit comment</v>
      </c>
    </row>
    <row r="2535" spans="1:17" ht="45" x14ac:dyDescent="0.25">
      <c r="A2535" s="9" t="s">
        <v>6860</v>
      </c>
      <c r="B2535" s="9" t="s">
        <v>6863</v>
      </c>
      <c r="C2535" s="9" t="s">
        <v>6870</v>
      </c>
      <c r="D2535" s="9" t="s">
        <v>6742</v>
      </c>
      <c r="E2535" s="9" t="s">
        <v>5866</v>
      </c>
      <c r="F2535" s="9" t="s">
        <v>5867</v>
      </c>
      <c r="G2535" s="9" t="s">
        <v>12</v>
      </c>
      <c r="H2535" s="9"/>
      <c r="I2535" s="9"/>
      <c r="J2535" s="9" t="s">
        <v>303</v>
      </c>
      <c r="K2535" s="9"/>
      <c r="L2535" s="9"/>
      <c r="M2535" s="9" t="s">
        <v>5868</v>
      </c>
      <c r="N2535" s="9"/>
      <c r="O2535" s="9" t="s">
        <v>5869</v>
      </c>
      <c r="P2535" s="9" t="str">
        <f>HYPERLINK("https://ceds.ed.gov/cedselementdetails.aspx?termid=14468")</f>
        <v>https://ceds.ed.gov/cedselementdetails.aspx?termid=14468</v>
      </c>
      <c r="Q2535" s="9" t="str">
        <f>HYPERLINK("https://ceds.ed.gov/elementComment.aspx?elementName=Thesis or Dissertation Title &amp;elementID=14468", "Click here to submit comment")</f>
        <v>Click here to submit comment</v>
      </c>
    </row>
    <row r="2536" spans="1:17" ht="45" x14ac:dyDescent="0.25">
      <c r="A2536" s="9" t="s">
        <v>6860</v>
      </c>
      <c r="B2536" s="9" t="s">
        <v>6863</v>
      </c>
      <c r="C2536" s="9" t="s">
        <v>6870</v>
      </c>
      <c r="D2536" s="9" t="s">
        <v>6742</v>
      </c>
      <c r="E2536" s="9" t="s">
        <v>4440</v>
      </c>
      <c r="F2536" s="9" t="s">
        <v>4441</v>
      </c>
      <c r="G2536" s="9" t="s">
        <v>12</v>
      </c>
      <c r="H2536" s="9"/>
      <c r="I2536" s="9"/>
      <c r="J2536" s="9" t="s">
        <v>73</v>
      </c>
      <c r="K2536" s="9"/>
      <c r="L2536" s="9"/>
      <c r="M2536" s="9" t="s">
        <v>4442</v>
      </c>
      <c r="N2536" s="9"/>
      <c r="O2536" s="9" t="s">
        <v>4443</v>
      </c>
      <c r="P2536" s="9" t="str">
        <f>HYPERLINK("https://ceds.ed.gov/cedselementdetails.aspx?termid=14386")</f>
        <v>https://ceds.ed.gov/cedselementdetails.aspx?termid=14386</v>
      </c>
      <c r="Q2536" s="9" t="str">
        <f>HYPERLINK("https://ceds.ed.gov/elementComment.aspx?elementName=Oral Defense Date &amp;elementID=14386", "Click here to submit comment")</f>
        <v>Click here to submit comment</v>
      </c>
    </row>
    <row r="2537" spans="1:17" ht="90" x14ac:dyDescent="0.25">
      <c r="A2537" s="9" t="s">
        <v>6860</v>
      </c>
      <c r="B2537" s="9" t="s">
        <v>6863</v>
      </c>
      <c r="C2537" s="9" t="s">
        <v>6870</v>
      </c>
      <c r="D2537" s="9" t="s">
        <v>6742</v>
      </c>
      <c r="E2537" s="9" t="s">
        <v>4436</v>
      </c>
      <c r="F2537" s="9" t="s">
        <v>4437</v>
      </c>
      <c r="G2537" s="9" t="s">
        <v>6106</v>
      </c>
      <c r="H2537" s="9"/>
      <c r="I2537" s="9"/>
      <c r="J2537" s="9"/>
      <c r="K2537" s="9"/>
      <c r="L2537" s="9"/>
      <c r="M2537" s="9" t="s">
        <v>4438</v>
      </c>
      <c r="N2537" s="9"/>
      <c r="O2537" s="9" t="s">
        <v>4439</v>
      </c>
      <c r="P2537" s="9" t="str">
        <f>HYPERLINK("https://ceds.ed.gov/cedselementdetails.aspx?termid=14385")</f>
        <v>https://ceds.ed.gov/cedselementdetails.aspx?termid=14385</v>
      </c>
      <c r="Q2537" s="9" t="str">
        <f>HYPERLINK("https://ceds.ed.gov/elementComment.aspx?elementName=Oral Defense Completed Indicator &amp;elementID=14385", "Click here to submit comment")</f>
        <v>Click here to submit comment</v>
      </c>
    </row>
    <row r="2538" spans="1:17" ht="180" x14ac:dyDescent="0.25">
      <c r="A2538" s="9" t="s">
        <v>6860</v>
      </c>
      <c r="B2538" s="9" t="s">
        <v>6863</v>
      </c>
      <c r="C2538" s="9" t="s">
        <v>6871</v>
      </c>
      <c r="D2538" s="9" t="s">
        <v>6742</v>
      </c>
      <c r="E2538" s="9" t="s">
        <v>5089</v>
      </c>
      <c r="F2538" s="9" t="s">
        <v>5090</v>
      </c>
      <c r="G2538" s="10" t="s">
        <v>6676</v>
      </c>
      <c r="H2538" s="9"/>
      <c r="I2538" s="9"/>
      <c r="J2538" s="9"/>
      <c r="K2538" s="9"/>
      <c r="L2538" s="9"/>
      <c r="M2538" s="9" t="s">
        <v>5091</v>
      </c>
      <c r="N2538" s="9"/>
      <c r="O2538" s="9" t="s">
        <v>5092</v>
      </c>
      <c r="P2538" s="9" t="str">
        <f>HYPERLINK("https://ceds.ed.gov/cedselementdetails.aspx?termid=13515")</f>
        <v>https://ceds.ed.gov/cedselementdetails.aspx?termid=13515</v>
      </c>
      <c r="Q2538" s="9" t="str">
        <f>HYPERLINK("https://ceds.ed.gov/elementComment.aspx?elementName=Receiving Location of Instruction &amp;elementID=13515", "Click here to submit comment")</f>
        <v>Click here to submit comment</v>
      </c>
    </row>
    <row r="2539" spans="1:17" ht="195" x14ac:dyDescent="0.25">
      <c r="A2539" s="9" t="s">
        <v>6860</v>
      </c>
      <c r="B2539" s="9" t="s">
        <v>6863</v>
      </c>
      <c r="C2539" s="9" t="s">
        <v>6871</v>
      </c>
      <c r="D2539" s="9" t="s">
        <v>6742</v>
      </c>
      <c r="E2539" s="9" t="s">
        <v>2935</v>
      </c>
      <c r="F2539" s="9" t="s">
        <v>2936</v>
      </c>
      <c r="G2539" s="9" t="s">
        <v>12</v>
      </c>
      <c r="H2539" s="9" t="s">
        <v>6211</v>
      </c>
      <c r="I2539" s="9"/>
      <c r="J2539" s="9" t="s">
        <v>1310</v>
      </c>
      <c r="K2539" s="9"/>
      <c r="L2539" s="9" t="s">
        <v>2937</v>
      </c>
      <c r="M2539" s="9" t="s">
        <v>2938</v>
      </c>
      <c r="N2539" s="9"/>
      <c r="O2539" s="9" t="s">
        <v>2939</v>
      </c>
      <c r="P2539" s="9" t="str">
        <f>HYPERLINK("https://ceds.ed.gov/cedselementdetails.aspx?termid=13115")</f>
        <v>https://ceds.ed.gov/cedselementdetails.aspx?termid=13115</v>
      </c>
      <c r="Q2539" s="9" t="str">
        <f>HYPERLINK("https://ceds.ed.gov/elementComment.aspx?elementName=First Name &amp;elementID=13115", "Click here to submit comment")</f>
        <v>Click here to submit comment</v>
      </c>
    </row>
    <row r="2540" spans="1:17" ht="90" customHeight="1" x14ac:dyDescent="0.25">
      <c r="A2540" s="18" t="s">
        <v>6860</v>
      </c>
      <c r="B2540" s="18" t="s">
        <v>6863</v>
      </c>
      <c r="C2540" s="18" t="s">
        <v>6871</v>
      </c>
      <c r="D2540" s="18" t="s">
        <v>6742</v>
      </c>
      <c r="E2540" s="18" t="s">
        <v>4183</v>
      </c>
      <c r="F2540" s="18" t="s">
        <v>4184</v>
      </c>
      <c r="G2540" s="18" t="s">
        <v>12</v>
      </c>
      <c r="H2540" s="18" t="s">
        <v>6211</v>
      </c>
      <c r="I2540" s="18"/>
      <c r="J2540" s="18" t="s">
        <v>1310</v>
      </c>
      <c r="K2540" s="18"/>
      <c r="L2540" s="9" t="s">
        <v>2996</v>
      </c>
      <c r="M2540" s="18" t="s">
        <v>4185</v>
      </c>
      <c r="N2540" s="18"/>
      <c r="O2540" s="18" t="s">
        <v>4186</v>
      </c>
      <c r="P2540" s="18" t="str">
        <f>HYPERLINK("https://ceds.ed.gov/cedselementdetails.aspx?termid=13184")</f>
        <v>https://ceds.ed.gov/cedselementdetails.aspx?termid=13184</v>
      </c>
      <c r="Q2540" s="18" t="str">
        <f>HYPERLINK("https://ceds.ed.gov/elementComment.aspx?elementName=Middle Name &amp;elementID=13184", "Click here to submit comment")</f>
        <v>Click here to submit comment</v>
      </c>
    </row>
    <row r="2541" spans="1:17" ht="90" x14ac:dyDescent="0.25">
      <c r="A2541" s="18"/>
      <c r="B2541" s="18"/>
      <c r="C2541" s="18"/>
      <c r="D2541" s="18"/>
      <c r="E2541" s="18"/>
      <c r="F2541" s="18"/>
      <c r="G2541" s="18"/>
      <c r="H2541" s="18"/>
      <c r="I2541" s="18"/>
      <c r="J2541" s="18"/>
      <c r="K2541" s="18"/>
      <c r="L2541" s="9" t="s">
        <v>2997</v>
      </c>
      <c r="M2541" s="18"/>
      <c r="N2541" s="18"/>
      <c r="O2541" s="18"/>
      <c r="P2541" s="18"/>
      <c r="Q2541" s="18"/>
    </row>
    <row r="2542" spans="1:17" ht="90" customHeight="1" x14ac:dyDescent="0.25">
      <c r="A2542" s="18" t="s">
        <v>6860</v>
      </c>
      <c r="B2542" s="18" t="s">
        <v>6863</v>
      </c>
      <c r="C2542" s="18" t="s">
        <v>6871</v>
      </c>
      <c r="D2542" s="18" t="s">
        <v>6742</v>
      </c>
      <c r="E2542" s="18" t="s">
        <v>3597</v>
      </c>
      <c r="F2542" s="18" t="s">
        <v>3598</v>
      </c>
      <c r="G2542" s="18" t="s">
        <v>12</v>
      </c>
      <c r="H2542" s="18" t="s">
        <v>6211</v>
      </c>
      <c r="I2542" s="18"/>
      <c r="J2542" s="18" t="s">
        <v>1310</v>
      </c>
      <c r="K2542" s="18"/>
      <c r="L2542" s="9" t="s">
        <v>2996</v>
      </c>
      <c r="M2542" s="18" t="s">
        <v>3599</v>
      </c>
      <c r="N2542" s="18" t="s">
        <v>3600</v>
      </c>
      <c r="O2542" s="18" t="s">
        <v>3601</v>
      </c>
      <c r="P2542" s="18" t="str">
        <f>HYPERLINK("https://ceds.ed.gov/cedselementdetails.aspx?termid=13172")</f>
        <v>https://ceds.ed.gov/cedselementdetails.aspx?termid=13172</v>
      </c>
      <c r="Q2542" s="18" t="str">
        <f>HYPERLINK("https://ceds.ed.gov/elementComment.aspx?elementName=Last or Surname &amp;elementID=13172", "Click here to submit comment")</f>
        <v>Click here to submit comment</v>
      </c>
    </row>
    <row r="2543" spans="1:17" ht="90" x14ac:dyDescent="0.25">
      <c r="A2543" s="18"/>
      <c r="B2543" s="18"/>
      <c r="C2543" s="18"/>
      <c r="D2543" s="18"/>
      <c r="E2543" s="18"/>
      <c r="F2543" s="18"/>
      <c r="G2543" s="18"/>
      <c r="H2543" s="18"/>
      <c r="I2543" s="18"/>
      <c r="J2543" s="18"/>
      <c r="K2543" s="18"/>
      <c r="L2543" s="9" t="s">
        <v>2997</v>
      </c>
      <c r="M2543" s="18"/>
      <c r="N2543" s="18"/>
      <c r="O2543" s="18"/>
      <c r="P2543" s="18"/>
      <c r="Q2543" s="18"/>
    </row>
    <row r="2544" spans="1:17" ht="45" x14ac:dyDescent="0.25">
      <c r="A2544" s="9" t="s">
        <v>6860</v>
      </c>
      <c r="B2544" s="9" t="s">
        <v>6863</v>
      </c>
      <c r="C2544" s="9" t="s">
        <v>6871</v>
      </c>
      <c r="D2544" s="9" t="s">
        <v>6742</v>
      </c>
      <c r="E2544" s="9" t="s">
        <v>4481</v>
      </c>
      <c r="F2544" s="9" t="s">
        <v>4482</v>
      </c>
      <c r="G2544" s="9" t="s">
        <v>12</v>
      </c>
      <c r="H2544" s="9"/>
      <c r="I2544" s="9"/>
      <c r="J2544" s="9" t="s">
        <v>1310</v>
      </c>
      <c r="K2544" s="9"/>
      <c r="L2544" s="9" t="s">
        <v>4483</v>
      </c>
      <c r="M2544" s="9" t="s">
        <v>4484</v>
      </c>
      <c r="N2544" s="9"/>
      <c r="O2544" s="9" t="s">
        <v>4485</v>
      </c>
      <c r="P2544" s="9" t="str">
        <f>HYPERLINK("https://ceds.ed.gov/cedselementdetails.aspx?termid=14486")</f>
        <v>https://ceds.ed.gov/cedselementdetails.aspx?termid=14486</v>
      </c>
      <c r="Q2544" s="9" t="str">
        <f>HYPERLINK("https://ceds.ed.gov/elementComment.aspx?elementName=Other First Name &amp;elementID=14486", "Click here to submit comment")</f>
        <v>Click here to submit comment</v>
      </c>
    </row>
    <row r="2545" spans="1:17" ht="45" x14ac:dyDescent="0.25">
      <c r="A2545" s="9" t="s">
        <v>6860</v>
      </c>
      <c r="B2545" s="9" t="s">
        <v>6863</v>
      </c>
      <c r="C2545" s="9" t="s">
        <v>6871</v>
      </c>
      <c r="D2545" s="9" t="s">
        <v>6742</v>
      </c>
      <c r="E2545" s="9" t="s">
        <v>4486</v>
      </c>
      <c r="F2545" s="9" t="s">
        <v>4487</v>
      </c>
      <c r="G2545" s="9" t="s">
        <v>12</v>
      </c>
      <c r="H2545" s="9"/>
      <c r="I2545" s="9"/>
      <c r="J2545" s="9" t="s">
        <v>1310</v>
      </c>
      <c r="K2545" s="9"/>
      <c r="L2545" s="9" t="s">
        <v>4488</v>
      </c>
      <c r="M2545" s="9" t="s">
        <v>4489</v>
      </c>
      <c r="N2545" s="9"/>
      <c r="O2545" s="9" t="s">
        <v>4490</v>
      </c>
      <c r="P2545" s="9" t="str">
        <f>HYPERLINK("https://ceds.ed.gov/cedselementdetails.aspx?termid=14485")</f>
        <v>https://ceds.ed.gov/cedselementdetails.aspx?termid=14485</v>
      </c>
      <c r="Q2545" s="9" t="str">
        <f>HYPERLINK("https://ceds.ed.gov/elementComment.aspx?elementName=Other Last Name &amp;elementID=14485", "Click here to submit comment")</f>
        <v>Click here to submit comment</v>
      </c>
    </row>
    <row r="2546" spans="1:17" ht="45" x14ac:dyDescent="0.25">
      <c r="A2546" s="9" t="s">
        <v>6860</v>
      </c>
      <c r="B2546" s="9" t="s">
        <v>6863</v>
      </c>
      <c r="C2546" s="9" t="s">
        <v>6871</v>
      </c>
      <c r="D2546" s="9" t="s">
        <v>6742</v>
      </c>
      <c r="E2546" s="9" t="s">
        <v>4491</v>
      </c>
      <c r="F2546" s="9" t="s">
        <v>4492</v>
      </c>
      <c r="G2546" s="9" t="s">
        <v>12</v>
      </c>
      <c r="H2546" s="9"/>
      <c r="I2546" s="9"/>
      <c r="J2546" s="9" t="s">
        <v>1310</v>
      </c>
      <c r="K2546" s="9"/>
      <c r="L2546" s="9" t="s">
        <v>4493</v>
      </c>
      <c r="M2546" s="9" t="s">
        <v>4494</v>
      </c>
      <c r="N2546" s="9"/>
      <c r="O2546" s="9" t="s">
        <v>4495</v>
      </c>
      <c r="P2546" s="9" t="str">
        <f>HYPERLINK("https://ceds.ed.gov/cedselementdetails.aspx?termid=14487")</f>
        <v>https://ceds.ed.gov/cedselementdetails.aspx?termid=14487</v>
      </c>
      <c r="Q2546" s="9" t="str">
        <f>HYPERLINK("https://ceds.ed.gov/elementComment.aspx?elementName=Other Middle Name &amp;elementID=14487", "Click here to submit comment")</f>
        <v>Click here to submit comment</v>
      </c>
    </row>
    <row r="2547" spans="1:17" ht="150" x14ac:dyDescent="0.25">
      <c r="A2547" s="9" t="s">
        <v>6860</v>
      </c>
      <c r="B2547" s="9" t="s">
        <v>6863</v>
      </c>
      <c r="C2547" s="9" t="s">
        <v>6871</v>
      </c>
      <c r="D2547" s="9" t="s">
        <v>6742</v>
      </c>
      <c r="E2547" s="9" t="s">
        <v>4496</v>
      </c>
      <c r="F2547" s="9" t="s">
        <v>4497</v>
      </c>
      <c r="G2547" s="9" t="s">
        <v>12</v>
      </c>
      <c r="H2547" s="9" t="s">
        <v>6212</v>
      </c>
      <c r="I2547" s="9"/>
      <c r="J2547" s="9" t="s">
        <v>119</v>
      </c>
      <c r="K2547" s="9"/>
      <c r="L2547" s="9"/>
      <c r="M2547" s="9" t="s">
        <v>4498</v>
      </c>
      <c r="N2547" s="9"/>
      <c r="O2547" s="9" t="s">
        <v>4499</v>
      </c>
      <c r="P2547" s="9" t="str">
        <f>HYPERLINK("https://ceds.ed.gov/cedselementdetails.aspx?termid=13206")</f>
        <v>https://ceds.ed.gov/cedselementdetails.aspx?termid=13206</v>
      </c>
      <c r="Q2547" s="9" t="str">
        <f>HYPERLINK("https://ceds.ed.gov/elementComment.aspx?elementName=Other Name &amp;elementID=13206", "Click here to submit comment")</f>
        <v>Click here to submit comment</v>
      </c>
    </row>
    <row r="2548" spans="1:17" ht="60" x14ac:dyDescent="0.25">
      <c r="A2548" s="9" t="s">
        <v>6860</v>
      </c>
      <c r="B2548" s="9" t="s">
        <v>6863</v>
      </c>
      <c r="C2548" s="9" t="s">
        <v>6873</v>
      </c>
      <c r="D2548" s="9" t="s">
        <v>6742</v>
      </c>
      <c r="E2548" s="9" t="s">
        <v>5796</v>
      </c>
      <c r="F2548" s="9" t="s">
        <v>5797</v>
      </c>
      <c r="G2548" s="10" t="s">
        <v>6711</v>
      </c>
      <c r="H2548" s="9" t="s">
        <v>329</v>
      </c>
      <c r="I2548" s="9"/>
      <c r="J2548" s="9"/>
      <c r="K2548" s="9"/>
      <c r="L2548" s="9"/>
      <c r="M2548" s="9" t="s">
        <v>5798</v>
      </c>
      <c r="N2548" s="9"/>
      <c r="O2548" s="9" t="s">
        <v>5799</v>
      </c>
      <c r="P2548" s="9" t="str">
        <f>HYPERLINK("https://ceds.ed.gov/cedselementdetails.aspx?termid=13749")</f>
        <v>https://ceds.ed.gov/cedselementdetails.aspx?termid=13749</v>
      </c>
      <c r="Q2548" s="9" t="str">
        <f>HYPERLINK("https://ceds.ed.gov/elementComment.aspx?elementName=Teacher Preparation Program Enrollment Status &amp;elementID=13749", "Click here to submit comment")</f>
        <v>Click here to submit comment</v>
      </c>
    </row>
    <row r="2549" spans="1:17" ht="120" x14ac:dyDescent="0.25">
      <c r="A2549" s="9" t="s">
        <v>6860</v>
      </c>
      <c r="B2549" s="9" t="s">
        <v>6863</v>
      </c>
      <c r="C2549" s="9" t="s">
        <v>6873</v>
      </c>
      <c r="D2549" s="9" t="s">
        <v>6742</v>
      </c>
      <c r="E2549" s="9" t="s">
        <v>5792</v>
      </c>
      <c r="F2549" s="9" t="s">
        <v>5793</v>
      </c>
      <c r="G2549" s="10" t="s">
        <v>6340</v>
      </c>
      <c r="H2549" s="9" t="s">
        <v>329</v>
      </c>
      <c r="I2549" s="9"/>
      <c r="J2549" s="9"/>
      <c r="K2549" s="9"/>
      <c r="L2549" s="9"/>
      <c r="M2549" s="9" t="s">
        <v>5794</v>
      </c>
      <c r="N2549" s="9"/>
      <c r="O2549" s="9" t="s">
        <v>5795</v>
      </c>
      <c r="P2549" s="9" t="str">
        <f>HYPERLINK("https://ceds.ed.gov/cedselementdetails.aspx?termid=13750")</f>
        <v>https://ceds.ed.gov/cedselementdetails.aspx?termid=13750</v>
      </c>
      <c r="Q2549" s="9" t="str">
        <f>HYPERLINK("https://ceds.ed.gov/elementComment.aspx?elementName=Teacher Preparation Program Completer Status &amp;elementID=13750", "Click here to submit comment")</f>
        <v>Click here to submit comment</v>
      </c>
    </row>
    <row r="2550" spans="1:17" ht="225" x14ac:dyDescent="0.25">
      <c r="A2550" s="9" t="s">
        <v>6860</v>
      </c>
      <c r="B2550" s="9" t="s">
        <v>6863</v>
      </c>
      <c r="C2550" s="9" t="s">
        <v>6873</v>
      </c>
      <c r="D2550" s="9" t="s">
        <v>6742</v>
      </c>
      <c r="E2550" s="9" t="s">
        <v>5825</v>
      </c>
      <c r="F2550" s="9" t="s">
        <v>5826</v>
      </c>
      <c r="G2550" s="10" t="s">
        <v>6714</v>
      </c>
      <c r="H2550" s="9" t="s">
        <v>329</v>
      </c>
      <c r="I2550" s="9"/>
      <c r="J2550" s="9"/>
      <c r="K2550" s="9"/>
      <c r="L2550" s="9"/>
      <c r="M2550" s="9" t="s">
        <v>5827</v>
      </c>
      <c r="N2550" s="9"/>
      <c r="O2550" s="9" t="s">
        <v>5828</v>
      </c>
      <c r="P2550" s="9" t="str">
        <f>HYPERLINK("https://ceds.ed.gov/cedselementdetails.aspx?termid=13278")</f>
        <v>https://ceds.ed.gov/cedselementdetails.aspx?termid=13278</v>
      </c>
      <c r="Q2550" s="9" t="str">
        <f>HYPERLINK("https://ceds.ed.gov/elementComment.aspx?elementName=Teaching Credential Type &amp;elementID=13278", "Click here to submit comment")</f>
        <v>Click here to submit comment</v>
      </c>
    </row>
    <row r="2551" spans="1:17" ht="240" x14ac:dyDescent="0.25">
      <c r="A2551" s="9" t="s">
        <v>6860</v>
      </c>
      <c r="B2551" s="9" t="s">
        <v>6863</v>
      </c>
      <c r="C2551" s="9" t="s">
        <v>6873</v>
      </c>
      <c r="D2551" s="9" t="s">
        <v>6742</v>
      </c>
      <c r="E2551" s="9" t="s">
        <v>5821</v>
      </c>
      <c r="F2551" s="9" t="s">
        <v>5822</v>
      </c>
      <c r="G2551" s="10" t="s">
        <v>6713</v>
      </c>
      <c r="H2551" s="9" t="s">
        <v>329</v>
      </c>
      <c r="I2551" s="9"/>
      <c r="J2551" s="9"/>
      <c r="K2551" s="9"/>
      <c r="L2551" s="9"/>
      <c r="M2551" s="9" t="s">
        <v>5823</v>
      </c>
      <c r="N2551" s="9"/>
      <c r="O2551" s="9" t="s">
        <v>5824</v>
      </c>
      <c r="P2551" s="9" t="str">
        <f>HYPERLINK("https://ceds.ed.gov/cedselementdetails.aspx?termid=13277")</f>
        <v>https://ceds.ed.gov/cedselementdetails.aspx?termid=13277</v>
      </c>
      <c r="Q2551" s="9" t="str">
        <f>HYPERLINK("https://ceds.ed.gov/elementComment.aspx?elementName=Teaching Credential Basis &amp;elementID=13277", "Click here to submit comment")</f>
        <v>Click here to submit comment</v>
      </c>
    </row>
    <row r="2552" spans="1:17" ht="75" x14ac:dyDescent="0.25">
      <c r="A2552" s="9" t="s">
        <v>6860</v>
      </c>
      <c r="B2552" s="9" t="s">
        <v>6863</v>
      </c>
      <c r="C2552" s="9" t="s">
        <v>6873</v>
      </c>
      <c r="D2552" s="9" t="s">
        <v>6742</v>
      </c>
      <c r="E2552" s="9" t="s">
        <v>5744</v>
      </c>
      <c r="F2552" s="9" t="s">
        <v>5745</v>
      </c>
      <c r="G2552" s="10" t="s">
        <v>6340</v>
      </c>
      <c r="H2552" s="9" t="s">
        <v>329</v>
      </c>
      <c r="I2552" s="9"/>
      <c r="J2552" s="9"/>
      <c r="K2552" s="9"/>
      <c r="L2552" s="9"/>
      <c r="M2552" s="9" t="s">
        <v>5746</v>
      </c>
      <c r="N2552" s="9"/>
      <c r="O2552" s="9" t="s">
        <v>5747</v>
      </c>
      <c r="P2552" s="9" t="str">
        <f>HYPERLINK("https://ceds.ed.gov/cedselementdetails.aspx?termid=13754")</f>
        <v>https://ceds.ed.gov/cedselementdetails.aspx?termid=13754</v>
      </c>
      <c r="Q2552" s="9" t="str">
        <f>HYPERLINK("https://ceds.ed.gov/elementComment.aspx?elementName=Supervised Clinical Experience &amp;elementID=13754", "Click here to submit comment")</f>
        <v>Click here to submit comment</v>
      </c>
    </row>
    <row r="2553" spans="1:17" ht="60" x14ac:dyDescent="0.25">
      <c r="A2553" s="9" t="s">
        <v>6860</v>
      </c>
      <c r="B2553" s="9" t="s">
        <v>6863</v>
      </c>
      <c r="C2553" s="9" t="s">
        <v>6873</v>
      </c>
      <c r="D2553" s="9" t="s">
        <v>6742</v>
      </c>
      <c r="E2553" s="9" t="s">
        <v>5748</v>
      </c>
      <c r="F2553" s="9" t="s">
        <v>5749</v>
      </c>
      <c r="G2553" s="9" t="s">
        <v>12</v>
      </c>
      <c r="H2553" s="9" t="s">
        <v>329</v>
      </c>
      <c r="I2553" s="9"/>
      <c r="J2553" s="9" t="s">
        <v>10489</v>
      </c>
      <c r="K2553" s="9"/>
      <c r="L2553" s="9"/>
      <c r="M2553" s="9" t="s">
        <v>5750</v>
      </c>
      <c r="N2553" s="9"/>
      <c r="O2553" s="9" t="s">
        <v>5751</v>
      </c>
      <c r="P2553" s="9" t="str">
        <f>HYPERLINK("https://ceds.ed.gov/cedselementdetails.aspx?termid=13755")</f>
        <v>https://ceds.ed.gov/cedselementdetails.aspx?termid=13755</v>
      </c>
      <c r="Q2553" s="9" t="str">
        <f>HYPERLINK("https://ceds.ed.gov/elementComment.aspx?elementName=Supervised Clinical Experience Clock Hours &amp;elementID=13755", "Click here to submit comment")</f>
        <v>Click here to submit comment</v>
      </c>
    </row>
    <row r="2554" spans="1:17" ht="90" x14ac:dyDescent="0.25">
      <c r="A2554" s="9" t="s">
        <v>6860</v>
      </c>
      <c r="B2554" s="9" t="s">
        <v>6863</v>
      </c>
      <c r="C2554" s="9" t="s">
        <v>6873</v>
      </c>
      <c r="D2554" s="9" t="s">
        <v>6742</v>
      </c>
      <c r="E2554" s="9" t="s">
        <v>5778</v>
      </c>
      <c r="F2554" s="9" t="s">
        <v>5779</v>
      </c>
      <c r="G2554" s="10" t="s">
        <v>6709</v>
      </c>
      <c r="H2554" s="9" t="s">
        <v>329</v>
      </c>
      <c r="I2554" s="9"/>
      <c r="J2554" s="9"/>
      <c r="K2554" s="9"/>
      <c r="L2554" s="9"/>
      <c r="M2554" s="9" t="s">
        <v>5780</v>
      </c>
      <c r="N2554" s="9"/>
      <c r="O2554" s="9" t="s">
        <v>5781</v>
      </c>
      <c r="P2554" s="9" t="str">
        <f>HYPERLINK("https://ceds.ed.gov/cedselementdetails.aspx?termid=13756")</f>
        <v>https://ceds.ed.gov/cedselementdetails.aspx?termid=13756</v>
      </c>
      <c r="Q2554" s="9" t="str">
        <f>HYPERLINK("https://ceds.ed.gov/elementComment.aspx?elementName=Teacher Education Credential Exam Type &amp;elementID=13756", "Click here to submit comment")</f>
        <v>Click here to submit comment</v>
      </c>
    </row>
    <row r="2555" spans="1:17" x14ac:dyDescent="0.25">
      <c r="A2555" s="18" t="s">
        <v>6860</v>
      </c>
      <c r="B2555" s="18" t="s">
        <v>6863</v>
      </c>
      <c r="C2555" s="18" t="s">
        <v>6873</v>
      </c>
      <c r="D2555" s="18" t="s">
        <v>6742</v>
      </c>
      <c r="E2555" s="18" t="s">
        <v>5767</v>
      </c>
      <c r="F2555" s="18" t="s">
        <v>5768</v>
      </c>
      <c r="G2555" s="18" t="s">
        <v>12</v>
      </c>
      <c r="H2555" s="18" t="s">
        <v>329</v>
      </c>
      <c r="I2555" s="18"/>
      <c r="J2555" s="18" t="s">
        <v>87</v>
      </c>
      <c r="K2555" s="18"/>
      <c r="L2555" s="9" t="s">
        <v>5769</v>
      </c>
      <c r="M2555" s="18" t="s">
        <v>5776</v>
      </c>
      <c r="N2555" s="18"/>
      <c r="O2555" s="18" t="s">
        <v>5777</v>
      </c>
      <c r="P2555" s="18" t="str">
        <f>HYPERLINK("https://ceds.ed.gov/cedselementdetails.aspx?termid=13757")</f>
        <v>https://ceds.ed.gov/cedselementdetails.aspx?termid=13757</v>
      </c>
      <c r="Q2555" s="18" t="str">
        <f>HYPERLINK("https://ceds.ed.gov/elementComment.aspx?elementName=Teacher Education Credential Exam Score Type &amp;elementID=13757", "Click here to submit comment")</f>
        <v>Click here to submit comment</v>
      </c>
    </row>
    <row r="2556" spans="1:17" x14ac:dyDescent="0.25">
      <c r="A2556" s="18"/>
      <c r="B2556" s="18"/>
      <c r="C2556" s="18"/>
      <c r="D2556" s="18"/>
      <c r="E2556" s="18"/>
      <c r="F2556" s="18"/>
      <c r="G2556" s="18"/>
      <c r="H2556" s="18"/>
      <c r="I2556" s="18"/>
      <c r="J2556" s="18"/>
      <c r="K2556" s="18"/>
      <c r="L2556" s="9" t="s">
        <v>5770</v>
      </c>
      <c r="M2556" s="18"/>
      <c r="N2556" s="18"/>
      <c r="O2556" s="18"/>
      <c r="P2556" s="18"/>
      <c r="Q2556" s="18"/>
    </row>
    <row r="2557" spans="1:17" x14ac:dyDescent="0.25">
      <c r="A2557" s="18"/>
      <c r="B2557" s="18"/>
      <c r="C2557" s="18"/>
      <c r="D2557" s="18"/>
      <c r="E2557" s="18"/>
      <c r="F2557" s="18"/>
      <c r="G2557" s="18"/>
      <c r="H2557" s="18"/>
      <c r="I2557" s="18"/>
      <c r="J2557" s="18"/>
      <c r="K2557" s="18"/>
      <c r="L2557" s="9" t="s">
        <v>5771</v>
      </c>
      <c r="M2557" s="18"/>
      <c r="N2557" s="18"/>
      <c r="O2557" s="18"/>
      <c r="P2557" s="18"/>
      <c r="Q2557" s="18"/>
    </row>
    <row r="2558" spans="1:17" x14ac:dyDescent="0.25">
      <c r="A2558" s="18"/>
      <c r="B2558" s="18"/>
      <c r="C2558" s="18"/>
      <c r="D2558" s="18"/>
      <c r="E2558" s="18"/>
      <c r="F2558" s="18"/>
      <c r="G2558" s="18"/>
      <c r="H2558" s="18"/>
      <c r="I2558" s="18"/>
      <c r="J2558" s="18"/>
      <c r="K2558" s="18"/>
      <c r="L2558" s="9" t="s">
        <v>5772</v>
      </c>
      <c r="M2558" s="18"/>
      <c r="N2558" s="18"/>
      <c r="O2558" s="18"/>
      <c r="P2558" s="18"/>
      <c r="Q2558" s="18"/>
    </row>
    <row r="2559" spans="1:17" x14ac:dyDescent="0.25">
      <c r="A2559" s="18"/>
      <c r="B2559" s="18"/>
      <c r="C2559" s="18"/>
      <c r="D2559" s="18"/>
      <c r="E2559" s="18"/>
      <c r="F2559" s="18"/>
      <c r="G2559" s="18"/>
      <c r="H2559" s="18"/>
      <c r="I2559" s="18"/>
      <c r="J2559" s="18"/>
      <c r="K2559" s="18"/>
      <c r="L2559" s="9"/>
      <c r="M2559" s="18"/>
      <c r="N2559" s="18"/>
      <c r="O2559" s="18"/>
      <c r="P2559" s="18"/>
      <c r="Q2559" s="18"/>
    </row>
    <row r="2560" spans="1:17" x14ac:dyDescent="0.25">
      <c r="A2560" s="18"/>
      <c r="B2560" s="18"/>
      <c r="C2560" s="18"/>
      <c r="D2560" s="18"/>
      <c r="E2560" s="18"/>
      <c r="F2560" s="18"/>
      <c r="G2560" s="18"/>
      <c r="H2560" s="18"/>
      <c r="I2560" s="18"/>
      <c r="J2560" s="18"/>
      <c r="K2560" s="18"/>
      <c r="L2560" s="9" t="s">
        <v>5773</v>
      </c>
      <c r="M2560" s="18"/>
      <c r="N2560" s="18"/>
      <c r="O2560" s="18"/>
      <c r="P2560" s="18"/>
      <c r="Q2560" s="18"/>
    </row>
    <row r="2561" spans="1:17" ht="45" x14ac:dyDescent="0.25">
      <c r="A2561" s="18"/>
      <c r="B2561" s="18"/>
      <c r="C2561" s="18"/>
      <c r="D2561" s="18"/>
      <c r="E2561" s="18"/>
      <c r="F2561" s="18"/>
      <c r="G2561" s="18"/>
      <c r="H2561" s="18"/>
      <c r="I2561" s="18"/>
      <c r="J2561" s="18"/>
      <c r="K2561" s="18"/>
      <c r="L2561" s="9" t="s">
        <v>5774</v>
      </c>
      <c r="M2561" s="18"/>
      <c r="N2561" s="18"/>
      <c r="O2561" s="18"/>
      <c r="P2561" s="18"/>
      <c r="Q2561" s="18"/>
    </row>
    <row r="2562" spans="1:17" x14ac:dyDescent="0.25">
      <c r="A2562" s="18"/>
      <c r="B2562" s="18"/>
      <c r="C2562" s="18"/>
      <c r="D2562" s="18"/>
      <c r="E2562" s="18"/>
      <c r="F2562" s="18"/>
      <c r="G2562" s="18"/>
      <c r="H2562" s="18"/>
      <c r="I2562" s="18"/>
      <c r="J2562" s="18"/>
      <c r="K2562" s="18"/>
      <c r="L2562" s="9"/>
      <c r="M2562" s="18"/>
      <c r="N2562" s="18"/>
      <c r="O2562" s="18"/>
      <c r="P2562" s="18"/>
      <c r="Q2562" s="18"/>
    </row>
    <row r="2563" spans="1:17" ht="30" x14ac:dyDescent="0.25">
      <c r="A2563" s="18"/>
      <c r="B2563" s="18"/>
      <c r="C2563" s="18"/>
      <c r="D2563" s="18"/>
      <c r="E2563" s="18"/>
      <c r="F2563" s="18"/>
      <c r="G2563" s="18"/>
      <c r="H2563" s="18"/>
      <c r="I2563" s="18"/>
      <c r="J2563" s="18"/>
      <c r="K2563" s="18"/>
      <c r="L2563" s="9" t="s">
        <v>5775</v>
      </c>
      <c r="M2563" s="18"/>
      <c r="N2563" s="18"/>
      <c r="O2563" s="18"/>
      <c r="P2563" s="18"/>
      <c r="Q2563" s="18"/>
    </row>
    <row r="2564" spans="1:17" ht="165" x14ac:dyDescent="0.25">
      <c r="A2564" s="9" t="s">
        <v>6860</v>
      </c>
      <c r="B2564" s="9" t="s">
        <v>6863</v>
      </c>
      <c r="C2564" s="9" t="s">
        <v>6873</v>
      </c>
      <c r="D2564" s="9" t="s">
        <v>6742</v>
      </c>
      <c r="E2564" s="9" t="s">
        <v>5782</v>
      </c>
      <c r="F2564" s="9" t="s">
        <v>5783</v>
      </c>
      <c r="G2564" s="10" t="s">
        <v>6710</v>
      </c>
      <c r="H2564" s="9" t="s">
        <v>329</v>
      </c>
      <c r="I2564" s="9"/>
      <c r="J2564" s="9"/>
      <c r="K2564" s="9"/>
      <c r="L2564" s="9"/>
      <c r="M2564" s="9" t="s">
        <v>5784</v>
      </c>
      <c r="N2564" s="9"/>
      <c r="O2564" s="9" t="s">
        <v>5785</v>
      </c>
      <c r="P2564" s="9" t="str">
        <f>HYPERLINK("https://ceds.ed.gov/cedselementdetails.aspx?termid=13748")</f>
        <v>https://ceds.ed.gov/cedselementdetails.aspx?termid=13748</v>
      </c>
      <c r="Q2564" s="9" t="str">
        <f>HYPERLINK("https://ceds.ed.gov/elementComment.aspx?elementName=Teacher Education Test Company &amp;elementID=13748", "Click here to submit comment")</f>
        <v>Click here to submit comment</v>
      </c>
    </row>
    <row r="2565" spans="1:17" ht="60" x14ac:dyDescent="0.25">
      <c r="A2565" s="9" t="s">
        <v>6860</v>
      </c>
      <c r="B2565" s="9" t="s">
        <v>6863</v>
      </c>
      <c r="C2565" s="9" t="s">
        <v>6873</v>
      </c>
      <c r="D2565" s="9" t="s">
        <v>6742</v>
      </c>
      <c r="E2565" s="9" t="s">
        <v>324</v>
      </c>
      <c r="F2565" s="9" t="s">
        <v>325</v>
      </c>
      <c r="G2565" s="10" t="s">
        <v>6340</v>
      </c>
      <c r="H2565" s="9" t="s">
        <v>329</v>
      </c>
      <c r="I2565" s="9"/>
      <c r="J2565" s="9"/>
      <c r="K2565" s="9"/>
      <c r="L2565" s="9"/>
      <c r="M2565" s="9" t="s">
        <v>327</v>
      </c>
      <c r="N2565" s="9"/>
      <c r="O2565" s="9" t="s">
        <v>328</v>
      </c>
      <c r="P2565" s="9" t="str">
        <f>HYPERLINK("https://ceds.ed.gov/cedselementdetails.aspx?termid=13751")</f>
        <v>https://ceds.ed.gov/cedselementdetails.aspx?termid=13751</v>
      </c>
      <c r="Q2565" s="9" t="str">
        <f>HYPERLINK("https://ceds.ed.gov/elementComment.aspx?elementName=Alternative Route to Certification or Licensure &amp;elementID=13751", "Click here to submit comment")</f>
        <v>Click here to submit comment</v>
      </c>
    </row>
    <row r="2566" spans="1:17" ht="60" x14ac:dyDescent="0.25">
      <c r="A2566" s="9" t="s">
        <v>6860</v>
      </c>
      <c r="B2566" s="9" t="s">
        <v>6863</v>
      </c>
      <c r="C2566" s="9" t="s">
        <v>6873</v>
      </c>
      <c r="D2566" s="9" t="s">
        <v>6742</v>
      </c>
      <c r="E2566" s="9" t="s">
        <v>2159</v>
      </c>
      <c r="F2566" s="9" t="s">
        <v>2160</v>
      </c>
      <c r="G2566" s="10" t="s">
        <v>6340</v>
      </c>
      <c r="H2566" s="9" t="s">
        <v>329</v>
      </c>
      <c r="I2566" s="9"/>
      <c r="J2566" s="9"/>
      <c r="K2566" s="9"/>
      <c r="L2566" s="9" t="s">
        <v>2161</v>
      </c>
      <c r="M2566" s="9" t="s">
        <v>2162</v>
      </c>
      <c r="N2566" s="9"/>
      <c r="O2566" s="9" t="s">
        <v>2163</v>
      </c>
      <c r="P2566" s="9" t="str">
        <f>HYPERLINK("https://ceds.ed.gov/cedselementdetails.aspx?termid=13753")</f>
        <v>https://ceds.ed.gov/cedselementdetails.aspx?termid=13753</v>
      </c>
      <c r="Q2566" s="9" t="str">
        <f>HYPERLINK("https://ceds.ed.gov/elementComment.aspx?elementName=Critical Teacher Shortage Area Candidate &amp;elementID=13753", "Click here to submit comment")</f>
        <v>Click here to submit comment</v>
      </c>
    </row>
    <row r="2567" spans="1:17" ht="240" x14ac:dyDescent="0.25">
      <c r="A2567" s="9" t="s">
        <v>6860</v>
      </c>
      <c r="B2567" s="9" t="s">
        <v>6863</v>
      </c>
      <c r="C2567" s="9" t="s">
        <v>6872</v>
      </c>
      <c r="D2567" s="9" t="s">
        <v>6742</v>
      </c>
      <c r="E2567" s="9" t="s">
        <v>383</v>
      </c>
      <c r="F2567" s="9" t="s">
        <v>384</v>
      </c>
      <c r="G2567" s="10" t="s">
        <v>11786</v>
      </c>
      <c r="H2567" s="9" t="s">
        <v>6127</v>
      </c>
      <c r="I2567" s="9" t="s">
        <v>91</v>
      </c>
      <c r="J2567" s="9"/>
      <c r="K2567" s="9"/>
      <c r="L2567" s="9"/>
      <c r="M2567" s="9" t="s">
        <v>385</v>
      </c>
      <c r="N2567" s="9"/>
      <c r="O2567" s="9" t="s">
        <v>386</v>
      </c>
      <c r="P2567" s="9" t="str">
        <f>HYPERLINK("https://ceds.ed.gov/cedselementdetails.aspx?termid=13374")</f>
        <v>https://ceds.ed.gov/cedselementdetails.aspx?termid=13374</v>
      </c>
      <c r="Q2567" s="9" t="str">
        <f>HYPERLINK("https://ceds.ed.gov/elementComment.aspx?elementName=Assessment Accommodation Category &amp;elementID=13374", "Click here to submit comment")</f>
        <v>Click here to submit comment</v>
      </c>
    </row>
    <row r="2568" spans="1:17" ht="60" x14ac:dyDescent="0.25">
      <c r="A2568" s="9" t="s">
        <v>6860</v>
      </c>
      <c r="B2568" s="9" t="s">
        <v>6863</v>
      </c>
      <c r="C2568" s="9" t="s">
        <v>6803</v>
      </c>
      <c r="D2568" s="9" t="s">
        <v>6742</v>
      </c>
      <c r="E2568" s="9" t="s">
        <v>2636</v>
      </c>
      <c r="F2568" s="9" t="s">
        <v>2637</v>
      </c>
      <c r="G2568" s="9" t="s">
        <v>2638</v>
      </c>
      <c r="H2568" s="9"/>
      <c r="I2568" s="9"/>
      <c r="J2568" s="9" t="s">
        <v>11051</v>
      </c>
      <c r="K2568" s="9"/>
      <c r="L2568" s="9"/>
      <c r="M2568" s="9" t="s">
        <v>2639</v>
      </c>
      <c r="N2568" s="9"/>
      <c r="O2568" s="9" t="s">
        <v>2640</v>
      </c>
      <c r="P2568" s="9" t="str">
        <f>HYPERLINK("https://ceds.ed.gov/cedselementdetails.aspx?termid=14070")</f>
        <v>https://ceds.ed.gov/cedselementdetails.aspx?termid=14070</v>
      </c>
      <c r="Q2568" s="9" t="str">
        <f>HYPERLINK("https://ceds.ed.gov/elementComment.aspx?elementName=Employment NAICS Code &amp;elementID=14070", "Click here to submit comment")</f>
        <v>Click here to submit comment</v>
      </c>
    </row>
    <row r="2569" spans="1:17" ht="60" x14ac:dyDescent="0.25">
      <c r="A2569" s="9" t="s">
        <v>6860</v>
      </c>
      <c r="B2569" s="9" t="s">
        <v>6863</v>
      </c>
      <c r="C2569" s="9" t="s">
        <v>6803</v>
      </c>
      <c r="D2569" s="9" t="s">
        <v>6742</v>
      </c>
      <c r="E2569" s="9" t="s">
        <v>2627</v>
      </c>
      <c r="F2569" s="9" t="s">
        <v>2628</v>
      </c>
      <c r="G2569" s="9" t="s">
        <v>12</v>
      </c>
      <c r="H2569" s="9" t="s">
        <v>182</v>
      </c>
      <c r="I2569" s="9"/>
      <c r="J2569" s="9" t="s">
        <v>73</v>
      </c>
      <c r="K2569" s="9"/>
      <c r="L2569" s="9"/>
      <c r="M2569" s="9" t="s">
        <v>2629</v>
      </c>
      <c r="N2569" s="9"/>
      <c r="O2569" s="9" t="s">
        <v>2630</v>
      </c>
      <c r="P2569" s="9" t="str">
        <f>HYPERLINK("https://ceds.ed.gov/cedselementdetails.aspx?termid=13794")</f>
        <v>https://ceds.ed.gov/cedselementdetails.aspx?termid=13794</v>
      </c>
      <c r="Q2569" s="9" t="str">
        <f>HYPERLINK("https://ceds.ed.gov/elementComment.aspx?elementName=Employment End Date &amp;elementID=13794", "Click here to submit comment")</f>
        <v>Click here to submit comment</v>
      </c>
    </row>
    <row r="2570" spans="1:17" ht="60" x14ac:dyDescent="0.25">
      <c r="A2570" s="9" t="s">
        <v>6860</v>
      </c>
      <c r="B2570" s="9" t="s">
        <v>6863</v>
      </c>
      <c r="C2570" s="9" t="s">
        <v>6803</v>
      </c>
      <c r="D2570" s="9" t="s">
        <v>6742</v>
      </c>
      <c r="E2570" s="9" t="s">
        <v>2662</v>
      </c>
      <c r="F2570" s="9" t="s">
        <v>2663</v>
      </c>
      <c r="G2570" s="9" t="s">
        <v>12</v>
      </c>
      <c r="H2570" s="9" t="s">
        <v>6199</v>
      </c>
      <c r="I2570" s="9"/>
      <c r="J2570" s="9" t="s">
        <v>73</v>
      </c>
      <c r="K2570" s="9"/>
      <c r="L2570" s="9"/>
      <c r="M2570" s="9" t="s">
        <v>2664</v>
      </c>
      <c r="N2570" s="9"/>
      <c r="O2570" s="9" t="s">
        <v>2665</v>
      </c>
      <c r="P2570" s="9" t="str">
        <f>HYPERLINK("https://ceds.ed.gov/cedselementdetails.aspx?termid=13345")</f>
        <v>https://ceds.ed.gov/cedselementdetails.aspx?termid=13345</v>
      </c>
      <c r="Q2570" s="9" t="str">
        <f>HYPERLINK("https://ceds.ed.gov/elementComment.aspx?elementName=Employment Start Date &amp;elementID=13345", "Click here to submit comment")</f>
        <v>Click here to submit comment</v>
      </c>
    </row>
    <row r="2571" spans="1:17" ht="225" x14ac:dyDescent="0.25">
      <c r="A2571" s="9" t="s">
        <v>6860</v>
      </c>
      <c r="B2571" s="9" t="s">
        <v>6863</v>
      </c>
      <c r="C2571" s="9" t="s">
        <v>6803</v>
      </c>
      <c r="D2571" s="9" t="s">
        <v>6742</v>
      </c>
      <c r="E2571" s="9" t="s">
        <v>2622</v>
      </c>
      <c r="F2571" s="9" t="s">
        <v>2623</v>
      </c>
      <c r="G2571" s="9" t="s">
        <v>6195</v>
      </c>
      <c r="H2571" s="9" t="s">
        <v>2615</v>
      </c>
      <c r="I2571" s="9"/>
      <c r="J2571" s="9"/>
      <c r="K2571" s="9"/>
      <c r="L2571" s="9" t="s">
        <v>2624</v>
      </c>
      <c r="M2571" s="9" t="s">
        <v>2625</v>
      </c>
      <c r="N2571" s="9"/>
      <c r="O2571" s="9" t="s">
        <v>2626</v>
      </c>
      <c r="P2571" s="9" t="str">
        <f>HYPERLINK("https://ceds.ed.gov/cedselementdetails.aspx?termid=13989")</f>
        <v>https://ceds.ed.gov/cedselementdetails.aspx?termid=13989</v>
      </c>
      <c r="Q2571" s="9" t="str">
        <f>HYPERLINK("https://ceds.ed.gov/elementComment.aspx?elementName=Employed While Enrolled &amp;elementID=13989", "Click here to submit comment")</f>
        <v>Click here to submit comment</v>
      </c>
    </row>
    <row r="2572" spans="1:17" ht="75" x14ac:dyDescent="0.25">
      <c r="A2572" s="9" t="s">
        <v>6860</v>
      </c>
      <c r="B2572" s="9" t="s">
        <v>6863</v>
      </c>
      <c r="C2572" s="9" t="s">
        <v>6803</v>
      </c>
      <c r="D2572" s="9" t="s">
        <v>6742</v>
      </c>
      <c r="E2572" s="9" t="s">
        <v>2669</v>
      </c>
      <c r="F2572" s="9" t="s">
        <v>2670</v>
      </c>
      <c r="G2572" s="10" t="s">
        <v>6491</v>
      </c>
      <c r="H2572" s="9"/>
      <c r="I2572" s="9"/>
      <c r="J2572" s="9"/>
      <c r="K2572" s="9"/>
      <c r="L2572" s="9"/>
      <c r="M2572" s="9" t="s">
        <v>2672</v>
      </c>
      <c r="N2572" s="9"/>
      <c r="O2572" s="9" t="s">
        <v>2673</v>
      </c>
      <c r="P2572" s="9" t="str">
        <f>HYPERLINK("https://ceds.ed.gov/cedselementdetails.aspx?termid=14310")</f>
        <v>https://ceds.ed.gov/cedselementdetails.aspx?termid=14310</v>
      </c>
      <c r="Q2572" s="9" t="str">
        <f>HYPERLINK("https://ceds.ed.gov/elementComment.aspx?elementName=Employment Status While Enrolled &amp;elementID=14310", "Click here to submit comment")</f>
        <v>Click here to submit comment</v>
      </c>
    </row>
    <row r="2573" spans="1:17" ht="270" x14ac:dyDescent="0.25">
      <c r="A2573" s="9" t="s">
        <v>6860</v>
      </c>
      <c r="B2573" s="9" t="s">
        <v>6863</v>
      </c>
      <c r="C2573" s="9" t="s">
        <v>6803</v>
      </c>
      <c r="D2573" s="9" t="s">
        <v>6742</v>
      </c>
      <c r="E2573" s="9" t="s">
        <v>2610</v>
      </c>
      <c r="F2573" s="9" t="s">
        <v>2611</v>
      </c>
      <c r="G2573" s="9" t="s">
        <v>6195</v>
      </c>
      <c r="H2573" s="9" t="s">
        <v>2615</v>
      </c>
      <c r="I2573" s="9"/>
      <c r="J2573" s="9"/>
      <c r="K2573" s="9"/>
      <c r="L2573" s="9" t="s">
        <v>2612</v>
      </c>
      <c r="M2573" s="9" t="s">
        <v>2613</v>
      </c>
      <c r="N2573" s="9"/>
      <c r="O2573" s="9" t="s">
        <v>2614</v>
      </c>
      <c r="P2573" s="9" t="str">
        <f>HYPERLINK("https://ceds.ed.gov/cedselementdetails.aspx?termid=13990")</f>
        <v>https://ceds.ed.gov/cedselementdetails.aspx?termid=13990</v>
      </c>
      <c r="Q2573" s="9" t="str">
        <f>HYPERLINK("https://ceds.ed.gov/elementComment.aspx?elementName=Employed After Exit &amp;elementID=13990", "Click here to submit comment")</f>
        <v>Click here to submit comment</v>
      </c>
    </row>
    <row r="2574" spans="1:17" ht="240" x14ac:dyDescent="0.25">
      <c r="A2574" s="9" t="s">
        <v>6860</v>
      </c>
      <c r="B2574" s="9" t="s">
        <v>6863</v>
      </c>
      <c r="C2574" s="9" t="s">
        <v>6875</v>
      </c>
      <c r="D2574" s="9" t="s">
        <v>6742</v>
      </c>
      <c r="E2574" s="9" t="s">
        <v>6080</v>
      </c>
      <c r="F2574" s="9" t="s">
        <v>6081</v>
      </c>
      <c r="G2574" s="10" t="s">
        <v>6737</v>
      </c>
      <c r="H2574" s="9"/>
      <c r="I2574" s="9"/>
      <c r="J2574" s="9"/>
      <c r="K2574" s="9"/>
      <c r="L2574" s="9"/>
      <c r="M2574" s="9" t="s">
        <v>6082</v>
      </c>
      <c r="N2574" s="9"/>
      <c r="O2574" s="9" t="s">
        <v>6083</v>
      </c>
      <c r="P2574" s="9" t="str">
        <f>HYPERLINK("https://ceds.ed.gov/cedselementdetails.aspx?termid=14471")</f>
        <v>https://ceds.ed.gov/cedselementdetails.aspx?termid=14471</v>
      </c>
      <c r="Q2574" s="9" t="str">
        <f>HYPERLINK("https://ceds.ed.gov/elementComment.aspx?elementName=Work-based Learning Opportunity Type &amp;elementID=14471", "Click here to submit comment")</f>
        <v>Click here to submit comment</v>
      </c>
    </row>
    <row r="2575" spans="1:17" ht="195" x14ac:dyDescent="0.25">
      <c r="A2575" s="9" t="s">
        <v>6860</v>
      </c>
      <c r="B2575" s="9" t="s">
        <v>6771</v>
      </c>
      <c r="C2575" s="9" t="s">
        <v>6741</v>
      </c>
      <c r="D2575" s="9" t="s">
        <v>6742</v>
      </c>
      <c r="E2575" s="9" t="s">
        <v>2935</v>
      </c>
      <c r="F2575" s="9" t="s">
        <v>2936</v>
      </c>
      <c r="G2575" s="9" t="s">
        <v>12</v>
      </c>
      <c r="H2575" s="9" t="s">
        <v>6211</v>
      </c>
      <c r="I2575" s="9"/>
      <c r="J2575" s="9" t="s">
        <v>1310</v>
      </c>
      <c r="K2575" s="9"/>
      <c r="L2575" s="9" t="s">
        <v>2937</v>
      </c>
      <c r="M2575" s="9" t="s">
        <v>2938</v>
      </c>
      <c r="N2575" s="9"/>
      <c r="O2575" s="9" t="s">
        <v>2939</v>
      </c>
      <c r="P2575" s="9" t="str">
        <f>HYPERLINK("https://ceds.ed.gov/cedselementdetails.aspx?termid=13115")</f>
        <v>https://ceds.ed.gov/cedselementdetails.aspx?termid=13115</v>
      </c>
      <c r="Q2575" s="9" t="str">
        <f>HYPERLINK("https://ceds.ed.gov/elementComment.aspx?elementName=First Name &amp;elementID=13115", "Click here to submit comment")</f>
        <v>Click here to submit comment</v>
      </c>
    </row>
    <row r="2576" spans="1:17" ht="90" customHeight="1" x14ac:dyDescent="0.25">
      <c r="A2576" s="18" t="s">
        <v>6860</v>
      </c>
      <c r="B2576" s="18" t="s">
        <v>6771</v>
      </c>
      <c r="C2576" s="18" t="s">
        <v>6741</v>
      </c>
      <c r="D2576" s="18" t="s">
        <v>6742</v>
      </c>
      <c r="E2576" s="18" t="s">
        <v>4183</v>
      </c>
      <c r="F2576" s="18" t="s">
        <v>4184</v>
      </c>
      <c r="G2576" s="18" t="s">
        <v>12</v>
      </c>
      <c r="H2576" s="18" t="s">
        <v>6211</v>
      </c>
      <c r="I2576" s="18"/>
      <c r="J2576" s="18" t="s">
        <v>1310</v>
      </c>
      <c r="K2576" s="18"/>
      <c r="L2576" s="9" t="s">
        <v>2996</v>
      </c>
      <c r="M2576" s="18" t="s">
        <v>4185</v>
      </c>
      <c r="N2576" s="18"/>
      <c r="O2576" s="18" t="s">
        <v>4186</v>
      </c>
      <c r="P2576" s="18" t="str">
        <f>HYPERLINK("https://ceds.ed.gov/cedselementdetails.aspx?termid=13184")</f>
        <v>https://ceds.ed.gov/cedselementdetails.aspx?termid=13184</v>
      </c>
      <c r="Q2576" s="18" t="str">
        <f>HYPERLINK("https://ceds.ed.gov/elementComment.aspx?elementName=Middle Name &amp;elementID=13184", "Click here to submit comment")</f>
        <v>Click here to submit comment</v>
      </c>
    </row>
    <row r="2577" spans="1:17" ht="90" x14ac:dyDescent="0.25">
      <c r="A2577" s="18"/>
      <c r="B2577" s="18"/>
      <c r="C2577" s="18"/>
      <c r="D2577" s="18"/>
      <c r="E2577" s="18"/>
      <c r="F2577" s="18"/>
      <c r="G2577" s="18"/>
      <c r="H2577" s="18"/>
      <c r="I2577" s="18"/>
      <c r="J2577" s="18"/>
      <c r="K2577" s="18"/>
      <c r="L2577" s="9" t="s">
        <v>2997</v>
      </c>
      <c r="M2577" s="18"/>
      <c r="N2577" s="18"/>
      <c r="O2577" s="18"/>
      <c r="P2577" s="18"/>
      <c r="Q2577" s="18"/>
    </row>
    <row r="2578" spans="1:17" ht="90" customHeight="1" x14ac:dyDescent="0.25">
      <c r="A2578" s="18" t="s">
        <v>6860</v>
      </c>
      <c r="B2578" s="18" t="s">
        <v>6771</v>
      </c>
      <c r="C2578" s="18" t="s">
        <v>6741</v>
      </c>
      <c r="D2578" s="18" t="s">
        <v>6742</v>
      </c>
      <c r="E2578" s="18" t="s">
        <v>3597</v>
      </c>
      <c r="F2578" s="18" t="s">
        <v>3598</v>
      </c>
      <c r="G2578" s="18" t="s">
        <v>12</v>
      </c>
      <c r="H2578" s="18" t="s">
        <v>6211</v>
      </c>
      <c r="I2578" s="18"/>
      <c r="J2578" s="18" t="s">
        <v>1310</v>
      </c>
      <c r="K2578" s="18"/>
      <c r="L2578" s="9" t="s">
        <v>2996</v>
      </c>
      <c r="M2578" s="18" t="s">
        <v>3599</v>
      </c>
      <c r="N2578" s="18" t="s">
        <v>3600</v>
      </c>
      <c r="O2578" s="18" t="s">
        <v>3601</v>
      </c>
      <c r="P2578" s="18" t="str">
        <f>HYPERLINK("https://ceds.ed.gov/cedselementdetails.aspx?termid=13172")</f>
        <v>https://ceds.ed.gov/cedselementdetails.aspx?termid=13172</v>
      </c>
      <c r="Q2578" s="18" t="str">
        <f>HYPERLINK("https://ceds.ed.gov/elementComment.aspx?elementName=Last or Surname &amp;elementID=13172", "Click here to submit comment")</f>
        <v>Click here to submit comment</v>
      </c>
    </row>
    <row r="2579" spans="1:17" ht="90" x14ac:dyDescent="0.25">
      <c r="A2579" s="18"/>
      <c r="B2579" s="18"/>
      <c r="C2579" s="18"/>
      <c r="D2579" s="18"/>
      <c r="E2579" s="18"/>
      <c r="F2579" s="18"/>
      <c r="G2579" s="18"/>
      <c r="H2579" s="18"/>
      <c r="I2579" s="18"/>
      <c r="J2579" s="18"/>
      <c r="K2579" s="18"/>
      <c r="L2579" s="9" t="s">
        <v>2997</v>
      </c>
      <c r="M2579" s="18"/>
      <c r="N2579" s="18"/>
      <c r="O2579" s="18"/>
      <c r="P2579" s="18"/>
      <c r="Q2579" s="18"/>
    </row>
    <row r="2580" spans="1:17" ht="45" customHeight="1" x14ac:dyDescent="0.25">
      <c r="A2580" s="18" t="s">
        <v>6860</v>
      </c>
      <c r="B2580" s="18" t="s">
        <v>6771</v>
      </c>
      <c r="C2580" s="18" t="s">
        <v>6741</v>
      </c>
      <c r="D2580" s="18" t="s">
        <v>6742</v>
      </c>
      <c r="E2580" s="18" t="s">
        <v>2994</v>
      </c>
      <c r="F2580" s="18" t="s">
        <v>2995</v>
      </c>
      <c r="G2580" s="18" t="s">
        <v>12</v>
      </c>
      <c r="H2580" s="18" t="s">
        <v>6212</v>
      </c>
      <c r="I2580" s="18"/>
      <c r="J2580" s="18" t="s">
        <v>2088</v>
      </c>
      <c r="K2580" s="18"/>
      <c r="L2580" s="9" t="s">
        <v>2996</v>
      </c>
      <c r="M2580" s="18" t="s">
        <v>2998</v>
      </c>
      <c r="N2580" s="18"/>
      <c r="O2580" s="18" t="s">
        <v>2999</v>
      </c>
      <c r="P2580" s="18" t="str">
        <f>HYPERLINK("https://ceds.ed.gov/cedselementdetails.aspx?termid=13121")</f>
        <v>https://ceds.ed.gov/cedselementdetails.aspx?termid=13121</v>
      </c>
      <c r="Q2580" s="18" t="str">
        <f>HYPERLINK("https://ceds.ed.gov/elementComment.aspx?elementName=Generation Code or Suffix &amp;elementID=13121", "Click here to submit comment")</f>
        <v>Click here to submit comment</v>
      </c>
    </row>
    <row r="2581" spans="1:17" ht="90" x14ac:dyDescent="0.25">
      <c r="A2581" s="18"/>
      <c r="B2581" s="18"/>
      <c r="C2581" s="18"/>
      <c r="D2581" s="18"/>
      <c r="E2581" s="18"/>
      <c r="F2581" s="18"/>
      <c r="G2581" s="18"/>
      <c r="H2581" s="18"/>
      <c r="I2581" s="18"/>
      <c r="J2581" s="18"/>
      <c r="K2581" s="18"/>
      <c r="L2581" s="9" t="s">
        <v>2997</v>
      </c>
      <c r="M2581" s="18"/>
      <c r="N2581" s="18"/>
      <c r="O2581" s="18"/>
      <c r="P2581" s="18"/>
      <c r="Q2581" s="18"/>
    </row>
    <row r="2582" spans="1:17" ht="105" x14ac:dyDescent="0.25">
      <c r="A2582" s="9" t="s">
        <v>6860</v>
      </c>
      <c r="B2582" s="9" t="s">
        <v>6771</v>
      </c>
      <c r="C2582" s="9" t="s">
        <v>6741</v>
      </c>
      <c r="D2582" s="9" t="s">
        <v>6742</v>
      </c>
      <c r="E2582" s="9" t="s">
        <v>4610</v>
      </c>
      <c r="F2582" s="9" t="s">
        <v>4611</v>
      </c>
      <c r="G2582" s="9" t="s">
        <v>12</v>
      </c>
      <c r="H2582" s="9" t="s">
        <v>6255</v>
      </c>
      <c r="I2582" s="9"/>
      <c r="J2582" s="9" t="s">
        <v>87</v>
      </c>
      <c r="K2582" s="9"/>
      <c r="L2582" s="9"/>
      <c r="M2582" s="9" t="s">
        <v>4612</v>
      </c>
      <c r="N2582" s="9" t="s">
        <v>4613</v>
      </c>
      <c r="O2582" s="9" t="s">
        <v>4614</v>
      </c>
      <c r="P2582" s="9" t="str">
        <f>HYPERLINK("https://ceds.ed.gov/cedselementdetails.aspx?termid=13212")</f>
        <v>https://ceds.ed.gov/cedselementdetails.aspx?termid=13212</v>
      </c>
      <c r="Q2582" s="9" t="str">
        <f>HYPERLINK("https://ceds.ed.gov/elementComment.aspx?elementName=Personal Title or Prefix &amp;elementID=13212", "Click here to submit comment")</f>
        <v>Click here to submit comment</v>
      </c>
    </row>
    <row r="2583" spans="1:17" ht="45" x14ac:dyDescent="0.25">
      <c r="A2583" s="9" t="s">
        <v>6860</v>
      </c>
      <c r="B2583" s="9" t="s">
        <v>6771</v>
      </c>
      <c r="C2583" s="9" t="s">
        <v>6743</v>
      </c>
      <c r="D2583" s="9" t="s">
        <v>6742</v>
      </c>
      <c r="E2583" s="9" t="s">
        <v>4481</v>
      </c>
      <c r="F2583" s="9" t="s">
        <v>4482</v>
      </c>
      <c r="G2583" s="9" t="s">
        <v>12</v>
      </c>
      <c r="H2583" s="9"/>
      <c r="I2583" s="9"/>
      <c r="J2583" s="9" t="s">
        <v>1310</v>
      </c>
      <c r="K2583" s="9"/>
      <c r="L2583" s="9" t="s">
        <v>4483</v>
      </c>
      <c r="M2583" s="9" t="s">
        <v>4484</v>
      </c>
      <c r="N2583" s="9"/>
      <c r="O2583" s="9" t="s">
        <v>4485</v>
      </c>
      <c r="P2583" s="9" t="str">
        <f>HYPERLINK("https://ceds.ed.gov/cedselementdetails.aspx?termid=14486")</f>
        <v>https://ceds.ed.gov/cedselementdetails.aspx?termid=14486</v>
      </c>
      <c r="Q2583" s="9" t="str">
        <f>HYPERLINK("https://ceds.ed.gov/elementComment.aspx?elementName=Other First Name &amp;elementID=14486", "Click here to submit comment")</f>
        <v>Click here to submit comment</v>
      </c>
    </row>
    <row r="2584" spans="1:17" ht="45" x14ac:dyDescent="0.25">
      <c r="A2584" s="9" t="s">
        <v>6860</v>
      </c>
      <c r="B2584" s="9" t="s">
        <v>6771</v>
      </c>
      <c r="C2584" s="9" t="s">
        <v>6743</v>
      </c>
      <c r="D2584" s="9" t="s">
        <v>6742</v>
      </c>
      <c r="E2584" s="9" t="s">
        <v>4486</v>
      </c>
      <c r="F2584" s="9" t="s">
        <v>4487</v>
      </c>
      <c r="G2584" s="9" t="s">
        <v>12</v>
      </c>
      <c r="H2584" s="9"/>
      <c r="I2584" s="9"/>
      <c r="J2584" s="9" t="s">
        <v>1310</v>
      </c>
      <c r="K2584" s="9"/>
      <c r="L2584" s="9" t="s">
        <v>4488</v>
      </c>
      <c r="M2584" s="9" t="s">
        <v>4489</v>
      </c>
      <c r="N2584" s="9"/>
      <c r="O2584" s="9" t="s">
        <v>4490</v>
      </c>
      <c r="P2584" s="9" t="str">
        <f>HYPERLINK("https://ceds.ed.gov/cedselementdetails.aspx?termid=14485")</f>
        <v>https://ceds.ed.gov/cedselementdetails.aspx?termid=14485</v>
      </c>
      <c r="Q2584" s="9" t="str">
        <f>HYPERLINK("https://ceds.ed.gov/elementComment.aspx?elementName=Other Last Name &amp;elementID=14485", "Click here to submit comment")</f>
        <v>Click here to submit comment</v>
      </c>
    </row>
    <row r="2585" spans="1:17" ht="45" x14ac:dyDescent="0.25">
      <c r="A2585" s="9" t="s">
        <v>6860</v>
      </c>
      <c r="B2585" s="9" t="s">
        <v>6771</v>
      </c>
      <c r="C2585" s="9" t="s">
        <v>6743</v>
      </c>
      <c r="D2585" s="9" t="s">
        <v>6742</v>
      </c>
      <c r="E2585" s="9" t="s">
        <v>4491</v>
      </c>
      <c r="F2585" s="9" t="s">
        <v>4492</v>
      </c>
      <c r="G2585" s="9" t="s">
        <v>12</v>
      </c>
      <c r="H2585" s="9"/>
      <c r="I2585" s="9"/>
      <c r="J2585" s="9" t="s">
        <v>1310</v>
      </c>
      <c r="K2585" s="9"/>
      <c r="L2585" s="9" t="s">
        <v>4493</v>
      </c>
      <c r="M2585" s="9" t="s">
        <v>4494</v>
      </c>
      <c r="N2585" s="9"/>
      <c r="O2585" s="9" t="s">
        <v>4495</v>
      </c>
      <c r="P2585" s="9" t="str">
        <f>HYPERLINK("https://ceds.ed.gov/cedselementdetails.aspx?termid=14487")</f>
        <v>https://ceds.ed.gov/cedselementdetails.aspx?termid=14487</v>
      </c>
      <c r="Q2585" s="9" t="str">
        <f>HYPERLINK("https://ceds.ed.gov/elementComment.aspx?elementName=Other Middle Name &amp;elementID=14487", "Click here to submit comment")</f>
        <v>Click here to submit comment</v>
      </c>
    </row>
    <row r="2586" spans="1:17" ht="150" x14ac:dyDescent="0.25">
      <c r="A2586" s="9" t="s">
        <v>6860</v>
      </c>
      <c r="B2586" s="9" t="s">
        <v>6771</v>
      </c>
      <c r="C2586" s="9" t="s">
        <v>6743</v>
      </c>
      <c r="D2586" s="9" t="s">
        <v>6742</v>
      </c>
      <c r="E2586" s="9" t="s">
        <v>4496</v>
      </c>
      <c r="F2586" s="9" t="s">
        <v>4497</v>
      </c>
      <c r="G2586" s="9" t="s">
        <v>12</v>
      </c>
      <c r="H2586" s="9" t="s">
        <v>6212</v>
      </c>
      <c r="I2586" s="9"/>
      <c r="J2586" s="9" t="s">
        <v>119</v>
      </c>
      <c r="K2586" s="9"/>
      <c r="L2586" s="9"/>
      <c r="M2586" s="9" t="s">
        <v>4498</v>
      </c>
      <c r="N2586" s="9"/>
      <c r="O2586" s="9" t="s">
        <v>4499</v>
      </c>
      <c r="P2586" s="9" t="str">
        <f>HYPERLINK("https://ceds.ed.gov/cedselementdetails.aspx?termid=13206")</f>
        <v>https://ceds.ed.gov/cedselementdetails.aspx?termid=13206</v>
      </c>
      <c r="Q2586" s="9" t="str">
        <f>HYPERLINK("https://ceds.ed.gov/elementComment.aspx?elementName=Other Name &amp;elementID=13206", "Click here to submit comment")</f>
        <v>Click here to submit comment</v>
      </c>
    </row>
    <row r="2587" spans="1:17" ht="165" x14ac:dyDescent="0.25">
      <c r="A2587" s="9" t="s">
        <v>6860</v>
      </c>
      <c r="B2587" s="9" t="s">
        <v>6771</v>
      </c>
      <c r="C2587" s="9" t="s">
        <v>6743</v>
      </c>
      <c r="D2587" s="9" t="s">
        <v>6742</v>
      </c>
      <c r="E2587" s="9" t="s">
        <v>4500</v>
      </c>
      <c r="F2587" s="9" t="s">
        <v>4501</v>
      </c>
      <c r="G2587" s="10" t="s">
        <v>6630</v>
      </c>
      <c r="H2587" s="9" t="s">
        <v>6251</v>
      </c>
      <c r="I2587" s="9"/>
      <c r="J2587" s="9" t="s">
        <v>87</v>
      </c>
      <c r="K2587" s="9"/>
      <c r="L2587" s="9"/>
      <c r="M2587" s="9" t="s">
        <v>4502</v>
      </c>
      <c r="N2587" s="9"/>
      <c r="O2587" s="9" t="s">
        <v>4503</v>
      </c>
      <c r="P2587" s="9" t="str">
        <f>HYPERLINK("https://ceds.ed.gov/cedselementdetails.aspx?termid=13627")</f>
        <v>https://ceds.ed.gov/cedselementdetails.aspx?termid=13627</v>
      </c>
      <c r="Q2587" s="9" t="str">
        <f>HYPERLINK("https://ceds.ed.gov/elementComment.aspx?elementName=Other Name Type &amp;elementID=13627", "Click here to submit comment")</f>
        <v>Click here to submit comment</v>
      </c>
    </row>
    <row r="2588" spans="1:17" ht="105" x14ac:dyDescent="0.25">
      <c r="A2588" s="18" t="s">
        <v>6860</v>
      </c>
      <c r="B2588" s="18" t="s">
        <v>6771</v>
      </c>
      <c r="C2588" s="18" t="s">
        <v>6744</v>
      </c>
      <c r="D2588" s="18" t="s">
        <v>6742</v>
      </c>
      <c r="E2588" s="18" t="s">
        <v>4587</v>
      </c>
      <c r="F2588" s="18" t="s">
        <v>4588</v>
      </c>
      <c r="G2588" s="18" t="s">
        <v>12</v>
      </c>
      <c r="H2588" s="18"/>
      <c r="I2588" s="18"/>
      <c r="J2588" s="18" t="s">
        <v>119</v>
      </c>
      <c r="K2588" s="18"/>
      <c r="L2588" s="9" t="s">
        <v>120</v>
      </c>
      <c r="M2588" s="18" t="s">
        <v>4589</v>
      </c>
      <c r="N2588" s="18"/>
      <c r="O2588" s="18" t="s">
        <v>4590</v>
      </c>
      <c r="P2588" s="18" t="str">
        <f>HYPERLINK("https://ceds.ed.gov/cedselementdetails.aspx?termid=14551")</f>
        <v>https://ceds.ed.gov/cedselementdetails.aspx?termid=14551</v>
      </c>
      <c r="Q2588" s="18" t="str">
        <f>HYPERLINK("https://ceds.ed.gov/elementComment.aspx?elementName=Person Identifier &amp;elementID=14551", "Click here to submit comment")</f>
        <v>Click here to submit comment</v>
      </c>
    </row>
    <row r="2589" spans="1:17" x14ac:dyDescent="0.25">
      <c r="A2589" s="18"/>
      <c r="B2589" s="18"/>
      <c r="C2589" s="18"/>
      <c r="D2589" s="18"/>
      <c r="E2589" s="18"/>
      <c r="F2589" s="18"/>
      <c r="G2589" s="18"/>
      <c r="H2589" s="18"/>
      <c r="I2589" s="18"/>
      <c r="J2589" s="18"/>
      <c r="K2589" s="18"/>
      <c r="L2589" s="9"/>
      <c r="M2589" s="18"/>
      <c r="N2589" s="18"/>
      <c r="O2589" s="18"/>
      <c r="P2589" s="18"/>
      <c r="Q2589" s="18"/>
    </row>
    <row r="2590" spans="1:17" ht="90" x14ac:dyDescent="0.25">
      <c r="A2590" s="18"/>
      <c r="B2590" s="18"/>
      <c r="C2590" s="18"/>
      <c r="D2590" s="18"/>
      <c r="E2590" s="18"/>
      <c r="F2590" s="18"/>
      <c r="G2590" s="18"/>
      <c r="H2590" s="18"/>
      <c r="I2590" s="18"/>
      <c r="J2590" s="18"/>
      <c r="K2590" s="18"/>
      <c r="L2590" s="9" t="s">
        <v>121</v>
      </c>
      <c r="M2590" s="18"/>
      <c r="N2590" s="18"/>
      <c r="O2590" s="18"/>
      <c r="P2590" s="18"/>
      <c r="Q2590" s="18"/>
    </row>
    <row r="2591" spans="1:17" ht="375" x14ac:dyDescent="0.25">
      <c r="A2591" s="9" t="s">
        <v>6860</v>
      </c>
      <c r="B2591" s="9" t="s">
        <v>6771</v>
      </c>
      <c r="C2591" s="9" t="s">
        <v>6744</v>
      </c>
      <c r="D2591" s="9" t="s">
        <v>6742</v>
      </c>
      <c r="E2591" s="9" t="s">
        <v>4583</v>
      </c>
      <c r="F2591" s="9" t="s">
        <v>4584</v>
      </c>
      <c r="G2591" s="10" t="s">
        <v>6635</v>
      </c>
      <c r="H2591" s="9"/>
      <c r="I2591" s="9"/>
      <c r="J2591" s="9"/>
      <c r="K2591" s="9"/>
      <c r="L2591" s="9"/>
      <c r="M2591" s="9" t="s">
        <v>4585</v>
      </c>
      <c r="N2591" s="9"/>
      <c r="O2591" s="9" t="s">
        <v>4586</v>
      </c>
      <c r="P2591" s="9" t="str">
        <f>HYPERLINK("https://ceds.ed.gov/cedselementdetails.aspx?termid=14550")</f>
        <v>https://ceds.ed.gov/cedselementdetails.aspx?termid=14550</v>
      </c>
      <c r="Q2591" s="9" t="str">
        <f>HYPERLINK("https://ceds.ed.gov/elementComment.aspx?elementName=Person Identification System &amp;elementID=14550", "Click here to submit comment")</f>
        <v>Click here to submit comment</v>
      </c>
    </row>
    <row r="2592" spans="1:17" ht="255" x14ac:dyDescent="0.25">
      <c r="A2592" s="9" t="s">
        <v>6860</v>
      </c>
      <c r="B2592" s="9" t="s">
        <v>6771</v>
      </c>
      <c r="C2592" s="9" t="s">
        <v>6744</v>
      </c>
      <c r="D2592" s="9" t="s">
        <v>6742</v>
      </c>
      <c r="E2592" s="9" t="s">
        <v>4606</v>
      </c>
      <c r="F2592" s="9" t="s">
        <v>4607</v>
      </c>
      <c r="G2592" s="10" t="s">
        <v>6637</v>
      </c>
      <c r="H2592" s="9"/>
      <c r="I2592" s="9"/>
      <c r="J2592" s="9"/>
      <c r="K2592" s="9"/>
      <c r="L2592" s="9"/>
      <c r="M2592" s="9" t="s">
        <v>4608</v>
      </c>
      <c r="N2592" s="9"/>
      <c r="O2592" s="9" t="s">
        <v>4609</v>
      </c>
      <c r="P2592" s="9" t="str">
        <f>HYPERLINK("https://ceds.ed.gov/cedselementdetails.aspx?termid=13611")</f>
        <v>https://ceds.ed.gov/cedselementdetails.aspx?termid=13611</v>
      </c>
      <c r="Q2592" s="9" t="str">
        <f>HYPERLINK("https://ceds.ed.gov/elementComment.aspx?elementName=Personal Information Verification &amp;elementID=13611", "Click here to submit comment")</f>
        <v>Click here to submit comment</v>
      </c>
    </row>
    <row r="2593" spans="1:17" ht="210" x14ac:dyDescent="0.25">
      <c r="A2593" s="9" t="s">
        <v>6860</v>
      </c>
      <c r="B2593" s="9" t="s">
        <v>6771</v>
      </c>
      <c r="C2593" s="9" t="s">
        <v>6745</v>
      </c>
      <c r="D2593" s="9" t="s">
        <v>6742</v>
      </c>
      <c r="E2593" s="9" t="s">
        <v>170</v>
      </c>
      <c r="F2593" s="9" t="s">
        <v>171</v>
      </c>
      <c r="G2593" s="10" t="s">
        <v>6319</v>
      </c>
      <c r="H2593" s="9" t="s">
        <v>6115</v>
      </c>
      <c r="I2593" s="9"/>
      <c r="J2593" s="9" t="s">
        <v>87</v>
      </c>
      <c r="K2593" s="9"/>
      <c r="L2593" s="9"/>
      <c r="M2593" s="9" t="s">
        <v>172</v>
      </c>
      <c r="N2593" s="9"/>
      <c r="O2593" s="9" t="s">
        <v>173</v>
      </c>
      <c r="P2593" s="9" t="str">
        <f>HYPERLINK("https://ceds.ed.gov/cedselementdetails.aspx?termid=13358")</f>
        <v>https://ceds.ed.gov/cedselementdetails.aspx?termid=13358</v>
      </c>
      <c r="Q2593" s="9" t="str">
        <f>HYPERLINK("https://ceds.ed.gov/elementComment.aspx?elementName=Address Type for Learner or Family &amp;elementID=13358", "Click here to submit comment")</f>
        <v>Click here to submit comment</v>
      </c>
    </row>
    <row r="2594" spans="1:17" ht="225" x14ac:dyDescent="0.25">
      <c r="A2594" s="9" t="s">
        <v>6860</v>
      </c>
      <c r="B2594" s="9" t="s">
        <v>6771</v>
      </c>
      <c r="C2594" s="9" t="s">
        <v>6745</v>
      </c>
      <c r="D2594" s="9" t="s">
        <v>6742</v>
      </c>
      <c r="E2594" s="9" t="s">
        <v>166</v>
      </c>
      <c r="F2594" s="9" t="s">
        <v>167</v>
      </c>
      <c r="G2594" s="9" t="s">
        <v>12</v>
      </c>
      <c r="H2594" s="9" t="s">
        <v>6113</v>
      </c>
      <c r="I2594" s="9"/>
      <c r="J2594" s="9" t="s">
        <v>119</v>
      </c>
      <c r="K2594" s="9"/>
      <c r="L2594" s="9"/>
      <c r="M2594" s="9" t="s">
        <v>168</v>
      </c>
      <c r="N2594" s="9"/>
      <c r="O2594" s="9" t="s">
        <v>169</v>
      </c>
      <c r="P2594" s="9" t="str">
        <f>HYPERLINK("https://ceds.ed.gov/cedselementdetails.aspx?termid=13269")</f>
        <v>https://ceds.ed.gov/cedselementdetails.aspx?termid=13269</v>
      </c>
      <c r="Q2594" s="9" t="str">
        <f>HYPERLINK("https://ceds.ed.gov/elementComment.aspx?elementName=Address Street Number and Name &amp;elementID=13269", "Click here to submit comment")</f>
        <v>Click here to submit comment</v>
      </c>
    </row>
    <row r="2595" spans="1:17" ht="225" x14ac:dyDescent="0.25">
      <c r="A2595" s="9" t="s">
        <v>6860</v>
      </c>
      <c r="B2595" s="9" t="s">
        <v>6771</v>
      </c>
      <c r="C2595" s="9" t="s">
        <v>6745</v>
      </c>
      <c r="D2595" s="9" t="s">
        <v>6742</v>
      </c>
      <c r="E2595" s="9" t="s">
        <v>149</v>
      </c>
      <c r="F2595" s="9" t="s">
        <v>150</v>
      </c>
      <c r="G2595" s="9" t="s">
        <v>12</v>
      </c>
      <c r="H2595" s="9" t="s">
        <v>6113</v>
      </c>
      <c r="I2595" s="9"/>
      <c r="J2595" s="9" t="s">
        <v>87</v>
      </c>
      <c r="K2595" s="9"/>
      <c r="L2595" s="9"/>
      <c r="M2595" s="9" t="s">
        <v>151</v>
      </c>
      <c r="N2595" s="9"/>
      <c r="O2595" s="9" t="s">
        <v>152</v>
      </c>
      <c r="P2595" s="9" t="str">
        <f>HYPERLINK("https://ceds.ed.gov/cedselementdetails.aspx?termid=13019")</f>
        <v>https://ceds.ed.gov/cedselementdetails.aspx?termid=13019</v>
      </c>
      <c r="Q2595" s="9" t="str">
        <f>HYPERLINK("https://ceds.ed.gov/elementComment.aspx?elementName=Address Apartment Room or Suite Number &amp;elementID=13019", "Click here to submit comment")</f>
        <v>Click here to submit comment</v>
      </c>
    </row>
    <row r="2596" spans="1:17" ht="225" x14ac:dyDescent="0.25">
      <c r="A2596" s="9" t="s">
        <v>6860</v>
      </c>
      <c r="B2596" s="9" t="s">
        <v>6771</v>
      </c>
      <c r="C2596" s="9" t="s">
        <v>6745</v>
      </c>
      <c r="D2596" s="9" t="s">
        <v>6742</v>
      </c>
      <c r="E2596" s="9" t="s">
        <v>153</v>
      </c>
      <c r="F2596" s="9" t="s">
        <v>154</v>
      </c>
      <c r="G2596" s="9" t="s">
        <v>12</v>
      </c>
      <c r="H2596" s="9" t="s">
        <v>6113</v>
      </c>
      <c r="I2596" s="9"/>
      <c r="J2596" s="9" t="s">
        <v>87</v>
      </c>
      <c r="K2596" s="9"/>
      <c r="L2596" s="9"/>
      <c r="M2596" s="9" t="s">
        <v>155</v>
      </c>
      <c r="N2596" s="9"/>
      <c r="O2596" s="9" t="s">
        <v>156</v>
      </c>
      <c r="P2596" s="9" t="str">
        <f>HYPERLINK("https://ceds.ed.gov/cedselementdetails.aspx?termid=13040")</f>
        <v>https://ceds.ed.gov/cedselementdetails.aspx?termid=13040</v>
      </c>
      <c r="Q2596" s="9" t="str">
        <f>HYPERLINK("https://ceds.ed.gov/elementComment.aspx?elementName=Address City &amp;elementID=13040", "Click here to submit comment")</f>
        <v>Click here to submit comment</v>
      </c>
    </row>
    <row r="2597" spans="1:17" ht="409.5" x14ac:dyDescent="0.25">
      <c r="A2597" s="9" t="s">
        <v>6860</v>
      </c>
      <c r="B2597" s="9" t="s">
        <v>6771</v>
      </c>
      <c r="C2597" s="9" t="s">
        <v>6745</v>
      </c>
      <c r="D2597" s="9" t="s">
        <v>6742</v>
      </c>
      <c r="E2597" s="9" t="s">
        <v>5647</v>
      </c>
      <c r="F2597" s="9" t="s">
        <v>5648</v>
      </c>
      <c r="G2597" s="10" t="s">
        <v>6702</v>
      </c>
      <c r="H2597" s="9" t="s">
        <v>6285</v>
      </c>
      <c r="I2597" s="9"/>
      <c r="J2597" s="9"/>
      <c r="K2597" s="9"/>
      <c r="L2597" s="9"/>
      <c r="M2597" s="9" t="s">
        <v>5649</v>
      </c>
      <c r="N2597" s="9"/>
      <c r="O2597" s="9" t="s">
        <v>5650</v>
      </c>
      <c r="P2597" s="9" t="str">
        <f>HYPERLINK("https://ceds.ed.gov/cedselementdetails.aspx?termid=13267")</f>
        <v>https://ceds.ed.gov/cedselementdetails.aspx?termid=13267</v>
      </c>
      <c r="Q2597" s="9" t="str">
        <f>HYPERLINK("https://ceds.ed.gov/elementComment.aspx?elementName=State Abbreviation &amp;elementID=13267", "Click here to submit comment")</f>
        <v>Click here to submit comment</v>
      </c>
    </row>
    <row r="2598" spans="1:17" ht="225" x14ac:dyDescent="0.25">
      <c r="A2598" s="9" t="s">
        <v>6860</v>
      </c>
      <c r="B2598" s="9" t="s">
        <v>6771</v>
      </c>
      <c r="C2598" s="9" t="s">
        <v>6745</v>
      </c>
      <c r="D2598" s="9" t="s">
        <v>6742</v>
      </c>
      <c r="E2598" s="9" t="s">
        <v>161</v>
      </c>
      <c r="F2598" s="9" t="s">
        <v>162</v>
      </c>
      <c r="G2598" s="9" t="s">
        <v>12</v>
      </c>
      <c r="H2598" s="9" t="s">
        <v>6113</v>
      </c>
      <c r="I2598" s="9"/>
      <c r="J2598" s="9" t="s">
        <v>163</v>
      </c>
      <c r="K2598" s="9"/>
      <c r="L2598" s="9"/>
      <c r="M2598" s="9" t="s">
        <v>164</v>
      </c>
      <c r="N2598" s="9"/>
      <c r="O2598" s="9" t="s">
        <v>165</v>
      </c>
      <c r="P2598" s="9" t="str">
        <f>HYPERLINK("https://ceds.ed.gov/cedselementdetails.aspx?termid=13214")</f>
        <v>https://ceds.ed.gov/cedselementdetails.aspx?termid=13214</v>
      </c>
      <c r="Q2598" s="9" t="str">
        <f>HYPERLINK("https://ceds.ed.gov/elementComment.aspx?elementName=Address Postal Code &amp;elementID=13214", "Click here to submit comment")</f>
        <v>Click here to submit comment</v>
      </c>
    </row>
    <row r="2599" spans="1:17" ht="225" x14ac:dyDescent="0.25">
      <c r="A2599" s="9" t="s">
        <v>6860</v>
      </c>
      <c r="B2599" s="9" t="s">
        <v>6771</v>
      </c>
      <c r="C2599" s="9" t="s">
        <v>6745</v>
      </c>
      <c r="D2599" s="9" t="s">
        <v>6742</v>
      </c>
      <c r="E2599" s="9" t="s">
        <v>157</v>
      </c>
      <c r="F2599" s="9" t="s">
        <v>158</v>
      </c>
      <c r="G2599" s="9" t="s">
        <v>12</v>
      </c>
      <c r="H2599" s="9" t="s">
        <v>6113</v>
      </c>
      <c r="I2599" s="9"/>
      <c r="J2599" s="9" t="s">
        <v>87</v>
      </c>
      <c r="K2599" s="9"/>
      <c r="L2599" s="9"/>
      <c r="M2599" s="9" t="s">
        <v>159</v>
      </c>
      <c r="N2599" s="9"/>
      <c r="O2599" s="9" t="s">
        <v>160</v>
      </c>
      <c r="P2599" s="9" t="str">
        <f>HYPERLINK("https://ceds.ed.gov/cedselementdetails.aspx?termid=13190")</f>
        <v>https://ceds.ed.gov/cedselementdetails.aspx?termid=13190</v>
      </c>
      <c r="Q2599" s="9" t="str">
        <f>HYPERLINK("https://ceds.ed.gov/elementComment.aspx?elementName=Address County Name &amp;elementID=13190", "Click here to submit comment")</f>
        <v>Click here to submit comment</v>
      </c>
    </row>
    <row r="2600" spans="1:17" ht="409.5" x14ac:dyDescent="0.25">
      <c r="A2600" s="9" t="s">
        <v>6860</v>
      </c>
      <c r="B2600" s="9" t="s">
        <v>6771</v>
      </c>
      <c r="C2600" s="9" t="s">
        <v>6745</v>
      </c>
      <c r="D2600" s="9" t="s">
        <v>6742</v>
      </c>
      <c r="E2600" s="9" t="s">
        <v>1885</v>
      </c>
      <c r="F2600" s="9" t="s">
        <v>1886</v>
      </c>
      <c r="G2600" s="10" t="s">
        <v>11839</v>
      </c>
      <c r="H2600" s="9" t="s">
        <v>6174</v>
      </c>
      <c r="I2600" s="9"/>
      <c r="J2600" s="9"/>
      <c r="K2600" s="9"/>
      <c r="L2600" s="11" t="s">
        <v>1887</v>
      </c>
      <c r="M2600" s="9" t="s">
        <v>1888</v>
      </c>
      <c r="N2600" s="9"/>
      <c r="O2600" s="9" t="s">
        <v>1889</v>
      </c>
      <c r="P2600" s="9" t="str">
        <f>HYPERLINK("https://ceds.ed.gov/cedselementdetails.aspx?termid=13050")</f>
        <v>https://ceds.ed.gov/cedselementdetails.aspx?termid=13050</v>
      </c>
      <c r="Q2600" s="9" t="str">
        <f>HYPERLINK("https://ceds.ed.gov/elementComment.aspx?elementName=Country Code &amp;elementID=13050", "Click here to submit comment")</f>
        <v>Click here to submit comment</v>
      </c>
    </row>
    <row r="2601" spans="1:17" ht="75" x14ac:dyDescent="0.25">
      <c r="A2601" s="9" t="s">
        <v>6860</v>
      </c>
      <c r="B2601" s="9" t="s">
        <v>6771</v>
      </c>
      <c r="C2601" s="9" t="s">
        <v>6745</v>
      </c>
      <c r="D2601" s="9" t="s">
        <v>6742</v>
      </c>
      <c r="E2601" s="9" t="s">
        <v>3606</v>
      </c>
      <c r="F2601" s="9" t="s">
        <v>3607</v>
      </c>
      <c r="G2601" s="9" t="s">
        <v>12</v>
      </c>
      <c r="H2601" s="9"/>
      <c r="I2601" s="9"/>
      <c r="J2601" s="9" t="s">
        <v>1165</v>
      </c>
      <c r="K2601" s="9"/>
      <c r="L2601" s="9"/>
      <c r="M2601" s="9" t="s">
        <v>3608</v>
      </c>
      <c r="N2601" s="9"/>
      <c r="O2601" s="9" t="s">
        <v>3606</v>
      </c>
      <c r="P2601" s="9" t="str">
        <f>HYPERLINK("https://ceds.ed.gov/cedselementdetails.aspx?termid=13599")</f>
        <v>https://ceds.ed.gov/cedselementdetails.aspx?termid=13599</v>
      </c>
      <c r="Q2601" s="9" t="str">
        <f>HYPERLINK("https://ceds.ed.gov/elementComment.aspx?elementName=Latitude &amp;elementID=13599", "Click here to submit comment")</f>
        <v>Click here to submit comment</v>
      </c>
    </row>
    <row r="2602" spans="1:17" ht="75" x14ac:dyDescent="0.25">
      <c r="A2602" s="9" t="s">
        <v>6860</v>
      </c>
      <c r="B2602" s="9" t="s">
        <v>6771</v>
      </c>
      <c r="C2602" s="9" t="s">
        <v>6745</v>
      </c>
      <c r="D2602" s="9" t="s">
        <v>6742</v>
      </c>
      <c r="E2602" s="9" t="s">
        <v>4139</v>
      </c>
      <c r="F2602" s="9" t="s">
        <v>4140</v>
      </c>
      <c r="G2602" s="9" t="s">
        <v>12</v>
      </c>
      <c r="H2602" s="9"/>
      <c r="I2602" s="9"/>
      <c r="J2602" s="9" t="s">
        <v>1165</v>
      </c>
      <c r="K2602" s="9"/>
      <c r="L2602" s="9"/>
      <c r="M2602" s="9" t="s">
        <v>4141</v>
      </c>
      <c r="N2602" s="9"/>
      <c r="O2602" s="9" t="s">
        <v>4139</v>
      </c>
      <c r="P2602" s="9" t="str">
        <f>HYPERLINK("https://ceds.ed.gov/cedselementdetails.aspx?termid=13600")</f>
        <v>https://ceds.ed.gov/cedselementdetails.aspx?termid=13600</v>
      </c>
      <c r="Q2602" s="9" t="str">
        <f>HYPERLINK("https://ceds.ed.gov/elementComment.aspx?elementName=Longitude &amp;elementID=13600", "Click here to submit comment")</f>
        <v>Click here to submit comment</v>
      </c>
    </row>
    <row r="2603" spans="1:17" ht="90" x14ac:dyDescent="0.25">
      <c r="A2603" s="9" t="s">
        <v>6860</v>
      </c>
      <c r="B2603" s="9" t="s">
        <v>6771</v>
      </c>
      <c r="C2603" s="9" t="s">
        <v>6747</v>
      </c>
      <c r="D2603" s="9" t="s">
        <v>6742</v>
      </c>
      <c r="E2603" s="9" t="s">
        <v>5849</v>
      </c>
      <c r="F2603" s="9" t="s">
        <v>5850</v>
      </c>
      <c r="G2603" s="9" t="s">
        <v>12</v>
      </c>
      <c r="H2603" s="9" t="s">
        <v>6109</v>
      </c>
      <c r="I2603" s="9"/>
      <c r="J2603" s="9" t="s">
        <v>5851</v>
      </c>
      <c r="K2603" s="9"/>
      <c r="L2603" s="9"/>
      <c r="M2603" s="9" t="s">
        <v>5852</v>
      </c>
      <c r="N2603" s="9"/>
      <c r="O2603" s="9" t="s">
        <v>5853</v>
      </c>
      <c r="P2603" s="9" t="str">
        <f>HYPERLINK("https://ceds.ed.gov/cedselementdetails.aspx?termid=13279")</f>
        <v>https://ceds.ed.gov/cedselementdetails.aspx?termid=13279</v>
      </c>
      <c r="Q2603" s="9" t="str">
        <f>HYPERLINK("https://ceds.ed.gov/elementComment.aspx?elementName=Telephone Number &amp;elementID=13279", "Click here to submit comment")</f>
        <v>Click here to submit comment</v>
      </c>
    </row>
    <row r="2604" spans="1:17" ht="90" x14ac:dyDescent="0.25">
      <c r="A2604" s="9" t="s">
        <v>6860</v>
      </c>
      <c r="B2604" s="9" t="s">
        <v>6771</v>
      </c>
      <c r="C2604" s="9" t="s">
        <v>6747</v>
      </c>
      <c r="D2604" s="9" t="s">
        <v>6742</v>
      </c>
      <c r="E2604" s="9" t="s">
        <v>5854</v>
      </c>
      <c r="F2604" s="9" t="s">
        <v>5855</v>
      </c>
      <c r="G2604" s="10" t="s">
        <v>6717</v>
      </c>
      <c r="H2604" s="9" t="s">
        <v>6109</v>
      </c>
      <c r="I2604" s="9"/>
      <c r="J2604" s="9" t="s">
        <v>1900</v>
      </c>
      <c r="K2604" s="9"/>
      <c r="L2604" s="9"/>
      <c r="M2604" s="9" t="s">
        <v>5856</v>
      </c>
      <c r="N2604" s="9"/>
      <c r="O2604" s="9" t="s">
        <v>5857</v>
      </c>
      <c r="P2604" s="9" t="str">
        <f>HYPERLINK("https://ceds.ed.gov/cedselementdetails.aspx?termid=13280")</f>
        <v>https://ceds.ed.gov/cedselementdetails.aspx?termid=13280</v>
      </c>
      <c r="Q2604" s="9" t="str">
        <f>HYPERLINK("https://ceds.ed.gov/elementComment.aspx?elementName=Telephone Number Type &amp;elementID=13280", "Click here to submit comment")</f>
        <v>Click here to submit comment</v>
      </c>
    </row>
    <row r="2605" spans="1:17" ht="90" x14ac:dyDescent="0.25">
      <c r="A2605" s="9" t="s">
        <v>6860</v>
      </c>
      <c r="B2605" s="9" t="s">
        <v>6771</v>
      </c>
      <c r="C2605" s="9" t="s">
        <v>6747</v>
      </c>
      <c r="D2605" s="9" t="s">
        <v>6742</v>
      </c>
      <c r="E2605" s="9" t="s">
        <v>4709</v>
      </c>
      <c r="F2605" s="9" t="s">
        <v>4710</v>
      </c>
      <c r="G2605" s="9" t="s">
        <v>6106</v>
      </c>
      <c r="H2605" s="9" t="s">
        <v>6109</v>
      </c>
      <c r="I2605" s="9"/>
      <c r="J2605" s="9"/>
      <c r="K2605" s="9"/>
      <c r="L2605" s="9"/>
      <c r="M2605" s="9" t="s">
        <v>4711</v>
      </c>
      <c r="N2605" s="9"/>
      <c r="O2605" s="9" t="s">
        <v>4712</v>
      </c>
      <c r="P2605" s="9" t="str">
        <f>HYPERLINK("https://ceds.ed.gov/cedselementdetails.aspx?termid=13219")</f>
        <v>https://ceds.ed.gov/cedselementdetails.aspx?termid=13219</v>
      </c>
      <c r="Q2605" s="9" t="str">
        <f>HYPERLINK("https://ceds.ed.gov/elementComment.aspx?elementName=Primary Telephone Number Indicator &amp;elementID=13219", "Click here to submit comment")</f>
        <v>Click here to submit comment</v>
      </c>
    </row>
    <row r="2606" spans="1:17" ht="90" x14ac:dyDescent="0.25">
      <c r="A2606" s="9" t="s">
        <v>6860</v>
      </c>
      <c r="B2606" s="9" t="s">
        <v>6771</v>
      </c>
      <c r="C2606" s="9" t="s">
        <v>6773</v>
      </c>
      <c r="D2606" s="9" t="s">
        <v>6742</v>
      </c>
      <c r="E2606" s="9" t="s">
        <v>2589</v>
      </c>
      <c r="F2606" s="9" t="s">
        <v>2590</v>
      </c>
      <c r="G2606" s="10" t="s">
        <v>6484</v>
      </c>
      <c r="H2606" s="9" t="s">
        <v>6109</v>
      </c>
      <c r="I2606" s="9"/>
      <c r="J2606" s="9"/>
      <c r="K2606" s="9"/>
      <c r="L2606" s="9"/>
      <c r="M2606" s="9" t="s">
        <v>2591</v>
      </c>
      <c r="N2606" s="9" t="s">
        <v>2592</v>
      </c>
      <c r="O2606" s="9" t="s">
        <v>2593</v>
      </c>
      <c r="P2606" s="9" t="str">
        <f>HYPERLINK("https://ceds.ed.gov/cedselementdetails.aspx?termid=13089")</f>
        <v>https://ceds.ed.gov/cedselementdetails.aspx?termid=13089</v>
      </c>
      <c r="Q2606" s="9" t="str">
        <f>HYPERLINK("https://ceds.ed.gov/elementComment.aspx?elementName=Electronic Mail Address Type &amp;elementID=13089", "Click here to submit comment")</f>
        <v>Click here to submit comment</v>
      </c>
    </row>
    <row r="2607" spans="1:17" ht="90" x14ac:dyDescent="0.25">
      <c r="A2607" s="9" t="s">
        <v>6860</v>
      </c>
      <c r="B2607" s="9" t="s">
        <v>6771</v>
      </c>
      <c r="C2607" s="9" t="s">
        <v>6773</v>
      </c>
      <c r="D2607" s="9" t="s">
        <v>6742</v>
      </c>
      <c r="E2607" s="9" t="s">
        <v>2584</v>
      </c>
      <c r="F2607" s="9" t="s">
        <v>2585</v>
      </c>
      <c r="G2607" s="9" t="s">
        <v>12</v>
      </c>
      <c r="H2607" s="9" t="s">
        <v>6109</v>
      </c>
      <c r="I2607" s="9"/>
      <c r="J2607" s="9" t="s">
        <v>11127</v>
      </c>
      <c r="K2607" s="9"/>
      <c r="L2607" s="9"/>
      <c r="M2607" s="9" t="s">
        <v>2586</v>
      </c>
      <c r="N2607" s="9" t="s">
        <v>2587</v>
      </c>
      <c r="O2607" s="9" t="s">
        <v>2588</v>
      </c>
      <c r="P2607" s="9" t="str">
        <f>HYPERLINK("https://ceds.ed.gov/cedselementdetails.aspx?termid=13088")</f>
        <v>https://ceds.ed.gov/cedselementdetails.aspx?termid=13088</v>
      </c>
      <c r="Q2607" s="9" t="str">
        <f>HYPERLINK("https://ceds.ed.gov/elementComment.aspx?elementName=Electronic Mail Address &amp;elementID=13088", "Click here to submit comment")</f>
        <v>Click here to submit comment</v>
      </c>
    </row>
    <row r="2608" spans="1:17" ht="105" x14ac:dyDescent="0.25">
      <c r="A2608" s="18" t="s">
        <v>6860</v>
      </c>
      <c r="B2608" s="18" t="s">
        <v>6771</v>
      </c>
      <c r="C2608" s="18" t="s">
        <v>6772</v>
      </c>
      <c r="D2608" s="18" t="s">
        <v>6742</v>
      </c>
      <c r="E2608" s="18" t="s">
        <v>4587</v>
      </c>
      <c r="F2608" s="18" t="s">
        <v>4588</v>
      </c>
      <c r="G2608" s="18" t="s">
        <v>12</v>
      </c>
      <c r="H2608" s="18"/>
      <c r="I2608" s="18"/>
      <c r="J2608" s="18" t="s">
        <v>119</v>
      </c>
      <c r="K2608" s="18"/>
      <c r="L2608" s="9" t="s">
        <v>120</v>
      </c>
      <c r="M2608" s="18" t="s">
        <v>4589</v>
      </c>
      <c r="N2608" s="18"/>
      <c r="O2608" s="18" t="s">
        <v>4590</v>
      </c>
      <c r="P2608" s="18" t="str">
        <f>HYPERLINK("https://ceds.ed.gov/cedselementdetails.aspx?termid=14551")</f>
        <v>https://ceds.ed.gov/cedselementdetails.aspx?termid=14551</v>
      </c>
      <c r="Q2608" s="18" t="str">
        <f>HYPERLINK("https://ceds.ed.gov/elementComment.aspx?elementName=Person Identifier &amp;elementID=14551", "Click here to submit comment")</f>
        <v>Click here to submit comment</v>
      </c>
    </row>
    <row r="2609" spans="1:17" x14ac:dyDescent="0.25">
      <c r="A2609" s="18"/>
      <c r="B2609" s="18"/>
      <c r="C2609" s="18"/>
      <c r="D2609" s="18"/>
      <c r="E2609" s="18"/>
      <c r="F2609" s="18"/>
      <c r="G2609" s="18"/>
      <c r="H2609" s="18"/>
      <c r="I2609" s="18"/>
      <c r="J2609" s="18"/>
      <c r="K2609" s="18"/>
      <c r="L2609" s="9"/>
      <c r="M2609" s="18"/>
      <c r="N2609" s="18"/>
      <c r="O2609" s="18"/>
      <c r="P2609" s="18"/>
      <c r="Q2609" s="18"/>
    </row>
    <row r="2610" spans="1:17" ht="90" x14ac:dyDescent="0.25">
      <c r="A2610" s="18"/>
      <c r="B2610" s="18"/>
      <c r="C2610" s="18"/>
      <c r="D2610" s="18"/>
      <c r="E2610" s="18"/>
      <c r="F2610" s="18"/>
      <c r="G2610" s="18"/>
      <c r="H2610" s="18"/>
      <c r="I2610" s="18"/>
      <c r="J2610" s="18"/>
      <c r="K2610" s="18"/>
      <c r="L2610" s="9" t="s">
        <v>121</v>
      </c>
      <c r="M2610" s="18"/>
      <c r="N2610" s="18"/>
      <c r="O2610" s="18"/>
      <c r="P2610" s="18"/>
      <c r="Q2610" s="18"/>
    </row>
    <row r="2611" spans="1:17" ht="375" x14ac:dyDescent="0.25">
      <c r="A2611" s="9" t="s">
        <v>6860</v>
      </c>
      <c r="B2611" s="9" t="s">
        <v>6771</v>
      </c>
      <c r="C2611" s="9" t="s">
        <v>6772</v>
      </c>
      <c r="D2611" s="9" t="s">
        <v>6742</v>
      </c>
      <c r="E2611" s="9" t="s">
        <v>4583</v>
      </c>
      <c r="F2611" s="9" t="s">
        <v>4584</v>
      </c>
      <c r="G2611" s="10" t="s">
        <v>6635</v>
      </c>
      <c r="H2611" s="9"/>
      <c r="I2611" s="9"/>
      <c r="J2611" s="9"/>
      <c r="K2611" s="9"/>
      <c r="L2611" s="9"/>
      <c r="M2611" s="9" t="s">
        <v>4585</v>
      </c>
      <c r="N2611" s="9"/>
      <c r="O2611" s="9" t="s">
        <v>4586</v>
      </c>
      <c r="P2611" s="9" t="str">
        <f>HYPERLINK("https://ceds.ed.gov/cedselementdetails.aspx?termid=14550")</f>
        <v>https://ceds.ed.gov/cedselementdetails.aspx?termid=14550</v>
      </c>
      <c r="Q2611" s="9" t="str">
        <f>HYPERLINK("https://ceds.ed.gov/elementComment.aspx?elementName=Person Identification System &amp;elementID=14550", "Click here to submit comment")</f>
        <v>Click here to submit comment</v>
      </c>
    </row>
    <row r="2612" spans="1:17" ht="409.5" x14ac:dyDescent="0.25">
      <c r="A2612" s="9" t="s">
        <v>6860</v>
      </c>
      <c r="B2612" s="9" t="s">
        <v>6771</v>
      </c>
      <c r="C2612" s="9" t="s">
        <v>6772</v>
      </c>
      <c r="D2612" s="9" t="s">
        <v>6742</v>
      </c>
      <c r="E2612" s="9" t="s">
        <v>4602</v>
      </c>
      <c r="F2612" s="9" t="s">
        <v>4603</v>
      </c>
      <c r="G2612" s="10" t="s">
        <v>6636</v>
      </c>
      <c r="H2612" s="9" t="s">
        <v>1537</v>
      </c>
      <c r="I2612" s="9"/>
      <c r="J2612" s="9"/>
      <c r="K2612" s="9"/>
      <c r="L2612" s="9"/>
      <c r="M2612" s="9" t="s">
        <v>4604</v>
      </c>
      <c r="N2612" s="9"/>
      <c r="O2612" s="9" t="s">
        <v>4605</v>
      </c>
      <c r="P2612" s="9" t="str">
        <f>HYPERLINK("https://ceds.ed.gov/cedselementdetails.aspx?termid=13415")</f>
        <v>https://ceds.ed.gov/cedselementdetails.aspx?termid=13415</v>
      </c>
      <c r="Q2612" s="9" t="str">
        <f>HYPERLINK("https://ceds.ed.gov/elementComment.aspx?elementName=Person Relationship to Learner Type &amp;elementID=13415", "Click here to submit comment")</f>
        <v>Click here to submit comment</v>
      </c>
    </row>
    <row r="2613" spans="1:17" ht="195" x14ac:dyDescent="0.25">
      <c r="A2613" s="9" t="s">
        <v>6860</v>
      </c>
      <c r="B2613" s="9" t="s">
        <v>6876</v>
      </c>
      <c r="C2613" s="9" t="s">
        <v>6741</v>
      </c>
      <c r="D2613" s="9" t="s">
        <v>6742</v>
      </c>
      <c r="E2613" s="9" t="s">
        <v>2935</v>
      </c>
      <c r="F2613" s="9" t="s">
        <v>2936</v>
      </c>
      <c r="G2613" s="9" t="s">
        <v>12</v>
      </c>
      <c r="H2613" s="9" t="s">
        <v>6211</v>
      </c>
      <c r="I2613" s="9"/>
      <c r="J2613" s="9" t="s">
        <v>1310</v>
      </c>
      <c r="K2613" s="9"/>
      <c r="L2613" s="9" t="s">
        <v>2937</v>
      </c>
      <c r="M2613" s="9" t="s">
        <v>2938</v>
      </c>
      <c r="N2613" s="9"/>
      <c r="O2613" s="9" t="s">
        <v>2939</v>
      </c>
      <c r="P2613" s="9" t="str">
        <f>HYPERLINK("https://ceds.ed.gov/cedselementdetails.aspx?termid=13115")</f>
        <v>https://ceds.ed.gov/cedselementdetails.aspx?termid=13115</v>
      </c>
      <c r="Q2613" s="9" t="str">
        <f>HYPERLINK("https://ceds.ed.gov/elementComment.aspx?elementName=First Name &amp;elementID=13115", "Click here to submit comment")</f>
        <v>Click here to submit comment</v>
      </c>
    </row>
    <row r="2614" spans="1:17" ht="90" customHeight="1" x14ac:dyDescent="0.25">
      <c r="A2614" s="18" t="s">
        <v>6860</v>
      </c>
      <c r="B2614" s="18" t="s">
        <v>6876</v>
      </c>
      <c r="C2614" s="18" t="s">
        <v>6741</v>
      </c>
      <c r="D2614" s="18" t="s">
        <v>6742</v>
      </c>
      <c r="E2614" s="18" t="s">
        <v>4183</v>
      </c>
      <c r="F2614" s="18" t="s">
        <v>4184</v>
      </c>
      <c r="G2614" s="18" t="s">
        <v>12</v>
      </c>
      <c r="H2614" s="18" t="s">
        <v>6211</v>
      </c>
      <c r="I2614" s="18"/>
      <c r="J2614" s="18" t="s">
        <v>1310</v>
      </c>
      <c r="K2614" s="18"/>
      <c r="L2614" s="9" t="s">
        <v>2996</v>
      </c>
      <c r="M2614" s="18" t="s">
        <v>4185</v>
      </c>
      <c r="N2614" s="18"/>
      <c r="O2614" s="18" t="s">
        <v>4186</v>
      </c>
      <c r="P2614" s="18" t="str">
        <f>HYPERLINK("https://ceds.ed.gov/cedselementdetails.aspx?termid=13184")</f>
        <v>https://ceds.ed.gov/cedselementdetails.aspx?termid=13184</v>
      </c>
      <c r="Q2614" s="18" t="str">
        <f>HYPERLINK("https://ceds.ed.gov/elementComment.aspx?elementName=Middle Name &amp;elementID=13184", "Click here to submit comment")</f>
        <v>Click here to submit comment</v>
      </c>
    </row>
    <row r="2615" spans="1:17" ht="90" x14ac:dyDescent="0.25">
      <c r="A2615" s="18"/>
      <c r="B2615" s="18"/>
      <c r="C2615" s="18"/>
      <c r="D2615" s="18"/>
      <c r="E2615" s="18"/>
      <c r="F2615" s="18"/>
      <c r="G2615" s="18"/>
      <c r="H2615" s="18"/>
      <c r="I2615" s="18"/>
      <c r="J2615" s="18"/>
      <c r="K2615" s="18"/>
      <c r="L2615" s="9" t="s">
        <v>2997</v>
      </c>
      <c r="M2615" s="18"/>
      <c r="N2615" s="18"/>
      <c r="O2615" s="18"/>
      <c r="P2615" s="18"/>
      <c r="Q2615" s="18"/>
    </row>
    <row r="2616" spans="1:17" ht="90" customHeight="1" x14ac:dyDescent="0.25">
      <c r="A2616" s="18" t="s">
        <v>6860</v>
      </c>
      <c r="B2616" s="18" t="s">
        <v>6876</v>
      </c>
      <c r="C2616" s="18" t="s">
        <v>6741</v>
      </c>
      <c r="D2616" s="18" t="s">
        <v>6742</v>
      </c>
      <c r="E2616" s="18" t="s">
        <v>3597</v>
      </c>
      <c r="F2616" s="18" t="s">
        <v>3598</v>
      </c>
      <c r="G2616" s="18" t="s">
        <v>12</v>
      </c>
      <c r="H2616" s="18" t="s">
        <v>6211</v>
      </c>
      <c r="I2616" s="18"/>
      <c r="J2616" s="18" t="s">
        <v>1310</v>
      </c>
      <c r="K2616" s="18"/>
      <c r="L2616" s="9" t="s">
        <v>2996</v>
      </c>
      <c r="M2616" s="18" t="s">
        <v>3599</v>
      </c>
      <c r="N2616" s="18" t="s">
        <v>3600</v>
      </c>
      <c r="O2616" s="18" t="s">
        <v>3601</v>
      </c>
      <c r="P2616" s="18" t="str">
        <f>HYPERLINK("https://ceds.ed.gov/cedselementdetails.aspx?termid=13172")</f>
        <v>https://ceds.ed.gov/cedselementdetails.aspx?termid=13172</v>
      </c>
      <c r="Q2616" s="18" t="str">
        <f>HYPERLINK("https://ceds.ed.gov/elementComment.aspx?elementName=Last or Surname &amp;elementID=13172", "Click here to submit comment")</f>
        <v>Click here to submit comment</v>
      </c>
    </row>
    <row r="2617" spans="1:17" ht="90" x14ac:dyDescent="0.25">
      <c r="A2617" s="18"/>
      <c r="B2617" s="18"/>
      <c r="C2617" s="18"/>
      <c r="D2617" s="18"/>
      <c r="E2617" s="18"/>
      <c r="F2617" s="18"/>
      <c r="G2617" s="18"/>
      <c r="H2617" s="18"/>
      <c r="I2617" s="18"/>
      <c r="J2617" s="18"/>
      <c r="K2617" s="18"/>
      <c r="L2617" s="9" t="s">
        <v>2997</v>
      </c>
      <c r="M2617" s="18"/>
      <c r="N2617" s="18"/>
      <c r="O2617" s="18"/>
      <c r="P2617" s="18"/>
      <c r="Q2617" s="18"/>
    </row>
    <row r="2618" spans="1:17" ht="45" customHeight="1" x14ac:dyDescent="0.25">
      <c r="A2618" s="18" t="s">
        <v>6860</v>
      </c>
      <c r="B2618" s="18" t="s">
        <v>6876</v>
      </c>
      <c r="C2618" s="18" t="s">
        <v>6741</v>
      </c>
      <c r="D2618" s="18" t="s">
        <v>6742</v>
      </c>
      <c r="E2618" s="18" t="s">
        <v>2994</v>
      </c>
      <c r="F2618" s="18" t="s">
        <v>2995</v>
      </c>
      <c r="G2618" s="18" t="s">
        <v>12</v>
      </c>
      <c r="H2618" s="18" t="s">
        <v>6212</v>
      </c>
      <c r="I2618" s="18"/>
      <c r="J2618" s="18" t="s">
        <v>2088</v>
      </c>
      <c r="K2618" s="18"/>
      <c r="L2618" s="9" t="s">
        <v>2996</v>
      </c>
      <c r="M2618" s="18" t="s">
        <v>2998</v>
      </c>
      <c r="N2618" s="18"/>
      <c r="O2618" s="18" t="s">
        <v>2999</v>
      </c>
      <c r="P2618" s="18" t="str">
        <f>HYPERLINK("https://ceds.ed.gov/cedselementdetails.aspx?termid=13121")</f>
        <v>https://ceds.ed.gov/cedselementdetails.aspx?termid=13121</v>
      </c>
      <c r="Q2618" s="18" t="str">
        <f>HYPERLINK("https://ceds.ed.gov/elementComment.aspx?elementName=Generation Code or Suffix &amp;elementID=13121", "Click here to submit comment")</f>
        <v>Click here to submit comment</v>
      </c>
    </row>
    <row r="2619" spans="1:17" ht="90" x14ac:dyDescent="0.25">
      <c r="A2619" s="18"/>
      <c r="B2619" s="18"/>
      <c r="C2619" s="18"/>
      <c r="D2619" s="18"/>
      <c r="E2619" s="18"/>
      <c r="F2619" s="18"/>
      <c r="G2619" s="18"/>
      <c r="H2619" s="18"/>
      <c r="I2619" s="18"/>
      <c r="J2619" s="18"/>
      <c r="K2619" s="18"/>
      <c r="L2619" s="9" t="s">
        <v>2997</v>
      </c>
      <c r="M2619" s="18"/>
      <c r="N2619" s="18"/>
      <c r="O2619" s="18"/>
      <c r="P2619" s="18"/>
      <c r="Q2619" s="18"/>
    </row>
    <row r="2620" spans="1:17" ht="105" x14ac:dyDescent="0.25">
      <c r="A2620" s="9" t="s">
        <v>6860</v>
      </c>
      <c r="B2620" s="9" t="s">
        <v>6876</v>
      </c>
      <c r="C2620" s="9" t="s">
        <v>6741</v>
      </c>
      <c r="D2620" s="9" t="s">
        <v>6742</v>
      </c>
      <c r="E2620" s="9" t="s">
        <v>4610</v>
      </c>
      <c r="F2620" s="9" t="s">
        <v>4611</v>
      </c>
      <c r="G2620" s="9" t="s">
        <v>12</v>
      </c>
      <c r="H2620" s="9" t="s">
        <v>6255</v>
      </c>
      <c r="I2620" s="9"/>
      <c r="J2620" s="9" t="s">
        <v>87</v>
      </c>
      <c r="K2620" s="9"/>
      <c r="L2620" s="9"/>
      <c r="M2620" s="9" t="s">
        <v>4612</v>
      </c>
      <c r="N2620" s="9" t="s">
        <v>4613</v>
      </c>
      <c r="O2620" s="9" t="s">
        <v>4614</v>
      </c>
      <c r="P2620" s="9" t="str">
        <f>HYPERLINK("https://ceds.ed.gov/cedselementdetails.aspx?termid=13212")</f>
        <v>https://ceds.ed.gov/cedselementdetails.aspx?termid=13212</v>
      </c>
      <c r="Q2620" s="9" t="str">
        <f>HYPERLINK("https://ceds.ed.gov/elementComment.aspx?elementName=Personal Title or Prefix &amp;elementID=13212", "Click here to submit comment")</f>
        <v>Click here to submit comment</v>
      </c>
    </row>
    <row r="2621" spans="1:17" ht="45" x14ac:dyDescent="0.25">
      <c r="A2621" s="9" t="s">
        <v>6860</v>
      </c>
      <c r="B2621" s="9" t="s">
        <v>6876</v>
      </c>
      <c r="C2621" s="9" t="s">
        <v>6743</v>
      </c>
      <c r="D2621" s="9" t="s">
        <v>6742</v>
      </c>
      <c r="E2621" s="9" t="s">
        <v>4481</v>
      </c>
      <c r="F2621" s="9" t="s">
        <v>4482</v>
      </c>
      <c r="G2621" s="9" t="s">
        <v>12</v>
      </c>
      <c r="H2621" s="9"/>
      <c r="I2621" s="9"/>
      <c r="J2621" s="9" t="s">
        <v>1310</v>
      </c>
      <c r="K2621" s="9"/>
      <c r="L2621" s="9" t="s">
        <v>4483</v>
      </c>
      <c r="M2621" s="9" t="s">
        <v>4484</v>
      </c>
      <c r="N2621" s="9"/>
      <c r="O2621" s="9" t="s">
        <v>4485</v>
      </c>
      <c r="P2621" s="9" t="str">
        <f>HYPERLINK("https://ceds.ed.gov/cedselementdetails.aspx?termid=14486")</f>
        <v>https://ceds.ed.gov/cedselementdetails.aspx?termid=14486</v>
      </c>
      <c r="Q2621" s="9" t="str">
        <f>HYPERLINK("https://ceds.ed.gov/elementComment.aspx?elementName=Other First Name &amp;elementID=14486", "Click here to submit comment")</f>
        <v>Click here to submit comment</v>
      </c>
    </row>
    <row r="2622" spans="1:17" ht="45" x14ac:dyDescent="0.25">
      <c r="A2622" s="9" t="s">
        <v>6860</v>
      </c>
      <c r="B2622" s="9" t="s">
        <v>6876</v>
      </c>
      <c r="C2622" s="9" t="s">
        <v>6743</v>
      </c>
      <c r="D2622" s="9" t="s">
        <v>6742</v>
      </c>
      <c r="E2622" s="9" t="s">
        <v>4486</v>
      </c>
      <c r="F2622" s="9" t="s">
        <v>4487</v>
      </c>
      <c r="G2622" s="9" t="s">
        <v>12</v>
      </c>
      <c r="H2622" s="9"/>
      <c r="I2622" s="9"/>
      <c r="J2622" s="9" t="s">
        <v>1310</v>
      </c>
      <c r="K2622" s="9"/>
      <c r="L2622" s="9" t="s">
        <v>4488</v>
      </c>
      <c r="M2622" s="9" t="s">
        <v>4489</v>
      </c>
      <c r="N2622" s="9"/>
      <c r="O2622" s="9" t="s">
        <v>4490</v>
      </c>
      <c r="P2622" s="9" t="str">
        <f>HYPERLINK("https://ceds.ed.gov/cedselementdetails.aspx?termid=14485")</f>
        <v>https://ceds.ed.gov/cedselementdetails.aspx?termid=14485</v>
      </c>
      <c r="Q2622" s="9" t="str">
        <f>HYPERLINK("https://ceds.ed.gov/elementComment.aspx?elementName=Other Last Name &amp;elementID=14485", "Click here to submit comment")</f>
        <v>Click here to submit comment</v>
      </c>
    </row>
    <row r="2623" spans="1:17" ht="45" x14ac:dyDescent="0.25">
      <c r="A2623" s="9" t="s">
        <v>6860</v>
      </c>
      <c r="B2623" s="9" t="s">
        <v>6876</v>
      </c>
      <c r="C2623" s="9" t="s">
        <v>6743</v>
      </c>
      <c r="D2623" s="9" t="s">
        <v>6742</v>
      </c>
      <c r="E2623" s="9" t="s">
        <v>4491</v>
      </c>
      <c r="F2623" s="9" t="s">
        <v>4492</v>
      </c>
      <c r="G2623" s="9" t="s">
        <v>12</v>
      </c>
      <c r="H2623" s="9"/>
      <c r="I2623" s="9"/>
      <c r="J2623" s="9" t="s">
        <v>1310</v>
      </c>
      <c r="K2623" s="9"/>
      <c r="L2623" s="9" t="s">
        <v>4493</v>
      </c>
      <c r="M2623" s="9" t="s">
        <v>4494</v>
      </c>
      <c r="N2623" s="9"/>
      <c r="O2623" s="9" t="s">
        <v>4495</v>
      </c>
      <c r="P2623" s="9" t="str">
        <f>HYPERLINK("https://ceds.ed.gov/cedselementdetails.aspx?termid=14487")</f>
        <v>https://ceds.ed.gov/cedselementdetails.aspx?termid=14487</v>
      </c>
      <c r="Q2623" s="9" t="str">
        <f>HYPERLINK("https://ceds.ed.gov/elementComment.aspx?elementName=Other Middle Name &amp;elementID=14487", "Click here to submit comment")</f>
        <v>Click here to submit comment</v>
      </c>
    </row>
    <row r="2624" spans="1:17" ht="150" x14ac:dyDescent="0.25">
      <c r="A2624" s="9" t="s">
        <v>6860</v>
      </c>
      <c r="B2624" s="9" t="s">
        <v>6876</v>
      </c>
      <c r="C2624" s="9" t="s">
        <v>6743</v>
      </c>
      <c r="D2624" s="9" t="s">
        <v>6742</v>
      </c>
      <c r="E2624" s="9" t="s">
        <v>4496</v>
      </c>
      <c r="F2624" s="9" t="s">
        <v>4497</v>
      </c>
      <c r="G2624" s="9" t="s">
        <v>12</v>
      </c>
      <c r="H2624" s="9" t="s">
        <v>6212</v>
      </c>
      <c r="I2624" s="9"/>
      <c r="J2624" s="9" t="s">
        <v>119</v>
      </c>
      <c r="K2624" s="9"/>
      <c r="L2624" s="9"/>
      <c r="M2624" s="9" t="s">
        <v>4498</v>
      </c>
      <c r="N2624" s="9"/>
      <c r="O2624" s="9" t="s">
        <v>4499</v>
      </c>
      <c r="P2624" s="9" t="str">
        <f>HYPERLINK("https://ceds.ed.gov/cedselementdetails.aspx?termid=13206")</f>
        <v>https://ceds.ed.gov/cedselementdetails.aspx?termid=13206</v>
      </c>
      <c r="Q2624" s="9" t="str">
        <f>HYPERLINK("https://ceds.ed.gov/elementComment.aspx?elementName=Other Name &amp;elementID=13206", "Click here to submit comment")</f>
        <v>Click here to submit comment</v>
      </c>
    </row>
    <row r="2625" spans="1:17" ht="165" x14ac:dyDescent="0.25">
      <c r="A2625" s="9" t="s">
        <v>6860</v>
      </c>
      <c r="B2625" s="9" t="s">
        <v>6876</v>
      </c>
      <c r="C2625" s="9" t="s">
        <v>6743</v>
      </c>
      <c r="D2625" s="9" t="s">
        <v>6742</v>
      </c>
      <c r="E2625" s="9" t="s">
        <v>4500</v>
      </c>
      <c r="F2625" s="9" t="s">
        <v>4501</v>
      </c>
      <c r="G2625" s="10" t="s">
        <v>6630</v>
      </c>
      <c r="H2625" s="9" t="s">
        <v>6251</v>
      </c>
      <c r="I2625" s="9"/>
      <c r="J2625" s="9" t="s">
        <v>87</v>
      </c>
      <c r="K2625" s="9"/>
      <c r="L2625" s="9"/>
      <c r="M2625" s="9" t="s">
        <v>4502</v>
      </c>
      <c r="N2625" s="9"/>
      <c r="O2625" s="9" t="s">
        <v>4503</v>
      </c>
      <c r="P2625" s="9" t="str">
        <f>HYPERLINK("https://ceds.ed.gov/cedselementdetails.aspx?termid=13627")</f>
        <v>https://ceds.ed.gov/cedselementdetails.aspx?termid=13627</v>
      </c>
      <c r="Q2625" s="9" t="str">
        <f>HYPERLINK("https://ceds.ed.gov/elementComment.aspx?elementName=Other Name Type &amp;elementID=13627", "Click here to submit comment")</f>
        <v>Click here to submit comment</v>
      </c>
    </row>
    <row r="2626" spans="1:17" ht="105" x14ac:dyDescent="0.25">
      <c r="A2626" s="18" t="s">
        <v>6860</v>
      </c>
      <c r="B2626" s="18" t="s">
        <v>6876</v>
      </c>
      <c r="C2626" s="18" t="s">
        <v>6744</v>
      </c>
      <c r="D2626" s="18" t="s">
        <v>6742</v>
      </c>
      <c r="E2626" s="18" t="s">
        <v>5621</v>
      </c>
      <c r="F2626" s="18" t="s">
        <v>5622</v>
      </c>
      <c r="G2626" s="18" t="s">
        <v>12</v>
      </c>
      <c r="H2626" s="18" t="s">
        <v>6284</v>
      </c>
      <c r="I2626" s="18"/>
      <c r="J2626" s="18" t="s">
        <v>119</v>
      </c>
      <c r="K2626" s="18"/>
      <c r="L2626" s="9" t="s">
        <v>120</v>
      </c>
      <c r="M2626" s="18" t="s">
        <v>5623</v>
      </c>
      <c r="N2626" s="18"/>
      <c r="O2626" s="18" t="s">
        <v>5624</v>
      </c>
      <c r="P2626" s="18" t="str">
        <f>HYPERLINK("https://ceds.ed.gov/cedselementdetails.aspx?termid=13156")</f>
        <v>https://ceds.ed.gov/cedselementdetails.aspx?termid=13156</v>
      </c>
      <c r="Q2626" s="18" t="str">
        <f>HYPERLINK("https://ceds.ed.gov/elementComment.aspx?elementName=Staff Member Identifier &amp;elementID=13156", "Click here to submit comment")</f>
        <v>Click here to submit comment</v>
      </c>
    </row>
    <row r="2627" spans="1:17" x14ac:dyDescent="0.25">
      <c r="A2627" s="18"/>
      <c r="B2627" s="18"/>
      <c r="C2627" s="18"/>
      <c r="D2627" s="18"/>
      <c r="E2627" s="18"/>
      <c r="F2627" s="18"/>
      <c r="G2627" s="18"/>
      <c r="H2627" s="18"/>
      <c r="I2627" s="18"/>
      <c r="J2627" s="18"/>
      <c r="K2627" s="18"/>
      <c r="L2627" s="9"/>
      <c r="M2627" s="18"/>
      <c r="N2627" s="18"/>
      <c r="O2627" s="18"/>
      <c r="P2627" s="18"/>
      <c r="Q2627" s="18"/>
    </row>
    <row r="2628" spans="1:17" ht="90" x14ac:dyDescent="0.25">
      <c r="A2628" s="18"/>
      <c r="B2628" s="18"/>
      <c r="C2628" s="18"/>
      <c r="D2628" s="18"/>
      <c r="E2628" s="18"/>
      <c r="F2628" s="18"/>
      <c r="G2628" s="18"/>
      <c r="H2628" s="18"/>
      <c r="I2628" s="18"/>
      <c r="J2628" s="18"/>
      <c r="K2628" s="18"/>
      <c r="L2628" s="9" t="s">
        <v>121</v>
      </c>
      <c r="M2628" s="18"/>
      <c r="N2628" s="18"/>
      <c r="O2628" s="18"/>
      <c r="P2628" s="18"/>
      <c r="Q2628" s="18"/>
    </row>
    <row r="2629" spans="1:17" ht="345" x14ac:dyDescent="0.25">
      <c r="A2629" s="9" t="s">
        <v>6860</v>
      </c>
      <c r="B2629" s="9" t="s">
        <v>6876</v>
      </c>
      <c r="C2629" s="9" t="s">
        <v>6744</v>
      </c>
      <c r="D2629" s="9" t="s">
        <v>6742</v>
      </c>
      <c r="E2629" s="9" t="s">
        <v>5617</v>
      </c>
      <c r="F2629" s="9" t="s">
        <v>5618</v>
      </c>
      <c r="G2629" s="10" t="s">
        <v>6700</v>
      </c>
      <c r="H2629" s="9" t="s">
        <v>6283</v>
      </c>
      <c r="I2629" s="9"/>
      <c r="J2629" s="9"/>
      <c r="K2629" s="9"/>
      <c r="L2629" s="9"/>
      <c r="M2629" s="9" t="s">
        <v>5619</v>
      </c>
      <c r="N2629" s="9"/>
      <c r="O2629" s="9" t="s">
        <v>5620</v>
      </c>
      <c r="P2629" s="9" t="str">
        <f>HYPERLINK("https://ceds.ed.gov/cedselementdetails.aspx?termid=13162")</f>
        <v>https://ceds.ed.gov/cedselementdetails.aspx?termid=13162</v>
      </c>
      <c r="Q2629" s="9" t="str">
        <f>HYPERLINK("https://ceds.ed.gov/elementComment.aspx?elementName=Staff Member Identification System &amp;elementID=13162", "Click here to submit comment")</f>
        <v>Click here to submit comment</v>
      </c>
    </row>
    <row r="2630" spans="1:17" ht="255" x14ac:dyDescent="0.25">
      <c r="A2630" s="9" t="s">
        <v>6860</v>
      </c>
      <c r="B2630" s="9" t="s">
        <v>6876</v>
      </c>
      <c r="C2630" s="9" t="s">
        <v>6744</v>
      </c>
      <c r="D2630" s="9" t="s">
        <v>6742</v>
      </c>
      <c r="E2630" s="9" t="s">
        <v>4606</v>
      </c>
      <c r="F2630" s="9" t="s">
        <v>4607</v>
      </c>
      <c r="G2630" s="10" t="s">
        <v>6637</v>
      </c>
      <c r="H2630" s="9"/>
      <c r="I2630" s="9"/>
      <c r="J2630" s="9"/>
      <c r="K2630" s="9"/>
      <c r="L2630" s="9"/>
      <c r="M2630" s="9" t="s">
        <v>4608</v>
      </c>
      <c r="N2630" s="9"/>
      <c r="O2630" s="9" t="s">
        <v>4609</v>
      </c>
      <c r="P2630" s="9" t="str">
        <f>HYPERLINK("https://ceds.ed.gov/cedselementdetails.aspx?termid=13611")</f>
        <v>https://ceds.ed.gov/cedselementdetails.aspx?termid=13611</v>
      </c>
      <c r="Q2630" s="9" t="str">
        <f>HYPERLINK("https://ceds.ed.gov/elementComment.aspx?elementName=Personal Information Verification &amp;elementID=13611", "Click here to submit comment")</f>
        <v>Click here to submit comment</v>
      </c>
    </row>
    <row r="2631" spans="1:17" ht="105" x14ac:dyDescent="0.25">
      <c r="A2631" s="9" t="s">
        <v>6860</v>
      </c>
      <c r="B2631" s="9" t="s">
        <v>6876</v>
      </c>
      <c r="C2631" s="9" t="s">
        <v>6745</v>
      </c>
      <c r="D2631" s="9" t="s">
        <v>6742</v>
      </c>
      <c r="E2631" s="9" t="s">
        <v>178</v>
      </c>
      <c r="F2631" s="9" t="s">
        <v>179</v>
      </c>
      <c r="G2631" s="10" t="s">
        <v>6321</v>
      </c>
      <c r="H2631" s="9" t="s">
        <v>182</v>
      </c>
      <c r="I2631" s="9"/>
      <c r="J2631" s="9" t="s">
        <v>87</v>
      </c>
      <c r="K2631" s="9"/>
      <c r="L2631" s="9"/>
      <c r="M2631" s="9" t="s">
        <v>180</v>
      </c>
      <c r="N2631" s="9"/>
      <c r="O2631" s="9" t="s">
        <v>181</v>
      </c>
      <c r="P2631" s="9" t="str">
        <f>HYPERLINK("https://ceds.ed.gov/cedselementdetails.aspx?termid=13698")</f>
        <v>https://ceds.ed.gov/cedselementdetails.aspx?termid=13698</v>
      </c>
      <c r="Q2631" s="9" t="str">
        <f>HYPERLINK("https://ceds.ed.gov/elementComment.aspx?elementName=Address Type for Staff &amp;elementID=13698", "Click here to submit comment")</f>
        <v>Click here to submit comment</v>
      </c>
    </row>
    <row r="2632" spans="1:17" ht="225" x14ac:dyDescent="0.25">
      <c r="A2632" s="9" t="s">
        <v>6860</v>
      </c>
      <c r="B2632" s="9" t="s">
        <v>6876</v>
      </c>
      <c r="C2632" s="9" t="s">
        <v>6745</v>
      </c>
      <c r="D2632" s="9" t="s">
        <v>6742</v>
      </c>
      <c r="E2632" s="9" t="s">
        <v>166</v>
      </c>
      <c r="F2632" s="9" t="s">
        <v>167</v>
      </c>
      <c r="G2632" s="9" t="s">
        <v>12</v>
      </c>
      <c r="H2632" s="9" t="s">
        <v>6113</v>
      </c>
      <c r="I2632" s="9"/>
      <c r="J2632" s="9" t="s">
        <v>119</v>
      </c>
      <c r="K2632" s="9"/>
      <c r="L2632" s="9"/>
      <c r="M2632" s="9" t="s">
        <v>168</v>
      </c>
      <c r="N2632" s="9"/>
      <c r="O2632" s="9" t="s">
        <v>169</v>
      </c>
      <c r="P2632" s="9" t="str">
        <f>HYPERLINK("https://ceds.ed.gov/cedselementdetails.aspx?termid=13269")</f>
        <v>https://ceds.ed.gov/cedselementdetails.aspx?termid=13269</v>
      </c>
      <c r="Q2632" s="9" t="str">
        <f>HYPERLINK("https://ceds.ed.gov/elementComment.aspx?elementName=Address Street Number and Name &amp;elementID=13269", "Click here to submit comment")</f>
        <v>Click here to submit comment</v>
      </c>
    </row>
    <row r="2633" spans="1:17" ht="225" x14ac:dyDescent="0.25">
      <c r="A2633" s="9" t="s">
        <v>6860</v>
      </c>
      <c r="B2633" s="9" t="s">
        <v>6876</v>
      </c>
      <c r="C2633" s="9" t="s">
        <v>6745</v>
      </c>
      <c r="D2633" s="9" t="s">
        <v>6742</v>
      </c>
      <c r="E2633" s="9" t="s">
        <v>149</v>
      </c>
      <c r="F2633" s="9" t="s">
        <v>150</v>
      </c>
      <c r="G2633" s="9" t="s">
        <v>12</v>
      </c>
      <c r="H2633" s="9" t="s">
        <v>6113</v>
      </c>
      <c r="I2633" s="9"/>
      <c r="J2633" s="9" t="s">
        <v>87</v>
      </c>
      <c r="K2633" s="9"/>
      <c r="L2633" s="9"/>
      <c r="M2633" s="9" t="s">
        <v>151</v>
      </c>
      <c r="N2633" s="9"/>
      <c r="O2633" s="9" t="s">
        <v>152</v>
      </c>
      <c r="P2633" s="9" t="str">
        <f>HYPERLINK("https://ceds.ed.gov/cedselementdetails.aspx?termid=13019")</f>
        <v>https://ceds.ed.gov/cedselementdetails.aspx?termid=13019</v>
      </c>
      <c r="Q2633" s="9" t="str">
        <f>HYPERLINK("https://ceds.ed.gov/elementComment.aspx?elementName=Address Apartment Room or Suite Number &amp;elementID=13019", "Click here to submit comment")</f>
        <v>Click here to submit comment</v>
      </c>
    </row>
    <row r="2634" spans="1:17" ht="225" x14ac:dyDescent="0.25">
      <c r="A2634" s="9" t="s">
        <v>6860</v>
      </c>
      <c r="B2634" s="9" t="s">
        <v>6876</v>
      </c>
      <c r="C2634" s="9" t="s">
        <v>6745</v>
      </c>
      <c r="D2634" s="9" t="s">
        <v>6742</v>
      </c>
      <c r="E2634" s="9" t="s">
        <v>153</v>
      </c>
      <c r="F2634" s="9" t="s">
        <v>154</v>
      </c>
      <c r="G2634" s="9" t="s">
        <v>12</v>
      </c>
      <c r="H2634" s="9" t="s">
        <v>6113</v>
      </c>
      <c r="I2634" s="9"/>
      <c r="J2634" s="9" t="s">
        <v>87</v>
      </c>
      <c r="K2634" s="9"/>
      <c r="L2634" s="9"/>
      <c r="M2634" s="9" t="s">
        <v>155</v>
      </c>
      <c r="N2634" s="9"/>
      <c r="O2634" s="9" t="s">
        <v>156</v>
      </c>
      <c r="P2634" s="9" t="str">
        <f>HYPERLINK("https://ceds.ed.gov/cedselementdetails.aspx?termid=13040")</f>
        <v>https://ceds.ed.gov/cedselementdetails.aspx?termid=13040</v>
      </c>
      <c r="Q2634" s="9" t="str">
        <f>HYPERLINK("https://ceds.ed.gov/elementComment.aspx?elementName=Address City &amp;elementID=13040", "Click here to submit comment")</f>
        <v>Click here to submit comment</v>
      </c>
    </row>
    <row r="2635" spans="1:17" ht="409.5" x14ac:dyDescent="0.25">
      <c r="A2635" s="9" t="s">
        <v>6860</v>
      </c>
      <c r="B2635" s="9" t="s">
        <v>6876</v>
      </c>
      <c r="C2635" s="9" t="s">
        <v>6745</v>
      </c>
      <c r="D2635" s="9" t="s">
        <v>6742</v>
      </c>
      <c r="E2635" s="9" t="s">
        <v>5647</v>
      </c>
      <c r="F2635" s="9" t="s">
        <v>5648</v>
      </c>
      <c r="G2635" s="10" t="s">
        <v>6702</v>
      </c>
      <c r="H2635" s="9" t="s">
        <v>6285</v>
      </c>
      <c r="I2635" s="9"/>
      <c r="J2635" s="9"/>
      <c r="K2635" s="9"/>
      <c r="L2635" s="9"/>
      <c r="M2635" s="9" t="s">
        <v>5649</v>
      </c>
      <c r="N2635" s="9"/>
      <c r="O2635" s="9" t="s">
        <v>5650</v>
      </c>
      <c r="P2635" s="9" t="str">
        <f>HYPERLINK("https://ceds.ed.gov/cedselementdetails.aspx?termid=13267")</f>
        <v>https://ceds.ed.gov/cedselementdetails.aspx?termid=13267</v>
      </c>
      <c r="Q2635" s="9" t="str">
        <f>HYPERLINK("https://ceds.ed.gov/elementComment.aspx?elementName=State Abbreviation &amp;elementID=13267", "Click here to submit comment")</f>
        <v>Click here to submit comment</v>
      </c>
    </row>
    <row r="2636" spans="1:17" ht="225" x14ac:dyDescent="0.25">
      <c r="A2636" s="9" t="s">
        <v>6860</v>
      </c>
      <c r="B2636" s="9" t="s">
        <v>6876</v>
      </c>
      <c r="C2636" s="9" t="s">
        <v>6745</v>
      </c>
      <c r="D2636" s="9" t="s">
        <v>6742</v>
      </c>
      <c r="E2636" s="9" t="s">
        <v>161</v>
      </c>
      <c r="F2636" s="9" t="s">
        <v>162</v>
      </c>
      <c r="G2636" s="9" t="s">
        <v>12</v>
      </c>
      <c r="H2636" s="9" t="s">
        <v>6113</v>
      </c>
      <c r="I2636" s="9"/>
      <c r="J2636" s="9" t="s">
        <v>163</v>
      </c>
      <c r="K2636" s="9"/>
      <c r="L2636" s="9"/>
      <c r="M2636" s="9" t="s">
        <v>164</v>
      </c>
      <c r="N2636" s="9"/>
      <c r="O2636" s="9" t="s">
        <v>165</v>
      </c>
      <c r="P2636" s="9" t="str">
        <f>HYPERLINK("https://ceds.ed.gov/cedselementdetails.aspx?termid=13214")</f>
        <v>https://ceds.ed.gov/cedselementdetails.aspx?termid=13214</v>
      </c>
      <c r="Q2636" s="9" t="str">
        <f>HYPERLINK("https://ceds.ed.gov/elementComment.aspx?elementName=Address Postal Code &amp;elementID=13214", "Click here to submit comment")</f>
        <v>Click here to submit comment</v>
      </c>
    </row>
    <row r="2637" spans="1:17" ht="225" x14ac:dyDescent="0.25">
      <c r="A2637" s="9" t="s">
        <v>6860</v>
      </c>
      <c r="B2637" s="9" t="s">
        <v>6876</v>
      </c>
      <c r="C2637" s="9" t="s">
        <v>6745</v>
      </c>
      <c r="D2637" s="9" t="s">
        <v>6742</v>
      </c>
      <c r="E2637" s="9" t="s">
        <v>157</v>
      </c>
      <c r="F2637" s="9" t="s">
        <v>158</v>
      </c>
      <c r="G2637" s="9" t="s">
        <v>12</v>
      </c>
      <c r="H2637" s="9" t="s">
        <v>6113</v>
      </c>
      <c r="I2637" s="9"/>
      <c r="J2637" s="9" t="s">
        <v>87</v>
      </c>
      <c r="K2637" s="9"/>
      <c r="L2637" s="9"/>
      <c r="M2637" s="9" t="s">
        <v>159</v>
      </c>
      <c r="N2637" s="9"/>
      <c r="O2637" s="9" t="s">
        <v>160</v>
      </c>
      <c r="P2637" s="9" t="str">
        <f>HYPERLINK("https://ceds.ed.gov/cedselementdetails.aspx?termid=13190")</f>
        <v>https://ceds.ed.gov/cedselementdetails.aspx?termid=13190</v>
      </c>
      <c r="Q2637" s="9" t="str">
        <f>HYPERLINK("https://ceds.ed.gov/elementComment.aspx?elementName=Address County Name &amp;elementID=13190", "Click here to submit comment")</f>
        <v>Click here to submit comment</v>
      </c>
    </row>
    <row r="2638" spans="1:17" ht="409.5" x14ac:dyDescent="0.25">
      <c r="A2638" s="9" t="s">
        <v>6860</v>
      </c>
      <c r="B2638" s="9" t="s">
        <v>6876</v>
      </c>
      <c r="C2638" s="9" t="s">
        <v>6745</v>
      </c>
      <c r="D2638" s="9" t="s">
        <v>6742</v>
      </c>
      <c r="E2638" s="9" t="s">
        <v>1885</v>
      </c>
      <c r="F2638" s="9" t="s">
        <v>1886</v>
      </c>
      <c r="G2638" s="10" t="s">
        <v>11839</v>
      </c>
      <c r="H2638" s="9" t="s">
        <v>6174</v>
      </c>
      <c r="I2638" s="9"/>
      <c r="J2638" s="9"/>
      <c r="K2638" s="9"/>
      <c r="L2638" s="11" t="s">
        <v>1887</v>
      </c>
      <c r="M2638" s="9" t="s">
        <v>1888</v>
      </c>
      <c r="N2638" s="9"/>
      <c r="O2638" s="9" t="s">
        <v>1889</v>
      </c>
      <c r="P2638" s="9" t="str">
        <f>HYPERLINK("https://ceds.ed.gov/cedselementdetails.aspx?termid=13050")</f>
        <v>https://ceds.ed.gov/cedselementdetails.aspx?termid=13050</v>
      </c>
      <c r="Q2638" s="9" t="str">
        <f>HYPERLINK("https://ceds.ed.gov/elementComment.aspx?elementName=Country Code &amp;elementID=13050", "Click here to submit comment")</f>
        <v>Click here to submit comment</v>
      </c>
    </row>
    <row r="2639" spans="1:17" ht="75" x14ac:dyDescent="0.25">
      <c r="A2639" s="9" t="s">
        <v>6860</v>
      </c>
      <c r="B2639" s="9" t="s">
        <v>6876</v>
      </c>
      <c r="C2639" s="9" t="s">
        <v>6745</v>
      </c>
      <c r="D2639" s="9" t="s">
        <v>6742</v>
      </c>
      <c r="E2639" s="9" t="s">
        <v>3606</v>
      </c>
      <c r="F2639" s="9" t="s">
        <v>3607</v>
      </c>
      <c r="G2639" s="9" t="s">
        <v>12</v>
      </c>
      <c r="H2639" s="9"/>
      <c r="I2639" s="9"/>
      <c r="J2639" s="9" t="s">
        <v>1165</v>
      </c>
      <c r="K2639" s="9"/>
      <c r="L2639" s="9"/>
      <c r="M2639" s="9" t="s">
        <v>3608</v>
      </c>
      <c r="N2639" s="9"/>
      <c r="O2639" s="9" t="s">
        <v>3606</v>
      </c>
      <c r="P2639" s="9" t="str">
        <f>HYPERLINK("https://ceds.ed.gov/cedselementdetails.aspx?termid=13599")</f>
        <v>https://ceds.ed.gov/cedselementdetails.aspx?termid=13599</v>
      </c>
      <c r="Q2639" s="9" t="str">
        <f>HYPERLINK("https://ceds.ed.gov/elementComment.aspx?elementName=Latitude &amp;elementID=13599", "Click here to submit comment")</f>
        <v>Click here to submit comment</v>
      </c>
    </row>
    <row r="2640" spans="1:17" ht="75" x14ac:dyDescent="0.25">
      <c r="A2640" s="9" t="s">
        <v>6860</v>
      </c>
      <c r="B2640" s="9" t="s">
        <v>6876</v>
      </c>
      <c r="C2640" s="9" t="s">
        <v>6745</v>
      </c>
      <c r="D2640" s="9" t="s">
        <v>6742</v>
      </c>
      <c r="E2640" s="9" t="s">
        <v>4139</v>
      </c>
      <c r="F2640" s="9" t="s">
        <v>4140</v>
      </c>
      <c r="G2640" s="9" t="s">
        <v>12</v>
      </c>
      <c r="H2640" s="9"/>
      <c r="I2640" s="9"/>
      <c r="J2640" s="9" t="s">
        <v>1165</v>
      </c>
      <c r="K2640" s="9"/>
      <c r="L2640" s="9"/>
      <c r="M2640" s="9" t="s">
        <v>4141</v>
      </c>
      <c r="N2640" s="9"/>
      <c r="O2640" s="9" t="s">
        <v>4139</v>
      </c>
      <c r="P2640" s="9" t="str">
        <f>HYPERLINK("https://ceds.ed.gov/cedselementdetails.aspx?termid=13600")</f>
        <v>https://ceds.ed.gov/cedselementdetails.aspx?termid=13600</v>
      </c>
      <c r="Q2640" s="9" t="str">
        <f>HYPERLINK("https://ceds.ed.gov/elementComment.aspx?elementName=Longitude &amp;elementID=13600", "Click here to submit comment")</f>
        <v>Click here to submit comment</v>
      </c>
    </row>
    <row r="2641" spans="1:17" ht="240" x14ac:dyDescent="0.25">
      <c r="A2641" s="9" t="s">
        <v>6860</v>
      </c>
      <c r="B2641" s="9" t="s">
        <v>6876</v>
      </c>
      <c r="C2641" s="9" t="s">
        <v>6748</v>
      </c>
      <c r="D2641" s="9" t="s">
        <v>6742</v>
      </c>
      <c r="E2641" s="9" t="s">
        <v>1530</v>
      </c>
      <c r="F2641" s="9" t="s">
        <v>1531</v>
      </c>
      <c r="G2641" s="9" t="s">
        <v>12</v>
      </c>
      <c r="H2641" s="9" t="s">
        <v>6151</v>
      </c>
      <c r="I2641" s="9"/>
      <c r="J2641" s="9" t="s">
        <v>73</v>
      </c>
      <c r="K2641" s="9"/>
      <c r="L2641" s="9"/>
      <c r="M2641" s="9" t="s">
        <v>1532</v>
      </c>
      <c r="N2641" s="9"/>
      <c r="O2641" s="9" t="s">
        <v>1530</v>
      </c>
      <c r="P2641" s="9" t="str">
        <f>HYPERLINK("https://ceds.ed.gov/cedselementdetails.aspx?termid=13033")</f>
        <v>https://ceds.ed.gov/cedselementdetails.aspx?termid=13033</v>
      </c>
      <c r="Q2641" s="9" t="str">
        <f>HYPERLINK("https://ceds.ed.gov/elementComment.aspx?elementName=Birthdate &amp;elementID=13033", "Click here to submit comment")</f>
        <v>Click here to submit comment</v>
      </c>
    </row>
    <row r="2642" spans="1:17" ht="255" x14ac:dyDescent="0.25">
      <c r="A2642" s="9" t="s">
        <v>6860</v>
      </c>
      <c r="B2642" s="9" t="s">
        <v>6876</v>
      </c>
      <c r="C2642" s="9" t="s">
        <v>6748</v>
      </c>
      <c r="D2642" s="9" t="s">
        <v>6742</v>
      </c>
      <c r="E2642" s="9" t="s">
        <v>5468</v>
      </c>
      <c r="F2642" s="9" t="s">
        <v>5469</v>
      </c>
      <c r="G2642" s="10" t="s">
        <v>6694</v>
      </c>
      <c r="H2642" s="9" t="s">
        <v>6277</v>
      </c>
      <c r="I2642" s="9"/>
      <c r="J2642" s="9"/>
      <c r="K2642" s="9"/>
      <c r="L2642" s="9" t="s">
        <v>5470</v>
      </c>
      <c r="M2642" s="9" t="s">
        <v>5471</v>
      </c>
      <c r="N2642" s="9"/>
      <c r="O2642" s="9" t="s">
        <v>5468</v>
      </c>
      <c r="P2642" s="9" t="str">
        <f>HYPERLINK("https://ceds.ed.gov/cedselementdetails.aspx?termid=13255")</f>
        <v>https://ceds.ed.gov/cedselementdetails.aspx?termid=13255</v>
      </c>
      <c r="Q2642" s="9" t="str">
        <f>HYPERLINK("https://ceds.ed.gov/elementComment.aspx?elementName=Sex &amp;elementID=13255", "Click here to submit comment")</f>
        <v>Click here to submit comment</v>
      </c>
    </row>
    <row r="2643" spans="1:17" ht="165" customHeight="1" x14ac:dyDescent="0.25">
      <c r="A2643" s="18" t="s">
        <v>6860</v>
      </c>
      <c r="B2643" s="18" t="s">
        <v>6876</v>
      </c>
      <c r="C2643" s="18" t="s">
        <v>6748</v>
      </c>
      <c r="D2643" s="18" t="s">
        <v>6742</v>
      </c>
      <c r="E2643" s="18" t="s">
        <v>334</v>
      </c>
      <c r="F2643" s="18" t="s">
        <v>335</v>
      </c>
      <c r="G2643" s="19" t="s">
        <v>6342</v>
      </c>
      <c r="H2643" s="18" t="s">
        <v>6121</v>
      </c>
      <c r="I2643" s="18"/>
      <c r="J2643" s="18"/>
      <c r="K2643" s="18"/>
      <c r="L2643" s="9" t="s">
        <v>336</v>
      </c>
      <c r="M2643" s="18" t="s">
        <v>340</v>
      </c>
      <c r="N2643" s="18"/>
      <c r="O2643" s="18" t="s">
        <v>341</v>
      </c>
      <c r="P2643" s="18" t="str">
        <f>HYPERLINK("https://ceds.ed.gov/cedselementdetails.aspx?termid=13655")</f>
        <v>https://ceds.ed.gov/cedselementdetails.aspx?termid=13655</v>
      </c>
      <c r="Q2643" s="18" t="str">
        <f>HYPERLINK("https://ceds.ed.gov/elementComment.aspx?elementName=American Indian or Alaska Native &amp;elementID=13655", "Click here to submit comment")</f>
        <v>Click here to submit comment</v>
      </c>
    </row>
    <row r="2644" spans="1:17" x14ac:dyDescent="0.25">
      <c r="A2644" s="18"/>
      <c r="B2644" s="18"/>
      <c r="C2644" s="18"/>
      <c r="D2644" s="18"/>
      <c r="E2644" s="18"/>
      <c r="F2644" s="18"/>
      <c r="G2644" s="18"/>
      <c r="H2644" s="18"/>
      <c r="I2644" s="18"/>
      <c r="J2644" s="18"/>
      <c r="K2644" s="18"/>
      <c r="L2644" s="9"/>
      <c r="M2644" s="18"/>
      <c r="N2644" s="18"/>
      <c r="O2644" s="18"/>
      <c r="P2644" s="18"/>
      <c r="Q2644" s="18"/>
    </row>
    <row r="2645" spans="1:17" x14ac:dyDescent="0.25">
      <c r="A2645" s="18"/>
      <c r="B2645" s="18"/>
      <c r="C2645" s="18"/>
      <c r="D2645" s="18"/>
      <c r="E2645" s="18"/>
      <c r="F2645" s="18"/>
      <c r="G2645" s="18"/>
      <c r="H2645" s="18"/>
      <c r="I2645" s="18"/>
      <c r="J2645" s="18"/>
      <c r="K2645" s="18"/>
      <c r="L2645" s="9" t="s">
        <v>337</v>
      </c>
      <c r="M2645" s="18"/>
      <c r="N2645" s="18"/>
      <c r="O2645" s="18"/>
      <c r="P2645" s="18"/>
      <c r="Q2645" s="18"/>
    </row>
    <row r="2646" spans="1:17" ht="30" x14ac:dyDescent="0.25">
      <c r="A2646" s="18"/>
      <c r="B2646" s="18"/>
      <c r="C2646" s="18"/>
      <c r="D2646" s="18"/>
      <c r="E2646" s="18"/>
      <c r="F2646" s="18"/>
      <c r="G2646" s="18"/>
      <c r="H2646" s="18"/>
      <c r="I2646" s="18"/>
      <c r="J2646" s="18"/>
      <c r="K2646" s="18"/>
      <c r="L2646" s="9" t="s">
        <v>338</v>
      </c>
      <c r="M2646" s="18"/>
      <c r="N2646" s="18"/>
      <c r="O2646" s="18"/>
      <c r="P2646" s="18"/>
      <c r="Q2646" s="18"/>
    </row>
    <row r="2647" spans="1:17" x14ac:dyDescent="0.25">
      <c r="A2647" s="18"/>
      <c r="B2647" s="18"/>
      <c r="C2647" s="18"/>
      <c r="D2647" s="18"/>
      <c r="E2647" s="18"/>
      <c r="F2647" s="18"/>
      <c r="G2647" s="18"/>
      <c r="H2647" s="18"/>
      <c r="I2647" s="18"/>
      <c r="J2647" s="18"/>
      <c r="K2647" s="18"/>
      <c r="L2647" s="9" t="s">
        <v>339</v>
      </c>
      <c r="M2647" s="18"/>
      <c r="N2647" s="18"/>
      <c r="O2647" s="18"/>
      <c r="P2647" s="18"/>
      <c r="Q2647" s="18"/>
    </row>
    <row r="2648" spans="1:17" ht="165" customHeight="1" x14ac:dyDescent="0.25">
      <c r="A2648" s="18" t="s">
        <v>6860</v>
      </c>
      <c r="B2648" s="18" t="s">
        <v>6876</v>
      </c>
      <c r="C2648" s="18" t="s">
        <v>6748</v>
      </c>
      <c r="D2648" s="18" t="s">
        <v>6742</v>
      </c>
      <c r="E2648" s="18" t="s">
        <v>376</v>
      </c>
      <c r="F2648" s="18" t="s">
        <v>377</v>
      </c>
      <c r="G2648" s="19" t="s">
        <v>6342</v>
      </c>
      <c r="H2648" s="18" t="s">
        <v>6121</v>
      </c>
      <c r="I2648" s="18"/>
      <c r="J2648" s="18"/>
      <c r="K2648" s="18"/>
      <c r="L2648" s="9" t="s">
        <v>336</v>
      </c>
      <c r="M2648" s="18" t="s">
        <v>378</v>
      </c>
      <c r="N2648" s="18"/>
      <c r="O2648" s="18" t="s">
        <v>376</v>
      </c>
      <c r="P2648" s="18" t="str">
        <f>HYPERLINK("https://ceds.ed.gov/cedselementdetails.aspx?termid=13656")</f>
        <v>https://ceds.ed.gov/cedselementdetails.aspx?termid=13656</v>
      </c>
      <c r="Q2648" s="18" t="str">
        <f>HYPERLINK("https://ceds.ed.gov/elementComment.aspx?elementName=Asian &amp;elementID=13656", "Click here to submit comment")</f>
        <v>Click here to submit comment</v>
      </c>
    </row>
    <row r="2649" spans="1:17" x14ac:dyDescent="0.25">
      <c r="A2649" s="18"/>
      <c r="B2649" s="18"/>
      <c r="C2649" s="18"/>
      <c r="D2649" s="18"/>
      <c r="E2649" s="18"/>
      <c r="F2649" s="18"/>
      <c r="G2649" s="18"/>
      <c r="H2649" s="18"/>
      <c r="I2649" s="18"/>
      <c r="J2649" s="18"/>
      <c r="K2649" s="18"/>
      <c r="L2649" s="9"/>
      <c r="M2649" s="18"/>
      <c r="N2649" s="18"/>
      <c r="O2649" s="18"/>
      <c r="P2649" s="18"/>
      <c r="Q2649" s="18"/>
    </row>
    <row r="2650" spans="1:17" x14ac:dyDescent="0.25">
      <c r="A2650" s="18"/>
      <c r="B2650" s="18"/>
      <c r="C2650" s="18"/>
      <c r="D2650" s="18"/>
      <c r="E2650" s="18"/>
      <c r="F2650" s="18"/>
      <c r="G2650" s="18"/>
      <c r="H2650" s="18"/>
      <c r="I2650" s="18"/>
      <c r="J2650" s="18"/>
      <c r="K2650" s="18"/>
      <c r="L2650" s="9" t="s">
        <v>337</v>
      </c>
      <c r="M2650" s="18"/>
      <c r="N2650" s="18"/>
      <c r="O2650" s="18"/>
      <c r="P2650" s="18"/>
      <c r="Q2650" s="18"/>
    </row>
    <row r="2651" spans="1:17" ht="30" x14ac:dyDescent="0.25">
      <c r="A2651" s="18"/>
      <c r="B2651" s="18"/>
      <c r="C2651" s="18"/>
      <c r="D2651" s="18"/>
      <c r="E2651" s="18"/>
      <c r="F2651" s="18"/>
      <c r="G2651" s="18"/>
      <c r="H2651" s="18"/>
      <c r="I2651" s="18"/>
      <c r="J2651" s="18"/>
      <c r="K2651" s="18"/>
      <c r="L2651" s="9" t="s">
        <v>338</v>
      </c>
      <c r="M2651" s="18"/>
      <c r="N2651" s="18"/>
      <c r="O2651" s="18"/>
      <c r="P2651" s="18"/>
      <c r="Q2651" s="18"/>
    </row>
    <row r="2652" spans="1:17" x14ac:dyDescent="0.25">
      <c r="A2652" s="18"/>
      <c r="B2652" s="18"/>
      <c r="C2652" s="18"/>
      <c r="D2652" s="18"/>
      <c r="E2652" s="18"/>
      <c r="F2652" s="18"/>
      <c r="G2652" s="18"/>
      <c r="H2652" s="18"/>
      <c r="I2652" s="18"/>
      <c r="J2652" s="18"/>
      <c r="K2652" s="18"/>
      <c r="L2652" s="9" t="s">
        <v>339</v>
      </c>
      <c r="M2652" s="18"/>
      <c r="N2652" s="18"/>
      <c r="O2652" s="18"/>
      <c r="P2652" s="18"/>
      <c r="Q2652" s="18"/>
    </row>
    <row r="2653" spans="1:17" ht="165" customHeight="1" x14ac:dyDescent="0.25">
      <c r="A2653" s="18" t="s">
        <v>6860</v>
      </c>
      <c r="B2653" s="18" t="s">
        <v>6876</v>
      </c>
      <c r="C2653" s="18" t="s">
        <v>6748</v>
      </c>
      <c r="D2653" s="18" t="s">
        <v>6742</v>
      </c>
      <c r="E2653" s="18" t="s">
        <v>1538</v>
      </c>
      <c r="F2653" s="18" t="s">
        <v>1539</v>
      </c>
      <c r="G2653" s="19" t="s">
        <v>6342</v>
      </c>
      <c r="H2653" s="18" t="s">
        <v>6121</v>
      </c>
      <c r="I2653" s="18"/>
      <c r="J2653" s="18"/>
      <c r="K2653" s="18"/>
      <c r="L2653" s="9" t="s">
        <v>336</v>
      </c>
      <c r="M2653" s="18" t="s">
        <v>1540</v>
      </c>
      <c r="N2653" s="18"/>
      <c r="O2653" s="18" t="s">
        <v>1541</v>
      </c>
      <c r="P2653" s="18" t="str">
        <f>HYPERLINK("https://ceds.ed.gov/cedselementdetails.aspx?termid=13657")</f>
        <v>https://ceds.ed.gov/cedselementdetails.aspx?termid=13657</v>
      </c>
      <c r="Q2653" s="18" t="str">
        <f>HYPERLINK("https://ceds.ed.gov/elementComment.aspx?elementName=Black or African American &amp;elementID=13657", "Click here to submit comment")</f>
        <v>Click here to submit comment</v>
      </c>
    </row>
    <row r="2654" spans="1:17" x14ac:dyDescent="0.25">
      <c r="A2654" s="18"/>
      <c r="B2654" s="18"/>
      <c r="C2654" s="18"/>
      <c r="D2654" s="18"/>
      <c r="E2654" s="18"/>
      <c r="F2654" s="18"/>
      <c r="G2654" s="18"/>
      <c r="H2654" s="18"/>
      <c r="I2654" s="18"/>
      <c r="J2654" s="18"/>
      <c r="K2654" s="18"/>
      <c r="L2654" s="9"/>
      <c r="M2654" s="18"/>
      <c r="N2654" s="18"/>
      <c r="O2654" s="18"/>
      <c r="P2654" s="18"/>
      <c r="Q2654" s="18"/>
    </row>
    <row r="2655" spans="1:17" x14ac:dyDescent="0.25">
      <c r="A2655" s="18"/>
      <c r="B2655" s="18"/>
      <c r="C2655" s="18"/>
      <c r="D2655" s="18"/>
      <c r="E2655" s="18"/>
      <c r="F2655" s="18"/>
      <c r="G2655" s="18"/>
      <c r="H2655" s="18"/>
      <c r="I2655" s="18"/>
      <c r="J2655" s="18"/>
      <c r="K2655" s="18"/>
      <c r="L2655" s="9" t="s">
        <v>337</v>
      </c>
      <c r="M2655" s="18"/>
      <c r="N2655" s="18"/>
      <c r="O2655" s="18"/>
      <c r="P2655" s="18"/>
      <c r="Q2655" s="18"/>
    </row>
    <row r="2656" spans="1:17" ht="30" x14ac:dyDescent="0.25">
      <c r="A2656" s="18"/>
      <c r="B2656" s="18"/>
      <c r="C2656" s="18"/>
      <c r="D2656" s="18"/>
      <c r="E2656" s="18"/>
      <c r="F2656" s="18"/>
      <c r="G2656" s="18"/>
      <c r="H2656" s="18"/>
      <c r="I2656" s="18"/>
      <c r="J2656" s="18"/>
      <c r="K2656" s="18"/>
      <c r="L2656" s="9" t="s">
        <v>338</v>
      </c>
      <c r="M2656" s="18"/>
      <c r="N2656" s="18"/>
      <c r="O2656" s="18"/>
      <c r="P2656" s="18"/>
      <c r="Q2656" s="18"/>
    </row>
    <row r="2657" spans="1:17" x14ac:dyDescent="0.25">
      <c r="A2657" s="18"/>
      <c r="B2657" s="18"/>
      <c r="C2657" s="18"/>
      <c r="D2657" s="18"/>
      <c r="E2657" s="18"/>
      <c r="F2657" s="18"/>
      <c r="G2657" s="18"/>
      <c r="H2657" s="18"/>
      <c r="I2657" s="18"/>
      <c r="J2657" s="18"/>
      <c r="K2657" s="18"/>
      <c r="L2657" s="9" t="s">
        <v>339</v>
      </c>
      <c r="M2657" s="18"/>
      <c r="N2657" s="18"/>
      <c r="O2657" s="18"/>
      <c r="P2657" s="18"/>
      <c r="Q2657" s="18"/>
    </row>
    <row r="2658" spans="1:17" ht="165" customHeight="1" x14ac:dyDescent="0.25">
      <c r="A2658" s="18" t="s">
        <v>6860</v>
      </c>
      <c r="B2658" s="18" t="s">
        <v>6876</v>
      </c>
      <c r="C2658" s="18" t="s">
        <v>6748</v>
      </c>
      <c r="D2658" s="18" t="s">
        <v>6742</v>
      </c>
      <c r="E2658" s="18" t="s">
        <v>4314</v>
      </c>
      <c r="F2658" s="18" t="s">
        <v>4315</v>
      </c>
      <c r="G2658" s="19" t="s">
        <v>6342</v>
      </c>
      <c r="H2658" s="18" t="s">
        <v>6121</v>
      </c>
      <c r="I2658" s="18"/>
      <c r="J2658" s="18"/>
      <c r="K2658" s="18"/>
      <c r="L2658" s="9" t="s">
        <v>336</v>
      </c>
      <c r="M2658" s="18" t="s">
        <v>4316</v>
      </c>
      <c r="N2658" s="18"/>
      <c r="O2658" s="18" t="s">
        <v>4317</v>
      </c>
      <c r="P2658" s="18" t="str">
        <f>HYPERLINK("https://ceds.ed.gov/cedselementdetails.aspx?termid=13658")</f>
        <v>https://ceds.ed.gov/cedselementdetails.aspx?termid=13658</v>
      </c>
      <c r="Q2658" s="18" t="str">
        <f>HYPERLINK("https://ceds.ed.gov/elementComment.aspx?elementName=Native Hawaiian or Other Pacific Islander &amp;elementID=13658", "Click here to submit comment")</f>
        <v>Click here to submit comment</v>
      </c>
    </row>
    <row r="2659" spans="1:17" x14ac:dyDescent="0.25">
      <c r="A2659" s="18"/>
      <c r="B2659" s="18"/>
      <c r="C2659" s="18"/>
      <c r="D2659" s="18"/>
      <c r="E2659" s="18"/>
      <c r="F2659" s="18"/>
      <c r="G2659" s="18"/>
      <c r="H2659" s="18"/>
      <c r="I2659" s="18"/>
      <c r="J2659" s="18"/>
      <c r="K2659" s="18"/>
      <c r="L2659" s="9"/>
      <c r="M2659" s="18"/>
      <c r="N2659" s="18"/>
      <c r="O2659" s="18"/>
      <c r="P2659" s="18"/>
      <c r="Q2659" s="18"/>
    </row>
    <row r="2660" spans="1:17" x14ac:dyDescent="0.25">
      <c r="A2660" s="18"/>
      <c r="B2660" s="18"/>
      <c r="C2660" s="18"/>
      <c r="D2660" s="18"/>
      <c r="E2660" s="18"/>
      <c r="F2660" s="18"/>
      <c r="G2660" s="18"/>
      <c r="H2660" s="18"/>
      <c r="I2660" s="18"/>
      <c r="J2660" s="18"/>
      <c r="K2660" s="18"/>
      <c r="L2660" s="9" t="s">
        <v>337</v>
      </c>
      <c r="M2660" s="18"/>
      <c r="N2660" s="18"/>
      <c r="O2660" s="18"/>
      <c r="P2660" s="18"/>
      <c r="Q2660" s="18"/>
    </row>
    <row r="2661" spans="1:17" ht="30" x14ac:dyDescent="0.25">
      <c r="A2661" s="18"/>
      <c r="B2661" s="18"/>
      <c r="C2661" s="18"/>
      <c r="D2661" s="18"/>
      <c r="E2661" s="18"/>
      <c r="F2661" s="18"/>
      <c r="G2661" s="18"/>
      <c r="H2661" s="18"/>
      <c r="I2661" s="18"/>
      <c r="J2661" s="18"/>
      <c r="K2661" s="18"/>
      <c r="L2661" s="9" t="s">
        <v>338</v>
      </c>
      <c r="M2661" s="18"/>
      <c r="N2661" s="18"/>
      <c r="O2661" s="18"/>
      <c r="P2661" s="18"/>
      <c r="Q2661" s="18"/>
    </row>
    <row r="2662" spans="1:17" x14ac:dyDescent="0.25">
      <c r="A2662" s="18"/>
      <c r="B2662" s="18"/>
      <c r="C2662" s="18"/>
      <c r="D2662" s="18"/>
      <c r="E2662" s="18"/>
      <c r="F2662" s="18"/>
      <c r="G2662" s="18"/>
      <c r="H2662" s="18"/>
      <c r="I2662" s="18"/>
      <c r="J2662" s="18"/>
      <c r="K2662" s="18"/>
      <c r="L2662" s="9" t="s">
        <v>339</v>
      </c>
      <c r="M2662" s="18"/>
      <c r="N2662" s="18"/>
      <c r="O2662" s="18"/>
      <c r="P2662" s="18"/>
      <c r="Q2662" s="18"/>
    </row>
    <row r="2663" spans="1:17" ht="165" customHeight="1" x14ac:dyDescent="0.25">
      <c r="A2663" s="18" t="s">
        <v>6860</v>
      </c>
      <c r="B2663" s="18" t="s">
        <v>6876</v>
      </c>
      <c r="C2663" s="18" t="s">
        <v>6748</v>
      </c>
      <c r="D2663" s="18" t="s">
        <v>6742</v>
      </c>
      <c r="E2663" s="18" t="s">
        <v>6077</v>
      </c>
      <c r="F2663" s="18" t="s">
        <v>6078</v>
      </c>
      <c r="G2663" s="19" t="s">
        <v>6342</v>
      </c>
      <c r="H2663" s="18" t="s">
        <v>6121</v>
      </c>
      <c r="I2663" s="18"/>
      <c r="J2663" s="18"/>
      <c r="K2663" s="18"/>
      <c r="L2663" s="9" t="s">
        <v>336</v>
      </c>
      <c r="M2663" s="18" t="s">
        <v>6079</v>
      </c>
      <c r="N2663" s="18"/>
      <c r="O2663" s="18" t="s">
        <v>6077</v>
      </c>
      <c r="P2663" s="18" t="str">
        <f>HYPERLINK("https://ceds.ed.gov/cedselementdetails.aspx?termid=13659")</f>
        <v>https://ceds.ed.gov/cedselementdetails.aspx?termid=13659</v>
      </c>
      <c r="Q2663" s="18" t="str">
        <f>HYPERLINK("https://ceds.ed.gov/elementComment.aspx?elementName=White &amp;elementID=13659", "Click here to submit comment")</f>
        <v>Click here to submit comment</v>
      </c>
    </row>
    <row r="2664" spans="1:17" x14ac:dyDescent="0.25">
      <c r="A2664" s="18"/>
      <c r="B2664" s="18"/>
      <c r="C2664" s="18"/>
      <c r="D2664" s="18"/>
      <c r="E2664" s="18"/>
      <c r="F2664" s="18"/>
      <c r="G2664" s="18"/>
      <c r="H2664" s="18"/>
      <c r="I2664" s="18"/>
      <c r="J2664" s="18"/>
      <c r="K2664" s="18"/>
      <c r="L2664" s="9"/>
      <c r="M2664" s="18"/>
      <c r="N2664" s="18"/>
      <c r="O2664" s="18"/>
      <c r="P2664" s="18"/>
      <c r="Q2664" s="18"/>
    </row>
    <row r="2665" spans="1:17" x14ac:dyDescent="0.25">
      <c r="A2665" s="18"/>
      <c r="B2665" s="18"/>
      <c r="C2665" s="18"/>
      <c r="D2665" s="18"/>
      <c r="E2665" s="18"/>
      <c r="F2665" s="18"/>
      <c r="G2665" s="18"/>
      <c r="H2665" s="18"/>
      <c r="I2665" s="18"/>
      <c r="J2665" s="18"/>
      <c r="K2665" s="18"/>
      <c r="L2665" s="9" t="s">
        <v>337</v>
      </c>
      <c r="M2665" s="18"/>
      <c r="N2665" s="18"/>
      <c r="O2665" s="18"/>
      <c r="P2665" s="18"/>
      <c r="Q2665" s="18"/>
    </row>
    <row r="2666" spans="1:17" ht="30" x14ac:dyDescent="0.25">
      <c r="A2666" s="18"/>
      <c r="B2666" s="18"/>
      <c r="C2666" s="18"/>
      <c r="D2666" s="18"/>
      <c r="E2666" s="18"/>
      <c r="F2666" s="18"/>
      <c r="G2666" s="18"/>
      <c r="H2666" s="18"/>
      <c r="I2666" s="18"/>
      <c r="J2666" s="18"/>
      <c r="K2666" s="18"/>
      <c r="L2666" s="9" t="s">
        <v>338</v>
      </c>
      <c r="M2666" s="18"/>
      <c r="N2666" s="18"/>
      <c r="O2666" s="18"/>
      <c r="P2666" s="18"/>
      <c r="Q2666" s="18"/>
    </row>
    <row r="2667" spans="1:17" x14ac:dyDescent="0.25">
      <c r="A2667" s="18"/>
      <c r="B2667" s="18"/>
      <c r="C2667" s="18"/>
      <c r="D2667" s="18"/>
      <c r="E2667" s="18"/>
      <c r="F2667" s="18"/>
      <c r="G2667" s="18"/>
      <c r="H2667" s="18"/>
      <c r="I2667" s="18"/>
      <c r="J2667" s="18"/>
      <c r="K2667" s="18"/>
      <c r="L2667" s="9" t="s">
        <v>339</v>
      </c>
      <c r="M2667" s="18"/>
      <c r="N2667" s="18"/>
      <c r="O2667" s="18"/>
      <c r="P2667" s="18"/>
      <c r="Q2667" s="18"/>
    </row>
    <row r="2668" spans="1:17" ht="165" customHeight="1" x14ac:dyDescent="0.25">
      <c r="A2668" s="18" t="s">
        <v>6860</v>
      </c>
      <c r="B2668" s="18" t="s">
        <v>6876</v>
      </c>
      <c r="C2668" s="18" t="s">
        <v>6748</v>
      </c>
      <c r="D2668" s="18" t="s">
        <v>6742</v>
      </c>
      <c r="E2668" s="18" t="s">
        <v>3145</v>
      </c>
      <c r="F2668" s="18" t="s">
        <v>3146</v>
      </c>
      <c r="G2668" s="19" t="s">
        <v>6342</v>
      </c>
      <c r="H2668" s="18" t="s">
        <v>6121</v>
      </c>
      <c r="I2668" s="18"/>
      <c r="J2668" s="18"/>
      <c r="K2668" s="18"/>
      <c r="L2668" s="9" t="s">
        <v>336</v>
      </c>
      <c r="M2668" s="18" t="s">
        <v>3147</v>
      </c>
      <c r="N2668" s="18"/>
      <c r="O2668" s="18" t="s">
        <v>3148</v>
      </c>
      <c r="P2668" s="18" t="str">
        <f>HYPERLINK("https://ceds.ed.gov/cedselementdetails.aspx?termid=13144")</f>
        <v>https://ceds.ed.gov/cedselementdetails.aspx?termid=13144</v>
      </c>
      <c r="Q2668" s="18" t="str">
        <f>HYPERLINK("https://ceds.ed.gov/elementComment.aspx?elementName=Hispanic or Latino Ethnicity &amp;elementID=13144", "Click here to submit comment")</f>
        <v>Click here to submit comment</v>
      </c>
    </row>
    <row r="2669" spans="1:17" x14ac:dyDescent="0.25">
      <c r="A2669" s="18"/>
      <c r="B2669" s="18"/>
      <c r="C2669" s="18"/>
      <c r="D2669" s="18"/>
      <c r="E2669" s="18"/>
      <c r="F2669" s="18"/>
      <c r="G2669" s="18"/>
      <c r="H2669" s="18"/>
      <c r="I2669" s="18"/>
      <c r="J2669" s="18"/>
      <c r="K2669" s="18"/>
      <c r="L2669" s="9"/>
      <c r="M2669" s="18"/>
      <c r="N2669" s="18"/>
      <c r="O2669" s="18"/>
      <c r="P2669" s="18"/>
      <c r="Q2669" s="18"/>
    </row>
    <row r="2670" spans="1:17" x14ac:dyDescent="0.25">
      <c r="A2670" s="18"/>
      <c r="B2670" s="18"/>
      <c r="C2670" s="18"/>
      <c r="D2670" s="18"/>
      <c r="E2670" s="18"/>
      <c r="F2670" s="18"/>
      <c r="G2670" s="18"/>
      <c r="H2670" s="18"/>
      <c r="I2670" s="18"/>
      <c r="J2670" s="18"/>
      <c r="K2670" s="18"/>
      <c r="L2670" s="9" t="s">
        <v>337</v>
      </c>
      <c r="M2670" s="18"/>
      <c r="N2670" s="18"/>
      <c r="O2670" s="18"/>
      <c r="P2670" s="18"/>
      <c r="Q2670" s="18"/>
    </row>
    <row r="2671" spans="1:17" ht="30" x14ac:dyDescent="0.25">
      <c r="A2671" s="18"/>
      <c r="B2671" s="18"/>
      <c r="C2671" s="18"/>
      <c r="D2671" s="18"/>
      <c r="E2671" s="18"/>
      <c r="F2671" s="18"/>
      <c r="G2671" s="18"/>
      <c r="H2671" s="18"/>
      <c r="I2671" s="18"/>
      <c r="J2671" s="18"/>
      <c r="K2671" s="18"/>
      <c r="L2671" s="9" t="s">
        <v>338</v>
      </c>
      <c r="M2671" s="18"/>
      <c r="N2671" s="18"/>
      <c r="O2671" s="18"/>
      <c r="P2671" s="18"/>
      <c r="Q2671" s="18"/>
    </row>
    <row r="2672" spans="1:17" x14ac:dyDescent="0.25">
      <c r="A2672" s="18"/>
      <c r="B2672" s="18"/>
      <c r="C2672" s="18"/>
      <c r="D2672" s="18"/>
      <c r="E2672" s="18"/>
      <c r="F2672" s="18"/>
      <c r="G2672" s="18"/>
      <c r="H2672" s="18"/>
      <c r="I2672" s="18"/>
      <c r="J2672" s="18"/>
      <c r="K2672" s="18"/>
      <c r="L2672" s="9" t="s">
        <v>339</v>
      </c>
      <c r="M2672" s="18"/>
      <c r="N2672" s="18"/>
      <c r="O2672" s="18"/>
      <c r="P2672" s="18"/>
      <c r="Q2672" s="18"/>
    </row>
    <row r="2673" spans="1:17" ht="105" x14ac:dyDescent="0.25">
      <c r="A2673" s="9" t="s">
        <v>6860</v>
      </c>
      <c r="B2673" s="9" t="s">
        <v>6876</v>
      </c>
      <c r="C2673" s="9" t="s">
        <v>6748</v>
      </c>
      <c r="D2673" s="9" t="s">
        <v>6742</v>
      </c>
      <c r="E2673" s="9" t="s">
        <v>6016</v>
      </c>
      <c r="F2673" s="9" t="s">
        <v>6017</v>
      </c>
      <c r="G2673" s="10" t="s">
        <v>6731</v>
      </c>
      <c r="H2673" s="9" t="s">
        <v>6296</v>
      </c>
      <c r="I2673" s="9"/>
      <c r="J2673" s="9"/>
      <c r="K2673" s="9"/>
      <c r="L2673" s="9" t="s">
        <v>5470</v>
      </c>
      <c r="M2673" s="9" t="s">
        <v>6018</v>
      </c>
      <c r="N2673" s="9"/>
      <c r="O2673" s="9" t="s">
        <v>6019</v>
      </c>
      <c r="P2673" s="9" t="str">
        <f>HYPERLINK("https://ceds.ed.gov/cedselementdetails.aspx?termid=13299")</f>
        <v>https://ceds.ed.gov/cedselementdetails.aspx?termid=13299</v>
      </c>
      <c r="Q2673" s="9" t="str">
        <f>HYPERLINK("https://ceds.ed.gov/elementComment.aspx?elementName=United States Citizenship Status &amp;elementID=13299", "Click here to submit comment")</f>
        <v>Click here to submit comment</v>
      </c>
    </row>
    <row r="2674" spans="1:17" ht="210" x14ac:dyDescent="0.25">
      <c r="A2674" s="9" t="s">
        <v>6860</v>
      </c>
      <c r="B2674" s="9" t="s">
        <v>6876</v>
      </c>
      <c r="C2674" s="9" t="s">
        <v>6803</v>
      </c>
      <c r="D2674" s="9" t="s">
        <v>6742</v>
      </c>
      <c r="E2674" s="9" t="s">
        <v>3140</v>
      </c>
      <c r="F2674" s="9" t="s">
        <v>3141</v>
      </c>
      <c r="G2674" s="9" t="s">
        <v>12</v>
      </c>
      <c r="H2674" s="9" t="s">
        <v>6225</v>
      </c>
      <c r="I2674" s="9"/>
      <c r="J2674" s="9" t="s">
        <v>73</v>
      </c>
      <c r="K2674" s="9"/>
      <c r="L2674" s="9" t="s">
        <v>3142</v>
      </c>
      <c r="M2674" s="9" t="s">
        <v>3143</v>
      </c>
      <c r="N2674" s="9"/>
      <c r="O2674" s="9" t="s">
        <v>3144</v>
      </c>
      <c r="P2674" s="9" t="str">
        <f>HYPERLINK("https://ceds.ed.gov/cedselementdetails.aspx?termid=13143")</f>
        <v>https://ceds.ed.gov/cedselementdetails.aspx?termid=13143</v>
      </c>
      <c r="Q2674" s="9" t="str">
        <f>HYPERLINK("https://ceds.ed.gov/elementComment.aspx?elementName=Hire Date &amp;elementID=13143", "Click here to submit comment")</f>
        <v>Click here to submit comment</v>
      </c>
    </row>
    <row r="2675" spans="1:17" ht="60" x14ac:dyDescent="0.25">
      <c r="A2675" s="9" t="s">
        <v>6860</v>
      </c>
      <c r="B2675" s="9" t="s">
        <v>6876</v>
      </c>
      <c r="C2675" s="9" t="s">
        <v>6803</v>
      </c>
      <c r="D2675" s="9" t="s">
        <v>6742</v>
      </c>
      <c r="E2675" s="9" t="s">
        <v>2627</v>
      </c>
      <c r="F2675" s="9" t="s">
        <v>2628</v>
      </c>
      <c r="G2675" s="9" t="s">
        <v>12</v>
      </c>
      <c r="H2675" s="9" t="s">
        <v>182</v>
      </c>
      <c r="I2675" s="9"/>
      <c r="J2675" s="9" t="s">
        <v>73</v>
      </c>
      <c r="K2675" s="9"/>
      <c r="L2675" s="9"/>
      <c r="M2675" s="9" t="s">
        <v>2629</v>
      </c>
      <c r="N2675" s="9"/>
      <c r="O2675" s="9" t="s">
        <v>2630</v>
      </c>
      <c r="P2675" s="9" t="str">
        <f>HYPERLINK("https://ceds.ed.gov/cedselementdetails.aspx?termid=13794")</f>
        <v>https://ceds.ed.gov/cedselementdetails.aspx?termid=13794</v>
      </c>
      <c r="Q2675" s="9" t="str">
        <f>HYPERLINK("https://ceds.ed.gov/elementComment.aspx?elementName=Employment End Date &amp;elementID=13794", "Click here to submit comment")</f>
        <v>Click here to submit comment</v>
      </c>
    </row>
    <row r="2676" spans="1:17" ht="60" x14ac:dyDescent="0.25">
      <c r="A2676" s="9" t="s">
        <v>6860</v>
      </c>
      <c r="B2676" s="9" t="s">
        <v>6876</v>
      </c>
      <c r="C2676" s="9" t="s">
        <v>6803</v>
      </c>
      <c r="D2676" s="9" t="s">
        <v>6742</v>
      </c>
      <c r="E2676" s="9" t="s">
        <v>2662</v>
      </c>
      <c r="F2676" s="9" t="s">
        <v>2663</v>
      </c>
      <c r="G2676" s="9" t="s">
        <v>12</v>
      </c>
      <c r="H2676" s="9" t="s">
        <v>6199</v>
      </c>
      <c r="I2676" s="9"/>
      <c r="J2676" s="9" t="s">
        <v>73</v>
      </c>
      <c r="K2676" s="9"/>
      <c r="L2676" s="9"/>
      <c r="M2676" s="9" t="s">
        <v>2664</v>
      </c>
      <c r="N2676" s="9"/>
      <c r="O2676" s="9" t="s">
        <v>2665</v>
      </c>
      <c r="P2676" s="9" t="str">
        <f>HYPERLINK("https://ceds.ed.gov/cedselementdetails.aspx?termid=13345")</f>
        <v>https://ceds.ed.gov/cedselementdetails.aspx?termid=13345</v>
      </c>
      <c r="Q2676" s="9" t="str">
        <f>HYPERLINK("https://ceds.ed.gov/elementComment.aspx?elementName=Employment Start Date &amp;elementID=13345", "Click here to submit comment")</f>
        <v>Click here to submit comment</v>
      </c>
    </row>
    <row r="2677" spans="1:17" ht="180" x14ac:dyDescent="0.25">
      <c r="A2677" s="9" t="s">
        <v>6860</v>
      </c>
      <c r="B2677" s="9" t="s">
        <v>6876</v>
      </c>
      <c r="C2677" s="9" t="s">
        <v>6803</v>
      </c>
      <c r="D2677" s="9" t="s">
        <v>6742</v>
      </c>
      <c r="E2677" s="9" t="s">
        <v>2981</v>
      </c>
      <c r="F2677" s="9" t="s">
        <v>2982</v>
      </c>
      <c r="G2677" s="10" t="s">
        <v>6521</v>
      </c>
      <c r="H2677" s="9" t="s">
        <v>37</v>
      </c>
      <c r="I2677" s="9"/>
      <c r="J2677" s="9"/>
      <c r="K2677" s="9"/>
      <c r="L2677" s="9" t="s">
        <v>2983</v>
      </c>
      <c r="M2677" s="9" t="s">
        <v>2984</v>
      </c>
      <c r="N2677" s="9"/>
      <c r="O2677" s="9" t="s">
        <v>2985</v>
      </c>
      <c r="P2677" s="9" t="str">
        <f>HYPERLINK("https://ceds.ed.gov/cedselementdetails.aspx?termid=13713")</f>
        <v>https://ceds.ed.gov/cedselementdetails.aspx?termid=13713</v>
      </c>
      <c r="Q2677" s="9" t="str">
        <f>HYPERLINK("https://ceds.ed.gov/elementComment.aspx?elementName=Full-time Status &amp;elementID=13713", "Click here to submit comment")</f>
        <v>Click here to submit comment</v>
      </c>
    </row>
    <row r="2678" spans="1:17" ht="90" x14ac:dyDescent="0.25">
      <c r="A2678" s="9" t="s">
        <v>6860</v>
      </c>
      <c r="B2678" s="9" t="s">
        <v>6876</v>
      </c>
      <c r="C2678" s="9" t="s">
        <v>6803</v>
      </c>
      <c r="D2678" s="9" t="s">
        <v>6742</v>
      </c>
      <c r="E2678" s="9" t="s">
        <v>3483</v>
      </c>
      <c r="F2678" s="9" t="s">
        <v>3484</v>
      </c>
      <c r="G2678" s="10" t="s">
        <v>6563</v>
      </c>
      <c r="H2678" s="9" t="s">
        <v>37</v>
      </c>
      <c r="I2678" s="9"/>
      <c r="J2678" s="9"/>
      <c r="K2678" s="9"/>
      <c r="L2678" s="9" t="s">
        <v>3485</v>
      </c>
      <c r="M2678" s="9" t="s">
        <v>3486</v>
      </c>
      <c r="N2678" s="9"/>
      <c r="O2678" s="9" t="s">
        <v>3487</v>
      </c>
      <c r="P2678" s="9" t="str">
        <f>HYPERLINK("https://ceds.ed.gov/cedselementdetails.aspx?termid=13712")</f>
        <v>https://ceds.ed.gov/cedselementdetails.aspx?termid=13712</v>
      </c>
      <c r="Q2678" s="9" t="str">
        <f>HYPERLINK("https://ceds.ed.gov/elementComment.aspx?elementName=Instructional Staff Contract Length &amp;elementID=13712", "Click here to submit comment")</f>
        <v>Click here to submit comment</v>
      </c>
    </row>
    <row r="2679" spans="1:17" ht="90" x14ac:dyDescent="0.25">
      <c r="A2679" s="9" t="s">
        <v>6860</v>
      </c>
      <c r="B2679" s="9" t="s">
        <v>6876</v>
      </c>
      <c r="C2679" s="9" t="s">
        <v>6803</v>
      </c>
      <c r="D2679" s="9" t="s">
        <v>6742</v>
      </c>
      <c r="E2679" s="9" t="s">
        <v>3492</v>
      </c>
      <c r="F2679" s="9" t="s">
        <v>3493</v>
      </c>
      <c r="G2679" s="9" t="s">
        <v>6106</v>
      </c>
      <c r="H2679" s="9"/>
      <c r="I2679" s="9"/>
      <c r="J2679" s="9"/>
      <c r="K2679" s="9"/>
      <c r="L2679" s="9" t="s">
        <v>2759</v>
      </c>
      <c r="M2679" s="9" t="s">
        <v>3494</v>
      </c>
      <c r="N2679" s="9"/>
      <c r="O2679" s="9" t="s">
        <v>3495</v>
      </c>
      <c r="P2679" s="9" t="str">
        <f>HYPERLINK("https://ceds.ed.gov/cedselementdetails.aspx?termid=13709")</f>
        <v>https://ceds.ed.gov/cedselementdetails.aspx?termid=13709</v>
      </c>
      <c r="Q2679" s="9" t="str">
        <f>HYPERLINK("https://ceds.ed.gov/elementComment.aspx?elementName=Instructional Staff Status &amp;elementID=13709", "Click here to submit comment")</f>
        <v>Click here to submit comment</v>
      </c>
    </row>
    <row r="2680" spans="1:17" ht="405" x14ac:dyDescent="0.25">
      <c r="A2680" s="9" t="s">
        <v>6860</v>
      </c>
      <c r="B2680" s="9" t="s">
        <v>6876</v>
      </c>
      <c r="C2680" s="9" t="s">
        <v>6803</v>
      </c>
      <c r="D2680" s="9" t="s">
        <v>6742</v>
      </c>
      <c r="E2680" s="9" t="s">
        <v>2757</v>
      </c>
      <c r="F2680" s="9" t="s">
        <v>2758</v>
      </c>
      <c r="G2680" s="9" t="s">
        <v>6106</v>
      </c>
      <c r="H2680" s="9" t="s">
        <v>37</v>
      </c>
      <c r="I2680" s="9"/>
      <c r="J2680" s="9"/>
      <c r="K2680" s="9"/>
      <c r="L2680" s="9" t="s">
        <v>2759</v>
      </c>
      <c r="M2680" s="9" t="s">
        <v>2760</v>
      </c>
      <c r="N2680" s="9"/>
      <c r="O2680" s="9" t="s">
        <v>2761</v>
      </c>
      <c r="P2680" s="9" t="str">
        <f>HYPERLINK("https://ceds.ed.gov/cedselementdetails.aspx?termid=13711")</f>
        <v>https://ceds.ed.gov/cedselementdetails.aspx?termid=13711</v>
      </c>
      <c r="Q2680" s="9" t="str">
        <f>HYPERLINK("https://ceds.ed.gov/elementComment.aspx?elementName=Faculty Status &amp;elementID=13711", "Click here to submit comment")</f>
        <v>Click here to submit comment</v>
      </c>
    </row>
    <row r="2681" spans="1:17" ht="105" x14ac:dyDescent="0.25">
      <c r="A2681" s="9" t="s">
        <v>6860</v>
      </c>
      <c r="B2681" s="9" t="s">
        <v>6876</v>
      </c>
      <c r="C2681" s="9" t="s">
        <v>6803</v>
      </c>
      <c r="D2681" s="9" t="s">
        <v>6742</v>
      </c>
      <c r="E2681" s="9" t="s">
        <v>3488</v>
      </c>
      <c r="F2681" s="9" t="s">
        <v>3489</v>
      </c>
      <c r="G2681" s="10" t="s">
        <v>6564</v>
      </c>
      <c r="H2681" s="9" t="s">
        <v>37</v>
      </c>
      <c r="I2681" s="9"/>
      <c r="J2681" s="9"/>
      <c r="K2681" s="9"/>
      <c r="L2681" s="9" t="s">
        <v>1861</v>
      </c>
      <c r="M2681" s="9" t="s">
        <v>3490</v>
      </c>
      <c r="N2681" s="9"/>
      <c r="O2681" s="9" t="s">
        <v>3491</v>
      </c>
      <c r="P2681" s="9" t="str">
        <f>HYPERLINK("https://ceds.ed.gov/cedselementdetails.aspx?termid=13716")</f>
        <v>https://ceds.ed.gov/cedselementdetails.aspx?termid=13716</v>
      </c>
      <c r="Q2681" s="9" t="str">
        <f>HYPERLINK("https://ceds.ed.gov/elementComment.aspx?elementName=Instructional Staff Faculty Tenure Status &amp;elementID=13716", "Click here to submit comment")</f>
        <v>Click here to submit comment</v>
      </c>
    </row>
    <row r="2682" spans="1:17" ht="180" x14ac:dyDescent="0.25">
      <c r="A2682" s="9" t="s">
        <v>6860</v>
      </c>
      <c r="B2682" s="9" t="s">
        <v>6876</v>
      </c>
      <c r="C2682" s="9" t="s">
        <v>6803</v>
      </c>
      <c r="D2682" s="9" t="s">
        <v>6742</v>
      </c>
      <c r="E2682" s="9" t="s">
        <v>4162</v>
      </c>
      <c r="F2682" s="9" t="s">
        <v>4163</v>
      </c>
      <c r="G2682" s="9" t="s">
        <v>6106</v>
      </c>
      <c r="H2682" s="9" t="s">
        <v>37</v>
      </c>
      <c r="I2682" s="9"/>
      <c r="J2682" s="9"/>
      <c r="K2682" s="9"/>
      <c r="L2682" s="9" t="s">
        <v>2759</v>
      </c>
      <c r="M2682" s="9" t="s">
        <v>4164</v>
      </c>
      <c r="N2682" s="9"/>
      <c r="O2682" s="9" t="s">
        <v>4165</v>
      </c>
      <c r="P2682" s="9" t="str">
        <f>HYPERLINK("https://ceds.ed.gov/cedselementdetails.aspx?termid=13710")</f>
        <v>https://ceds.ed.gov/cedselementdetails.aspx?termid=13710</v>
      </c>
      <c r="Q2682" s="9" t="str">
        <f>HYPERLINK("https://ceds.ed.gov/elementComment.aspx?elementName=Medical School Staff Status &amp;elementID=13710", "Click here to submit comment")</f>
        <v>Click here to submit comment</v>
      </c>
    </row>
    <row r="2683" spans="1:17" ht="150" x14ac:dyDescent="0.25">
      <c r="A2683" s="9" t="s">
        <v>6860</v>
      </c>
      <c r="B2683" s="9" t="s">
        <v>6876</v>
      </c>
      <c r="C2683" s="9" t="s">
        <v>6803</v>
      </c>
      <c r="D2683" s="9" t="s">
        <v>6742</v>
      </c>
      <c r="E2683" s="9" t="s">
        <v>3060</v>
      </c>
      <c r="F2683" s="9" t="s">
        <v>3061</v>
      </c>
      <c r="G2683" s="9" t="s">
        <v>6106</v>
      </c>
      <c r="H2683" s="9" t="s">
        <v>37</v>
      </c>
      <c r="I2683" s="9"/>
      <c r="J2683" s="9"/>
      <c r="K2683" s="9"/>
      <c r="L2683" s="9" t="s">
        <v>344</v>
      </c>
      <c r="M2683" s="9" t="s">
        <v>3062</v>
      </c>
      <c r="N2683" s="9"/>
      <c r="O2683" s="9" t="s">
        <v>3063</v>
      </c>
      <c r="P2683" s="9" t="str">
        <f>HYPERLINK("https://ceds.ed.gov/cedselementdetails.aspx?termid=13720")</f>
        <v>https://ceds.ed.gov/cedselementdetails.aspx?termid=13720</v>
      </c>
      <c r="Q2683" s="9" t="str">
        <f>HYPERLINK("https://ceds.ed.gov/elementComment.aspx?elementName=Graduate Assistant Status &amp;elementID=13720", "Click here to submit comment")</f>
        <v>Click here to submit comment</v>
      </c>
    </row>
    <row r="2684" spans="1:17" ht="75" x14ac:dyDescent="0.25">
      <c r="A2684" s="9" t="s">
        <v>6860</v>
      </c>
      <c r="B2684" s="9" t="s">
        <v>6876</v>
      </c>
      <c r="C2684" s="9" t="s">
        <v>6803</v>
      </c>
      <c r="D2684" s="9" t="s">
        <v>6742</v>
      </c>
      <c r="E2684" s="9" t="s">
        <v>1859</v>
      </c>
      <c r="F2684" s="9" t="s">
        <v>1860</v>
      </c>
      <c r="G2684" s="10" t="s">
        <v>6414</v>
      </c>
      <c r="H2684" s="9" t="s">
        <v>37</v>
      </c>
      <c r="I2684" s="9"/>
      <c r="J2684" s="9"/>
      <c r="K2684" s="9"/>
      <c r="L2684" s="9" t="s">
        <v>1861</v>
      </c>
      <c r="M2684" s="9" t="s">
        <v>1862</v>
      </c>
      <c r="N2684" s="9"/>
      <c r="O2684" s="9" t="s">
        <v>1863</v>
      </c>
      <c r="P2684" s="9" t="str">
        <f>HYPERLINK("https://ceds.ed.gov/cedselementdetails.aspx?termid=13714")</f>
        <v>https://ceds.ed.gov/cedselementdetails.aspx?termid=13714</v>
      </c>
      <c r="Q2684" s="9" t="str">
        <f>HYPERLINK("https://ceds.ed.gov/elementComment.aspx?elementName=Contract Type &amp;elementID=13714", "Click here to submit comment")</f>
        <v>Click here to submit comment</v>
      </c>
    </row>
    <row r="2685" spans="1:17" ht="135" x14ac:dyDescent="0.25">
      <c r="A2685" s="9" t="s">
        <v>6860</v>
      </c>
      <c r="B2685" s="9" t="s">
        <v>6876</v>
      </c>
      <c r="C2685" s="9" t="s">
        <v>6803</v>
      </c>
      <c r="D2685" s="9" t="s">
        <v>6742</v>
      </c>
      <c r="E2685" s="9" t="s">
        <v>31</v>
      </c>
      <c r="F2685" s="9" t="s">
        <v>32</v>
      </c>
      <c r="G2685" s="10" t="s">
        <v>6313</v>
      </c>
      <c r="H2685" s="9" t="s">
        <v>37</v>
      </c>
      <c r="I2685" s="9"/>
      <c r="J2685" s="9"/>
      <c r="K2685" s="9"/>
      <c r="L2685" s="9" t="s">
        <v>34</v>
      </c>
      <c r="M2685" s="9" t="s">
        <v>35</v>
      </c>
      <c r="N2685" s="9"/>
      <c r="O2685" s="9" t="s">
        <v>36</v>
      </c>
      <c r="P2685" s="9" t="str">
        <f>HYPERLINK("https://ceds.ed.gov/cedselementdetails.aspx?termid=13717")</f>
        <v>https://ceds.ed.gov/cedselementdetails.aspx?termid=13717</v>
      </c>
      <c r="Q2685" s="9" t="str">
        <f>HYPERLINK("https://ceds.ed.gov/elementComment.aspx?elementName=Academic Rank &amp;elementID=13717", "Click here to submit comment")</f>
        <v>Click here to submit comment</v>
      </c>
    </row>
    <row r="2686" spans="1:17" ht="120" x14ac:dyDescent="0.25">
      <c r="A2686" s="9" t="s">
        <v>6860</v>
      </c>
      <c r="B2686" s="9" t="s">
        <v>6876</v>
      </c>
      <c r="C2686" s="9" t="s">
        <v>6803</v>
      </c>
      <c r="D2686" s="9" t="s">
        <v>6742</v>
      </c>
      <c r="E2686" s="9" t="s">
        <v>5633</v>
      </c>
      <c r="F2686" s="9" t="s">
        <v>5634</v>
      </c>
      <c r="G2686" s="9" t="s">
        <v>12</v>
      </c>
      <c r="H2686" s="9" t="s">
        <v>37</v>
      </c>
      <c r="I2686" s="9"/>
      <c r="J2686" s="9" t="s">
        <v>5635</v>
      </c>
      <c r="K2686" s="9"/>
      <c r="L2686" s="9"/>
      <c r="M2686" s="9" t="s">
        <v>5636</v>
      </c>
      <c r="N2686" s="9"/>
      <c r="O2686" s="9" t="s">
        <v>5637</v>
      </c>
      <c r="P2686" s="9" t="str">
        <f>HYPERLINK("https://ceds.ed.gov/cedselementdetails.aspx?termid=13707")</f>
        <v>https://ceds.ed.gov/cedselementdetails.aspx?termid=13707</v>
      </c>
      <c r="Q2686" s="9" t="str">
        <f>HYPERLINK("https://ceds.ed.gov/elementComment.aspx?elementName=Standard Occupational Classification &amp;elementID=13707", "Click here to submit comment")</f>
        <v>Click here to submit comment</v>
      </c>
    </row>
    <row r="2687" spans="1:17" ht="390" x14ac:dyDescent="0.25">
      <c r="A2687" s="9" t="s">
        <v>6860</v>
      </c>
      <c r="B2687" s="9" t="s">
        <v>6876</v>
      </c>
      <c r="C2687" s="9" t="s">
        <v>6803</v>
      </c>
      <c r="D2687" s="9" t="s">
        <v>6742</v>
      </c>
      <c r="E2687" s="9" t="s">
        <v>3540</v>
      </c>
      <c r="F2687" s="9" t="s">
        <v>3541</v>
      </c>
      <c r="G2687" s="10" t="s">
        <v>6567</v>
      </c>
      <c r="H2687" s="9" t="s">
        <v>37</v>
      </c>
      <c r="I2687" s="9"/>
      <c r="J2687" s="9"/>
      <c r="K2687" s="9"/>
      <c r="L2687" s="9" t="s">
        <v>3542</v>
      </c>
      <c r="M2687" s="9" t="s">
        <v>3543</v>
      </c>
      <c r="N2687" s="9"/>
      <c r="O2687" s="9" t="s">
        <v>3544</v>
      </c>
      <c r="P2687" s="9" t="str">
        <f>HYPERLINK("https://ceds.ed.gov/cedselementdetails.aspx?termid=13708")</f>
        <v>https://ceds.ed.gov/cedselementdetails.aspx?termid=13708</v>
      </c>
      <c r="Q2687" s="9" t="str">
        <f>HYPERLINK("https://ceds.ed.gov/elementComment.aspx?elementName=IPEDS Occupational Category &amp;elementID=13708", "Click here to submit comment")</f>
        <v>Click here to submit comment</v>
      </c>
    </row>
    <row r="2688" spans="1:17" ht="195" x14ac:dyDescent="0.25">
      <c r="A2688" s="9" t="s">
        <v>6860</v>
      </c>
      <c r="B2688" s="9" t="s">
        <v>6876</v>
      </c>
      <c r="C2688" s="9" t="s">
        <v>6803</v>
      </c>
      <c r="D2688" s="9" t="s">
        <v>6742</v>
      </c>
      <c r="E2688" s="9" t="s">
        <v>3056</v>
      </c>
      <c r="F2688" s="9" t="s">
        <v>3057</v>
      </c>
      <c r="G2688" s="10" t="s">
        <v>6527</v>
      </c>
      <c r="H2688" s="9" t="s">
        <v>37</v>
      </c>
      <c r="I2688" s="9"/>
      <c r="J2688" s="9"/>
      <c r="K2688" s="9"/>
      <c r="L2688" s="9" t="s">
        <v>1861</v>
      </c>
      <c r="M2688" s="9" t="s">
        <v>3058</v>
      </c>
      <c r="N2688" s="9"/>
      <c r="O2688" s="9" t="s">
        <v>3059</v>
      </c>
      <c r="P2688" s="9" t="str">
        <f>HYPERLINK("https://ceds.ed.gov/cedselementdetails.aspx?termid=13721")</f>
        <v>https://ceds.ed.gov/cedselementdetails.aspx?termid=13721</v>
      </c>
      <c r="Q2688" s="9" t="str">
        <f>HYPERLINK("https://ceds.ed.gov/elementComment.aspx?elementName=Graduate Assistant IPEDS Occupation Category &amp;elementID=13721", "Click here to submit comment")</f>
        <v>Click here to submit comment</v>
      </c>
    </row>
    <row r="2689" spans="1:17" ht="120" x14ac:dyDescent="0.25">
      <c r="A2689" s="9" t="s">
        <v>6860</v>
      </c>
      <c r="B2689" s="9" t="s">
        <v>6876</v>
      </c>
      <c r="C2689" s="9" t="s">
        <v>6803</v>
      </c>
      <c r="D2689" s="9" t="s">
        <v>6742</v>
      </c>
      <c r="E2689" s="9" t="s">
        <v>3453</v>
      </c>
      <c r="F2689" s="9" t="s">
        <v>3454</v>
      </c>
      <c r="G2689" s="10" t="s">
        <v>6561</v>
      </c>
      <c r="H2689" s="9" t="s">
        <v>37</v>
      </c>
      <c r="I2689" s="9"/>
      <c r="J2689" s="9"/>
      <c r="K2689" s="9"/>
      <c r="L2689" s="9" t="s">
        <v>3455</v>
      </c>
      <c r="M2689" s="9" t="s">
        <v>3456</v>
      </c>
      <c r="N2689" s="9"/>
      <c r="O2689" s="9" t="s">
        <v>3457</v>
      </c>
      <c r="P2689" s="9" t="str">
        <f>HYPERLINK("https://ceds.ed.gov/cedselementdetails.aspx?termid=13719")</f>
        <v>https://ceds.ed.gov/cedselementdetails.aspx?termid=13719</v>
      </c>
      <c r="Q2689" s="9" t="str">
        <f>HYPERLINK("https://ceds.ed.gov/elementComment.aspx?elementName=Instruction Credit Type &amp;elementID=13719", "Click here to submit comment")</f>
        <v>Click here to submit comment</v>
      </c>
    </row>
    <row r="2690" spans="1:17" ht="45" x14ac:dyDescent="0.25">
      <c r="A2690" s="9" t="s">
        <v>6860</v>
      </c>
      <c r="B2690" s="9" t="s">
        <v>6876</v>
      </c>
      <c r="C2690" s="9" t="s">
        <v>6803</v>
      </c>
      <c r="D2690" s="9" t="s">
        <v>6742</v>
      </c>
      <c r="E2690" s="9" t="s">
        <v>342</v>
      </c>
      <c r="F2690" s="9" t="s">
        <v>343</v>
      </c>
      <c r="G2690" s="9" t="s">
        <v>12</v>
      </c>
      <c r="H2690" s="9" t="s">
        <v>37</v>
      </c>
      <c r="I2690" s="9"/>
      <c r="J2690" s="9" t="s">
        <v>10489</v>
      </c>
      <c r="K2690" s="9"/>
      <c r="L2690" s="9" t="s">
        <v>344</v>
      </c>
      <c r="M2690" s="9" t="s">
        <v>345</v>
      </c>
      <c r="N2690" s="9"/>
      <c r="O2690" s="9" t="s">
        <v>346</v>
      </c>
      <c r="P2690" s="9" t="str">
        <f>HYPERLINK("https://ceds.ed.gov/cedselementdetails.aspx?termid=13722")</f>
        <v>https://ceds.ed.gov/cedselementdetails.aspx?termid=13722</v>
      </c>
      <c r="Q2690" s="9" t="str">
        <f>HYPERLINK("https://ceds.ed.gov/elementComment.aspx?elementName=Annual Base Contractual Salary &amp;elementID=13722", "Click here to submit comment")</f>
        <v>Click here to submit comment</v>
      </c>
    </row>
    <row r="2691" spans="1:17" ht="75" x14ac:dyDescent="0.25">
      <c r="A2691" s="9" t="s">
        <v>6860</v>
      </c>
      <c r="B2691" s="9" t="s">
        <v>6876</v>
      </c>
      <c r="C2691" s="9" t="s">
        <v>6804</v>
      </c>
      <c r="D2691" s="9" t="s">
        <v>6742</v>
      </c>
      <c r="E2691" s="9" t="s">
        <v>1612</v>
      </c>
      <c r="F2691" s="9" t="s">
        <v>1613</v>
      </c>
      <c r="G2691" s="9" t="s">
        <v>6106</v>
      </c>
      <c r="H2691" s="9"/>
      <c r="I2691" s="9"/>
      <c r="J2691" s="9"/>
      <c r="K2691" s="9"/>
      <c r="L2691" s="9"/>
      <c r="M2691" s="9" t="s">
        <v>1614</v>
      </c>
      <c r="N2691" s="9" t="s">
        <v>1615</v>
      </c>
      <c r="O2691" s="9" t="s">
        <v>1616</v>
      </c>
      <c r="P2691" s="9" t="str">
        <f>HYPERLINK("https://ceds.ed.gov/cedselementdetails.aspx?termid=14284")</f>
        <v>https://ceds.ed.gov/cedselementdetails.aspx?termid=14284</v>
      </c>
      <c r="Q2691" s="9" t="str">
        <f>HYPERLINK("https://ceds.ed.gov/elementComment.aspx?elementName=Career and Technical Education Instructor Industry Certification &amp;elementID=14284", "Click here to submit comment")</f>
        <v>Click here to submit comment</v>
      </c>
    </row>
    <row r="2692" spans="1:17" ht="90" x14ac:dyDescent="0.25">
      <c r="A2692" s="9" t="s">
        <v>6860</v>
      </c>
      <c r="B2692" s="9" t="s">
        <v>6876</v>
      </c>
      <c r="C2692" s="9" t="s">
        <v>6804</v>
      </c>
      <c r="D2692" s="9" t="s">
        <v>6742</v>
      </c>
      <c r="E2692" s="9" t="s">
        <v>2111</v>
      </c>
      <c r="F2692" s="9" t="s">
        <v>2112</v>
      </c>
      <c r="G2692" s="10" t="s">
        <v>6436</v>
      </c>
      <c r="H2692" s="9"/>
      <c r="I2692" s="9"/>
      <c r="J2692" s="9"/>
      <c r="K2692" s="9"/>
      <c r="L2692" s="9"/>
      <c r="M2692" s="9" t="s">
        <v>2113</v>
      </c>
      <c r="N2692" s="9"/>
      <c r="O2692" s="9" t="s">
        <v>2114</v>
      </c>
      <c r="P2692" s="9" t="str">
        <f>HYPERLINK("https://ceds.ed.gov/cedselementdetails.aspx?termid=13071")</f>
        <v>https://ceds.ed.gov/cedselementdetails.aspx?termid=13071</v>
      </c>
      <c r="Q2692" s="9" t="str">
        <f>HYPERLINK("https://ceds.ed.gov/elementComment.aspx?elementName=Credential Type &amp;elementID=13071", "Click here to submit comment")</f>
        <v>Click here to submit comment</v>
      </c>
    </row>
    <row r="2693" spans="1:17" ht="75" x14ac:dyDescent="0.25">
      <c r="A2693" s="9" t="s">
        <v>6860</v>
      </c>
      <c r="B2693" s="9" t="s">
        <v>6847</v>
      </c>
      <c r="C2693" s="9"/>
      <c r="D2693" s="9" t="s">
        <v>6742</v>
      </c>
      <c r="E2693" s="9" t="s">
        <v>2074</v>
      </c>
      <c r="F2693" s="9" t="s">
        <v>2075</v>
      </c>
      <c r="G2693" s="9" t="s">
        <v>12</v>
      </c>
      <c r="H2693" s="9"/>
      <c r="I2693" s="9"/>
      <c r="J2693" s="9" t="s">
        <v>87</v>
      </c>
      <c r="K2693" s="9"/>
      <c r="L2693" s="9"/>
      <c r="M2693" s="9" t="s">
        <v>2076</v>
      </c>
      <c r="N2693" s="9"/>
      <c r="O2693" s="9" t="s">
        <v>2077</v>
      </c>
      <c r="P2693" s="9" t="str">
        <f>HYPERLINK("https://ceds.ed.gov/cedselementdetails.aspx?termid=14281")</f>
        <v>https://ceds.ed.gov/cedselementdetails.aspx?termid=14281</v>
      </c>
      <c r="Q2693" s="9" t="str">
        <f>HYPERLINK("https://ceds.ed.gov/elementComment.aspx?elementName=Course Section Number &amp;elementID=14281", "Click here to submit comment")</f>
        <v>Click here to submit comment</v>
      </c>
    </row>
    <row r="2694" spans="1:17" ht="90" x14ac:dyDescent="0.25">
      <c r="A2694" s="9" t="s">
        <v>6860</v>
      </c>
      <c r="B2694" s="9" t="s">
        <v>6847</v>
      </c>
      <c r="C2694" s="9"/>
      <c r="D2694" s="9" t="s">
        <v>6742</v>
      </c>
      <c r="E2694" s="9" t="s">
        <v>2015</v>
      </c>
      <c r="F2694" s="9" t="s">
        <v>2016</v>
      </c>
      <c r="G2694" s="9" t="s">
        <v>12</v>
      </c>
      <c r="H2694" s="9"/>
      <c r="I2694" s="9"/>
      <c r="J2694" s="9" t="s">
        <v>87</v>
      </c>
      <c r="K2694" s="9"/>
      <c r="L2694" s="9"/>
      <c r="M2694" s="9" t="s">
        <v>2017</v>
      </c>
      <c r="N2694" s="9"/>
      <c r="O2694" s="9" t="s">
        <v>2018</v>
      </c>
      <c r="P2694" s="9" t="str">
        <f>HYPERLINK("https://ceds.ed.gov/cedselementdetails.aspx?termid=14280")</f>
        <v>https://ceds.ed.gov/cedselementdetails.aspx?termid=14280</v>
      </c>
      <c r="Q2694" s="9" t="str">
        <f>HYPERLINK("https://ceds.ed.gov/elementComment.aspx?elementName=Course Number &amp;elementID=14280", "Click here to submit comment")</f>
        <v>Click here to submit comment</v>
      </c>
    </row>
    <row r="2695" spans="1:17" ht="45" x14ac:dyDescent="0.25">
      <c r="A2695" s="9" t="s">
        <v>6860</v>
      </c>
      <c r="B2695" s="9" t="s">
        <v>6847</v>
      </c>
      <c r="C2695" s="9"/>
      <c r="D2695" s="9" t="s">
        <v>6742</v>
      </c>
      <c r="E2695" s="9" t="s">
        <v>4513</v>
      </c>
      <c r="F2695" s="9" t="s">
        <v>4514</v>
      </c>
      <c r="G2695" s="9" t="s">
        <v>12</v>
      </c>
      <c r="H2695" s="9"/>
      <c r="I2695" s="9"/>
      <c r="J2695" s="9" t="s">
        <v>87</v>
      </c>
      <c r="K2695" s="9"/>
      <c r="L2695" s="9"/>
      <c r="M2695" s="9" t="s">
        <v>4515</v>
      </c>
      <c r="N2695" s="9"/>
      <c r="O2695" s="9" t="s">
        <v>4516</v>
      </c>
      <c r="P2695" s="9" t="str">
        <f>HYPERLINK("https://ceds.ed.gov/cedselementdetails.aspx?termid=14391")</f>
        <v>https://ceds.ed.gov/cedselementdetails.aspx?termid=14391</v>
      </c>
      <c r="Q2695" s="9" t="str">
        <f>HYPERLINK("https://ceds.ed.gov/elementComment.aspx?elementName=Override School Course Number &amp;elementID=14391", "Click here to submit comment")</f>
        <v>Click here to submit comment</v>
      </c>
    </row>
    <row r="2696" spans="1:17" ht="105" x14ac:dyDescent="0.25">
      <c r="A2696" s="18" t="s">
        <v>6860</v>
      </c>
      <c r="B2696" s="18" t="s">
        <v>6847</v>
      </c>
      <c r="C2696" s="18"/>
      <c r="D2696" s="18" t="s">
        <v>6742</v>
      </c>
      <c r="E2696" s="18" t="s">
        <v>4477</v>
      </c>
      <c r="F2696" s="18" t="s">
        <v>4478</v>
      </c>
      <c r="G2696" s="18" t="s">
        <v>12</v>
      </c>
      <c r="H2696" s="18"/>
      <c r="I2696" s="18"/>
      <c r="J2696" s="18" t="s">
        <v>119</v>
      </c>
      <c r="K2696" s="18"/>
      <c r="L2696" s="9" t="s">
        <v>120</v>
      </c>
      <c r="M2696" s="18" t="s">
        <v>4479</v>
      </c>
      <c r="N2696" s="18"/>
      <c r="O2696" s="18" t="s">
        <v>4480</v>
      </c>
      <c r="P2696" s="18" t="str">
        <f>HYPERLINK("https://ceds.ed.gov/cedselementdetails.aspx?termid=14389")</f>
        <v>https://ceds.ed.gov/cedselementdetails.aspx?termid=14389</v>
      </c>
      <c r="Q2696" s="18" t="str">
        <f>HYPERLINK("https://ceds.ed.gov/elementComment.aspx?elementName=Original Course Identifier &amp;elementID=14389", "Click here to submit comment")</f>
        <v>Click here to submit comment</v>
      </c>
    </row>
    <row r="2697" spans="1:17" x14ac:dyDescent="0.25">
      <c r="A2697" s="18"/>
      <c r="B2697" s="18"/>
      <c r="C2697" s="18"/>
      <c r="D2697" s="18"/>
      <c r="E2697" s="18"/>
      <c r="F2697" s="18"/>
      <c r="G2697" s="18"/>
      <c r="H2697" s="18"/>
      <c r="I2697" s="18"/>
      <c r="J2697" s="18"/>
      <c r="K2697" s="18"/>
      <c r="L2697" s="9"/>
      <c r="M2697" s="18"/>
      <c r="N2697" s="18"/>
      <c r="O2697" s="18"/>
      <c r="P2697" s="18"/>
      <c r="Q2697" s="18"/>
    </row>
    <row r="2698" spans="1:17" ht="90" x14ac:dyDescent="0.25">
      <c r="A2698" s="18"/>
      <c r="B2698" s="18"/>
      <c r="C2698" s="18"/>
      <c r="D2698" s="18"/>
      <c r="E2698" s="18"/>
      <c r="F2698" s="18"/>
      <c r="G2698" s="18"/>
      <c r="H2698" s="18"/>
      <c r="I2698" s="18"/>
      <c r="J2698" s="18"/>
      <c r="K2698" s="18"/>
      <c r="L2698" s="9" t="s">
        <v>121</v>
      </c>
      <c r="M2698" s="18"/>
      <c r="N2698" s="18"/>
      <c r="O2698" s="18"/>
      <c r="P2698" s="18"/>
      <c r="Q2698" s="18"/>
    </row>
    <row r="2699" spans="1:17" ht="409.5" x14ac:dyDescent="0.25">
      <c r="A2699" s="9" t="s">
        <v>6860</v>
      </c>
      <c r="B2699" s="9" t="s">
        <v>6847</v>
      </c>
      <c r="C2699" s="9"/>
      <c r="D2699" s="9" t="s">
        <v>6742</v>
      </c>
      <c r="E2699" s="9" t="s">
        <v>281</v>
      </c>
      <c r="F2699" s="9" t="s">
        <v>282</v>
      </c>
      <c r="G2699" s="10" t="s">
        <v>6337</v>
      </c>
      <c r="H2699" s="9"/>
      <c r="I2699" s="9"/>
      <c r="J2699" s="9" t="s">
        <v>92</v>
      </c>
      <c r="K2699" s="9"/>
      <c r="L2699" s="9"/>
      <c r="M2699" s="9" t="s">
        <v>283</v>
      </c>
      <c r="N2699" s="9" t="s">
        <v>284</v>
      </c>
      <c r="O2699" s="9" t="s">
        <v>285</v>
      </c>
      <c r="P2699" s="9" t="str">
        <f>HYPERLINK("https://ceds.ed.gov/cedselementdetails.aspx?termid=14244")</f>
        <v>https://ceds.ed.gov/cedselementdetails.aspx?termid=14244</v>
      </c>
      <c r="Q2699" s="9" t="str">
        <f>HYPERLINK("https://ceds.ed.gov/elementComment.aspx?elementName=Advanced Placement Course Code &amp;elementID=14244", "Click here to submit comment")</f>
        <v>Click here to submit comment</v>
      </c>
    </row>
    <row r="2700" spans="1:17" ht="45" x14ac:dyDescent="0.25">
      <c r="A2700" s="9" t="s">
        <v>6860</v>
      </c>
      <c r="B2700" s="9" t="s">
        <v>6847</v>
      </c>
      <c r="C2700" s="9"/>
      <c r="D2700" s="9" t="s">
        <v>6742</v>
      </c>
      <c r="E2700" s="9" t="s">
        <v>1990</v>
      </c>
      <c r="F2700" s="9" t="s">
        <v>1991</v>
      </c>
      <c r="G2700" s="9" t="s">
        <v>12</v>
      </c>
      <c r="H2700" s="9"/>
      <c r="I2700" s="9"/>
      <c r="J2700" s="9" t="s">
        <v>92</v>
      </c>
      <c r="K2700" s="9"/>
      <c r="L2700" s="9"/>
      <c r="M2700" s="9" t="s">
        <v>1992</v>
      </c>
      <c r="N2700" s="9"/>
      <c r="O2700" s="9" t="s">
        <v>1993</v>
      </c>
      <c r="P2700" s="9" t="str">
        <f>HYPERLINK("https://ceds.ed.gov/cedselementdetails.aspx?termid=14275")</f>
        <v>https://ceds.ed.gov/cedselementdetails.aspx?termid=14275</v>
      </c>
      <c r="Q2700" s="9" t="str">
        <f>HYPERLINK("https://ceds.ed.gov/elementComment.aspx?elementName=Course Instruction Site Name &amp;elementID=14275", "Click here to submit comment")</f>
        <v>Click here to submit comment</v>
      </c>
    </row>
    <row r="2701" spans="1:17" ht="180" x14ac:dyDescent="0.25">
      <c r="A2701" s="9" t="s">
        <v>6860</v>
      </c>
      <c r="B2701" s="9" t="s">
        <v>6847</v>
      </c>
      <c r="C2701" s="9"/>
      <c r="D2701" s="9" t="s">
        <v>6742</v>
      </c>
      <c r="E2701" s="9" t="s">
        <v>1994</v>
      </c>
      <c r="F2701" s="9" t="s">
        <v>1995</v>
      </c>
      <c r="G2701" s="10" t="s">
        <v>6428</v>
      </c>
      <c r="H2701" s="9"/>
      <c r="I2701" s="9"/>
      <c r="J2701" s="9"/>
      <c r="K2701" s="9"/>
      <c r="L2701" s="9"/>
      <c r="M2701" s="9" t="s">
        <v>1996</v>
      </c>
      <c r="N2701" s="9"/>
      <c r="O2701" s="9" t="s">
        <v>1997</v>
      </c>
      <c r="P2701" s="9" t="str">
        <f>HYPERLINK("https://ceds.ed.gov/cedselementdetails.aspx?termid=14276")</f>
        <v>https://ceds.ed.gov/cedselementdetails.aspx?termid=14276</v>
      </c>
      <c r="Q2701" s="9" t="str">
        <f>HYPERLINK("https://ceds.ed.gov/elementComment.aspx?elementName=Course Instruction Site Type &amp;elementID=14276", "Click here to submit comment")</f>
        <v>Click here to submit comment</v>
      </c>
    </row>
    <row r="2702" spans="1:17" ht="45" x14ac:dyDescent="0.25">
      <c r="A2702" s="9" t="s">
        <v>6860</v>
      </c>
      <c r="B2702" s="9" t="s">
        <v>6847</v>
      </c>
      <c r="C2702" s="9"/>
      <c r="D2702" s="9" t="s">
        <v>6742</v>
      </c>
      <c r="E2702" s="9" t="s">
        <v>2070</v>
      </c>
      <c r="F2702" s="9" t="s">
        <v>2071</v>
      </c>
      <c r="G2702" s="9" t="s">
        <v>12</v>
      </c>
      <c r="H2702" s="9"/>
      <c r="I2702" s="9"/>
      <c r="J2702" s="9" t="s">
        <v>10489</v>
      </c>
      <c r="K2702" s="9"/>
      <c r="L2702" s="9"/>
      <c r="M2702" s="9" t="s">
        <v>2072</v>
      </c>
      <c r="N2702" s="9"/>
      <c r="O2702" s="9" t="s">
        <v>2073</v>
      </c>
      <c r="P2702" s="9" t="str">
        <f>HYPERLINK("https://ceds.ed.gov/cedselementdetails.aspx?termid=14636")</f>
        <v>https://ceds.ed.gov/cedselementdetails.aspx?termid=14636</v>
      </c>
      <c r="Q2702" s="9" t="str">
        <f>HYPERLINK("https://ceds.ed.gov/elementComment.aspx?elementName=Course Section Maximum Capacity &amp;elementID=14636", "Click here to submit comment")</f>
        <v>Click here to submit comment</v>
      </c>
    </row>
    <row r="2703" spans="1:17" ht="390" x14ac:dyDescent="0.25">
      <c r="A2703" s="9" t="s">
        <v>6860</v>
      </c>
      <c r="B2703" s="9" t="s">
        <v>6847</v>
      </c>
      <c r="C2703" s="9"/>
      <c r="D2703" s="9" t="s">
        <v>6742</v>
      </c>
      <c r="E2703" s="9" t="s">
        <v>2007</v>
      </c>
      <c r="F2703" s="9" t="s">
        <v>2008</v>
      </c>
      <c r="G2703" s="10" t="s">
        <v>11841</v>
      </c>
      <c r="H2703" s="9"/>
      <c r="I2703" s="9" t="s">
        <v>91</v>
      </c>
      <c r="J2703" s="9"/>
      <c r="K2703" s="9"/>
      <c r="L2703" s="9"/>
      <c r="M2703" s="9" t="s">
        <v>2009</v>
      </c>
      <c r="N2703" s="9"/>
      <c r="O2703" s="9" t="s">
        <v>2010</v>
      </c>
      <c r="P2703" s="9" t="str">
        <f>HYPERLINK("https://ceds.ed.gov/cedselementdetails.aspx?termid=14278")</f>
        <v>https://ceds.ed.gov/cedselementdetails.aspx?termid=14278</v>
      </c>
      <c r="Q2703" s="9" t="str">
        <f>HYPERLINK("https://ceds.ed.gov/elementComment.aspx?elementName=Course Level Type &amp;elementID=14278", "Click here to submit comment")</f>
        <v>Click here to submit comment</v>
      </c>
    </row>
    <row r="2704" spans="1:17" ht="45" x14ac:dyDescent="0.25">
      <c r="A2704" s="9" t="s">
        <v>6860</v>
      </c>
      <c r="B2704" s="9" t="s">
        <v>6847</v>
      </c>
      <c r="C2704" s="9"/>
      <c r="D2704" s="9" t="s">
        <v>6742</v>
      </c>
      <c r="E2704" s="9" t="s">
        <v>1978</v>
      </c>
      <c r="F2704" s="9" t="s">
        <v>1979</v>
      </c>
      <c r="G2704" s="10" t="s">
        <v>6426</v>
      </c>
      <c r="H2704" s="9"/>
      <c r="I2704" s="9"/>
      <c r="J2704" s="9"/>
      <c r="K2704" s="9"/>
      <c r="L2704" s="9"/>
      <c r="M2704" s="9" t="s">
        <v>1980</v>
      </c>
      <c r="N2704" s="9"/>
      <c r="O2704" s="9" t="s">
        <v>1981</v>
      </c>
      <c r="P2704" s="9" t="str">
        <f>HYPERLINK("https://ceds.ed.gov/cedselementdetails.aspx?termid=14273")</f>
        <v>https://ceds.ed.gov/cedselementdetails.aspx?termid=14273</v>
      </c>
      <c r="Q2704" s="9" t="str">
        <f>HYPERLINK("https://ceds.ed.gov/elementComment.aspx?elementName=Course Honors Type &amp;elementID=14273", "Click here to submit comment")</f>
        <v>Click here to submit comment</v>
      </c>
    </row>
    <row r="2705" spans="1:17" ht="409.5" x14ac:dyDescent="0.25">
      <c r="A2705" s="9" t="s">
        <v>6860</v>
      </c>
      <c r="B2705" s="9" t="s">
        <v>6847</v>
      </c>
      <c r="C2705" s="9"/>
      <c r="D2705" s="9" t="s">
        <v>6742</v>
      </c>
      <c r="E2705" s="9" t="s">
        <v>1937</v>
      </c>
      <c r="F2705" s="9" t="s">
        <v>1938</v>
      </c>
      <c r="G2705" s="10" t="s">
        <v>6422</v>
      </c>
      <c r="H2705" s="9"/>
      <c r="I2705" s="9"/>
      <c r="J2705" s="9"/>
      <c r="K2705" s="9"/>
      <c r="L2705" s="9"/>
      <c r="M2705" s="9" t="s">
        <v>1939</v>
      </c>
      <c r="N2705" s="9"/>
      <c r="O2705" s="9" t="s">
        <v>1940</v>
      </c>
      <c r="P2705" s="9" t="str">
        <f>HYPERLINK("https://ceds.ed.gov/cedselementdetails.aspx?termid=14269")</f>
        <v>https://ceds.ed.gov/cedselementdetails.aspx?termid=14269</v>
      </c>
      <c r="Q2705" s="9" t="str">
        <f>HYPERLINK("https://ceds.ed.gov/elementComment.aspx?elementName=Course Credit Basis Type &amp;elementID=14269", "Click here to submit comment")</f>
        <v>Click here to submit comment</v>
      </c>
    </row>
    <row r="2706" spans="1:17" ht="255" x14ac:dyDescent="0.25">
      <c r="A2706" s="9" t="s">
        <v>6860</v>
      </c>
      <c r="B2706" s="9" t="s">
        <v>6847</v>
      </c>
      <c r="C2706" s="9"/>
      <c r="D2706" s="9" t="s">
        <v>6742</v>
      </c>
      <c r="E2706" s="9" t="s">
        <v>1941</v>
      </c>
      <c r="F2706" s="9" t="s">
        <v>1942</v>
      </c>
      <c r="G2706" s="10" t="s">
        <v>6423</v>
      </c>
      <c r="H2706" s="9"/>
      <c r="I2706" s="9"/>
      <c r="J2706" s="9"/>
      <c r="K2706" s="9"/>
      <c r="L2706" s="9"/>
      <c r="M2706" s="9" t="s">
        <v>1943</v>
      </c>
      <c r="N2706" s="9"/>
      <c r="O2706" s="9" t="s">
        <v>1944</v>
      </c>
      <c r="P2706" s="9" t="str">
        <f>HYPERLINK("https://ceds.ed.gov/cedselementdetails.aspx?termid=14270")</f>
        <v>https://ceds.ed.gov/cedselementdetails.aspx?termid=14270</v>
      </c>
      <c r="Q2706" s="9" t="str">
        <f>HYPERLINK("https://ceds.ed.gov/elementComment.aspx?elementName=Course Credit Level Type &amp;elementID=14270", "Click here to submit comment")</f>
        <v>Click here to submit comment</v>
      </c>
    </row>
    <row r="2707" spans="1:17" ht="120" x14ac:dyDescent="0.25">
      <c r="A2707" s="9" t="s">
        <v>6860</v>
      </c>
      <c r="B2707" s="9" t="s">
        <v>6847</v>
      </c>
      <c r="C2707" s="9"/>
      <c r="D2707" s="9" t="s">
        <v>6742</v>
      </c>
      <c r="E2707" s="9" t="s">
        <v>1973</v>
      </c>
      <c r="F2707" s="9" t="s">
        <v>1974</v>
      </c>
      <c r="G2707" s="10" t="s">
        <v>6425</v>
      </c>
      <c r="H2707" s="9" t="s">
        <v>6150</v>
      </c>
      <c r="I2707" s="9"/>
      <c r="J2707" s="9"/>
      <c r="K2707" s="9"/>
      <c r="L2707" s="9"/>
      <c r="M2707" s="9" t="s">
        <v>1975</v>
      </c>
      <c r="N2707" s="9" t="s">
        <v>1976</v>
      </c>
      <c r="O2707" s="9" t="s">
        <v>1977</v>
      </c>
      <c r="P2707" s="9" t="str">
        <f>HYPERLINK("https://ceds.ed.gov/cedselementdetails.aspx?termid=13060")</f>
        <v>https://ceds.ed.gov/cedselementdetails.aspx?termid=13060</v>
      </c>
      <c r="Q2707" s="9" t="str">
        <f>HYPERLINK("https://ceds.ed.gov/elementComment.aspx?elementName=Course Grade Point Average Applicability &amp;elementID=13060", "Click here to submit comment")</f>
        <v>Click here to submit comment</v>
      </c>
    </row>
    <row r="2708" spans="1:17" ht="409.5" x14ac:dyDescent="0.25">
      <c r="A2708" s="9" t="s">
        <v>6860</v>
      </c>
      <c r="B2708" s="9" t="s">
        <v>6847</v>
      </c>
      <c r="C2708" s="9"/>
      <c r="D2708" s="9" t="s">
        <v>6742</v>
      </c>
      <c r="E2708" s="9" t="s">
        <v>1986</v>
      </c>
      <c r="F2708" s="9" t="s">
        <v>1987</v>
      </c>
      <c r="G2708" s="10" t="s">
        <v>6427</v>
      </c>
      <c r="H2708" s="9"/>
      <c r="I2708" s="9"/>
      <c r="J2708" s="9"/>
      <c r="K2708" s="9"/>
      <c r="L2708" s="9"/>
      <c r="M2708" s="9" t="s">
        <v>1988</v>
      </c>
      <c r="N2708" s="9"/>
      <c r="O2708" s="9" t="s">
        <v>1989</v>
      </c>
      <c r="P2708" s="9" t="str">
        <f>HYPERLINK("https://ceds.ed.gov/cedselementdetails.aspx?termid=14274")</f>
        <v>https://ceds.ed.gov/cedselementdetails.aspx?termid=14274</v>
      </c>
      <c r="Q2708" s="9" t="str">
        <f>HYPERLINK("https://ceds.ed.gov/elementComment.aspx?elementName=Course Instruction Method &amp;elementID=14274", "Click here to submit comment")</f>
        <v>Click here to submit comment</v>
      </c>
    </row>
    <row r="2709" spans="1:17" ht="90" x14ac:dyDescent="0.25">
      <c r="A2709" s="9" t="s">
        <v>6860</v>
      </c>
      <c r="B2709" s="9" t="s">
        <v>6847</v>
      </c>
      <c r="C2709" s="9"/>
      <c r="D2709" s="9" t="s">
        <v>6742</v>
      </c>
      <c r="E2709" s="9" t="s">
        <v>2011</v>
      </c>
      <c r="F2709" s="9" t="s">
        <v>2012</v>
      </c>
      <c r="G2709" s="9" t="s">
        <v>12</v>
      </c>
      <c r="H2709" s="9"/>
      <c r="I2709" s="9"/>
      <c r="J2709" s="9" t="s">
        <v>303</v>
      </c>
      <c r="K2709" s="9"/>
      <c r="L2709" s="9"/>
      <c r="M2709" s="9" t="s">
        <v>2013</v>
      </c>
      <c r="N2709" s="9"/>
      <c r="O2709" s="9" t="s">
        <v>2014</v>
      </c>
      <c r="P2709" s="9" t="str">
        <f>HYPERLINK("https://ceds.ed.gov/cedselementdetails.aspx?termid=14279")</f>
        <v>https://ceds.ed.gov/cedselementdetails.aspx?termid=14279</v>
      </c>
      <c r="Q2709" s="9" t="str">
        <f>HYPERLINK("https://ceds.ed.gov/elementComment.aspx?elementName=Course Narrative Explanation Grade &amp;elementID=14279", "Click here to submit comment")</f>
        <v>Click here to submit comment</v>
      </c>
    </row>
    <row r="2710" spans="1:17" ht="210" x14ac:dyDescent="0.25">
      <c r="A2710" s="9" t="s">
        <v>6860</v>
      </c>
      <c r="B2710" s="9" t="s">
        <v>6847</v>
      </c>
      <c r="C2710" s="9"/>
      <c r="D2710" s="9" t="s">
        <v>6742</v>
      </c>
      <c r="E2710" s="9" t="s">
        <v>2027</v>
      </c>
      <c r="F2710" s="9" t="s">
        <v>2028</v>
      </c>
      <c r="G2710" s="10" t="s">
        <v>6430</v>
      </c>
      <c r="H2710" s="9" t="s">
        <v>6109</v>
      </c>
      <c r="I2710" s="9"/>
      <c r="J2710" s="9"/>
      <c r="K2710" s="9"/>
      <c r="L2710" s="9"/>
      <c r="M2710" s="9" t="s">
        <v>2029</v>
      </c>
      <c r="N2710" s="9"/>
      <c r="O2710" s="9" t="s">
        <v>2030</v>
      </c>
      <c r="P2710" s="9" t="str">
        <f>HYPERLINK("https://ceds.ed.gov/cedselementdetails.aspx?termid=13065")</f>
        <v>https://ceds.ed.gov/cedselementdetails.aspx?termid=13065</v>
      </c>
      <c r="Q2710" s="9" t="str">
        <f>HYPERLINK("https://ceds.ed.gov/elementComment.aspx?elementName=Course Repeat Code &amp;elementID=13065", "Click here to submit comment")</f>
        <v>Click here to submit comment</v>
      </c>
    </row>
    <row r="2711" spans="1:17" ht="150" x14ac:dyDescent="0.25">
      <c r="A2711" s="9" t="s">
        <v>6860</v>
      </c>
      <c r="B2711" s="9" t="s">
        <v>6847</v>
      </c>
      <c r="C2711" s="9"/>
      <c r="D2711" s="9" t="s">
        <v>6742</v>
      </c>
      <c r="E2711" s="9" t="s">
        <v>1903</v>
      </c>
      <c r="F2711" s="9" t="s">
        <v>1904</v>
      </c>
      <c r="G2711" s="9" t="s">
        <v>12</v>
      </c>
      <c r="H2711" s="9"/>
      <c r="I2711" s="9"/>
      <c r="J2711" s="9" t="s">
        <v>10936</v>
      </c>
      <c r="K2711" s="9"/>
      <c r="L2711" s="9" t="s">
        <v>1905</v>
      </c>
      <c r="M2711" s="9" t="s">
        <v>1906</v>
      </c>
      <c r="N2711" s="9"/>
      <c r="O2711" s="9" t="s">
        <v>1907</v>
      </c>
      <c r="P2711" s="9" t="str">
        <f>HYPERLINK("https://ceds.ed.gov/cedselementdetails.aspx?termid=14264")</f>
        <v>https://ceds.ed.gov/cedselementdetails.aspx?termid=14264</v>
      </c>
      <c r="Q2711" s="9" t="str">
        <f>HYPERLINK("https://ceds.ed.gov/elementComment.aspx?elementName=Course Academic Grade Scale Code &amp;elementID=14264", "Click here to submit comment")</f>
        <v>Click here to submit comment</v>
      </c>
    </row>
    <row r="2712" spans="1:17" ht="165" x14ac:dyDescent="0.25">
      <c r="A2712" s="9" t="s">
        <v>6860</v>
      </c>
      <c r="B2712" s="9" t="s">
        <v>6847</v>
      </c>
      <c r="C2712" s="9"/>
      <c r="D2712" s="9" t="s">
        <v>6742</v>
      </c>
      <c r="E2712" s="9" t="s">
        <v>2251</v>
      </c>
      <c r="F2712" s="9" t="s">
        <v>2252</v>
      </c>
      <c r="G2712" s="10" t="s">
        <v>6445</v>
      </c>
      <c r="H2712" s="9" t="s">
        <v>2250</v>
      </c>
      <c r="I2712" s="9"/>
      <c r="J2712" s="9"/>
      <c r="K2712" s="9"/>
      <c r="L2712" s="9"/>
      <c r="M2712" s="9" t="s">
        <v>2253</v>
      </c>
      <c r="N2712" s="9"/>
      <c r="O2712" s="9" t="s">
        <v>2254</v>
      </c>
      <c r="P2712" s="9" t="str">
        <f>HYPERLINK("https://ceds.ed.gov/cedselementdetails.aspx?termid=14568")</f>
        <v>https://ceds.ed.gov/cedselementdetails.aspx?termid=14568</v>
      </c>
      <c r="Q2712" s="9" t="str">
        <f>HYPERLINK("https://ceds.ed.gov/elementComment.aspx?elementName=Developmental Education Type &amp;elementID=14568", "Click here to submit comment")</f>
        <v>Click here to submit comment</v>
      </c>
    </row>
    <row r="2713" spans="1:17" ht="240" x14ac:dyDescent="0.25">
      <c r="A2713" s="9" t="s">
        <v>6860</v>
      </c>
      <c r="B2713" s="9" t="s">
        <v>6847</v>
      </c>
      <c r="C2713" s="9"/>
      <c r="D2713" s="9" t="s">
        <v>6742</v>
      </c>
      <c r="E2713" s="9" t="s">
        <v>6080</v>
      </c>
      <c r="F2713" s="9" t="s">
        <v>6081</v>
      </c>
      <c r="G2713" s="10" t="s">
        <v>6737</v>
      </c>
      <c r="H2713" s="9"/>
      <c r="I2713" s="9"/>
      <c r="J2713" s="9"/>
      <c r="K2713" s="9"/>
      <c r="L2713" s="9"/>
      <c r="M2713" s="9" t="s">
        <v>6082</v>
      </c>
      <c r="N2713" s="9"/>
      <c r="O2713" s="9" t="s">
        <v>6083</v>
      </c>
      <c r="P2713" s="9" t="str">
        <f>HYPERLINK("https://ceds.ed.gov/cedselementdetails.aspx?termid=14471")</f>
        <v>https://ceds.ed.gov/cedselementdetails.aspx?termid=14471</v>
      </c>
      <c r="Q2713" s="9" t="str">
        <f>HYPERLINK("https://ceds.ed.gov/elementComment.aspx?elementName=Work-based Learning Opportunity Type &amp;elementID=14471", "Click here to submit comment")</f>
        <v>Click here to submit comment</v>
      </c>
    </row>
    <row r="2714" spans="1:17" ht="105" x14ac:dyDescent="0.25">
      <c r="A2714" s="18" t="s">
        <v>6860</v>
      </c>
      <c r="B2714" s="18" t="s">
        <v>6847</v>
      </c>
      <c r="C2714" s="18" t="s">
        <v>6848</v>
      </c>
      <c r="D2714" s="18" t="s">
        <v>6742</v>
      </c>
      <c r="E2714" s="18" t="s">
        <v>297</v>
      </c>
      <c r="F2714" s="18" t="s">
        <v>298</v>
      </c>
      <c r="G2714" s="18" t="s">
        <v>12</v>
      </c>
      <c r="H2714" s="18"/>
      <c r="I2714" s="18"/>
      <c r="J2714" s="18" t="s">
        <v>119</v>
      </c>
      <c r="K2714" s="18"/>
      <c r="L2714" s="9" t="s">
        <v>120</v>
      </c>
      <c r="M2714" s="18" t="s">
        <v>299</v>
      </c>
      <c r="N2714" s="18"/>
      <c r="O2714" s="18" t="s">
        <v>300</v>
      </c>
      <c r="P2714" s="18" t="str">
        <f>HYPERLINK("https://ceds.ed.gov/cedselementdetails.aspx?termid=14246")</f>
        <v>https://ceds.ed.gov/cedselementdetails.aspx?termid=14246</v>
      </c>
      <c r="Q2714" s="18" t="str">
        <f>HYPERLINK("https://ceds.ed.gov/elementComment.aspx?elementName=Agency Course Identifier &amp;elementID=14246", "Click here to submit comment")</f>
        <v>Click here to submit comment</v>
      </c>
    </row>
    <row r="2715" spans="1:17" x14ac:dyDescent="0.25">
      <c r="A2715" s="18"/>
      <c r="B2715" s="18"/>
      <c r="C2715" s="18"/>
      <c r="D2715" s="18"/>
      <c r="E2715" s="18"/>
      <c r="F2715" s="18"/>
      <c r="G2715" s="18"/>
      <c r="H2715" s="18"/>
      <c r="I2715" s="18"/>
      <c r="J2715" s="18"/>
      <c r="K2715" s="18"/>
      <c r="L2715" s="9"/>
      <c r="M2715" s="18"/>
      <c r="N2715" s="18"/>
      <c r="O2715" s="18"/>
      <c r="P2715" s="18"/>
      <c r="Q2715" s="18"/>
    </row>
    <row r="2716" spans="1:17" ht="90" x14ac:dyDescent="0.25">
      <c r="A2716" s="18"/>
      <c r="B2716" s="18"/>
      <c r="C2716" s="18"/>
      <c r="D2716" s="18"/>
      <c r="E2716" s="18"/>
      <c r="F2716" s="18"/>
      <c r="G2716" s="18"/>
      <c r="H2716" s="18"/>
      <c r="I2716" s="18"/>
      <c r="J2716" s="18"/>
      <c r="K2716" s="18"/>
      <c r="L2716" s="9" t="s">
        <v>121</v>
      </c>
      <c r="M2716" s="18"/>
      <c r="N2716" s="18"/>
      <c r="O2716" s="18"/>
      <c r="P2716" s="18"/>
      <c r="Q2716" s="18"/>
    </row>
    <row r="2717" spans="1:17" ht="75" x14ac:dyDescent="0.25">
      <c r="A2717" s="9" t="s">
        <v>6860</v>
      </c>
      <c r="B2717" s="9" t="s">
        <v>6847</v>
      </c>
      <c r="C2717" s="9" t="s">
        <v>6848</v>
      </c>
      <c r="D2717" s="9" t="s">
        <v>6742</v>
      </c>
      <c r="E2717" s="9" t="s">
        <v>1778</v>
      </c>
      <c r="F2717" s="9" t="s">
        <v>1779</v>
      </c>
      <c r="G2717" s="11" t="s">
        <v>1780</v>
      </c>
      <c r="H2717" s="9" t="s">
        <v>6108</v>
      </c>
      <c r="I2717" s="9"/>
      <c r="J2717" s="9"/>
      <c r="K2717" s="9"/>
      <c r="L2717" s="9"/>
      <c r="M2717" s="9" t="s">
        <v>1781</v>
      </c>
      <c r="N2717" s="9" t="s">
        <v>1782</v>
      </c>
      <c r="O2717" s="9" t="s">
        <v>1783</v>
      </c>
      <c r="P2717" s="9" t="str">
        <f>HYPERLINK("https://ceds.ed.gov/cedselementdetails.aspx?termid=13043")</f>
        <v>https://ceds.ed.gov/cedselementdetails.aspx?termid=13043</v>
      </c>
      <c r="Q2717" s="9" t="str">
        <f>HYPERLINK("https://ceds.ed.gov/elementComment.aspx?elementName=Classification of Instructional Program Code &amp;elementID=13043", "Click here to submit comment")</f>
        <v>Click here to submit comment</v>
      </c>
    </row>
    <row r="2718" spans="1:17" ht="90" x14ac:dyDescent="0.25">
      <c r="A2718" s="9" t="s">
        <v>6860</v>
      </c>
      <c r="B2718" s="9" t="s">
        <v>6847</v>
      </c>
      <c r="C2718" s="9" t="s">
        <v>6848</v>
      </c>
      <c r="D2718" s="9" t="s">
        <v>6742</v>
      </c>
      <c r="E2718" s="9" t="s">
        <v>1789</v>
      </c>
      <c r="F2718" s="9" t="s">
        <v>1790</v>
      </c>
      <c r="G2718" s="10" t="s">
        <v>6408</v>
      </c>
      <c r="H2718" s="9" t="s">
        <v>6115</v>
      </c>
      <c r="I2718" s="9"/>
      <c r="J2718" s="9"/>
      <c r="K2718" s="9"/>
      <c r="L2718" s="9"/>
      <c r="M2718" s="9" t="s">
        <v>1791</v>
      </c>
      <c r="N2718" s="9" t="s">
        <v>1792</v>
      </c>
      <c r="O2718" s="9" t="s">
        <v>1793</v>
      </c>
      <c r="P2718" s="9" t="str">
        <f>HYPERLINK("https://ceds.ed.gov/cedselementdetails.aspx?termid=13045")</f>
        <v>https://ceds.ed.gov/cedselementdetails.aspx?termid=13045</v>
      </c>
      <c r="Q2718" s="9" t="str">
        <f>HYPERLINK("https://ceds.ed.gov/elementComment.aspx?elementName=Classification of Instructional Program Version &amp;elementID=13045", "Click here to submit comment")</f>
        <v>Click here to submit comment</v>
      </c>
    </row>
    <row r="2719" spans="1:17" ht="45" x14ac:dyDescent="0.25">
      <c r="A2719" s="9" t="s">
        <v>6860</v>
      </c>
      <c r="B2719" s="9" t="s">
        <v>6847</v>
      </c>
      <c r="C2719" s="9" t="s">
        <v>6848</v>
      </c>
      <c r="D2719" s="9" t="s">
        <v>6742</v>
      </c>
      <c r="E2719" s="9" t="s">
        <v>4318</v>
      </c>
      <c r="F2719" s="9" t="s">
        <v>4319</v>
      </c>
      <c r="G2719" s="9" t="s">
        <v>4320</v>
      </c>
      <c r="H2719" s="9"/>
      <c r="I2719" s="9"/>
      <c r="J2719" s="9"/>
      <c r="K2719" s="9"/>
      <c r="L2719" s="9"/>
      <c r="M2719" s="9" t="s">
        <v>4321</v>
      </c>
      <c r="N2719" s="9"/>
      <c r="O2719" s="9" t="s">
        <v>4322</v>
      </c>
      <c r="P2719" s="9" t="str">
        <f>HYPERLINK("https://ceds.ed.gov/cedselementdetails.aspx?termid=14383")</f>
        <v>https://ceds.ed.gov/cedselementdetails.aspx?termid=14383</v>
      </c>
      <c r="Q2719" s="9" t="str">
        <f>HYPERLINK("https://ceds.ed.gov/elementComment.aspx?elementName=NCES College Course Map Code &amp;elementID=14383", "Click here to submit comment")</f>
        <v>Click here to submit comment</v>
      </c>
    </row>
    <row r="2720" spans="1:17" ht="60" x14ac:dyDescent="0.25">
      <c r="A2720" s="9" t="s">
        <v>6860</v>
      </c>
      <c r="B2720" s="9" t="s">
        <v>6847</v>
      </c>
      <c r="C2720" s="9" t="s">
        <v>6848</v>
      </c>
      <c r="D2720" s="9" t="s">
        <v>6742</v>
      </c>
      <c r="E2720" s="9" t="s">
        <v>2086</v>
      </c>
      <c r="F2720" s="9" t="s">
        <v>2087</v>
      </c>
      <c r="G2720" s="9" t="s">
        <v>12</v>
      </c>
      <c r="H2720" s="9" t="s">
        <v>25</v>
      </c>
      <c r="I2720" s="9"/>
      <c r="J2720" s="9" t="s">
        <v>2088</v>
      </c>
      <c r="K2720" s="9"/>
      <c r="L2720" s="9"/>
      <c r="M2720" s="9" t="s">
        <v>2089</v>
      </c>
      <c r="N2720" s="9"/>
      <c r="O2720" s="9" t="s">
        <v>2090</v>
      </c>
      <c r="P2720" s="9" t="str">
        <f>HYPERLINK("https://ceds.ed.gov/cedselementdetails.aspx?termid=13066")</f>
        <v>https://ceds.ed.gov/cedselementdetails.aspx?termid=13066</v>
      </c>
      <c r="Q2720" s="9" t="str">
        <f>HYPERLINK("https://ceds.ed.gov/elementComment.aspx?elementName=Course Subject Abbreviation &amp;elementID=13066", "Click here to submit comment")</f>
        <v>Click here to submit comment</v>
      </c>
    </row>
    <row r="2721" spans="1:17" ht="45" x14ac:dyDescent="0.25">
      <c r="A2721" s="9" t="s">
        <v>6860</v>
      </c>
      <c r="B2721" s="9" t="s">
        <v>6847</v>
      </c>
      <c r="C2721" s="9" t="s">
        <v>6848</v>
      </c>
      <c r="D2721" s="9" t="s">
        <v>6742</v>
      </c>
      <c r="E2721" s="9" t="s">
        <v>4628</v>
      </c>
      <c r="F2721" s="9" t="s">
        <v>4629</v>
      </c>
      <c r="G2721" s="9" t="s">
        <v>12</v>
      </c>
      <c r="H2721" s="9" t="s">
        <v>25</v>
      </c>
      <c r="I2721" s="9"/>
      <c r="J2721" s="9" t="s">
        <v>92</v>
      </c>
      <c r="K2721" s="9"/>
      <c r="L2721" s="9"/>
      <c r="M2721" s="9" t="s">
        <v>4630</v>
      </c>
      <c r="N2721" s="9"/>
      <c r="O2721" s="9" t="s">
        <v>4631</v>
      </c>
      <c r="P2721" s="9" t="str">
        <f>HYPERLINK("https://ceds.ed.gov/cedselementdetails.aspx?termid=13068")</f>
        <v>https://ceds.ed.gov/cedselementdetails.aspx?termid=13068</v>
      </c>
      <c r="Q2721" s="9" t="str">
        <f>HYPERLINK("https://ceds.ed.gov/elementComment.aspx?elementName=Postsecondary Course Title &amp;elementID=13068", "Click here to submit comment")</f>
        <v>Click here to submit comment</v>
      </c>
    </row>
    <row r="2722" spans="1:17" ht="165" x14ac:dyDescent="0.25">
      <c r="A2722" s="9" t="s">
        <v>6860</v>
      </c>
      <c r="B2722" s="9" t="s">
        <v>6847</v>
      </c>
      <c r="C2722" s="9" t="s">
        <v>6848</v>
      </c>
      <c r="D2722" s="9" t="s">
        <v>6742</v>
      </c>
      <c r="E2722" s="9" t="s">
        <v>1945</v>
      </c>
      <c r="F2722" s="9" t="s">
        <v>1946</v>
      </c>
      <c r="G2722" s="10" t="s">
        <v>6424</v>
      </c>
      <c r="H2722" s="9" t="s">
        <v>25</v>
      </c>
      <c r="I2722" s="9"/>
      <c r="J2722" s="9"/>
      <c r="K2722" s="9"/>
      <c r="L2722" s="9"/>
      <c r="M2722" s="9" t="s">
        <v>1947</v>
      </c>
      <c r="N2722" s="9"/>
      <c r="O2722" s="9" t="s">
        <v>1948</v>
      </c>
      <c r="P2722" s="9" t="str">
        <f>HYPERLINK("https://ceds.ed.gov/cedselementdetails.aspx?termid=13057")</f>
        <v>https://ceds.ed.gov/cedselementdetails.aspx?termid=13057</v>
      </c>
      <c r="Q2722" s="9" t="str">
        <f>HYPERLINK("https://ceds.ed.gov/elementComment.aspx?elementName=Course Credit Units &amp;elementID=13057", "Click here to submit comment")</f>
        <v>Click here to submit comment</v>
      </c>
    </row>
    <row r="2723" spans="1:17" ht="105" x14ac:dyDescent="0.25">
      <c r="A2723" s="9" t="s">
        <v>6860</v>
      </c>
      <c r="B2723" s="9" t="s">
        <v>6847</v>
      </c>
      <c r="C2723" s="9" t="s">
        <v>6848</v>
      </c>
      <c r="D2723" s="9" t="s">
        <v>6742</v>
      </c>
      <c r="E2723" s="9" t="s">
        <v>11092</v>
      </c>
      <c r="F2723" s="9" t="s">
        <v>11093</v>
      </c>
      <c r="G2723" s="9" t="s">
        <v>12</v>
      </c>
      <c r="H2723" s="9" t="s">
        <v>25</v>
      </c>
      <c r="I2723" s="9"/>
      <c r="J2723" s="9" t="s">
        <v>1513</v>
      </c>
      <c r="K2723" s="9"/>
      <c r="L2723" s="9" t="s">
        <v>1949</v>
      </c>
      <c r="M2723" s="9" t="s">
        <v>1950</v>
      </c>
      <c r="N2723" s="9"/>
      <c r="O2723" s="9" t="s">
        <v>11095</v>
      </c>
      <c r="P2723" s="9" t="str">
        <f>HYPERLINK("https://ceds.ed.gov/cedselementdetails.aspx?termid=13058")</f>
        <v>https://ceds.ed.gov/cedselementdetails.aspx?termid=13058</v>
      </c>
      <c r="Q2723" s="9" t="str">
        <f>HYPERLINK("https://ceds.ed.gov/elementComment.aspx?elementName=Credit Value &amp;elementID=13058", "Click here to submit comment")</f>
        <v>Click here to submit comment</v>
      </c>
    </row>
    <row r="2724" spans="1:17" ht="45" x14ac:dyDescent="0.25">
      <c r="A2724" s="9" t="s">
        <v>6860</v>
      </c>
      <c r="B2724" s="9" t="s">
        <v>6847</v>
      </c>
      <c r="C2724" s="9" t="s">
        <v>6848</v>
      </c>
      <c r="D2724" s="9" t="s">
        <v>6742</v>
      </c>
      <c r="E2724" s="9" t="s">
        <v>1925</v>
      </c>
      <c r="F2724" s="9" t="s">
        <v>1926</v>
      </c>
      <c r="G2724" s="9" t="s">
        <v>12</v>
      </c>
      <c r="H2724" s="9" t="s">
        <v>6161</v>
      </c>
      <c r="I2724" s="9"/>
      <c r="J2724" s="9" t="s">
        <v>73</v>
      </c>
      <c r="K2724" s="9"/>
      <c r="L2724" s="9"/>
      <c r="M2724" s="9" t="s">
        <v>1927</v>
      </c>
      <c r="N2724" s="9"/>
      <c r="O2724" s="9" t="s">
        <v>1928</v>
      </c>
      <c r="P2724" s="9" t="str">
        <f>HYPERLINK("https://ceds.ed.gov/cedselementdetails.aspx?termid=13054")</f>
        <v>https://ceds.ed.gov/cedselementdetails.aspx?termid=13054</v>
      </c>
      <c r="Q2724" s="9" t="str">
        <f>HYPERLINK("https://ceds.ed.gov/elementComment.aspx?elementName=Course Begin Date &amp;elementID=13054", "Click here to submit comment")</f>
        <v>Click here to submit comment</v>
      </c>
    </row>
    <row r="2725" spans="1:17" ht="45" x14ac:dyDescent="0.25">
      <c r="A2725" s="9" t="s">
        <v>6860</v>
      </c>
      <c r="B2725" s="9" t="s">
        <v>6847</v>
      </c>
      <c r="C2725" s="9" t="s">
        <v>6848</v>
      </c>
      <c r="D2725" s="9" t="s">
        <v>6742</v>
      </c>
      <c r="E2725" s="9" t="s">
        <v>1964</v>
      </c>
      <c r="F2725" s="9" t="s">
        <v>1965</v>
      </c>
      <c r="G2725" s="9" t="s">
        <v>12</v>
      </c>
      <c r="H2725" s="9" t="s">
        <v>6161</v>
      </c>
      <c r="I2725" s="9"/>
      <c r="J2725" s="9" t="s">
        <v>73</v>
      </c>
      <c r="K2725" s="9"/>
      <c r="L2725" s="9"/>
      <c r="M2725" s="9" t="s">
        <v>1966</v>
      </c>
      <c r="N2725" s="9"/>
      <c r="O2725" s="9" t="s">
        <v>1967</v>
      </c>
      <c r="P2725" s="9" t="str">
        <f>HYPERLINK("https://ceds.ed.gov/cedselementdetails.aspx?termid=13059")</f>
        <v>https://ceds.ed.gov/cedselementdetails.aspx?termid=13059</v>
      </c>
      <c r="Q2725" s="9" t="str">
        <f>HYPERLINK("https://ceds.ed.gov/elementComment.aspx?elementName=Course End Date &amp;elementID=13059", "Click here to submit comment")</f>
        <v>Click here to submit comment</v>
      </c>
    </row>
    <row r="2726" spans="1:17" ht="105" x14ac:dyDescent="0.25">
      <c r="A2726" s="18" t="s">
        <v>6860</v>
      </c>
      <c r="B2726" s="18" t="s">
        <v>6847</v>
      </c>
      <c r="C2726" s="18" t="s">
        <v>6761</v>
      </c>
      <c r="D2726" s="18" t="s">
        <v>6742</v>
      </c>
      <c r="E2726" s="18" t="s">
        <v>5732</v>
      </c>
      <c r="F2726" s="18" t="s">
        <v>5733</v>
      </c>
      <c r="G2726" s="18" t="s">
        <v>12</v>
      </c>
      <c r="H2726" s="18" t="s">
        <v>6290</v>
      </c>
      <c r="I2726" s="18"/>
      <c r="J2726" s="18" t="s">
        <v>119</v>
      </c>
      <c r="K2726" s="18"/>
      <c r="L2726" s="9" t="s">
        <v>120</v>
      </c>
      <c r="M2726" s="18" t="s">
        <v>5734</v>
      </c>
      <c r="N2726" s="18"/>
      <c r="O2726" s="18" t="s">
        <v>5735</v>
      </c>
      <c r="P2726" s="18" t="str">
        <f>HYPERLINK("https://ceds.ed.gov/cedselementdetails.aspx?termid=13157")</f>
        <v>https://ceds.ed.gov/cedselementdetails.aspx?termid=13157</v>
      </c>
      <c r="Q2726" s="18" t="str">
        <f>HYPERLINK("https://ceds.ed.gov/elementComment.aspx?elementName=Student Identifier &amp;elementID=13157", "Click here to submit comment")</f>
        <v>Click here to submit comment</v>
      </c>
    </row>
    <row r="2727" spans="1:17" x14ac:dyDescent="0.25">
      <c r="A2727" s="18"/>
      <c r="B2727" s="18"/>
      <c r="C2727" s="18"/>
      <c r="D2727" s="18"/>
      <c r="E2727" s="18"/>
      <c r="F2727" s="18"/>
      <c r="G2727" s="18"/>
      <c r="H2727" s="18"/>
      <c r="I2727" s="18"/>
      <c r="J2727" s="18"/>
      <c r="K2727" s="18"/>
      <c r="L2727" s="9"/>
      <c r="M2727" s="18"/>
      <c r="N2727" s="18"/>
      <c r="O2727" s="18"/>
      <c r="P2727" s="18"/>
      <c r="Q2727" s="18"/>
    </row>
    <row r="2728" spans="1:17" ht="90" x14ac:dyDescent="0.25">
      <c r="A2728" s="18"/>
      <c r="B2728" s="18"/>
      <c r="C2728" s="18"/>
      <c r="D2728" s="18"/>
      <c r="E2728" s="18"/>
      <c r="F2728" s="18"/>
      <c r="G2728" s="18"/>
      <c r="H2728" s="18"/>
      <c r="I2728" s="18"/>
      <c r="J2728" s="18"/>
      <c r="K2728" s="18"/>
      <c r="L2728" s="9" t="s">
        <v>121</v>
      </c>
      <c r="M2728" s="18"/>
      <c r="N2728" s="18"/>
      <c r="O2728" s="18"/>
      <c r="P2728" s="18"/>
      <c r="Q2728" s="18"/>
    </row>
    <row r="2729" spans="1:17" ht="210" x14ac:dyDescent="0.25">
      <c r="A2729" s="9" t="s">
        <v>6860</v>
      </c>
      <c r="B2729" s="9" t="s">
        <v>6847</v>
      </c>
      <c r="C2729" s="9" t="s">
        <v>6761</v>
      </c>
      <c r="D2729" s="9" t="s">
        <v>6742</v>
      </c>
      <c r="E2729" s="9" t="s">
        <v>5728</v>
      </c>
      <c r="F2729" s="9" t="s">
        <v>5729</v>
      </c>
      <c r="G2729" s="10" t="s">
        <v>6706</v>
      </c>
      <c r="H2729" s="9" t="s">
        <v>6290</v>
      </c>
      <c r="I2729" s="9"/>
      <c r="J2729" s="9"/>
      <c r="K2729" s="9"/>
      <c r="L2729" s="9"/>
      <c r="M2729" s="9" t="s">
        <v>5730</v>
      </c>
      <c r="N2729" s="9"/>
      <c r="O2729" s="9" t="s">
        <v>5731</v>
      </c>
      <c r="P2729" s="9" t="str">
        <f>HYPERLINK("https://ceds.ed.gov/cedselementdetails.aspx?termid=13163")</f>
        <v>https://ceds.ed.gov/cedselementdetails.aspx?termid=13163</v>
      </c>
      <c r="Q2729" s="9" t="str">
        <f>HYPERLINK("https://ceds.ed.gov/elementComment.aspx?elementName=Student Identification System &amp;elementID=13163", "Click here to submit comment")</f>
        <v>Click here to submit comment</v>
      </c>
    </row>
    <row r="2730" spans="1:17" ht="45" x14ac:dyDescent="0.25">
      <c r="A2730" s="9" t="s">
        <v>6860</v>
      </c>
      <c r="B2730" s="9" t="s">
        <v>6847</v>
      </c>
      <c r="C2730" s="9" t="s">
        <v>6761</v>
      </c>
      <c r="D2730" s="9" t="s">
        <v>6742</v>
      </c>
      <c r="E2730" s="9" t="s">
        <v>1912</v>
      </c>
      <c r="F2730" s="9" t="s">
        <v>1913</v>
      </c>
      <c r="G2730" s="9" t="s">
        <v>12</v>
      </c>
      <c r="H2730" s="9"/>
      <c r="I2730" s="9"/>
      <c r="J2730" s="9" t="s">
        <v>73</v>
      </c>
      <c r="K2730" s="9"/>
      <c r="L2730" s="9"/>
      <c r="M2730" s="9" t="s">
        <v>1914</v>
      </c>
      <c r="N2730" s="9"/>
      <c r="O2730" s="9" t="s">
        <v>1915</v>
      </c>
      <c r="P2730" s="9" t="str">
        <f>HYPERLINK("https://ceds.ed.gov/cedselementdetails.aspx?termid=14266")</f>
        <v>https://ceds.ed.gov/cedselementdetails.aspx?termid=14266</v>
      </c>
      <c r="Q2730" s="9" t="str">
        <f>HYPERLINK("https://ceds.ed.gov/elementComment.aspx?elementName=Course Add Date &amp;elementID=14266", "Click here to submit comment")</f>
        <v>Click here to submit comment</v>
      </c>
    </row>
    <row r="2731" spans="1:17" ht="45" x14ac:dyDescent="0.25">
      <c r="A2731" s="9" t="s">
        <v>6860</v>
      </c>
      <c r="B2731" s="9" t="s">
        <v>6847</v>
      </c>
      <c r="C2731" s="9" t="s">
        <v>6761</v>
      </c>
      <c r="D2731" s="9" t="s">
        <v>6742</v>
      </c>
      <c r="E2731" s="9" t="s">
        <v>1959</v>
      </c>
      <c r="F2731" s="9" t="s">
        <v>1960</v>
      </c>
      <c r="G2731" s="9" t="s">
        <v>12</v>
      </c>
      <c r="H2731" s="9" t="s">
        <v>1963</v>
      </c>
      <c r="I2731" s="9"/>
      <c r="J2731" s="9" t="s">
        <v>73</v>
      </c>
      <c r="K2731" s="9"/>
      <c r="L2731" s="9"/>
      <c r="M2731" s="9" t="s">
        <v>1961</v>
      </c>
      <c r="N2731" s="9"/>
      <c r="O2731" s="9" t="s">
        <v>1962</v>
      </c>
      <c r="P2731" s="9" t="str">
        <f>HYPERLINK("https://ceds.ed.gov/cedselementdetails.aspx?termid=14271")</f>
        <v>https://ceds.ed.gov/cedselementdetails.aspx?termid=14271</v>
      </c>
      <c r="Q2731" s="9" t="str">
        <f>HYPERLINK("https://ceds.ed.gov/elementComment.aspx?elementName=Course Drop Date &amp;elementID=14271", "Click here to submit comment")</f>
        <v>Click here to submit comment</v>
      </c>
    </row>
    <row r="2732" spans="1:17" ht="45" x14ac:dyDescent="0.25">
      <c r="A2732" s="9" t="s">
        <v>6860</v>
      </c>
      <c r="B2732" s="9" t="s">
        <v>6847</v>
      </c>
      <c r="C2732" s="9" t="s">
        <v>6761</v>
      </c>
      <c r="D2732" s="9" t="s">
        <v>6742</v>
      </c>
      <c r="E2732" s="9" t="s">
        <v>2019</v>
      </c>
      <c r="F2732" s="9" t="s">
        <v>2020</v>
      </c>
      <c r="G2732" s="9" t="s">
        <v>12</v>
      </c>
      <c r="H2732" s="9" t="s">
        <v>25</v>
      </c>
      <c r="I2732" s="9"/>
      <c r="J2732" s="9" t="s">
        <v>22</v>
      </c>
      <c r="K2732" s="9"/>
      <c r="L2732" s="9"/>
      <c r="M2732" s="9" t="s">
        <v>2021</v>
      </c>
      <c r="N2732" s="9"/>
      <c r="O2732" s="9" t="s">
        <v>2022</v>
      </c>
      <c r="P2732" s="9" t="str">
        <f>HYPERLINK("https://ceds.ed.gov/cedselementdetails.aspx?termid=13063")</f>
        <v>https://ceds.ed.gov/cedselementdetails.aspx?termid=13063</v>
      </c>
      <c r="Q2732" s="9" t="str">
        <f>HYPERLINK("https://ceds.ed.gov/elementComment.aspx?elementName=Course Override School &amp;elementID=13063", "Click here to submit comment")</f>
        <v>Click here to submit comment</v>
      </c>
    </row>
    <row r="2733" spans="1:17" ht="45" x14ac:dyDescent="0.25">
      <c r="A2733" s="9" t="s">
        <v>6860</v>
      </c>
      <c r="B2733" s="9" t="s">
        <v>6847</v>
      </c>
      <c r="C2733" s="9" t="s">
        <v>6761</v>
      </c>
      <c r="D2733" s="9" t="s">
        <v>6742</v>
      </c>
      <c r="E2733" s="9" t="s">
        <v>2195</v>
      </c>
      <c r="F2733" s="9" t="s">
        <v>2196</v>
      </c>
      <c r="G2733" s="9" t="s">
        <v>6106</v>
      </c>
      <c r="H2733" s="9" t="s">
        <v>25</v>
      </c>
      <c r="I2733" s="9"/>
      <c r="J2733" s="9"/>
      <c r="K2733" s="9"/>
      <c r="L2733" s="9"/>
      <c r="M2733" s="9" t="s">
        <v>2197</v>
      </c>
      <c r="N2733" s="9"/>
      <c r="O2733" s="9" t="s">
        <v>2198</v>
      </c>
      <c r="P2733" s="9" t="str">
        <f>HYPERLINK("https://ceds.ed.gov/cedselementdetails.aspx?termid=13077")</f>
        <v>https://ceds.ed.gov/cedselementdetails.aspx?termid=13077</v>
      </c>
      <c r="Q2733" s="9" t="str">
        <f>HYPERLINK("https://ceds.ed.gov/elementComment.aspx?elementName=Degree Applicability &amp;elementID=13077", "Click here to submit comment")</f>
        <v>Click here to submit comment</v>
      </c>
    </row>
    <row r="2734" spans="1:17" ht="45" x14ac:dyDescent="0.25">
      <c r="A2734" s="9" t="s">
        <v>6860</v>
      </c>
      <c r="B2734" s="9" t="s">
        <v>6847</v>
      </c>
      <c r="C2734" s="9" t="s">
        <v>6761</v>
      </c>
      <c r="D2734" s="9" t="s">
        <v>6742</v>
      </c>
      <c r="E2734" s="9" t="s">
        <v>1898</v>
      </c>
      <c r="F2734" s="9" t="s">
        <v>1899</v>
      </c>
      <c r="G2734" s="9" t="s">
        <v>12</v>
      </c>
      <c r="H2734" s="9" t="s">
        <v>6161</v>
      </c>
      <c r="I2734" s="9"/>
      <c r="J2734" s="9" t="s">
        <v>1900</v>
      </c>
      <c r="K2734" s="9"/>
      <c r="L2734" s="9"/>
      <c r="M2734" s="9" t="s">
        <v>1901</v>
      </c>
      <c r="N2734" s="9"/>
      <c r="O2734" s="9" t="s">
        <v>1902</v>
      </c>
      <c r="P2734" s="9" t="str">
        <f>HYPERLINK("https://ceds.ed.gov/cedselementdetails.aspx?termid=13053")</f>
        <v>https://ceds.ed.gov/cedselementdetails.aspx?termid=13053</v>
      </c>
      <c r="Q2734" s="9" t="str">
        <f>HYPERLINK("https://ceds.ed.gov/elementComment.aspx?elementName=Course Academic Grade &amp;elementID=13053", "Click here to submit comment")</f>
        <v>Click here to submit comment</v>
      </c>
    </row>
    <row r="2735" spans="1:17" ht="120" x14ac:dyDescent="0.25">
      <c r="A2735" s="9" t="s">
        <v>6860</v>
      </c>
      <c r="B2735" s="9" t="s">
        <v>6847</v>
      </c>
      <c r="C2735" s="9" t="s">
        <v>6761</v>
      </c>
      <c r="D2735" s="9" t="s">
        <v>6742</v>
      </c>
      <c r="E2735" s="9" t="s">
        <v>4365</v>
      </c>
      <c r="F2735" s="9" t="s">
        <v>4366</v>
      </c>
      <c r="G2735" s="9" t="s">
        <v>12</v>
      </c>
      <c r="H2735" s="9" t="s">
        <v>6241</v>
      </c>
      <c r="I2735" s="9"/>
      <c r="J2735" s="9" t="s">
        <v>1513</v>
      </c>
      <c r="K2735" s="9"/>
      <c r="L2735" s="9"/>
      <c r="M2735" s="9" t="s">
        <v>4367</v>
      </c>
      <c r="N2735" s="9"/>
      <c r="O2735" s="9" t="s">
        <v>4368</v>
      </c>
      <c r="P2735" s="9" t="str">
        <f>HYPERLINK("https://ceds.ed.gov/cedselementdetails.aspx?termid=13200")</f>
        <v>https://ceds.ed.gov/cedselementdetails.aspx?termid=13200</v>
      </c>
      <c r="Q2735" s="9" t="str">
        <f>HYPERLINK("https://ceds.ed.gov/elementComment.aspx?elementName=Number of Credits Earned &amp;elementID=13200", "Click here to submit comment")</f>
        <v>Click here to submit comment</v>
      </c>
    </row>
    <row r="2736" spans="1:17" ht="60" x14ac:dyDescent="0.25">
      <c r="A2736" s="9" t="s">
        <v>6860</v>
      </c>
      <c r="B2736" s="9" t="s">
        <v>6847</v>
      </c>
      <c r="C2736" s="9" t="s">
        <v>6761</v>
      </c>
      <c r="D2736" s="9" t="s">
        <v>6742</v>
      </c>
      <c r="E2736" s="9" t="s">
        <v>2023</v>
      </c>
      <c r="F2736" s="9" t="s">
        <v>2024</v>
      </c>
      <c r="G2736" s="9" t="s">
        <v>12</v>
      </c>
      <c r="H2736" s="9" t="s">
        <v>25</v>
      </c>
      <c r="I2736" s="9"/>
      <c r="J2736" s="9" t="s">
        <v>1513</v>
      </c>
      <c r="K2736" s="9"/>
      <c r="L2736" s="9"/>
      <c r="M2736" s="9" t="s">
        <v>2025</v>
      </c>
      <c r="N2736" s="9"/>
      <c r="O2736" s="9" t="s">
        <v>2026</v>
      </c>
      <c r="P2736" s="9" t="str">
        <f>HYPERLINK("https://ceds.ed.gov/cedselementdetails.aspx?termid=13064")</f>
        <v>https://ceds.ed.gov/cedselementdetails.aspx?termid=13064</v>
      </c>
      <c r="Q2736" s="9" t="str">
        <f>HYPERLINK("https://ceds.ed.gov/elementComment.aspx?elementName=Course Quality Points Earned &amp;elementID=13064", "Click here to submit comment")</f>
        <v>Click here to submit comment</v>
      </c>
    </row>
    <row r="2737" spans="1:17" ht="90" x14ac:dyDescent="0.25">
      <c r="A2737" s="9" t="s">
        <v>6860</v>
      </c>
      <c r="B2737" s="9" t="s">
        <v>6847</v>
      </c>
      <c r="C2737" s="9" t="s">
        <v>6761</v>
      </c>
      <c r="D2737" s="9" t="s">
        <v>6742</v>
      </c>
      <c r="E2737" s="9" t="s">
        <v>5716</v>
      </c>
      <c r="F2737" s="9" t="s">
        <v>5717</v>
      </c>
      <c r="G2737" s="9" t="s">
        <v>12</v>
      </c>
      <c r="H2737" s="9" t="s">
        <v>6109</v>
      </c>
      <c r="I2737" s="9"/>
      <c r="J2737" s="9" t="s">
        <v>1900</v>
      </c>
      <c r="K2737" s="9"/>
      <c r="L2737" s="9"/>
      <c r="M2737" s="9" t="s">
        <v>5718</v>
      </c>
      <c r="N2737" s="9"/>
      <c r="O2737" s="9" t="s">
        <v>5719</v>
      </c>
      <c r="P2737" s="9" t="str">
        <f>HYPERLINK("https://ceds.ed.gov/cedselementdetails.aspx?termid=13124")</f>
        <v>https://ceds.ed.gov/cedselementdetails.aspx?termid=13124</v>
      </c>
      <c r="Q2737" s="9" t="str">
        <f>HYPERLINK("https://ceds.ed.gov/elementComment.aspx?elementName=Student Course Section Grade Earned &amp;elementID=13124", "Click here to submit comment")</f>
        <v>Click here to submit comment</v>
      </c>
    </row>
    <row r="2738" spans="1:17" ht="45" x14ac:dyDescent="0.25">
      <c r="A2738" s="9" t="s">
        <v>6860</v>
      </c>
      <c r="B2738" s="9" t="s">
        <v>6847</v>
      </c>
      <c r="C2738" s="9" t="s">
        <v>6761</v>
      </c>
      <c r="D2738" s="9" t="s">
        <v>6742</v>
      </c>
      <c r="E2738" s="9" t="s">
        <v>5720</v>
      </c>
      <c r="F2738" s="9" t="s">
        <v>5721</v>
      </c>
      <c r="G2738" s="9" t="s">
        <v>12</v>
      </c>
      <c r="H2738" s="9"/>
      <c r="I2738" s="9"/>
      <c r="J2738" s="9" t="s">
        <v>68</v>
      </c>
      <c r="K2738" s="9"/>
      <c r="L2738" s="9"/>
      <c r="M2738" s="9" t="s">
        <v>5722</v>
      </c>
      <c r="N2738" s="9"/>
      <c r="O2738" s="9" t="s">
        <v>5723</v>
      </c>
      <c r="P2738" s="9" t="str">
        <f>HYPERLINK("https://ceds.ed.gov/cedselementdetails.aspx?termid=14552")</f>
        <v>https://ceds.ed.gov/cedselementdetails.aspx?termid=14552</v>
      </c>
      <c r="Q2738" s="9" t="str">
        <f>HYPERLINK("https://ceds.ed.gov/elementComment.aspx?elementName=Student Course Section Grade Narrative &amp;elementID=14552", "Click here to submit comment")</f>
        <v>Click here to submit comment</v>
      </c>
    </row>
    <row r="2739" spans="1:17" ht="90" x14ac:dyDescent="0.25">
      <c r="A2739" s="9" t="s">
        <v>6860</v>
      </c>
      <c r="B2739" s="9" t="s">
        <v>6847</v>
      </c>
      <c r="C2739" s="9" t="s">
        <v>6849</v>
      </c>
      <c r="D2739" s="9" t="s">
        <v>6742</v>
      </c>
      <c r="E2739" s="9" t="s">
        <v>4150</v>
      </c>
      <c r="F2739" s="9" t="s">
        <v>4151</v>
      </c>
      <c r="G2739" s="9" t="s">
        <v>12</v>
      </c>
      <c r="H2739" s="9" t="s">
        <v>6109</v>
      </c>
      <c r="I2739" s="9"/>
      <c r="J2739" s="9" t="s">
        <v>87</v>
      </c>
      <c r="K2739" s="9"/>
      <c r="L2739" s="9"/>
      <c r="M2739" s="9" t="s">
        <v>4152</v>
      </c>
      <c r="N2739" s="9"/>
      <c r="O2739" s="9" t="s">
        <v>4153</v>
      </c>
      <c r="P2739" s="9" t="str">
        <f>HYPERLINK("https://ceds.ed.gov/cedselementdetails.aspx?termid=13182")</f>
        <v>https://ceds.ed.gov/cedselementdetails.aspx?termid=13182</v>
      </c>
      <c r="Q2739" s="9" t="str">
        <f>HYPERLINK("https://ceds.ed.gov/elementComment.aspx?elementName=Marking Period Name &amp;elementID=13182", "Click here to submit comment")</f>
        <v>Click here to submit comment</v>
      </c>
    </row>
    <row r="2740" spans="1:17" ht="45" x14ac:dyDescent="0.25">
      <c r="A2740" s="9" t="s">
        <v>6860</v>
      </c>
      <c r="B2740" s="9" t="s">
        <v>6847</v>
      </c>
      <c r="C2740" s="9" t="s">
        <v>6849</v>
      </c>
      <c r="D2740" s="9" t="s">
        <v>6742</v>
      </c>
      <c r="E2740" s="9" t="s">
        <v>5724</v>
      </c>
      <c r="F2740" s="9" t="s">
        <v>5725</v>
      </c>
      <c r="G2740" s="9" t="s">
        <v>6106</v>
      </c>
      <c r="H2740" s="9"/>
      <c r="I2740" s="9"/>
      <c r="J2740" s="9"/>
      <c r="K2740" s="9"/>
      <c r="L2740" s="9"/>
      <c r="M2740" s="9" t="s">
        <v>5726</v>
      </c>
      <c r="N2740" s="9"/>
      <c r="O2740" s="9" t="s">
        <v>5727</v>
      </c>
      <c r="P2740" s="9" t="str">
        <f>HYPERLINK("https://ceds.ed.gov/cedselementdetails.aspx?termid=14191")</f>
        <v>https://ceds.ed.gov/cedselementdetails.aspx?termid=14191</v>
      </c>
      <c r="Q2740" s="9" t="str">
        <f>HYPERLINK("https://ceds.ed.gov/elementComment.aspx?elementName=Student Course Section Mark Final Indicator &amp;elementID=14191", "Click here to submit comment")</f>
        <v>Click here to submit comment</v>
      </c>
    </row>
    <row r="2741" spans="1:17" ht="90" x14ac:dyDescent="0.25">
      <c r="A2741" s="9" t="s">
        <v>6860</v>
      </c>
      <c r="B2741" s="9" t="s">
        <v>6847</v>
      </c>
      <c r="C2741" s="9" t="s">
        <v>6849</v>
      </c>
      <c r="D2741" s="9" t="s">
        <v>6742</v>
      </c>
      <c r="E2741" s="9" t="s">
        <v>4179</v>
      </c>
      <c r="F2741" s="9" t="s">
        <v>4180</v>
      </c>
      <c r="G2741" s="9" t="s">
        <v>12</v>
      </c>
      <c r="H2741" s="9" t="s">
        <v>6109</v>
      </c>
      <c r="I2741" s="9"/>
      <c r="J2741" s="9" t="s">
        <v>1900</v>
      </c>
      <c r="K2741" s="9"/>
      <c r="L2741" s="9"/>
      <c r="M2741" s="9" t="s">
        <v>4181</v>
      </c>
      <c r="N2741" s="9"/>
      <c r="O2741" s="9" t="s">
        <v>4182</v>
      </c>
      <c r="P2741" s="9" t="str">
        <f>HYPERLINK("https://ceds.ed.gov/cedselementdetails.aspx?termid=13183")</f>
        <v>https://ceds.ed.gov/cedselementdetails.aspx?termid=13183</v>
      </c>
      <c r="Q2741" s="9" t="str">
        <f>HYPERLINK("https://ceds.ed.gov/elementComment.aspx?elementName=Mid Term Mark &amp;elementID=13183", "Click here to submit comment")</f>
        <v>Click here to submit comment</v>
      </c>
    </row>
    <row r="2742" spans="1:17" ht="90" x14ac:dyDescent="0.25">
      <c r="A2742" s="9" t="s">
        <v>6860</v>
      </c>
      <c r="B2742" s="9" t="s">
        <v>6847</v>
      </c>
      <c r="C2742" s="9" t="s">
        <v>6849</v>
      </c>
      <c r="D2742" s="9" t="s">
        <v>6742</v>
      </c>
      <c r="E2742" s="9" t="s">
        <v>5716</v>
      </c>
      <c r="F2742" s="9" t="s">
        <v>5717</v>
      </c>
      <c r="G2742" s="9" t="s">
        <v>12</v>
      </c>
      <c r="H2742" s="9" t="s">
        <v>6109</v>
      </c>
      <c r="I2742" s="9"/>
      <c r="J2742" s="9" t="s">
        <v>1900</v>
      </c>
      <c r="K2742" s="9"/>
      <c r="L2742" s="9"/>
      <c r="M2742" s="9" t="s">
        <v>5718</v>
      </c>
      <c r="N2742" s="9"/>
      <c r="O2742" s="9" t="s">
        <v>5719</v>
      </c>
      <c r="P2742" s="9" t="str">
        <f>HYPERLINK("https://ceds.ed.gov/cedselementdetails.aspx?termid=13124")</f>
        <v>https://ceds.ed.gov/cedselementdetails.aspx?termid=13124</v>
      </c>
      <c r="Q2742" s="9" t="str">
        <f>HYPERLINK("https://ceds.ed.gov/elementComment.aspx?elementName=Student Course Section Grade Earned &amp;elementID=13124", "Click here to submit comment")</f>
        <v>Click here to submit comment</v>
      </c>
    </row>
    <row r="2743" spans="1:17" ht="135" x14ac:dyDescent="0.25">
      <c r="A2743" s="9" t="s">
        <v>6860</v>
      </c>
      <c r="B2743" s="9" t="s">
        <v>6847</v>
      </c>
      <c r="C2743" s="9" t="s">
        <v>6849</v>
      </c>
      <c r="D2743" s="9" t="s">
        <v>6742</v>
      </c>
      <c r="E2743" s="9" t="s">
        <v>3047</v>
      </c>
      <c r="F2743" s="9" t="s">
        <v>3048</v>
      </c>
      <c r="G2743" s="9" t="s">
        <v>12</v>
      </c>
      <c r="H2743" s="9"/>
      <c r="I2743" s="9"/>
      <c r="J2743" s="9" t="s">
        <v>762</v>
      </c>
      <c r="K2743" s="9"/>
      <c r="L2743" s="9" t="s">
        <v>3049</v>
      </c>
      <c r="M2743" s="9" t="s">
        <v>3050</v>
      </c>
      <c r="N2743" s="9"/>
      <c r="O2743" s="9" t="s">
        <v>3051</v>
      </c>
      <c r="P2743" s="9" t="str">
        <f>HYPERLINK("https://ceds.ed.gov/cedselementdetails.aspx?termid=13609")</f>
        <v>https://ceds.ed.gov/cedselementdetails.aspx?termid=13609</v>
      </c>
      <c r="Q2743" s="9" t="str">
        <f>HYPERLINK("https://ceds.ed.gov/elementComment.aspx?elementName=Grade Value Qualifier &amp;elementID=13609", "Click here to submit comment")</f>
        <v>Click here to submit comment</v>
      </c>
    </row>
    <row r="2744" spans="1:17" ht="285" x14ac:dyDescent="0.25">
      <c r="A2744" s="9" t="s">
        <v>6860</v>
      </c>
      <c r="B2744" s="9" t="s">
        <v>6847</v>
      </c>
      <c r="C2744" s="9" t="s">
        <v>6849</v>
      </c>
      <c r="D2744" s="9" t="s">
        <v>6742</v>
      </c>
      <c r="E2744" s="9" t="s">
        <v>1908</v>
      </c>
      <c r="F2744" s="9" t="s">
        <v>1909</v>
      </c>
      <c r="G2744" s="10" t="s">
        <v>6419</v>
      </c>
      <c r="H2744" s="9"/>
      <c r="I2744" s="9"/>
      <c r="J2744" s="9"/>
      <c r="K2744" s="9"/>
      <c r="L2744" s="9"/>
      <c r="M2744" s="9" t="s">
        <v>1910</v>
      </c>
      <c r="N2744" s="9"/>
      <c r="O2744" s="9" t="s">
        <v>1911</v>
      </c>
      <c r="P2744" s="9" t="str">
        <f>HYPERLINK("https://ceds.ed.gov/cedselementdetails.aspx?termid=14265")</f>
        <v>https://ceds.ed.gov/cedselementdetails.aspx?termid=14265</v>
      </c>
      <c r="Q2744" s="9" t="str">
        <f>HYPERLINK("https://ceds.ed.gov/elementComment.aspx?elementName=Course Academic Grade Status Code &amp;elementID=14265", "Click here to submit comment")</f>
        <v>Click here to submit comment</v>
      </c>
    </row>
    <row r="2745" spans="1:17" ht="105" x14ac:dyDescent="0.25">
      <c r="A2745" s="18" t="s">
        <v>6860</v>
      </c>
      <c r="B2745" s="18" t="s">
        <v>6847</v>
      </c>
      <c r="C2745" s="18" t="s">
        <v>6850</v>
      </c>
      <c r="D2745" s="18" t="s">
        <v>6742</v>
      </c>
      <c r="E2745" s="18" t="s">
        <v>5621</v>
      </c>
      <c r="F2745" s="18" t="s">
        <v>5622</v>
      </c>
      <c r="G2745" s="18" t="s">
        <v>12</v>
      </c>
      <c r="H2745" s="18" t="s">
        <v>6284</v>
      </c>
      <c r="I2745" s="18"/>
      <c r="J2745" s="18" t="s">
        <v>119</v>
      </c>
      <c r="K2745" s="18"/>
      <c r="L2745" s="9" t="s">
        <v>120</v>
      </c>
      <c r="M2745" s="18" t="s">
        <v>5623</v>
      </c>
      <c r="N2745" s="18"/>
      <c r="O2745" s="18" t="s">
        <v>5624</v>
      </c>
      <c r="P2745" s="18" t="str">
        <f>HYPERLINK("https://ceds.ed.gov/cedselementdetails.aspx?termid=13156")</f>
        <v>https://ceds.ed.gov/cedselementdetails.aspx?termid=13156</v>
      </c>
      <c r="Q2745" s="18" t="str">
        <f>HYPERLINK("https://ceds.ed.gov/elementComment.aspx?elementName=Staff Member Identifier &amp;elementID=13156", "Click here to submit comment")</f>
        <v>Click here to submit comment</v>
      </c>
    </row>
    <row r="2746" spans="1:17" x14ac:dyDescent="0.25">
      <c r="A2746" s="18"/>
      <c r="B2746" s="18"/>
      <c r="C2746" s="18"/>
      <c r="D2746" s="18"/>
      <c r="E2746" s="18"/>
      <c r="F2746" s="18"/>
      <c r="G2746" s="18"/>
      <c r="H2746" s="18"/>
      <c r="I2746" s="18"/>
      <c r="J2746" s="18"/>
      <c r="K2746" s="18"/>
      <c r="L2746" s="9"/>
      <c r="M2746" s="18"/>
      <c r="N2746" s="18"/>
      <c r="O2746" s="18"/>
      <c r="P2746" s="18"/>
      <c r="Q2746" s="18"/>
    </row>
    <row r="2747" spans="1:17" ht="90" x14ac:dyDescent="0.25">
      <c r="A2747" s="18"/>
      <c r="B2747" s="18"/>
      <c r="C2747" s="18"/>
      <c r="D2747" s="18"/>
      <c r="E2747" s="18"/>
      <c r="F2747" s="18"/>
      <c r="G2747" s="18"/>
      <c r="H2747" s="18"/>
      <c r="I2747" s="18"/>
      <c r="J2747" s="18"/>
      <c r="K2747" s="18"/>
      <c r="L2747" s="9" t="s">
        <v>121</v>
      </c>
      <c r="M2747" s="18"/>
      <c r="N2747" s="18"/>
      <c r="O2747" s="18"/>
      <c r="P2747" s="18"/>
      <c r="Q2747" s="18"/>
    </row>
    <row r="2748" spans="1:17" ht="345" x14ac:dyDescent="0.25">
      <c r="A2748" s="9" t="s">
        <v>6860</v>
      </c>
      <c r="B2748" s="9" t="s">
        <v>6847</v>
      </c>
      <c r="C2748" s="9" t="s">
        <v>6850</v>
      </c>
      <c r="D2748" s="9" t="s">
        <v>6742</v>
      </c>
      <c r="E2748" s="9" t="s">
        <v>5617</v>
      </c>
      <c r="F2748" s="9" t="s">
        <v>5618</v>
      </c>
      <c r="G2748" s="10" t="s">
        <v>6700</v>
      </c>
      <c r="H2748" s="9" t="s">
        <v>6283</v>
      </c>
      <c r="I2748" s="9"/>
      <c r="J2748" s="9"/>
      <c r="K2748" s="9"/>
      <c r="L2748" s="9"/>
      <c r="M2748" s="9" t="s">
        <v>5619</v>
      </c>
      <c r="N2748" s="9"/>
      <c r="O2748" s="9" t="s">
        <v>5620</v>
      </c>
      <c r="P2748" s="9" t="str">
        <f>HYPERLINK("https://ceds.ed.gov/cedselementdetails.aspx?termid=13162")</f>
        <v>https://ceds.ed.gov/cedselementdetails.aspx?termid=13162</v>
      </c>
      <c r="Q2748" s="9" t="str">
        <f>HYPERLINK("https://ceds.ed.gov/elementComment.aspx?elementName=Staff Member Identification System &amp;elementID=13162", "Click here to submit comment")</f>
        <v>Click here to submit comment</v>
      </c>
    </row>
    <row r="2749" spans="1:17" ht="45" x14ac:dyDescent="0.25">
      <c r="A2749" s="9" t="s">
        <v>6860</v>
      </c>
      <c r="B2749" s="9" t="s">
        <v>6847</v>
      </c>
      <c r="C2749" s="9" t="s">
        <v>6850</v>
      </c>
      <c r="D2749" s="9" t="s">
        <v>6742</v>
      </c>
      <c r="E2749" s="9" t="s">
        <v>1451</v>
      </c>
      <c r="F2749" s="9" t="s">
        <v>1452</v>
      </c>
      <c r="G2749" s="9" t="s">
        <v>12</v>
      </c>
      <c r="H2749" s="9"/>
      <c r="I2749" s="9"/>
      <c r="J2749" s="9" t="s">
        <v>73</v>
      </c>
      <c r="K2749" s="9"/>
      <c r="L2749" s="9"/>
      <c r="M2749" s="9" t="s">
        <v>1453</v>
      </c>
      <c r="N2749" s="9"/>
      <c r="O2749" s="9" t="s">
        <v>1454</v>
      </c>
      <c r="P2749" s="9" t="str">
        <f>HYPERLINK("https://ceds.ed.gov/cedselementdetails.aspx?termid=13517")</f>
        <v>https://ceds.ed.gov/cedselementdetails.aspx?termid=13517</v>
      </c>
      <c r="Q2749" s="9" t="str">
        <f>HYPERLINK("https://ceds.ed.gov/elementComment.aspx?elementName=Assignment Start Date &amp;elementID=13517", "Click here to submit comment")</f>
        <v>Click here to submit comment</v>
      </c>
    </row>
    <row r="2750" spans="1:17" ht="45" x14ac:dyDescent="0.25">
      <c r="A2750" s="9" t="s">
        <v>6860</v>
      </c>
      <c r="B2750" s="9" t="s">
        <v>6847</v>
      </c>
      <c r="C2750" s="9" t="s">
        <v>6850</v>
      </c>
      <c r="D2750" s="9" t="s">
        <v>6742</v>
      </c>
      <c r="E2750" s="9" t="s">
        <v>1447</v>
      </c>
      <c r="F2750" s="9" t="s">
        <v>1448</v>
      </c>
      <c r="G2750" s="9" t="s">
        <v>12</v>
      </c>
      <c r="H2750" s="9"/>
      <c r="I2750" s="9"/>
      <c r="J2750" s="9" t="s">
        <v>73</v>
      </c>
      <c r="K2750" s="9"/>
      <c r="L2750" s="9"/>
      <c r="M2750" s="9" t="s">
        <v>1449</v>
      </c>
      <c r="N2750" s="9"/>
      <c r="O2750" s="9" t="s">
        <v>1450</v>
      </c>
      <c r="P2750" s="9" t="str">
        <f>HYPERLINK("https://ceds.ed.gov/cedselementdetails.aspx?termid=13518")</f>
        <v>https://ceds.ed.gov/cedselementdetails.aspx?termid=13518</v>
      </c>
      <c r="Q2750" s="9" t="str">
        <f>HYPERLINK("https://ceds.ed.gov/elementComment.aspx?elementName=Assignment End Date &amp;elementID=13518", "Click here to submit comment")</f>
        <v>Click here to submit comment</v>
      </c>
    </row>
    <row r="2751" spans="1:17" ht="195" x14ac:dyDescent="0.25">
      <c r="A2751" s="9" t="s">
        <v>6878</v>
      </c>
      <c r="B2751" s="9" t="s">
        <v>6879</v>
      </c>
      <c r="C2751" s="9" t="s">
        <v>6741</v>
      </c>
      <c r="D2751" s="9" t="s">
        <v>6742</v>
      </c>
      <c r="E2751" s="9" t="s">
        <v>2935</v>
      </c>
      <c r="F2751" s="9" t="s">
        <v>2936</v>
      </c>
      <c r="G2751" s="9" t="s">
        <v>12</v>
      </c>
      <c r="H2751" s="9" t="s">
        <v>6211</v>
      </c>
      <c r="I2751" s="9"/>
      <c r="J2751" s="9" t="s">
        <v>1310</v>
      </c>
      <c r="K2751" s="9"/>
      <c r="L2751" s="9" t="s">
        <v>2937</v>
      </c>
      <c r="M2751" s="9" t="s">
        <v>2938</v>
      </c>
      <c r="N2751" s="9"/>
      <c r="O2751" s="9" t="s">
        <v>2939</v>
      </c>
      <c r="P2751" s="9" t="str">
        <f>HYPERLINK("https://ceds.ed.gov/cedselementdetails.aspx?termid=13115")</f>
        <v>https://ceds.ed.gov/cedselementdetails.aspx?termid=13115</v>
      </c>
      <c r="Q2751" s="9" t="str">
        <f>HYPERLINK("https://ceds.ed.gov/elementComment.aspx?elementName=First Name &amp;elementID=13115", "Click here to submit comment")</f>
        <v>Click here to submit comment</v>
      </c>
    </row>
    <row r="2752" spans="1:17" ht="90" customHeight="1" x14ac:dyDescent="0.25">
      <c r="A2752" s="18" t="s">
        <v>6878</v>
      </c>
      <c r="B2752" s="18" t="s">
        <v>6879</v>
      </c>
      <c r="C2752" s="18" t="s">
        <v>6741</v>
      </c>
      <c r="D2752" s="18" t="s">
        <v>6742</v>
      </c>
      <c r="E2752" s="18" t="s">
        <v>4183</v>
      </c>
      <c r="F2752" s="18" t="s">
        <v>4184</v>
      </c>
      <c r="G2752" s="18" t="s">
        <v>12</v>
      </c>
      <c r="H2752" s="18" t="s">
        <v>6211</v>
      </c>
      <c r="I2752" s="18"/>
      <c r="J2752" s="18" t="s">
        <v>1310</v>
      </c>
      <c r="K2752" s="18"/>
      <c r="L2752" s="9" t="s">
        <v>2996</v>
      </c>
      <c r="M2752" s="18" t="s">
        <v>4185</v>
      </c>
      <c r="N2752" s="18"/>
      <c r="O2752" s="18" t="s">
        <v>4186</v>
      </c>
      <c r="P2752" s="18" t="str">
        <f>HYPERLINK("https://ceds.ed.gov/cedselementdetails.aspx?termid=13184")</f>
        <v>https://ceds.ed.gov/cedselementdetails.aspx?termid=13184</v>
      </c>
      <c r="Q2752" s="18" t="str">
        <f>HYPERLINK("https://ceds.ed.gov/elementComment.aspx?elementName=Middle Name &amp;elementID=13184", "Click here to submit comment")</f>
        <v>Click here to submit comment</v>
      </c>
    </row>
    <row r="2753" spans="1:17" ht="90" x14ac:dyDescent="0.25">
      <c r="A2753" s="18"/>
      <c r="B2753" s="18"/>
      <c r="C2753" s="18"/>
      <c r="D2753" s="18"/>
      <c r="E2753" s="18"/>
      <c r="F2753" s="18"/>
      <c r="G2753" s="18"/>
      <c r="H2753" s="18"/>
      <c r="I2753" s="18"/>
      <c r="J2753" s="18"/>
      <c r="K2753" s="18"/>
      <c r="L2753" s="9" t="s">
        <v>2997</v>
      </c>
      <c r="M2753" s="18"/>
      <c r="N2753" s="18"/>
      <c r="O2753" s="18"/>
      <c r="P2753" s="18"/>
      <c r="Q2753" s="18"/>
    </row>
    <row r="2754" spans="1:17" ht="90" customHeight="1" x14ac:dyDescent="0.25">
      <c r="A2754" s="18" t="s">
        <v>6878</v>
      </c>
      <c r="B2754" s="18" t="s">
        <v>6879</v>
      </c>
      <c r="C2754" s="18" t="s">
        <v>6741</v>
      </c>
      <c r="D2754" s="18" t="s">
        <v>6742</v>
      </c>
      <c r="E2754" s="18" t="s">
        <v>3597</v>
      </c>
      <c r="F2754" s="18" t="s">
        <v>3598</v>
      </c>
      <c r="G2754" s="18" t="s">
        <v>12</v>
      </c>
      <c r="H2754" s="18" t="s">
        <v>6211</v>
      </c>
      <c r="I2754" s="18"/>
      <c r="J2754" s="18" t="s">
        <v>1310</v>
      </c>
      <c r="K2754" s="18"/>
      <c r="L2754" s="9" t="s">
        <v>2996</v>
      </c>
      <c r="M2754" s="18" t="s">
        <v>3599</v>
      </c>
      <c r="N2754" s="18" t="s">
        <v>3600</v>
      </c>
      <c r="O2754" s="18" t="s">
        <v>3601</v>
      </c>
      <c r="P2754" s="18" t="str">
        <f>HYPERLINK("https://ceds.ed.gov/cedselementdetails.aspx?termid=13172")</f>
        <v>https://ceds.ed.gov/cedselementdetails.aspx?termid=13172</v>
      </c>
      <c r="Q2754" s="18" t="str">
        <f>HYPERLINK("https://ceds.ed.gov/elementComment.aspx?elementName=Last or Surname &amp;elementID=13172", "Click here to submit comment")</f>
        <v>Click here to submit comment</v>
      </c>
    </row>
    <row r="2755" spans="1:17" ht="90" x14ac:dyDescent="0.25">
      <c r="A2755" s="18"/>
      <c r="B2755" s="18"/>
      <c r="C2755" s="18"/>
      <c r="D2755" s="18"/>
      <c r="E2755" s="18"/>
      <c r="F2755" s="18"/>
      <c r="G2755" s="18"/>
      <c r="H2755" s="18"/>
      <c r="I2755" s="18"/>
      <c r="J2755" s="18"/>
      <c r="K2755" s="18"/>
      <c r="L2755" s="9" t="s">
        <v>2997</v>
      </c>
      <c r="M2755" s="18"/>
      <c r="N2755" s="18"/>
      <c r="O2755" s="18"/>
      <c r="P2755" s="18"/>
      <c r="Q2755" s="18"/>
    </row>
    <row r="2756" spans="1:17" ht="45" customHeight="1" x14ac:dyDescent="0.25">
      <c r="A2756" s="18" t="s">
        <v>6878</v>
      </c>
      <c r="B2756" s="18" t="s">
        <v>6879</v>
      </c>
      <c r="C2756" s="18" t="s">
        <v>6741</v>
      </c>
      <c r="D2756" s="18" t="s">
        <v>6742</v>
      </c>
      <c r="E2756" s="18" t="s">
        <v>2994</v>
      </c>
      <c r="F2756" s="18" t="s">
        <v>2995</v>
      </c>
      <c r="G2756" s="18" t="s">
        <v>12</v>
      </c>
      <c r="H2756" s="18" t="s">
        <v>6212</v>
      </c>
      <c r="I2756" s="18"/>
      <c r="J2756" s="18" t="s">
        <v>2088</v>
      </c>
      <c r="K2756" s="18"/>
      <c r="L2756" s="9" t="s">
        <v>2996</v>
      </c>
      <c r="M2756" s="18" t="s">
        <v>2998</v>
      </c>
      <c r="N2756" s="18"/>
      <c r="O2756" s="18" t="s">
        <v>2999</v>
      </c>
      <c r="P2756" s="18" t="str">
        <f>HYPERLINK("https://ceds.ed.gov/cedselementdetails.aspx?termid=13121")</f>
        <v>https://ceds.ed.gov/cedselementdetails.aspx?termid=13121</v>
      </c>
      <c r="Q2756" s="18" t="str">
        <f>HYPERLINK("https://ceds.ed.gov/elementComment.aspx?elementName=Generation Code or Suffix &amp;elementID=13121", "Click here to submit comment")</f>
        <v>Click here to submit comment</v>
      </c>
    </row>
    <row r="2757" spans="1:17" ht="90" x14ac:dyDescent="0.25">
      <c r="A2757" s="18"/>
      <c r="B2757" s="18"/>
      <c r="C2757" s="18"/>
      <c r="D2757" s="18"/>
      <c r="E2757" s="18"/>
      <c r="F2757" s="18"/>
      <c r="G2757" s="18"/>
      <c r="H2757" s="18"/>
      <c r="I2757" s="18"/>
      <c r="J2757" s="18"/>
      <c r="K2757" s="18"/>
      <c r="L2757" s="9" t="s">
        <v>2997</v>
      </c>
      <c r="M2757" s="18"/>
      <c r="N2757" s="18"/>
      <c r="O2757" s="18"/>
      <c r="P2757" s="18"/>
      <c r="Q2757" s="18"/>
    </row>
    <row r="2758" spans="1:17" ht="105" x14ac:dyDescent="0.25">
      <c r="A2758" s="9" t="s">
        <v>6878</v>
      </c>
      <c r="B2758" s="9" t="s">
        <v>6879</v>
      </c>
      <c r="C2758" s="9" t="s">
        <v>6741</v>
      </c>
      <c r="D2758" s="9" t="s">
        <v>6742</v>
      </c>
      <c r="E2758" s="9" t="s">
        <v>4610</v>
      </c>
      <c r="F2758" s="9" t="s">
        <v>4611</v>
      </c>
      <c r="G2758" s="9" t="s">
        <v>12</v>
      </c>
      <c r="H2758" s="9" t="s">
        <v>6255</v>
      </c>
      <c r="I2758" s="9"/>
      <c r="J2758" s="9" t="s">
        <v>87</v>
      </c>
      <c r="K2758" s="9"/>
      <c r="L2758" s="9"/>
      <c r="M2758" s="9" t="s">
        <v>4612</v>
      </c>
      <c r="N2758" s="9" t="s">
        <v>4613</v>
      </c>
      <c r="O2758" s="9" t="s">
        <v>4614</v>
      </c>
      <c r="P2758" s="9" t="str">
        <f>HYPERLINK("https://ceds.ed.gov/cedselementdetails.aspx?termid=13212")</f>
        <v>https://ceds.ed.gov/cedselementdetails.aspx?termid=13212</v>
      </c>
      <c r="Q2758" s="9" t="str">
        <f>HYPERLINK("https://ceds.ed.gov/elementComment.aspx?elementName=Personal Title or Prefix &amp;elementID=13212", "Click here to submit comment")</f>
        <v>Click here to submit comment</v>
      </c>
    </row>
    <row r="2759" spans="1:17" ht="45" x14ac:dyDescent="0.25">
      <c r="A2759" s="9" t="s">
        <v>6878</v>
      </c>
      <c r="B2759" s="9" t="s">
        <v>6879</v>
      </c>
      <c r="C2759" s="9" t="s">
        <v>6743</v>
      </c>
      <c r="D2759" s="9" t="s">
        <v>6742</v>
      </c>
      <c r="E2759" s="9" t="s">
        <v>4481</v>
      </c>
      <c r="F2759" s="9" t="s">
        <v>4482</v>
      </c>
      <c r="G2759" s="9" t="s">
        <v>12</v>
      </c>
      <c r="H2759" s="9"/>
      <c r="I2759" s="9"/>
      <c r="J2759" s="9" t="s">
        <v>1310</v>
      </c>
      <c r="K2759" s="9"/>
      <c r="L2759" s="9" t="s">
        <v>4483</v>
      </c>
      <c r="M2759" s="9" t="s">
        <v>4484</v>
      </c>
      <c r="N2759" s="9"/>
      <c r="O2759" s="9" t="s">
        <v>4485</v>
      </c>
      <c r="P2759" s="9" t="str">
        <f>HYPERLINK("https://ceds.ed.gov/cedselementdetails.aspx?termid=14486")</f>
        <v>https://ceds.ed.gov/cedselementdetails.aspx?termid=14486</v>
      </c>
      <c r="Q2759" s="9" t="str">
        <f>HYPERLINK("https://ceds.ed.gov/elementComment.aspx?elementName=Other First Name &amp;elementID=14486", "Click here to submit comment")</f>
        <v>Click here to submit comment</v>
      </c>
    </row>
    <row r="2760" spans="1:17" ht="45" x14ac:dyDescent="0.25">
      <c r="A2760" s="9" t="s">
        <v>6878</v>
      </c>
      <c r="B2760" s="9" t="s">
        <v>6879</v>
      </c>
      <c r="C2760" s="9" t="s">
        <v>6743</v>
      </c>
      <c r="D2760" s="9" t="s">
        <v>6742</v>
      </c>
      <c r="E2760" s="9" t="s">
        <v>4486</v>
      </c>
      <c r="F2760" s="9" t="s">
        <v>4487</v>
      </c>
      <c r="G2760" s="9" t="s">
        <v>12</v>
      </c>
      <c r="H2760" s="9"/>
      <c r="I2760" s="9"/>
      <c r="J2760" s="9" t="s">
        <v>1310</v>
      </c>
      <c r="K2760" s="9"/>
      <c r="L2760" s="9" t="s">
        <v>4488</v>
      </c>
      <c r="M2760" s="9" t="s">
        <v>4489</v>
      </c>
      <c r="N2760" s="9"/>
      <c r="O2760" s="9" t="s">
        <v>4490</v>
      </c>
      <c r="P2760" s="9" t="str">
        <f>HYPERLINK("https://ceds.ed.gov/cedselementdetails.aspx?termid=14485")</f>
        <v>https://ceds.ed.gov/cedselementdetails.aspx?termid=14485</v>
      </c>
      <c r="Q2760" s="9" t="str">
        <f>HYPERLINK("https://ceds.ed.gov/elementComment.aspx?elementName=Other Last Name &amp;elementID=14485", "Click here to submit comment")</f>
        <v>Click here to submit comment</v>
      </c>
    </row>
    <row r="2761" spans="1:17" ht="45" x14ac:dyDescent="0.25">
      <c r="A2761" s="9" t="s">
        <v>6878</v>
      </c>
      <c r="B2761" s="9" t="s">
        <v>6879</v>
      </c>
      <c r="C2761" s="9" t="s">
        <v>6743</v>
      </c>
      <c r="D2761" s="9" t="s">
        <v>6742</v>
      </c>
      <c r="E2761" s="9" t="s">
        <v>4491</v>
      </c>
      <c r="F2761" s="9" t="s">
        <v>4492</v>
      </c>
      <c r="G2761" s="9" t="s">
        <v>12</v>
      </c>
      <c r="H2761" s="9"/>
      <c r="I2761" s="9"/>
      <c r="J2761" s="9" t="s">
        <v>1310</v>
      </c>
      <c r="K2761" s="9"/>
      <c r="L2761" s="9" t="s">
        <v>4493</v>
      </c>
      <c r="M2761" s="9" t="s">
        <v>4494</v>
      </c>
      <c r="N2761" s="9"/>
      <c r="O2761" s="9" t="s">
        <v>4495</v>
      </c>
      <c r="P2761" s="9" t="str">
        <f>HYPERLINK("https://ceds.ed.gov/cedselementdetails.aspx?termid=14487")</f>
        <v>https://ceds.ed.gov/cedselementdetails.aspx?termid=14487</v>
      </c>
      <c r="Q2761" s="9" t="str">
        <f>HYPERLINK("https://ceds.ed.gov/elementComment.aspx?elementName=Other Middle Name &amp;elementID=14487", "Click here to submit comment")</f>
        <v>Click here to submit comment</v>
      </c>
    </row>
    <row r="2762" spans="1:17" ht="150" x14ac:dyDescent="0.25">
      <c r="A2762" s="9" t="s">
        <v>6878</v>
      </c>
      <c r="B2762" s="9" t="s">
        <v>6879</v>
      </c>
      <c r="C2762" s="9" t="s">
        <v>6743</v>
      </c>
      <c r="D2762" s="9" t="s">
        <v>6742</v>
      </c>
      <c r="E2762" s="9" t="s">
        <v>4496</v>
      </c>
      <c r="F2762" s="9" t="s">
        <v>4497</v>
      </c>
      <c r="G2762" s="9" t="s">
        <v>12</v>
      </c>
      <c r="H2762" s="9" t="s">
        <v>6212</v>
      </c>
      <c r="I2762" s="9"/>
      <c r="J2762" s="9" t="s">
        <v>119</v>
      </c>
      <c r="K2762" s="9"/>
      <c r="L2762" s="9"/>
      <c r="M2762" s="9" t="s">
        <v>4498</v>
      </c>
      <c r="N2762" s="9"/>
      <c r="O2762" s="9" t="s">
        <v>4499</v>
      </c>
      <c r="P2762" s="9" t="str">
        <f>HYPERLINK("https://ceds.ed.gov/cedselementdetails.aspx?termid=13206")</f>
        <v>https://ceds.ed.gov/cedselementdetails.aspx?termid=13206</v>
      </c>
      <c r="Q2762" s="9" t="str">
        <f>HYPERLINK("https://ceds.ed.gov/elementComment.aspx?elementName=Other Name &amp;elementID=13206", "Click here to submit comment")</f>
        <v>Click here to submit comment</v>
      </c>
    </row>
    <row r="2763" spans="1:17" ht="165" x14ac:dyDescent="0.25">
      <c r="A2763" s="9" t="s">
        <v>6878</v>
      </c>
      <c r="B2763" s="9" t="s">
        <v>6879</v>
      </c>
      <c r="C2763" s="9" t="s">
        <v>6743</v>
      </c>
      <c r="D2763" s="9" t="s">
        <v>6742</v>
      </c>
      <c r="E2763" s="9" t="s">
        <v>4500</v>
      </c>
      <c r="F2763" s="9" t="s">
        <v>4501</v>
      </c>
      <c r="G2763" s="10" t="s">
        <v>6630</v>
      </c>
      <c r="H2763" s="9" t="s">
        <v>6251</v>
      </c>
      <c r="I2763" s="9"/>
      <c r="J2763" s="9" t="s">
        <v>87</v>
      </c>
      <c r="K2763" s="9"/>
      <c r="L2763" s="9"/>
      <c r="M2763" s="9" t="s">
        <v>4502</v>
      </c>
      <c r="N2763" s="9"/>
      <c r="O2763" s="9" t="s">
        <v>4503</v>
      </c>
      <c r="P2763" s="9" t="str">
        <f>HYPERLINK("https://ceds.ed.gov/cedselementdetails.aspx?termid=13627")</f>
        <v>https://ceds.ed.gov/cedselementdetails.aspx?termid=13627</v>
      </c>
      <c r="Q2763" s="9" t="str">
        <f>HYPERLINK("https://ceds.ed.gov/elementComment.aspx?elementName=Other Name Type &amp;elementID=13627", "Click here to submit comment")</f>
        <v>Click here to submit comment</v>
      </c>
    </row>
    <row r="2764" spans="1:17" ht="105" x14ac:dyDescent="0.25">
      <c r="A2764" s="18" t="s">
        <v>6878</v>
      </c>
      <c r="B2764" s="18" t="s">
        <v>6879</v>
      </c>
      <c r="C2764" s="18" t="s">
        <v>6744</v>
      </c>
      <c r="D2764" s="18" t="s">
        <v>6742</v>
      </c>
      <c r="E2764" s="18" t="s">
        <v>5732</v>
      </c>
      <c r="F2764" s="18" t="s">
        <v>5733</v>
      </c>
      <c r="G2764" s="18" t="s">
        <v>12</v>
      </c>
      <c r="H2764" s="18" t="s">
        <v>6290</v>
      </c>
      <c r="I2764" s="18"/>
      <c r="J2764" s="18" t="s">
        <v>119</v>
      </c>
      <c r="K2764" s="18"/>
      <c r="L2764" s="9" t="s">
        <v>120</v>
      </c>
      <c r="M2764" s="18" t="s">
        <v>5734</v>
      </c>
      <c r="N2764" s="18"/>
      <c r="O2764" s="18" t="s">
        <v>5735</v>
      </c>
      <c r="P2764" s="18" t="str">
        <f>HYPERLINK("https://ceds.ed.gov/cedselementdetails.aspx?termid=13157")</f>
        <v>https://ceds.ed.gov/cedselementdetails.aspx?termid=13157</v>
      </c>
      <c r="Q2764" s="18" t="str">
        <f>HYPERLINK("https://ceds.ed.gov/elementComment.aspx?elementName=Student Identifier &amp;elementID=13157", "Click here to submit comment")</f>
        <v>Click here to submit comment</v>
      </c>
    </row>
    <row r="2765" spans="1:17" x14ac:dyDescent="0.25">
      <c r="A2765" s="18"/>
      <c r="B2765" s="18"/>
      <c r="C2765" s="18"/>
      <c r="D2765" s="18"/>
      <c r="E2765" s="18"/>
      <c r="F2765" s="18"/>
      <c r="G2765" s="18"/>
      <c r="H2765" s="18"/>
      <c r="I2765" s="18"/>
      <c r="J2765" s="18"/>
      <c r="K2765" s="18"/>
      <c r="L2765" s="9"/>
      <c r="M2765" s="18"/>
      <c r="N2765" s="18"/>
      <c r="O2765" s="18"/>
      <c r="P2765" s="18"/>
      <c r="Q2765" s="18"/>
    </row>
    <row r="2766" spans="1:17" ht="90" x14ac:dyDescent="0.25">
      <c r="A2766" s="18"/>
      <c r="B2766" s="18"/>
      <c r="C2766" s="18"/>
      <c r="D2766" s="18"/>
      <c r="E2766" s="18"/>
      <c r="F2766" s="18"/>
      <c r="G2766" s="18"/>
      <c r="H2766" s="18"/>
      <c r="I2766" s="18"/>
      <c r="J2766" s="18"/>
      <c r="K2766" s="18"/>
      <c r="L2766" s="9" t="s">
        <v>121</v>
      </c>
      <c r="M2766" s="18"/>
      <c r="N2766" s="18"/>
      <c r="O2766" s="18"/>
      <c r="P2766" s="18"/>
      <c r="Q2766" s="18"/>
    </row>
    <row r="2767" spans="1:17" ht="210" x14ac:dyDescent="0.25">
      <c r="A2767" s="9" t="s">
        <v>6878</v>
      </c>
      <c r="B2767" s="9" t="s">
        <v>6879</v>
      </c>
      <c r="C2767" s="9" t="s">
        <v>6744</v>
      </c>
      <c r="D2767" s="9" t="s">
        <v>6742</v>
      </c>
      <c r="E2767" s="9" t="s">
        <v>5728</v>
      </c>
      <c r="F2767" s="9" t="s">
        <v>5729</v>
      </c>
      <c r="G2767" s="10" t="s">
        <v>6706</v>
      </c>
      <c r="H2767" s="9" t="s">
        <v>6290</v>
      </c>
      <c r="I2767" s="9"/>
      <c r="J2767" s="9"/>
      <c r="K2767" s="9"/>
      <c r="L2767" s="9"/>
      <c r="M2767" s="9" t="s">
        <v>5730</v>
      </c>
      <c r="N2767" s="9"/>
      <c r="O2767" s="9" t="s">
        <v>5731</v>
      </c>
      <c r="P2767" s="9" t="str">
        <f>HYPERLINK("https://ceds.ed.gov/cedselementdetails.aspx?termid=13163")</f>
        <v>https://ceds.ed.gov/cedselementdetails.aspx?termid=13163</v>
      </c>
      <c r="Q2767" s="9" t="str">
        <f>HYPERLINK("https://ceds.ed.gov/elementComment.aspx?elementName=Student Identification System &amp;elementID=13163", "Click here to submit comment")</f>
        <v>Click here to submit comment</v>
      </c>
    </row>
    <row r="2768" spans="1:17" ht="255" x14ac:dyDescent="0.25">
      <c r="A2768" s="9" t="s">
        <v>6878</v>
      </c>
      <c r="B2768" s="9" t="s">
        <v>6879</v>
      </c>
      <c r="C2768" s="9" t="s">
        <v>6744</v>
      </c>
      <c r="D2768" s="9" t="s">
        <v>6742</v>
      </c>
      <c r="E2768" s="9" t="s">
        <v>4606</v>
      </c>
      <c r="F2768" s="9" t="s">
        <v>4607</v>
      </c>
      <c r="G2768" s="10" t="s">
        <v>6637</v>
      </c>
      <c r="H2768" s="9"/>
      <c r="I2768" s="9"/>
      <c r="J2768" s="9"/>
      <c r="K2768" s="9"/>
      <c r="L2768" s="9"/>
      <c r="M2768" s="9" t="s">
        <v>4608</v>
      </c>
      <c r="N2768" s="9"/>
      <c r="O2768" s="9" t="s">
        <v>4609</v>
      </c>
      <c r="P2768" s="9" t="str">
        <f>HYPERLINK("https://ceds.ed.gov/cedselementdetails.aspx?termid=13611")</f>
        <v>https://ceds.ed.gov/cedselementdetails.aspx?termid=13611</v>
      </c>
      <c r="Q2768" s="9" t="str">
        <f>HYPERLINK("https://ceds.ed.gov/elementComment.aspx?elementName=Personal Information Verification &amp;elementID=13611", "Click here to submit comment")</f>
        <v>Click here to submit comment</v>
      </c>
    </row>
    <row r="2769" spans="1:17" ht="210" x14ac:dyDescent="0.25">
      <c r="A2769" s="9" t="s">
        <v>6878</v>
      </c>
      <c r="B2769" s="9" t="s">
        <v>6879</v>
      </c>
      <c r="C2769" s="9" t="s">
        <v>6745</v>
      </c>
      <c r="D2769" s="9" t="s">
        <v>6742</v>
      </c>
      <c r="E2769" s="9" t="s">
        <v>170</v>
      </c>
      <c r="F2769" s="9" t="s">
        <v>171</v>
      </c>
      <c r="G2769" s="10" t="s">
        <v>6319</v>
      </c>
      <c r="H2769" s="9" t="s">
        <v>6115</v>
      </c>
      <c r="I2769" s="9"/>
      <c r="J2769" s="9" t="s">
        <v>87</v>
      </c>
      <c r="K2769" s="9"/>
      <c r="L2769" s="9"/>
      <c r="M2769" s="9" t="s">
        <v>172</v>
      </c>
      <c r="N2769" s="9"/>
      <c r="O2769" s="9" t="s">
        <v>173</v>
      </c>
      <c r="P2769" s="9" t="str">
        <f>HYPERLINK("https://ceds.ed.gov/cedselementdetails.aspx?termid=13358")</f>
        <v>https://ceds.ed.gov/cedselementdetails.aspx?termid=13358</v>
      </c>
      <c r="Q2769" s="9" t="str">
        <f>HYPERLINK("https://ceds.ed.gov/elementComment.aspx?elementName=Address Type for Learner or Family &amp;elementID=13358", "Click here to submit comment")</f>
        <v>Click here to submit comment</v>
      </c>
    </row>
    <row r="2770" spans="1:17" ht="225" x14ac:dyDescent="0.25">
      <c r="A2770" s="9" t="s">
        <v>6878</v>
      </c>
      <c r="B2770" s="9" t="s">
        <v>6879</v>
      </c>
      <c r="C2770" s="9" t="s">
        <v>6745</v>
      </c>
      <c r="D2770" s="9" t="s">
        <v>6742</v>
      </c>
      <c r="E2770" s="9" t="s">
        <v>166</v>
      </c>
      <c r="F2770" s="9" t="s">
        <v>167</v>
      </c>
      <c r="G2770" s="9" t="s">
        <v>12</v>
      </c>
      <c r="H2770" s="9" t="s">
        <v>6113</v>
      </c>
      <c r="I2770" s="9"/>
      <c r="J2770" s="9" t="s">
        <v>119</v>
      </c>
      <c r="K2770" s="9"/>
      <c r="L2770" s="9"/>
      <c r="M2770" s="9" t="s">
        <v>168</v>
      </c>
      <c r="N2770" s="9"/>
      <c r="O2770" s="9" t="s">
        <v>169</v>
      </c>
      <c r="P2770" s="9" t="str">
        <f>HYPERLINK("https://ceds.ed.gov/cedselementdetails.aspx?termid=13269")</f>
        <v>https://ceds.ed.gov/cedselementdetails.aspx?termid=13269</v>
      </c>
      <c r="Q2770" s="9" t="str">
        <f>HYPERLINK("https://ceds.ed.gov/elementComment.aspx?elementName=Address Street Number and Name &amp;elementID=13269", "Click here to submit comment")</f>
        <v>Click here to submit comment</v>
      </c>
    </row>
    <row r="2771" spans="1:17" ht="225" x14ac:dyDescent="0.25">
      <c r="A2771" s="9" t="s">
        <v>6878</v>
      </c>
      <c r="B2771" s="9" t="s">
        <v>6879</v>
      </c>
      <c r="C2771" s="9" t="s">
        <v>6745</v>
      </c>
      <c r="D2771" s="9" t="s">
        <v>6742</v>
      </c>
      <c r="E2771" s="9" t="s">
        <v>149</v>
      </c>
      <c r="F2771" s="9" t="s">
        <v>150</v>
      </c>
      <c r="G2771" s="9" t="s">
        <v>12</v>
      </c>
      <c r="H2771" s="9" t="s">
        <v>6113</v>
      </c>
      <c r="I2771" s="9"/>
      <c r="J2771" s="9" t="s">
        <v>87</v>
      </c>
      <c r="K2771" s="9"/>
      <c r="L2771" s="9"/>
      <c r="M2771" s="9" t="s">
        <v>151</v>
      </c>
      <c r="N2771" s="9"/>
      <c r="O2771" s="9" t="s">
        <v>152</v>
      </c>
      <c r="P2771" s="9" t="str">
        <f>HYPERLINK("https://ceds.ed.gov/cedselementdetails.aspx?termid=13019")</f>
        <v>https://ceds.ed.gov/cedselementdetails.aspx?termid=13019</v>
      </c>
      <c r="Q2771" s="9" t="str">
        <f>HYPERLINK("https://ceds.ed.gov/elementComment.aspx?elementName=Address Apartment Room or Suite Number &amp;elementID=13019", "Click here to submit comment")</f>
        <v>Click here to submit comment</v>
      </c>
    </row>
    <row r="2772" spans="1:17" ht="225" x14ac:dyDescent="0.25">
      <c r="A2772" s="9" t="s">
        <v>6878</v>
      </c>
      <c r="B2772" s="9" t="s">
        <v>6879</v>
      </c>
      <c r="C2772" s="9" t="s">
        <v>6745</v>
      </c>
      <c r="D2772" s="9" t="s">
        <v>6742</v>
      </c>
      <c r="E2772" s="9" t="s">
        <v>153</v>
      </c>
      <c r="F2772" s="9" t="s">
        <v>154</v>
      </c>
      <c r="G2772" s="9" t="s">
        <v>12</v>
      </c>
      <c r="H2772" s="9" t="s">
        <v>6113</v>
      </c>
      <c r="I2772" s="9"/>
      <c r="J2772" s="9" t="s">
        <v>87</v>
      </c>
      <c r="K2772" s="9"/>
      <c r="L2772" s="9"/>
      <c r="M2772" s="9" t="s">
        <v>155</v>
      </c>
      <c r="N2772" s="9"/>
      <c r="O2772" s="9" t="s">
        <v>156</v>
      </c>
      <c r="P2772" s="9" t="str">
        <f>HYPERLINK("https://ceds.ed.gov/cedselementdetails.aspx?termid=13040")</f>
        <v>https://ceds.ed.gov/cedselementdetails.aspx?termid=13040</v>
      </c>
      <c r="Q2772" s="9" t="str">
        <f>HYPERLINK("https://ceds.ed.gov/elementComment.aspx?elementName=Address City &amp;elementID=13040", "Click here to submit comment")</f>
        <v>Click here to submit comment</v>
      </c>
    </row>
    <row r="2773" spans="1:17" ht="409.5" x14ac:dyDescent="0.25">
      <c r="A2773" s="9" t="s">
        <v>6878</v>
      </c>
      <c r="B2773" s="9" t="s">
        <v>6879</v>
      </c>
      <c r="C2773" s="9" t="s">
        <v>6745</v>
      </c>
      <c r="D2773" s="9" t="s">
        <v>6742</v>
      </c>
      <c r="E2773" s="9" t="s">
        <v>5647</v>
      </c>
      <c r="F2773" s="9" t="s">
        <v>5648</v>
      </c>
      <c r="G2773" s="10" t="s">
        <v>6702</v>
      </c>
      <c r="H2773" s="9" t="s">
        <v>6285</v>
      </c>
      <c r="I2773" s="9"/>
      <c r="J2773" s="9"/>
      <c r="K2773" s="9"/>
      <c r="L2773" s="9"/>
      <c r="M2773" s="9" t="s">
        <v>5649</v>
      </c>
      <c r="N2773" s="9"/>
      <c r="O2773" s="9" t="s">
        <v>5650</v>
      </c>
      <c r="P2773" s="9" t="str">
        <f>HYPERLINK("https://ceds.ed.gov/cedselementdetails.aspx?termid=13267")</f>
        <v>https://ceds.ed.gov/cedselementdetails.aspx?termid=13267</v>
      </c>
      <c r="Q2773" s="9" t="str">
        <f>HYPERLINK("https://ceds.ed.gov/elementComment.aspx?elementName=State Abbreviation &amp;elementID=13267", "Click here to submit comment")</f>
        <v>Click here to submit comment</v>
      </c>
    </row>
    <row r="2774" spans="1:17" ht="225" x14ac:dyDescent="0.25">
      <c r="A2774" s="9" t="s">
        <v>6878</v>
      </c>
      <c r="B2774" s="9" t="s">
        <v>6879</v>
      </c>
      <c r="C2774" s="9" t="s">
        <v>6745</v>
      </c>
      <c r="D2774" s="9" t="s">
        <v>6742</v>
      </c>
      <c r="E2774" s="9" t="s">
        <v>161</v>
      </c>
      <c r="F2774" s="9" t="s">
        <v>162</v>
      </c>
      <c r="G2774" s="9" t="s">
        <v>12</v>
      </c>
      <c r="H2774" s="9" t="s">
        <v>6113</v>
      </c>
      <c r="I2774" s="9"/>
      <c r="J2774" s="9" t="s">
        <v>163</v>
      </c>
      <c r="K2774" s="9"/>
      <c r="L2774" s="9"/>
      <c r="M2774" s="9" t="s">
        <v>164</v>
      </c>
      <c r="N2774" s="9"/>
      <c r="O2774" s="9" t="s">
        <v>165</v>
      </c>
      <c r="P2774" s="9" t="str">
        <f>HYPERLINK("https://ceds.ed.gov/cedselementdetails.aspx?termid=13214")</f>
        <v>https://ceds.ed.gov/cedselementdetails.aspx?termid=13214</v>
      </c>
      <c r="Q2774" s="9" t="str">
        <f>HYPERLINK("https://ceds.ed.gov/elementComment.aspx?elementName=Address Postal Code &amp;elementID=13214", "Click here to submit comment")</f>
        <v>Click here to submit comment</v>
      </c>
    </row>
    <row r="2775" spans="1:17" ht="225" x14ac:dyDescent="0.25">
      <c r="A2775" s="9" t="s">
        <v>6878</v>
      </c>
      <c r="B2775" s="9" t="s">
        <v>6879</v>
      </c>
      <c r="C2775" s="9" t="s">
        <v>6745</v>
      </c>
      <c r="D2775" s="9" t="s">
        <v>6742</v>
      </c>
      <c r="E2775" s="9" t="s">
        <v>157</v>
      </c>
      <c r="F2775" s="9" t="s">
        <v>158</v>
      </c>
      <c r="G2775" s="9" t="s">
        <v>12</v>
      </c>
      <c r="H2775" s="9" t="s">
        <v>6113</v>
      </c>
      <c r="I2775" s="9"/>
      <c r="J2775" s="9" t="s">
        <v>87</v>
      </c>
      <c r="K2775" s="9"/>
      <c r="L2775" s="9"/>
      <c r="M2775" s="9" t="s">
        <v>159</v>
      </c>
      <c r="N2775" s="9"/>
      <c r="O2775" s="9" t="s">
        <v>160</v>
      </c>
      <c r="P2775" s="9" t="str">
        <f>HYPERLINK("https://ceds.ed.gov/cedselementdetails.aspx?termid=13190")</f>
        <v>https://ceds.ed.gov/cedselementdetails.aspx?termid=13190</v>
      </c>
      <c r="Q2775" s="9" t="str">
        <f>HYPERLINK("https://ceds.ed.gov/elementComment.aspx?elementName=Address County Name &amp;elementID=13190", "Click here to submit comment")</f>
        <v>Click here to submit comment</v>
      </c>
    </row>
    <row r="2776" spans="1:17" ht="409.5" x14ac:dyDescent="0.25">
      <c r="A2776" s="9" t="s">
        <v>6878</v>
      </c>
      <c r="B2776" s="9" t="s">
        <v>6879</v>
      </c>
      <c r="C2776" s="9" t="s">
        <v>6745</v>
      </c>
      <c r="D2776" s="9" t="s">
        <v>6742</v>
      </c>
      <c r="E2776" s="9" t="s">
        <v>1885</v>
      </c>
      <c r="F2776" s="9" t="s">
        <v>1886</v>
      </c>
      <c r="G2776" s="10" t="s">
        <v>11839</v>
      </c>
      <c r="H2776" s="9" t="s">
        <v>6174</v>
      </c>
      <c r="I2776" s="9"/>
      <c r="J2776" s="9"/>
      <c r="K2776" s="9"/>
      <c r="L2776" s="11" t="s">
        <v>1887</v>
      </c>
      <c r="M2776" s="9" t="s">
        <v>1888</v>
      </c>
      <c r="N2776" s="9"/>
      <c r="O2776" s="9" t="s">
        <v>1889</v>
      </c>
      <c r="P2776" s="9" t="str">
        <f>HYPERLINK("https://ceds.ed.gov/cedselementdetails.aspx?termid=13050")</f>
        <v>https://ceds.ed.gov/cedselementdetails.aspx?termid=13050</v>
      </c>
      <c r="Q2776" s="9" t="str">
        <f>HYPERLINK("https://ceds.ed.gov/elementComment.aspx?elementName=Country Code &amp;elementID=13050", "Click here to submit comment")</f>
        <v>Click here to submit comment</v>
      </c>
    </row>
    <row r="2777" spans="1:17" ht="75" x14ac:dyDescent="0.25">
      <c r="A2777" s="9" t="s">
        <v>6878</v>
      </c>
      <c r="B2777" s="9" t="s">
        <v>6879</v>
      </c>
      <c r="C2777" s="9" t="s">
        <v>6745</v>
      </c>
      <c r="D2777" s="9" t="s">
        <v>6742</v>
      </c>
      <c r="E2777" s="9" t="s">
        <v>3606</v>
      </c>
      <c r="F2777" s="9" t="s">
        <v>3607</v>
      </c>
      <c r="G2777" s="9" t="s">
        <v>12</v>
      </c>
      <c r="H2777" s="9"/>
      <c r="I2777" s="9"/>
      <c r="J2777" s="9" t="s">
        <v>1165</v>
      </c>
      <c r="K2777" s="9"/>
      <c r="L2777" s="9"/>
      <c r="M2777" s="9" t="s">
        <v>3608</v>
      </c>
      <c r="N2777" s="9"/>
      <c r="O2777" s="9" t="s">
        <v>3606</v>
      </c>
      <c r="P2777" s="9" t="str">
        <f>HYPERLINK("https://ceds.ed.gov/cedselementdetails.aspx?termid=13599")</f>
        <v>https://ceds.ed.gov/cedselementdetails.aspx?termid=13599</v>
      </c>
      <c r="Q2777" s="9" t="str">
        <f>HYPERLINK("https://ceds.ed.gov/elementComment.aspx?elementName=Latitude &amp;elementID=13599", "Click here to submit comment")</f>
        <v>Click here to submit comment</v>
      </c>
    </row>
    <row r="2778" spans="1:17" ht="75" x14ac:dyDescent="0.25">
      <c r="A2778" s="9" t="s">
        <v>6878</v>
      </c>
      <c r="B2778" s="9" t="s">
        <v>6879</v>
      </c>
      <c r="C2778" s="9" t="s">
        <v>6745</v>
      </c>
      <c r="D2778" s="9" t="s">
        <v>6742</v>
      </c>
      <c r="E2778" s="9" t="s">
        <v>4139</v>
      </c>
      <c r="F2778" s="9" t="s">
        <v>4140</v>
      </c>
      <c r="G2778" s="9" t="s">
        <v>12</v>
      </c>
      <c r="H2778" s="9"/>
      <c r="I2778" s="9"/>
      <c r="J2778" s="9" t="s">
        <v>1165</v>
      </c>
      <c r="K2778" s="9"/>
      <c r="L2778" s="9"/>
      <c r="M2778" s="9" t="s">
        <v>4141</v>
      </c>
      <c r="N2778" s="9"/>
      <c r="O2778" s="9" t="s">
        <v>4139</v>
      </c>
      <c r="P2778" s="9" t="str">
        <f>HYPERLINK("https://ceds.ed.gov/cedselementdetails.aspx?termid=13600")</f>
        <v>https://ceds.ed.gov/cedselementdetails.aspx?termid=13600</v>
      </c>
      <c r="Q2778" s="9" t="str">
        <f>HYPERLINK("https://ceds.ed.gov/elementComment.aspx?elementName=Longitude &amp;elementID=13600", "Click here to submit comment")</f>
        <v>Click here to submit comment</v>
      </c>
    </row>
    <row r="2779" spans="1:17" ht="90" x14ac:dyDescent="0.25">
      <c r="A2779" s="9" t="s">
        <v>6878</v>
      </c>
      <c r="B2779" s="9" t="s">
        <v>6879</v>
      </c>
      <c r="C2779" s="9" t="s">
        <v>6747</v>
      </c>
      <c r="D2779" s="9" t="s">
        <v>6742</v>
      </c>
      <c r="E2779" s="9" t="s">
        <v>5849</v>
      </c>
      <c r="F2779" s="9" t="s">
        <v>5850</v>
      </c>
      <c r="G2779" s="9" t="s">
        <v>12</v>
      </c>
      <c r="H2779" s="9" t="s">
        <v>6109</v>
      </c>
      <c r="I2779" s="9"/>
      <c r="J2779" s="9" t="s">
        <v>5851</v>
      </c>
      <c r="K2779" s="9"/>
      <c r="L2779" s="9"/>
      <c r="M2779" s="9" t="s">
        <v>5852</v>
      </c>
      <c r="N2779" s="9"/>
      <c r="O2779" s="9" t="s">
        <v>5853</v>
      </c>
      <c r="P2779" s="9" t="str">
        <f>HYPERLINK("https://ceds.ed.gov/cedselementdetails.aspx?termid=13279")</f>
        <v>https://ceds.ed.gov/cedselementdetails.aspx?termid=13279</v>
      </c>
      <c r="Q2779" s="9" t="str">
        <f>HYPERLINK("https://ceds.ed.gov/elementComment.aspx?elementName=Telephone Number &amp;elementID=13279", "Click here to submit comment")</f>
        <v>Click here to submit comment</v>
      </c>
    </row>
    <row r="2780" spans="1:17" ht="90" x14ac:dyDescent="0.25">
      <c r="A2780" s="9" t="s">
        <v>6878</v>
      </c>
      <c r="B2780" s="9" t="s">
        <v>6879</v>
      </c>
      <c r="C2780" s="9" t="s">
        <v>6747</v>
      </c>
      <c r="D2780" s="9" t="s">
        <v>6742</v>
      </c>
      <c r="E2780" s="9" t="s">
        <v>5854</v>
      </c>
      <c r="F2780" s="9" t="s">
        <v>5855</v>
      </c>
      <c r="G2780" s="10" t="s">
        <v>6717</v>
      </c>
      <c r="H2780" s="9" t="s">
        <v>6109</v>
      </c>
      <c r="I2780" s="9"/>
      <c r="J2780" s="9" t="s">
        <v>1900</v>
      </c>
      <c r="K2780" s="9"/>
      <c r="L2780" s="9"/>
      <c r="M2780" s="9" t="s">
        <v>5856</v>
      </c>
      <c r="N2780" s="9"/>
      <c r="O2780" s="9" t="s">
        <v>5857</v>
      </c>
      <c r="P2780" s="9" t="str">
        <f>HYPERLINK("https://ceds.ed.gov/cedselementdetails.aspx?termid=13280")</f>
        <v>https://ceds.ed.gov/cedselementdetails.aspx?termid=13280</v>
      </c>
      <c r="Q2780" s="9" t="str">
        <f>HYPERLINK("https://ceds.ed.gov/elementComment.aspx?elementName=Telephone Number Type &amp;elementID=13280", "Click here to submit comment")</f>
        <v>Click here to submit comment</v>
      </c>
    </row>
    <row r="2781" spans="1:17" ht="90" x14ac:dyDescent="0.25">
      <c r="A2781" s="9" t="s">
        <v>6878</v>
      </c>
      <c r="B2781" s="9" t="s">
        <v>6879</v>
      </c>
      <c r="C2781" s="9" t="s">
        <v>6747</v>
      </c>
      <c r="D2781" s="9" t="s">
        <v>6742</v>
      </c>
      <c r="E2781" s="9" t="s">
        <v>4709</v>
      </c>
      <c r="F2781" s="9" t="s">
        <v>4710</v>
      </c>
      <c r="G2781" s="9" t="s">
        <v>6106</v>
      </c>
      <c r="H2781" s="9" t="s">
        <v>6109</v>
      </c>
      <c r="I2781" s="9"/>
      <c r="J2781" s="9"/>
      <c r="K2781" s="9"/>
      <c r="L2781" s="9"/>
      <c r="M2781" s="9" t="s">
        <v>4711</v>
      </c>
      <c r="N2781" s="9"/>
      <c r="O2781" s="9" t="s">
        <v>4712</v>
      </c>
      <c r="P2781" s="9" t="str">
        <f>HYPERLINK("https://ceds.ed.gov/cedselementdetails.aspx?termid=13219")</f>
        <v>https://ceds.ed.gov/cedselementdetails.aspx?termid=13219</v>
      </c>
      <c r="Q2781" s="9" t="str">
        <f>HYPERLINK("https://ceds.ed.gov/elementComment.aspx?elementName=Primary Telephone Number Indicator &amp;elementID=13219", "Click here to submit comment")</f>
        <v>Click here to submit comment</v>
      </c>
    </row>
    <row r="2782" spans="1:17" ht="90" x14ac:dyDescent="0.25">
      <c r="A2782" s="9" t="s">
        <v>6878</v>
      </c>
      <c r="B2782" s="9" t="s">
        <v>6879</v>
      </c>
      <c r="C2782" s="9" t="s">
        <v>6773</v>
      </c>
      <c r="D2782" s="9" t="s">
        <v>6742</v>
      </c>
      <c r="E2782" s="9" t="s">
        <v>2584</v>
      </c>
      <c r="F2782" s="9" t="s">
        <v>2585</v>
      </c>
      <c r="G2782" s="9" t="s">
        <v>12</v>
      </c>
      <c r="H2782" s="9" t="s">
        <v>6109</v>
      </c>
      <c r="I2782" s="9"/>
      <c r="J2782" s="9" t="s">
        <v>11127</v>
      </c>
      <c r="K2782" s="9"/>
      <c r="L2782" s="9"/>
      <c r="M2782" s="9" t="s">
        <v>2586</v>
      </c>
      <c r="N2782" s="9" t="s">
        <v>2587</v>
      </c>
      <c r="O2782" s="9" t="s">
        <v>2588</v>
      </c>
      <c r="P2782" s="9" t="str">
        <f>HYPERLINK("https://ceds.ed.gov/cedselementdetails.aspx?termid=13088")</f>
        <v>https://ceds.ed.gov/cedselementdetails.aspx?termid=13088</v>
      </c>
      <c r="Q2782" s="9" t="str">
        <f>HYPERLINK("https://ceds.ed.gov/elementComment.aspx?elementName=Electronic Mail Address &amp;elementID=13088", "Click here to submit comment")</f>
        <v>Click here to submit comment</v>
      </c>
    </row>
    <row r="2783" spans="1:17" ht="90" x14ac:dyDescent="0.25">
      <c r="A2783" s="9" t="s">
        <v>6878</v>
      </c>
      <c r="B2783" s="9" t="s">
        <v>6879</v>
      </c>
      <c r="C2783" s="9" t="s">
        <v>6773</v>
      </c>
      <c r="D2783" s="9" t="s">
        <v>6742</v>
      </c>
      <c r="E2783" s="9" t="s">
        <v>2589</v>
      </c>
      <c r="F2783" s="9" t="s">
        <v>2590</v>
      </c>
      <c r="G2783" s="10" t="s">
        <v>6484</v>
      </c>
      <c r="H2783" s="9" t="s">
        <v>6109</v>
      </c>
      <c r="I2783" s="9"/>
      <c r="J2783" s="9"/>
      <c r="K2783" s="9"/>
      <c r="L2783" s="9"/>
      <c r="M2783" s="9" t="s">
        <v>2591</v>
      </c>
      <c r="N2783" s="9" t="s">
        <v>2592</v>
      </c>
      <c r="O2783" s="9" t="s">
        <v>2593</v>
      </c>
      <c r="P2783" s="9" t="str">
        <f>HYPERLINK("https://ceds.ed.gov/cedselementdetails.aspx?termid=13089")</f>
        <v>https://ceds.ed.gov/cedselementdetails.aspx?termid=13089</v>
      </c>
      <c r="Q2783" s="9" t="str">
        <f>HYPERLINK("https://ceds.ed.gov/elementComment.aspx?elementName=Electronic Mail Address Type &amp;elementID=13089", "Click here to submit comment")</f>
        <v>Click here to submit comment</v>
      </c>
    </row>
    <row r="2784" spans="1:17" ht="240" x14ac:dyDescent="0.25">
      <c r="A2784" s="9" t="s">
        <v>6878</v>
      </c>
      <c r="B2784" s="9" t="s">
        <v>6879</v>
      </c>
      <c r="C2784" s="9" t="s">
        <v>6748</v>
      </c>
      <c r="D2784" s="9" t="s">
        <v>6742</v>
      </c>
      <c r="E2784" s="9" t="s">
        <v>1530</v>
      </c>
      <c r="F2784" s="9" t="s">
        <v>1531</v>
      </c>
      <c r="G2784" s="9" t="s">
        <v>12</v>
      </c>
      <c r="H2784" s="9" t="s">
        <v>6151</v>
      </c>
      <c r="I2784" s="9"/>
      <c r="J2784" s="9" t="s">
        <v>73</v>
      </c>
      <c r="K2784" s="9"/>
      <c r="L2784" s="9"/>
      <c r="M2784" s="9" t="s">
        <v>1532</v>
      </c>
      <c r="N2784" s="9"/>
      <c r="O2784" s="9" t="s">
        <v>1530</v>
      </c>
      <c r="P2784" s="9" t="str">
        <f>HYPERLINK("https://ceds.ed.gov/cedselementdetails.aspx?termid=13033")</f>
        <v>https://ceds.ed.gov/cedselementdetails.aspx?termid=13033</v>
      </c>
      <c r="Q2784" s="9" t="str">
        <f>HYPERLINK("https://ceds.ed.gov/elementComment.aspx?elementName=Birthdate &amp;elementID=13033", "Click here to submit comment")</f>
        <v>Click here to submit comment</v>
      </c>
    </row>
    <row r="2785" spans="1:17" ht="255" x14ac:dyDescent="0.25">
      <c r="A2785" s="9" t="s">
        <v>6878</v>
      </c>
      <c r="B2785" s="9" t="s">
        <v>6879</v>
      </c>
      <c r="C2785" s="9" t="s">
        <v>6748</v>
      </c>
      <c r="D2785" s="9" t="s">
        <v>6742</v>
      </c>
      <c r="E2785" s="9" t="s">
        <v>5468</v>
      </c>
      <c r="F2785" s="9" t="s">
        <v>5469</v>
      </c>
      <c r="G2785" s="10" t="s">
        <v>6694</v>
      </c>
      <c r="H2785" s="9" t="s">
        <v>6277</v>
      </c>
      <c r="I2785" s="9"/>
      <c r="J2785" s="9"/>
      <c r="K2785" s="9"/>
      <c r="L2785" s="9" t="s">
        <v>5470</v>
      </c>
      <c r="M2785" s="9" t="s">
        <v>5471</v>
      </c>
      <c r="N2785" s="9"/>
      <c r="O2785" s="9" t="s">
        <v>5468</v>
      </c>
      <c r="P2785" s="9" t="str">
        <f>HYPERLINK("https://ceds.ed.gov/cedselementdetails.aspx?termid=13255")</f>
        <v>https://ceds.ed.gov/cedselementdetails.aspx?termid=13255</v>
      </c>
      <c r="Q2785" s="9" t="str">
        <f>HYPERLINK("https://ceds.ed.gov/elementComment.aspx?elementName=Sex &amp;elementID=13255", "Click here to submit comment")</f>
        <v>Click here to submit comment</v>
      </c>
    </row>
    <row r="2786" spans="1:17" ht="165" customHeight="1" x14ac:dyDescent="0.25">
      <c r="A2786" s="18" t="s">
        <v>6878</v>
      </c>
      <c r="B2786" s="18" t="s">
        <v>6879</v>
      </c>
      <c r="C2786" s="18" t="s">
        <v>6748</v>
      </c>
      <c r="D2786" s="18" t="s">
        <v>6742</v>
      </c>
      <c r="E2786" s="18" t="s">
        <v>334</v>
      </c>
      <c r="F2786" s="18" t="s">
        <v>335</v>
      </c>
      <c r="G2786" s="19" t="s">
        <v>6342</v>
      </c>
      <c r="H2786" s="18" t="s">
        <v>6121</v>
      </c>
      <c r="I2786" s="18"/>
      <c r="J2786" s="18"/>
      <c r="K2786" s="18"/>
      <c r="L2786" s="9" t="s">
        <v>336</v>
      </c>
      <c r="M2786" s="18" t="s">
        <v>340</v>
      </c>
      <c r="N2786" s="18"/>
      <c r="O2786" s="18" t="s">
        <v>341</v>
      </c>
      <c r="P2786" s="18" t="str">
        <f>HYPERLINK("https://ceds.ed.gov/cedselementdetails.aspx?termid=13655")</f>
        <v>https://ceds.ed.gov/cedselementdetails.aspx?termid=13655</v>
      </c>
      <c r="Q2786" s="18" t="str">
        <f>HYPERLINK("https://ceds.ed.gov/elementComment.aspx?elementName=American Indian or Alaska Native &amp;elementID=13655", "Click here to submit comment")</f>
        <v>Click here to submit comment</v>
      </c>
    </row>
    <row r="2787" spans="1:17" x14ac:dyDescent="0.25">
      <c r="A2787" s="18"/>
      <c r="B2787" s="18"/>
      <c r="C2787" s="18"/>
      <c r="D2787" s="18"/>
      <c r="E2787" s="18"/>
      <c r="F2787" s="18"/>
      <c r="G2787" s="18"/>
      <c r="H2787" s="18"/>
      <c r="I2787" s="18"/>
      <c r="J2787" s="18"/>
      <c r="K2787" s="18"/>
      <c r="L2787" s="9"/>
      <c r="M2787" s="18"/>
      <c r="N2787" s="18"/>
      <c r="O2787" s="18"/>
      <c r="P2787" s="18"/>
      <c r="Q2787" s="18"/>
    </row>
    <row r="2788" spans="1:17" x14ac:dyDescent="0.25">
      <c r="A2788" s="18"/>
      <c r="B2788" s="18"/>
      <c r="C2788" s="18"/>
      <c r="D2788" s="18"/>
      <c r="E2788" s="18"/>
      <c r="F2788" s="18"/>
      <c r="G2788" s="18"/>
      <c r="H2788" s="18"/>
      <c r="I2788" s="18"/>
      <c r="J2788" s="18"/>
      <c r="K2788" s="18"/>
      <c r="L2788" s="9" t="s">
        <v>337</v>
      </c>
      <c r="M2788" s="18"/>
      <c r="N2788" s="18"/>
      <c r="O2788" s="18"/>
      <c r="P2788" s="18"/>
      <c r="Q2788" s="18"/>
    </row>
    <row r="2789" spans="1:17" ht="30" x14ac:dyDescent="0.25">
      <c r="A2789" s="18"/>
      <c r="B2789" s="18"/>
      <c r="C2789" s="18"/>
      <c r="D2789" s="18"/>
      <c r="E2789" s="18"/>
      <c r="F2789" s="18"/>
      <c r="G2789" s="18"/>
      <c r="H2789" s="18"/>
      <c r="I2789" s="18"/>
      <c r="J2789" s="18"/>
      <c r="K2789" s="18"/>
      <c r="L2789" s="9" t="s">
        <v>338</v>
      </c>
      <c r="M2789" s="18"/>
      <c r="N2789" s="18"/>
      <c r="O2789" s="18"/>
      <c r="P2789" s="18"/>
      <c r="Q2789" s="18"/>
    </row>
    <row r="2790" spans="1:17" x14ac:dyDescent="0.25">
      <c r="A2790" s="18"/>
      <c r="B2790" s="18"/>
      <c r="C2790" s="18"/>
      <c r="D2790" s="18"/>
      <c r="E2790" s="18"/>
      <c r="F2790" s="18"/>
      <c r="G2790" s="18"/>
      <c r="H2790" s="18"/>
      <c r="I2790" s="18"/>
      <c r="J2790" s="18"/>
      <c r="K2790" s="18"/>
      <c r="L2790" s="9" t="s">
        <v>339</v>
      </c>
      <c r="M2790" s="18"/>
      <c r="N2790" s="18"/>
      <c r="O2790" s="18"/>
      <c r="P2790" s="18"/>
      <c r="Q2790" s="18"/>
    </row>
    <row r="2791" spans="1:17" ht="165" customHeight="1" x14ac:dyDescent="0.25">
      <c r="A2791" s="18" t="s">
        <v>6878</v>
      </c>
      <c r="B2791" s="18" t="s">
        <v>6879</v>
      </c>
      <c r="C2791" s="18" t="s">
        <v>6748</v>
      </c>
      <c r="D2791" s="18" t="s">
        <v>6742</v>
      </c>
      <c r="E2791" s="18" t="s">
        <v>376</v>
      </c>
      <c r="F2791" s="18" t="s">
        <v>377</v>
      </c>
      <c r="G2791" s="19" t="s">
        <v>6342</v>
      </c>
      <c r="H2791" s="18" t="s">
        <v>6121</v>
      </c>
      <c r="I2791" s="18"/>
      <c r="J2791" s="18"/>
      <c r="K2791" s="18"/>
      <c r="L2791" s="9" t="s">
        <v>336</v>
      </c>
      <c r="M2791" s="18" t="s">
        <v>378</v>
      </c>
      <c r="N2791" s="18"/>
      <c r="O2791" s="18" t="s">
        <v>376</v>
      </c>
      <c r="P2791" s="18" t="str">
        <f>HYPERLINK("https://ceds.ed.gov/cedselementdetails.aspx?termid=13656")</f>
        <v>https://ceds.ed.gov/cedselementdetails.aspx?termid=13656</v>
      </c>
      <c r="Q2791" s="18" t="str">
        <f>HYPERLINK("https://ceds.ed.gov/elementComment.aspx?elementName=Asian &amp;elementID=13656", "Click here to submit comment")</f>
        <v>Click here to submit comment</v>
      </c>
    </row>
    <row r="2792" spans="1:17" x14ac:dyDescent="0.25">
      <c r="A2792" s="18"/>
      <c r="B2792" s="18"/>
      <c r="C2792" s="18"/>
      <c r="D2792" s="18"/>
      <c r="E2792" s="18"/>
      <c r="F2792" s="18"/>
      <c r="G2792" s="18"/>
      <c r="H2792" s="18"/>
      <c r="I2792" s="18"/>
      <c r="J2792" s="18"/>
      <c r="K2792" s="18"/>
      <c r="L2792" s="9"/>
      <c r="M2792" s="18"/>
      <c r="N2792" s="18"/>
      <c r="O2792" s="18"/>
      <c r="P2792" s="18"/>
      <c r="Q2792" s="18"/>
    </row>
    <row r="2793" spans="1:17" x14ac:dyDescent="0.25">
      <c r="A2793" s="18"/>
      <c r="B2793" s="18"/>
      <c r="C2793" s="18"/>
      <c r="D2793" s="18"/>
      <c r="E2793" s="18"/>
      <c r="F2793" s="18"/>
      <c r="G2793" s="18"/>
      <c r="H2793" s="18"/>
      <c r="I2793" s="18"/>
      <c r="J2793" s="18"/>
      <c r="K2793" s="18"/>
      <c r="L2793" s="9" t="s">
        <v>337</v>
      </c>
      <c r="M2793" s="18"/>
      <c r="N2793" s="18"/>
      <c r="O2793" s="18"/>
      <c r="P2793" s="18"/>
      <c r="Q2793" s="18"/>
    </row>
    <row r="2794" spans="1:17" ht="30" x14ac:dyDescent="0.25">
      <c r="A2794" s="18"/>
      <c r="B2794" s="18"/>
      <c r="C2794" s="18"/>
      <c r="D2794" s="18"/>
      <c r="E2794" s="18"/>
      <c r="F2794" s="18"/>
      <c r="G2794" s="18"/>
      <c r="H2794" s="18"/>
      <c r="I2794" s="18"/>
      <c r="J2794" s="18"/>
      <c r="K2794" s="18"/>
      <c r="L2794" s="9" t="s">
        <v>338</v>
      </c>
      <c r="M2794" s="18"/>
      <c r="N2794" s="18"/>
      <c r="O2794" s="18"/>
      <c r="P2794" s="18"/>
      <c r="Q2794" s="18"/>
    </row>
    <row r="2795" spans="1:17" x14ac:dyDescent="0.25">
      <c r="A2795" s="18"/>
      <c r="B2795" s="18"/>
      <c r="C2795" s="18"/>
      <c r="D2795" s="18"/>
      <c r="E2795" s="18"/>
      <c r="F2795" s="18"/>
      <c r="G2795" s="18"/>
      <c r="H2795" s="18"/>
      <c r="I2795" s="18"/>
      <c r="J2795" s="18"/>
      <c r="K2795" s="18"/>
      <c r="L2795" s="9" t="s">
        <v>339</v>
      </c>
      <c r="M2795" s="18"/>
      <c r="N2795" s="18"/>
      <c r="O2795" s="18"/>
      <c r="P2795" s="18"/>
      <c r="Q2795" s="18"/>
    </row>
    <row r="2796" spans="1:17" ht="165" customHeight="1" x14ac:dyDescent="0.25">
      <c r="A2796" s="18" t="s">
        <v>6878</v>
      </c>
      <c r="B2796" s="18" t="s">
        <v>6879</v>
      </c>
      <c r="C2796" s="18" t="s">
        <v>6748</v>
      </c>
      <c r="D2796" s="18" t="s">
        <v>6742</v>
      </c>
      <c r="E2796" s="18" t="s">
        <v>1538</v>
      </c>
      <c r="F2796" s="18" t="s">
        <v>1539</v>
      </c>
      <c r="G2796" s="19" t="s">
        <v>6342</v>
      </c>
      <c r="H2796" s="18" t="s">
        <v>6121</v>
      </c>
      <c r="I2796" s="18"/>
      <c r="J2796" s="18"/>
      <c r="K2796" s="18"/>
      <c r="L2796" s="9" t="s">
        <v>336</v>
      </c>
      <c r="M2796" s="18" t="s">
        <v>1540</v>
      </c>
      <c r="N2796" s="18"/>
      <c r="O2796" s="18" t="s">
        <v>1541</v>
      </c>
      <c r="P2796" s="18" t="str">
        <f>HYPERLINK("https://ceds.ed.gov/cedselementdetails.aspx?termid=13657")</f>
        <v>https://ceds.ed.gov/cedselementdetails.aspx?termid=13657</v>
      </c>
      <c r="Q2796" s="18" t="str">
        <f>HYPERLINK("https://ceds.ed.gov/elementComment.aspx?elementName=Black or African American &amp;elementID=13657", "Click here to submit comment")</f>
        <v>Click here to submit comment</v>
      </c>
    </row>
    <row r="2797" spans="1:17" x14ac:dyDescent="0.25">
      <c r="A2797" s="18"/>
      <c r="B2797" s="18"/>
      <c r="C2797" s="18"/>
      <c r="D2797" s="18"/>
      <c r="E2797" s="18"/>
      <c r="F2797" s="18"/>
      <c r="G2797" s="18"/>
      <c r="H2797" s="18"/>
      <c r="I2797" s="18"/>
      <c r="J2797" s="18"/>
      <c r="K2797" s="18"/>
      <c r="L2797" s="9"/>
      <c r="M2797" s="18"/>
      <c r="N2797" s="18"/>
      <c r="O2797" s="18"/>
      <c r="P2797" s="18"/>
      <c r="Q2797" s="18"/>
    </row>
    <row r="2798" spans="1:17" x14ac:dyDescent="0.25">
      <c r="A2798" s="18"/>
      <c r="B2798" s="18"/>
      <c r="C2798" s="18"/>
      <c r="D2798" s="18"/>
      <c r="E2798" s="18"/>
      <c r="F2798" s="18"/>
      <c r="G2798" s="18"/>
      <c r="H2798" s="18"/>
      <c r="I2798" s="18"/>
      <c r="J2798" s="18"/>
      <c r="K2798" s="18"/>
      <c r="L2798" s="9" t="s">
        <v>337</v>
      </c>
      <c r="M2798" s="18"/>
      <c r="N2798" s="18"/>
      <c r="O2798" s="18"/>
      <c r="P2798" s="18"/>
      <c r="Q2798" s="18"/>
    </row>
    <row r="2799" spans="1:17" ht="30" x14ac:dyDescent="0.25">
      <c r="A2799" s="18"/>
      <c r="B2799" s="18"/>
      <c r="C2799" s="18"/>
      <c r="D2799" s="18"/>
      <c r="E2799" s="18"/>
      <c r="F2799" s="18"/>
      <c r="G2799" s="18"/>
      <c r="H2799" s="18"/>
      <c r="I2799" s="18"/>
      <c r="J2799" s="18"/>
      <c r="K2799" s="18"/>
      <c r="L2799" s="9" t="s">
        <v>338</v>
      </c>
      <c r="M2799" s="18"/>
      <c r="N2799" s="18"/>
      <c r="O2799" s="18"/>
      <c r="P2799" s="18"/>
      <c r="Q2799" s="18"/>
    </row>
    <row r="2800" spans="1:17" x14ac:dyDescent="0.25">
      <c r="A2800" s="18"/>
      <c r="B2800" s="18"/>
      <c r="C2800" s="18"/>
      <c r="D2800" s="18"/>
      <c r="E2800" s="18"/>
      <c r="F2800" s="18"/>
      <c r="G2800" s="18"/>
      <c r="H2800" s="18"/>
      <c r="I2800" s="18"/>
      <c r="J2800" s="18"/>
      <c r="K2800" s="18"/>
      <c r="L2800" s="9" t="s">
        <v>339</v>
      </c>
      <c r="M2800" s="18"/>
      <c r="N2800" s="18"/>
      <c r="O2800" s="18"/>
      <c r="P2800" s="18"/>
      <c r="Q2800" s="18"/>
    </row>
    <row r="2801" spans="1:17" ht="165" customHeight="1" x14ac:dyDescent="0.25">
      <c r="A2801" s="18" t="s">
        <v>6878</v>
      </c>
      <c r="B2801" s="18" t="s">
        <v>6879</v>
      </c>
      <c r="C2801" s="18" t="s">
        <v>6748</v>
      </c>
      <c r="D2801" s="18" t="s">
        <v>6742</v>
      </c>
      <c r="E2801" s="18" t="s">
        <v>4314</v>
      </c>
      <c r="F2801" s="18" t="s">
        <v>4315</v>
      </c>
      <c r="G2801" s="19" t="s">
        <v>6342</v>
      </c>
      <c r="H2801" s="18" t="s">
        <v>6121</v>
      </c>
      <c r="I2801" s="18"/>
      <c r="J2801" s="18"/>
      <c r="K2801" s="18"/>
      <c r="L2801" s="9" t="s">
        <v>336</v>
      </c>
      <c r="M2801" s="18" t="s">
        <v>4316</v>
      </c>
      <c r="N2801" s="18"/>
      <c r="O2801" s="18" t="s">
        <v>4317</v>
      </c>
      <c r="P2801" s="18" t="str">
        <f>HYPERLINK("https://ceds.ed.gov/cedselementdetails.aspx?termid=13658")</f>
        <v>https://ceds.ed.gov/cedselementdetails.aspx?termid=13658</v>
      </c>
      <c r="Q2801" s="18" t="str">
        <f>HYPERLINK("https://ceds.ed.gov/elementComment.aspx?elementName=Native Hawaiian or Other Pacific Islander &amp;elementID=13658", "Click here to submit comment")</f>
        <v>Click here to submit comment</v>
      </c>
    </row>
    <row r="2802" spans="1:17" x14ac:dyDescent="0.25">
      <c r="A2802" s="18"/>
      <c r="B2802" s="18"/>
      <c r="C2802" s="18"/>
      <c r="D2802" s="18"/>
      <c r="E2802" s="18"/>
      <c r="F2802" s="18"/>
      <c r="G2802" s="18"/>
      <c r="H2802" s="18"/>
      <c r="I2802" s="18"/>
      <c r="J2802" s="18"/>
      <c r="K2802" s="18"/>
      <c r="L2802" s="9"/>
      <c r="M2802" s="18"/>
      <c r="N2802" s="18"/>
      <c r="O2802" s="18"/>
      <c r="P2802" s="18"/>
      <c r="Q2802" s="18"/>
    </row>
    <row r="2803" spans="1:17" x14ac:dyDescent="0.25">
      <c r="A2803" s="18"/>
      <c r="B2803" s="18"/>
      <c r="C2803" s="18"/>
      <c r="D2803" s="18"/>
      <c r="E2803" s="18"/>
      <c r="F2803" s="18"/>
      <c r="G2803" s="18"/>
      <c r="H2803" s="18"/>
      <c r="I2803" s="18"/>
      <c r="J2803" s="18"/>
      <c r="K2803" s="18"/>
      <c r="L2803" s="9" t="s">
        <v>337</v>
      </c>
      <c r="M2803" s="18"/>
      <c r="N2803" s="18"/>
      <c r="O2803" s="18"/>
      <c r="P2803" s="18"/>
      <c r="Q2803" s="18"/>
    </row>
    <row r="2804" spans="1:17" ht="30" x14ac:dyDescent="0.25">
      <c r="A2804" s="18"/>
      <c r="B2804" s="18"/>
      <c r="C2804" s="18"/>
      <c r="D2804" s="18"/>
      <c r="E2804" s="18"/>
      <c r="F2804" s="18"/>
      <c r="G2804" s="18"/>
      <c r="H2804" s="18"/>
      <c r="I2804" s="18"/>
      <c r="J2804" s="18"/>
      <c r="K2804" s="18"/>
      <c r="L2804" s="9" t="s">
        <v>338</v>
      </c>
      <c r="M2804" s="18"/>
      <c r="N2804" s="18"/>
      <c r="O2804" s="18"/>
      <c r="P2804" s="18"/>
      <c r="Q2804" s="18"/>
    </row>
    <row r="2805" spans="1:17" x14ac:dyDescent="0.25">
      <c r="A2805" s="18"/>
      <c r="B2805" s="18"/>
      <c r="C2805" s="18"/>
      <c r="D2805" s="18"/>
      <c r="E2805" s="18"/>
      <c r="F2805" s="18"/>
      <c r="G2805" s="18"/>
      <c r="H2805" s="18"/>
      <c r="I2805" s="18"/>
      <c r="J2805" s="18"/>
      <c r="K2805" s="18"/>
      <c r="L2805" s="9" t="s">
        <v>339</v>
      </c>
      <c r="M2805" s="18"/>
      <c r="N2805" s="18"/>
      <c r="O2805" s="18"/>
      <c r="P2805" s="18"/>
      <c r="Q2805" s="18"/>
    </row>
    <row r="2806" spans="1:17" ht="165" customHeight="1" x14ac:dyDescent="0.25">
      <c r="A2806" s="18" t="s">
        <v>6878</v>
      </c>
      <c r="B2806" s="18" t="s">
        <v>6879</v>
      </c>
      <c r="C2806" s="18" t="s">
        <v>6748</v>
      </c>
      <c r="D2806" s="18" t="s">
        <v>6742</v>
      </c>
      <c r="E2806" s="18" t="s">
        <v>6077</v>
      </c>
      <c r="F2806" s="18" t="s">
        <v>6078</v>
      </c>
      <c r="G2806" s="19" t="s">
        <v>6342</v>
      </c>
      <c r="H2806" s="18" t="s">
        <v>6121</v>
      </c>
      <c r="I2806" s="18"/>
      <c r="J2806" s="18"/>
      <c r="K2806" s="18"/>
      <c r="L2806" s="9" t="s">
        <v>336</v>
      </c>
      <c r="M2806" s="18" t="s">
        <v>6079</v>
      </c>
      <c r="N2806" s="18"/>
      <c r="O2806" s="18" t="s">
        <v>6077</v>
      </c>
      <c r="P2806" s="18" t="str">
        <f>HYPERLINK("https://ceds.ed.gov/cedselementdetails.aspx?termid=13659")</f>
        <v>https://ceds.ed.gov/cedselementdetails.aspx?termid=13659</v>
      </c>
      <c r="Q2806" s="18" t="str">
        <f>HYPERLINK("https://ceds.ed.gov/elementComment.aspx?elementName=White &amp;elementID=13659", "Click here to submit comment")</f>
        <v>Click here to submit comment</v>
      </c>
    </row>
    <row r="2807" spans="1:17" x14ac:dyDescent="0.25">
      <c r="A2807" s="18"/>
      <c r="B2807" s="18"/>
      <c r="C2807" s="18"/>
      <c r="D2807" s="18"/>
      <c r="E2807" s="18"/>
      <c r="F2807" s="18"/>
      <c r="G2807" s="18"/>
      <c r="H2807" s="18"/>
      <c r="I2807" s="18"/>
      <c r="J2807" s="18"/>
      <c r="K2807" s="18"/>
      <c r="L2807" s="9"/>
      <c r="M2807" s="18"/>
      <c r="N2807" s="18"/>
      <c r="O2807" s="18"/>
      <c r="P2807" s="18"/>
      <c r="Q2807" s="18"/>
    </row>
    <row r="2808" spans="1:17" x14ac:dyDescent="0.25">
      <c r="A2808" s="18"/>
      <c r="B2808" s="18"/>
      <c r="C2808" s="18"/>
      <c r="D2808" s="18"/>
      <c r="E2808" s="18"/>
      <c r="F2808" s="18"/>
      <c r="G2808" s="18"/>
      <c r="H2808" s="18"/>
      <c r="I2808" s="18"/>
      <c r="J2808" s="18"/>
      <c r="K2808" s="18"/>
      <c r="L2808" s="9" t="s">
        <v>337</v>
      </c>
      <c r="M2808" s="18"/>
      <c r="N2808" s="18"/>
      <c r="O2808" s="18"/>
      <c r="P2808" s="18"/>
      <c r="Q2808" s="18"/>
    </row>
    <row r="2809" spans="1:17" ht="30" x14ac:dyDescent="0.25">
      <c r="A2809" s="18"/>
      <c r="B2809" s="18"/>
      <c r="C2809" s="18"/>
      <c r="D2809" s="18"/>
      <c r="E2809" s="18"/>
      <c r="F2809" s="18"/>
      <c r="G2809" s="18"/>
      <c r="H2809" s="18"/>
      <c r="I2809" s="18"/>
      <c r="J2809" s="18"/>
      <c r="K2809" s="18"/>
      <c r="L2809" s="9" t="s">
        <v>338</v>
      </c>
      <c r="M2809" s="18"/>
      <c r="N2809" s="18"/>
      <c r="O2809" s="18"/>
      <c r="P2809" s="18"/>
      <c r="Q2809" s="18"/>
    </row>
    <row r="2810" spans="1:17" x14ac:dyDescent="0.25">
      <c r="A2810" s="18"/>
      <c r="B2810" s="18"/>
      <c r="C2810" s="18"/>
      <c r="D2810" s="18"/>
      <c r="E2810" s="18"/>
      <c r="F2810" s="18"/>
      <c r="G2810" s="18"/>
      <c r="H2810" s="18"/>
      <c r="I2810" s="18"/>
      <c r="J2810" s="18"/>
      <c r="K2810" s="18"/>
      <c r="L2810" s="9" t="s">
        <v>339</v>
      </c>
      <c r="M2810" s="18"/>
      <c r="N2810" s="18"/>
      <c r="O2810" s="18"/>
      <c r="P2810" s="18"/>
      <c r="Q2810" s="18"/>
    </row>
    <row r="2811" spans="1:17" ht="165" customHeight="1" x14ac:dyDescent="0.25">
      <c r="A2811" s="18" t="s">
        <v>6878</v>
      </c>
      <c r="B2811" s="18" t="s">
        <v>6879</v>
      </c>
      <c r="C2811" s="18" t="s">
        <v>6748</v>
      </c>
      <c r="D2811" s="18" t="s">
        <v>6742</v>
      </c>
      <c r="E2811" s="18" t="s">
        <v>3145</v>
      </c>
      <c r="F2811" s="18" t="s">
        <v>3146</v>
      </c>
      <c r="G2811" s="19" t="s">
        <v>6342</v>
      </c>
      <c r="H2811" s="18" t="s">
        <v>6121</v>
      </c>
      <c r="I2811" s="18"/>
      <c r="J2811" s="18"/>
      <c r="K2811" s="18"/>
      <c r="L2811" s="9" t="s">
        <v>336</v>
      </c>
      <c r="M2811" s="18" t="s">
        <v>3147</v>
      </c>
      <c r="N2811" s="18"/>
      <c r="O2811" s="18" t="s">
        <v>3148</v>
      </c>
      <c r="P2811" s="18" t="str">
        <f>HYPERLINK("https://ceds.ed.gov/cedselementdetails.aspx?termid=13144")</f>
        <v>https://ceds.ed.gov/cedselementdetails.aspx?termid=13144</v>
      </c>
      <c r="Q2811" s="18" t="str">
        <f>HYPERLINK("https://ceds.ed.gov/elementComment.aspx?elementName=Hispanic or Latino Ethnicity &amp;elementID=13144", "Click here to submit comment")</f>
        <v>Click here to submit comment</v>
      </c>
    </row>
    <row r="2812" spans="1:17" x14ac:dyDescent="0.25">
      <c r="A2812" s="18"/>
      <c r="B2812" s="18"/>
      <c r="C2812" s="18"/>
      <c r="D2812" s="18"/>
      <c r="E2812" s="18"/>
      <c r="F2812" s="18"/>
      <c r="G2812" s="18"/>
      <c r="H2812" s="18"/>
      <c r="I2812" s="18"/>
      <c r="J2812" s="18"/>
      <c r="K2812" s="18"/>
      <c r="L2812" s="9"/>
      <c r="M2812" s="18"/>
      <c r="N2812" s="18"/>
      <c r="O2812" s="18"/>
      <c r="P2812" s="18"/>
      <c r="Q2812" s="18"/>
    </row>
    <row r="2813" spans="1:17" x14ac:dyDescent="0.25">
      <c r="A2813" s="18"/>
      <c r="B2813" s="18"/>
      <c r="C2813" s="18"/>
      <c r="D2813" s="18"/>
      <c r="E2813" s="18"/>
      <c r="F2813" s="18"/>
      <c r="G2813" s="18"/>
      <c r="H2813" s="18"/>
      <c r="I2813" s="18"/>
      <c r="J2813" s="18"/>
      <c r="K2813" s="18"/>
      <c r="L2813" s="9" t="s">
        <v>337</v>
      </c>
      <c r="M2813" s="18"/>
      <c r="N2813" s="18"/>
      <c r="O2813" s="18"/>
      <c r="P2813" s="18"/>
      <c r="Q2813" s="18"/>
    </row>
    <row r="2814" spans="1:17" ht="30" x14ac:dyDescent="0.25">
      <c r="A2814" s="18"/>
      <c r="B2814" s="18"/>
      <c r="C2814" s="18"/>
      <c r="D2814" s="18"/>
      <c r="E2814" s="18"/>
      <c r="F2814" s="18"/>
      <c r="G2814" s="18"/>
      <c r="H2814" s="18"/>
      <c r="I2814" s="18"/>
      <c r="J2814" s="18"/>
      <c r="K2814" s="18"/>
      <c r="L2814" s="9" t="s">
        <v>338</v>
      </c>
      <c r="M2814" s="18"/>
      <c r="N2814" s="18"/>
      <c r="O2814" s="18"/>
      <c r="P2814" s="18"/>
      <c r="Q2814" s="18"/>
    </row>
    <row r="2815" spans="1:17" x14ac:dyDescent="0.25">
      <c r="A2815" s="18"/>
      <c r="B2815" s="18"/>
      <c r="C2815" s="18"/>
      <c r="D2815" s="18"/>
      <c r="E2815" s="18"/>
      <c r="F2815" s="18"/>
      <c r="G2815" s="18"/>
      <c r="H2815" s="18"/>
      <c r="I2815" s="18"/>
      <c r="J2815" s="18"/>
      <c r="K2815" s="18"/>
      <c r="L2815" s="9" t="s">
        <v>339</v>
      </c>
      <c r="M2815" s="18"/>
      <c r="N2815" s="18"/>
      <c r="O2815" s="18"/>
      <c r="P2815" s="18"/>
      <c r="Q2815" s="18"/>
    </row>
    <row r="2816" spans="1:17" ht="405" x14ac:dyDescent="0.25">
      <c r="A2816" s="9" t="s">
        <v>6878</v>
      </c>
      <c r="B2816" s="9" t="s">
        <v>6879</v>
      </c>
      <c r="C2816" s="9" t="s">
        <v>6827</v>
      </c>
      <c r="D2816" s="9" t="s">
        <v>6742</v>
      </c>
      <c r="E2816" s="9" t="s">
        <v>2211</v>
      </c>
      <c r="F2816" s="9" t="s">
        <v>2212</v>
      </c>
      <c r="G2816" s="10" t="s">
        <v>6440</v>
      </c>
      <c r="H2816" s="9" t="s">
        <v>6183</v>
      </c>
      <c r="I2816" s="9"/>
      <c r="J2816" s="9"/>
      <c r="K2816" s="9"/>
      <c r="L2816" s="9"/>
      <c r="M2816" s="9" t="s">
        <v>2213</v>
      </c>
      <c r="N2816" s="9"/>
      <c r="O2816" s="9" t="s">
        <v>2214</v>
      </c>
      <c r="P2816" s="9" t="str">
        <f>HYPERLINK("https://ceds.ed.gov/cedselementdetails.aspx?termid=13342")</f>
        <v>https://ceds.ed.gov/cedselementdetails.aspx?termid=13342</v>
      </c>
      <c r="Q2816" s="9" t="str">
        <f>HYPERLINK("https://ceds.ed.gov/elementComment.aspx?elementName=Degree or Certificate Type &amp;elementID=13342", "Click here to submit comment")</f>
        <v>Click here to submit comment</v>
      </c>
    </row>
    <row r="2817" spans="1:17" ht="60" x14ac:dyDescent="0.25">
      <c r="A2817" s="9" t="s">
        <v>6878</v>
      </c>
      <c r="B2817" s="9" t="s">
        <v>6879</v>
      </c>
      <c r="C2817" s="9" t="s">
        <v>6827</v>
      </c>
      <c r="D2817" s="9" t="s">
        <v>6742</v>
      </c>
      <c r="E2817" s="9" t="s">
        <v>2207</v>
      </c>
      <c r="F2817" s="9" t="s">
        <v>2208</v>
      </c>
      <c r="G2817" s="9" t="s">
        <v>12</v>
      </c>
      <c r="H2817" s="9" t="s">
        <v>6183</v>
      </c>
      <c r="I2817" s="9"/>
      <c r="J2817" s="9" t="s">
        <v>1347</v>
      </c>
      <c r="K2817" s="9"/>
      <c r="L2817" s="9"/>
      <c r="M2817" s="9" t="s">
        <v>2209</v>
      </c>
      <c r="N2817" s="9"/>
      <c r="O2817" s="9" t="s">
        <v>2210</v>
      </c>
      <c r="P2817" s="9" t="str">
        <f>HYPERLINK("https://ceds.ed.gov/cedselementdetails.aspx?termid=13341")</f>
        <v>https://ceds.ed.gov/cedselementdetails.aspx?termid=13341</v>
      </c>
      <c r="Q2817" s="9" t="str">
        <f>HYPERLINK("https://ceds.ed.gov/elementComment.aspx?elementName=Degree or Certificate Title or Subject &amp;elementID=13341", "Click here to submit comment")</f>
        <v>Click here to submit comment</v>
      </c>
    </row>
    <row r="2818" spans="1:17" ht="60" x14ac:dyDescent="0.25">
      <c r="A2818" s="9" t="s">
        <v>6878</v>
      </c>
      <c r="B2818" s="9" t="s">
        <v>6879</v>
      </c>
      <c r="C2818" s="9" t="s">
        <v>6827</v>
      </c>
      <c r="D2818" s="9" t="s">
        <v>6742</v>
      </c>
      <c r="E2818" s="9" t="s">
        <v>2199</v>
      </c>
      <c r="F2818" s="9" t="s">
        <v>2200</v>
      </c>
      <c r="G2818" s="9" t="s">
        <v>12</v>
      </c>
      <c r="H2818" s="9" t="s">
        <v>6183</v>
      </c>
      <c r="I2818" s="9"/>
      <c r="J2818" s="9" t="s">
        <v>73</v>
      </c>
      <c r="K2818" s="9"/>
      <c r="L2818" s="9"/>
      <c r="M2818" s="9" t="s">
        <v>2201</v>
      </c>
      <c r="N2818" s="9"/>
      <c r="O2818" s="9" t="s">
        <v>2202</v>
      </c>
      <c r="P2818" s="9" t="str">
        <f>HYPERLINK("https://ceds.ed.gov/cedselementdetails.aspx?termid=13343")</f>
        <v>https://ceds.ed.gov/cedselementdetails.aspx?termid=13343</v>
      </c>
      <c r="Q2818" s="9" t="str">
        <f>HYPERLINK("https://ceds.ed.gov/elementComment.aspx?elementName=Degree or Certificate Conferring Date &amp;elementID=13343", "Click here to submit comment")</f>
        <v>Click here to submit comment</v>
      </c>
    </row>
    <row r="2819" spans="1:17" ht="120" x14ac:dyDescent="0.25">
      <c r="A2819" s="9" t="s">
        <v>6878</v>
      </c>
      <c r="B2819" s="9" t="s">
        <v>6879</v>
      </c>
      <c r="C2819" s="9" t="s">
        <v>6827</v>
      </c>
      <c r="D2819" s="9" t="s">
        <v>6742</v>
      </c>
      <c r="E2819" s="9" t="s">
        <v>4365</v>
      </c>
      <c r="F2819" s="9" t="s">
        <v>4366</v>
      </c>
      <c r="G2819" s="9" t="s">
        <v>12</v>
      </c>
      <c r="H2819" s="9" t="s">
        <v>6241</v>
      </c>
      <c r="I2819" s="9"/>
      <c r="J2819" s="9" t="s">
        <v>1513</v>
      </c>
      <c r="K2819" s="9"/>
      <c r="L2819" s="9"/>
      <c r="M2819" s="9" t="s">
        <v>4367</v>
      </c>
      <c r="N2819" s="9"/>
      <c r="O2819" s="9" t="s">
        <v>4368</v>
      </c>
      <c r="P2819" s="9" t="str">
        <f>HYPERLINK("https://ceds.ed.gov/cedselementdetails.aspx?termid=13200")</f>
        <v>https://ceds.ed.gov/cedselementdetails.aspx?termid=13200</v>
      </c>
      <c r="Q2819" s="9" t="str">
        <f>HYPERLINK("https://ceds.ed.gov/elementComment.aspx?elementName=Number of Credits Earned &amp;elementID=13200", "Click here to submit comment")</f>
        <v>Click here to submit comment</v>
      </c>
    </row>
    <row r="2820" spans="1:17" ht="90" x14ac:dyDescent="0.25">
      <c r="A2820" s="9" t="s">
        <v>6878</v>
      </c>
      <c r="B2820" s="9" t="s">
        <v>6879</v>
      </c>
      <c r="C2820" s="9" t="s">
        <v>6827</v>
      </c>
      <c r="D2820" s="9" t="s">
        <v>6742</v>
      </c>
      <c r="E2820" s="9" t="s">
        <v>1596</v>
      </c>
      <c r="F2820" s="9" t="s">
        <v>1597</v>
      </c>
      <c r="G2820" s="9" t="s">
        <v>6106</v>
      </c>
      <c r="H2820" s="9" t="s">
        <v>6109</v>
      </c>
      <c r="I2820" s="9"/>
      <c r="J2820" s="9"/>
      <c r="K2820" s="9"/>
      <c r="L2820" s="9"/>
      <c r="M2820" s="9" t="s">
        <v>1598</v>
      </c>
      <c r="N2820" s="9" t="s">
        <v>1599</v>
      </c>
      <c r="O2820" s="9" t="s">
        <v>1600</v>
      </c>
      <c r="P2820" s="9" t="str">
        <f>HYPERLINK("https://ceds.ed.gov/cedselementdetails.aspx?termid=13036")</f>
        <v>https://ceds.ed.gov/cedselementdetails.aspx?termid=13036</v>
      </c>
      <c r="Q2820" s="9" t="str">
        <f>HYPERLINK("https://ceds.ed.gov/elementComment.aspx?elementName=Career and Technical Education Completer &amp;elementID=13036", "Click here to submit comment")</f>
        <v>Click here to submit comment</v>
      </c>
    </row>
    <row r="2821" spans="1:17" ht="90" x14ac:dyDescent="0.25">
      <c r="A2821" s="9" t="s">
        <v>6878</v>
      </c>
      <c r="B2821" s="9" t="s">
        <v>6879</v>
      </c>
      <c r="C2821" s="9" t="s">
        <v>6827</v>
      </c>
      <c r="D2821" s="9" t="s">
        <v>6742</v>
      </c>
      <c r="E2821" s="9" t="s">
        <v>1617</v>
      </c>
      <c r="F2821" s="9" t="s">
        <v>1618</v>
      </c>
      <c r="G2821" s="9" t="s">
        <v>6106</v>
      </c>
      <c r="H2821" s="9" t="s">
        <v>199</v>
      </c>
      <c r="I2821" s="9"/>
      <c r="J2821" s="9"/>
      <c r="K2821" s="9"/>
      <c r="L2821" s="9"/>
      <c r="M2821" s="9" t="s">
        <v>1619</v>
      </c>
      <c r="N2821" s="9" t="s">
        <v>1620</v>
      </c>
      <c r="O2821" s="9" t="s">
        <v>1621</v>
      </c>
      <c r="P2821" s="9" t="str">
        <f>HYPERLINK("https://ceds.ed.gov/cedselementdetails.aspx?termid=13586")</f>
        <v>https://ceds.ed.gov/cedselementdetails.aspx?termid=13586</v>
      </c>
      <c r="Q2821" s="9" t="str">
        <f>HYPERLINK("https://ceds.ed.gov/elementComment.aspx?elementName=Career and Technical Education Nontraditional Completion &amp;elementID=13586", "Click here to submit comment")</f>
        <v>Click here to submit comment</v>
      </c>
    </row>
    <row r="2822" spans="1:17" ht="105" x14ac:dyDescent="0.25">
      <c r="A2822" s="18" t="s">
        <v>6878</v>
      </c>
      <c r="B2822" s="18" t="s">
        <v>6879</v>
      </c>
      <c r="C2822" s="18" t="s">
        <v>6829</v>
      </c>
      <c r="D2822" s="18" t="s">
        <v>6742</v>
      </c>
      <c r="E2822" s="18" t="s">
        <v>4913</v>
      </c>
      <c r="F2822" s="18" t="s">
        <v>4914</v>
      </c>
      <c r="G2822" s="18" t="s">
        <v>12</v>
      </c>
      <c r="H2822" s="18" t="s">
        <v>1963</v>
      </c>
      <c r="I2822" s="18"/>
      <c r="J2822" s="18" t="s">
        <v>119</v>
      </c>
      <c r="K2822" s="18"/>
      <c r="L2822" s="9" t="s">
        <v>120</v>
      </c>
      <c r="M2822" s="18" t="s">
        <v>4915</v>
      </c>
      <c r="N2822" s="18"/>
      <c r="O2822" s="18" t="s">
        <v>4916</v>
      </c>
      <c r="P2822" s="18" t="str">
        <f>HYPERLINK("https://ceds.ed.gov/cedselementdetails.aspx?termid=13618")</f>
        <v>https://ceds.ed.gov/cedselementdetails.aspx?termid=13618</v>
      </c>
      <c r="Q2822" s="18" t="str">
        <f>HYPERLINK("https://ceds.ed.gov/elementComment.aspx?elementName=Program Identifier &amp;elementID=13618", "Click here to submit comment")</f>
        <v>Click here to submit comment</v>
      </c>
    </row>
    <row r="2823" spans="1:17" x14ac:dyDescent="0.25">
      <c r="A2823" s="18"/>
      <c r="B2823" s="18"/>
      <c r="C2823" s="18"/>
      <c r="D2823" s="18"/>
      <c r="E2823" s="18"/>
      <c r="F2823" s="18"/>
      <c r="G2823" s="18"/>
      <c r="H2823" s="18"/>
      <c r="I2823" s="18"/>
      <c r="J2823" s="18"/>
      <c r="K2823" s="18"/>
      <c r="L2823" s="9"/>
      <c r="M2823" s="18"/>
      <c r="N2823" s="18"/>
      <c r="O2823" s="18"/>
      <c r="P2823" s="18"/>
      <c r="Q2823" s="18"/>
    </row>
    <row r="2824" spans="1:17" ht="90" x14ac:dyDescent="0.25">
      <c r="A2824" s="18"/>
      <c r="B2824" s="18"/>
      <c r="C2824" s="18"/>
      <c r="D2824" s="18"/>
      <c r="E2824" s="18"/>
      <c r="F2824" s="18"/>
      <c r="G2824" s="18"/>
      <c r="H2824" s="18"/>
      <c r="I2824" s="18"/>
      <c r="J2824" s="18"/>
      <c r="K2824" s="18"/>
      <c r="L2824" s="9" t="s">
        <v>121</v>
      </c>
      <c r="M2824" s="18"/>
      <c r="N2824" s="18"/>
      <c r="O2824" s="18"/>
      <c r="P2824" s="18"/>
      <c r="Q2824" s="18"/>
    </row>
    <row r="2825" spans="1:17" ht="75" x14ac:dyDescent="0.25">
      <c r="A2825" s="9" t="s">
        <v>6878</v>
      </c>
      <c r="B2825" s="9" t="s">
        <v>6879</v>
      </c>
      <c r="C2825" s="9" t="s">
        <v>6829</v>
      </c>
      <c r="D2825" s="9" t="s">
        <v>6742</v>
      </c>
      <c r="E2825" s="9" t="s">
        <v>1778</v>
      </c>
      <c r="F2825" s="9" t="s">
        <v>1779</v>
      </c>
      <c r="G2825" s="11" t="s">
        <v>1780</v>
      </c>
      <c r="H2825" s="9" t="s">
        <v>6108</v>
      </c>
      <c r="I2825" s="9"/>
      <c r="J2825" s="9"/>
      <c r="K2825" s="9"/>
      <c r="L2825" s="9"/>
      <c r="M2825" s="9" t="s">
        <v>1781</v>
      </c>
      <c r="N2825" s="9" t="s">
        <v>1782</v>
      </c>
      <c r="O2825" s="9" t="s">
        <v>1783</v>
      </c>
      <c r="P2825" s="9" t="str">
        <f>HYPERLINK("https://ceds.ed.gov/cedselementdetails.aspx?termid=13043")</f>
        <v>https://ceds.ed.gov/cedselementdetails.aspx?termid=13043</v>
      </c>
      <c r="Q2825" s="9" t="str">
        <f>HYPERLINK("https://ceds.ed.gov/elementComment.aspx?elementName=Classification of Instructional Program Code &amp;elementID=13043", "Click here to submit comment")</f>
        <v>Click here to submit comment</v>
      </c>
    </row>
    <row r="2826" spans="1:17" ht="45" x14ac:dyDescent="0.25">
      <c r="A2826" s="9" t="s">
        <v>6878</v>
      </c>
      <c r="B2826" s="9" t="s">
        <v>6879</v>
      </c>
      <c r="C2826" s="9" t="s">
        <v>6829</v>
      </c>
      <c r="D2826" s="9" t="s">
        <v>6742</v>
      </c>
      <c r="E2826" s="9" t="s">
        <v>20</v>
      </c>
      <c r="F2826" s="9" t="s">
        <v>21</v>
      </c>
      <c r="G2826" s="9" t="s">
        <v>12</v>
      </c>
      <c r="H2826" s="9" t="s">
        <v>25</v>
      </c>
      <c r="I2826" s="9"/>
      <c r="J2826" s="9" t="s">
        <v>22</v>
      </c>
      <c r="K2826" s="9"/>
      <c r="L2826" s="9"/>
      <c r="M2826" s="9" t="s">
        <v>23</v>
      </c>
      <c r="N2826" s="9"/>
      <c r="O2826" s="9" t="s">
        <v>24</v>
      </c>
      <c r="P2826" s="9" t="str">
        <f>HYPERLINK("https://ceds.ed.gov/cedselementdetails.aspx?termid=13003")</f>
        <v>https://ceds.ed.gov/cedselementdetails.aspx?termid=13003</v>
      </c>
      <c r="Q2826" s="9" t="str">
        <f>HYPERLINK("https://ceds.ed.gov/elementComment.aspx?elementName=Academic Award Title &amp;elementID=13003", "Click here to submit comment")</f>
        <v>Click here to submit comment</v>
      </c>
    </row>
    <row r="2827" spans="1:17" ht="60" x14ac:dyDescent="0.25">
      <c r="A2827" s="9" t="s">
        <v>6878</v>
      </c>
      <c r="B2827" s="9" t="s">
        <v>6879</v>
      </c>
      <c r="C2827" s="9" t="s">
        <v>6829</v>
      </c>
      <c r="D2827" s="9" t="s">
        <v>6742</v>
      </c>
      <c r="E2827" s="9" t="s">
        <v>10</v>
      </c>
      <c r="F2827" s="9" t="s">
        <v>11</v>
      </c>
      <c r="G2827" s="9" t="s">
        <v>12</v>
      </c>
      <c r="H2827" s="9" t="s">
        <v>6107</v>
      </c>
      <c r="I2827" s="9"/>
      <c r="J2827" s="9" t="s">
        <v>13</v>
      </c>
      <c r="K2827" s="9"/>
      <c r="L2827" s="9"/>
      <c r="M2827" s="9" t="s">
        <v>14</v>
      </c>
      <c r="N2827" s="9"/>
      <c r="O2827" s="9" t="s">
        <v>15</v>
      </c>
      <c r="P2827" s="9" t="str">
        <f>HYPERLINK("https://ceds.ed.gov/cedselementdetails.aspx?termid=13001")</f>
        <v>https://ceds.ed.gov/cedselementdetails.aspx?termid=13001</v>
      </c>
      <c r="Q2827" s="9" t="str">
        <f>HYPERLINK("https://ceds.ed.gov/elementComment.aspx?elementName=Academic Award Date &amp;elementID=13001", "Click here to submit comment")</f>
        <v>Click here to submit comment</v>
      </c>
    </row>
    <row r="2828" spans="1:17" ht="135" x14ac:dyDescent="0.25">
      <c r="A2828" s="9" t="s">
        <v>6878</v>
      </c>
      <c r="B2828" s="9" t="s">
        <v>6879</v>
      </c>
      <c r="C2828" s="9" t="s">
        <v>6829</v>
      </c>
      <c r="D2828" s="9" t="s">
        <v>6742</v>
      </c>
      <c r="E2828" s="9" t="s">
        <v>2268</v>
      </c>
      <c r="F2828" s="9" t="s">
        <v>2269</v>
      </c>
      <c r="G2828" s="9" t="s">
        <v>12</v>
      </c>
      <c r="H2828" s="9" t="s">
        <v>6186</v>
      </c>
      <c r="I2828" s="9"/>
      <c r="J2828" s="9" t="s">
        <v>2270</v>
      </c>
      <c r="K2828" s="9"/>
      <c r="L2828" s="9"/>
      <c r="M2828" s="9" t="s">
        <v>2271</v>
      </c>
      <c r="N2828" s="9"/>
      <c r="O2828" s="9" t="s">
        <v>2272</v>
      </c>
      <c r="P2828" s="9" t="str">
        <f>HYPERLINK("https://ceds.ed.gov/cedselementdetails.aspx?termid=13081")</f>
        <v>https://ceds.ed.gov/cedselementdetails.aspx?termid=13081</v>
      </c>
      <c r="Q2828" s="9" t="str">
        <f>HYPERLINK("https://ceds.ed.gov/elementComment.aspx?elementName=Diploma or Credential Award Date &amp;elementID=13081", "Click here to submit comment")</f>
        <v>Click here to submit comment</v>
      </c>
    </row>
    <row r="2829" spans="1:17" ht="285" x14ac:dyDescent="0.25">
      <c r="A2829" s="9" t="s">
        <v>6878</v>
      </c>
      <c r="B2829" s="9" t="s">
        <v>6879</v>
      </c>
      <c r="C2829" s="9" t="s">
        <v>6829</v>
      </c>
      <c r="D2829" s="9" t="s">
        <v>6742</v>
      </c>
      <c r="E2829" s="9" t="s">
        <v>3109</v>
      </c>
      <c r="F2829" s="9" t="s">
        <v>3110</v>
      </c>
      <c r="G2829" s="10" t="s">
        <v>6532</v>
      </c>
      <c r="H2829" s="9" t="s">
        <v>6220</v>
      </c>
      <c r="I2829" s="9"/>
      <c r="J2829" s="9"/>
      <c r="K2829" s="9"/>
      <c r="L2829" s="9"/>
      <c r="M2829" s="9" t="s">
        <v>3111</v>
      </c>
      <c r="N2829" s="9"/>
      <c r="O2829" s="9" t="s">
        <v>3112</v>
      </c>
      <c r="P2829" s="9" t="str">
        <f>HYPERLINK("https://ceds.ed.gov/cedselementdetails.aspx?termid=13138")</f>
        <v>https://ceds.ed.gov/cedselementdetails.aspx?termid=13138</v>
      </c>
      <c r="Q2829" s="9" t="str">
        <f>HYPERLINK("https://ceds.ed.gov/elementComment.aspx?elementName=High School Diploma Type &amp;elementID=13138", "Click here to submit comment")</f>
        <v>Click here to submit comment</v>
      </c>
    </row>
    <row r="2830" spans="1:17" ht="105" x14ac:dyDescent="0.25">
      <c r="A2830" s="9" t="s">
        <v>6878</v>
      </c>
      <c r="B2830" s="9" t="s">
        <v>6879</v>
      </c>
      <c r="C2830" s="9" t="s">
        <v>6829</v>
      </c>
      <c r="D2830" s="9" t="s">
        <v>6742</v>
      </c>
      <c r="E2830" s="9" t="s">
        <v>3105</v>
      </c>
      <c r="F2830" s="9" t="s">
        <v>3106</v>
      </c>
      <c r="G2830" s="10" t="s">
        <v>6531</v>
      </c>
      <c r="H2830" s="9"/>
      <c r="I2830" s="9"/>
      <c r="J2830" s="9"/>
      <c r="K2830" s="9"/>
      <c r="L2830" s="9"/>
      <c r="M2830" s="9" t="s">
        <v>3107</v>
      </c>
      <c r="N2830" s="9"/>
      <c r="O2830" s="9" t="s">
        <v>3108</v>
      </c>
      <c r="P2830" s="9" t="str">
        <f>HYPERLINK("https://ceds.ed.gov/cedselementdetails.aspx?termid=13689")</f>
        <v>https://ceds.ed.gov/cedselementdetails.aspx?termid=13689</v>
      </c>
      <c r="Q2830" s="9" t="str">
        <f>HYPERLINK("https://ceds.ed.gov/elementComment.aspx?elementName=High School Diploma Distinction Type &amp;elementID=13689", "Click here to submit comment")</f>
        <v>Click here to submit comment</v>
      </c>
    </row>
    <row r="2831" spans="1:17" ht="75" x14ac:dyDescent="0.25">
      <c r="A2831" s="9" t="s">
        <v>6878</v>
      </c>
      <c r="B2831" s="9" t="s">
        <v>6879</v>
      </c>
      <c r="C2831" s="9" t="s">
        <v>6829</v>
      </c>
      <c r="D2831" s="9" t="s">
        <v>6742</v>
      </c>
      <c r="E2831" s="9" t="s">
        <v>4655</v>
      </c>
      <c r="F2831" s="9" t="s">
        <v>4656</v>
      </c>
      <c r="G2831" s="10" t="s">
        <v>6642</v>
      </c>
      <c r="H2831" s="9" t="s">
        <v>6257</v>
      </c>
      <c r="I2831" s="9"/>
      <c r="J2831" s="9"/>
      <c r="K2831" s="9"/>
      <c r="L2831" s="9"/>
      <c r="M2831" s="9" t="s">
        <v>4657</v>
      </c>
      <c r="N2831" s="9"/>
      <c r="O2831" s="9" t="s">
        <v>4658</v>
      </c>
      <c r="P2831" s="9" t="str">
        <f>HYPERLINK("https://ceds.ed.gov/cedselementdetails.aspx?termid=14595")</f>
        <v>https://ceds.ed.gov/cedselementdetails.aspx?termid=14595</v>
      </c>
      <c r="Q2831" s="9" t="str">
        <f>HYPERLINK("https://ceds.ed.gov/elementComment.aspx?elementName=Postsecondary Program Level &amp;elementID=14595", "Click here to submit comment")</f>
        <v>Click here to submit comment</v>
      </c>
    </row>
    <row r="2832" spans="1:17" ht="285" x14ac:dyDescent="0.25">
      <c r="A2832" s="9" t="s">
        <v>6878</v>
      </c>
      <c r="B2832" s="9" t="s">
        <v>6879</v>
      </c>
      <c r="C2832" s="9" t="s">
        <v>6829</v>
      </c>
      <c r="D2832" s="9" t="s">
        <v>6742</v>
      </c>
      <c r="E2832" s="9" t="s">
        <v>16</v>
      </c>
      <c r="F2832" s="9" t="s">
        <v>17</v>
      </c>
      <c r="G2832" s="10" t="s">
        <v>6311</v>
      </c>
      <c r="H2832" s="9" t="s">
        <v>6108</v>
      </c>
      <c r="I2832" s="9"/>
      <c r="J2832" s="9"/>
      <c r="K2832" s="9"/>
      <c r="L2832" s="9"/>
      <c r="M2832" s="9" t="s">
        <v>18</v>
      </c>
      <c r="N2832" s="9"/>
      <c r="O2832" s="9" t="s">
        <v>19</v>
      </c>
      <c r="P2832" s="9" t="str">
        <f>HYPERLINK("https://ceds.ed.gov/cedselementdetails.aspx?termid=13002")</f>
        <v>https://ceds.ed.gov/cedselementdetails.aspx?termid=13002</v>
      </c>
      <c r="Q2832" s="9" t="str">
        <f>HYPERLINK("https://ceds.ed.gov/elementComment.aspx?elementName=Academic Award Level Conferred &amp;elementID=13002", "Click here to submit comment")</f>
        <v>Click here to submit comment</v>
      </c>
    </row>
    <row r="2833" spans="1:17" ht="135" x14ac:dyDescent="0.25">
      <c r="A2833" s="9" t="s">
        <v>6878</v>
      </c>
      <c r="B2833" s="9" t="s">
        <v>6879</v>
      </c>
      <c r="C2833" s="9" t="s">
        <v>6829</v>
      </c>
      <c r="D2833" s="9" t="s">
        <v>6742</v>
      </c>
      <c r="E2833" s="9" t="s">
        <v>1784</v>
      </c>
      <c r="F2833" s="9" t="s">
        <v>1785</v>
      </c>
      <c r="G2833" s="10" t="s">
        <v>6407</v>
      </c>
      <c r="H2833" s="9" t="s">
        <v>6115</v>
      </c>
      <c r="I2833" s="9"/>
      <c r="J2833" s="9"/>
      <c r="K2833" s="9"/>
      <c r="L2833" s="9"/>
      <c r="M2833" s="9" t="s">
        <v>1786</v>
      </c>
      <c r="N2833" s="9" t="s">
        <v>1787</v>
      </c>
      <c r="O2833" s="9" t="s">
        <v>1788</v>
      </c>
      <c r="P2833" s="9" t="str">
        <f>HYPERLINK("https://ceds.ed.gov/cedselementdetails.aspx?termid=13044")</f>
        <v>https://ceds.ed.gov/cedselementdetails.aspx?termid=13044</v>
      </c>
      <c r="Q2833" s="9" t="str">
        <f>HYPERLINK("https://ceds.ed.gov/elementComment.aspx?elementName=Classification of Instructional Program Use &amp;elementID=13044", "Click here to submit comment")</f>
        <v>Click here to submit comment</v>
      </c>
    </row>
    <row r="2834" spans="1:17" ht="90" x14ac:dyDescent="0.25">
      <c r="A2834" s="9" t="s">
        <v>6878</v>
      </c>
      <c r="B2834" s="9" t="s">
        <v>6879</v>
      </c>
      <c r="C2834" s="9" t="s">
        <v>6829</v>
      </c>
      <c r="D2834" s="9" t="s">
        <v>6742</v>
      </c>
      <c r="E2834" s="9" t="s">
        <v>1789</v>
      </c>
      <c r="F2834" s="9" t="s">
        <v>1790</v>
      </c>
      <c r="G2834" s="10" t="s">
        <v>6408</v>
      </c>
      <c r="H2834" s="9" t="s">
        <v>6115</v>
      </c>
      <c r="I2834" s="9"/>
      <c r="J2834" s="9"/>
      <c r="K2834" s="9"/>
      <c r="L2834" s="9"/>
      <c r="M2834" s="9" t="s">
        <v>1791</v>
      </c>
      <c r="N2834" s="9" t="s">
        <v>1792</v>
      </c>
      <c r="O2834" s="9" t="s">
        <v>1793</v>
      </c>
      <c r="P2834" s="9" t="str">
        <f>HYPERLINK("https://ceds.ed.gov/cedselementdetails.aspx?termid=13045")</f>
        <v>https://ceds.ed.gov/cedselementdetails.aspx?termid=13045</v>
      </c>
      <c r="Q2834" s="9" t="str">
        <f>HYPERLINK("https://ceds.ed.gov/elementComment.aspx?elementName=Classification of Instructional Program Version &amp;elementID=13045", "Click here to submit comment")</f>
        <v>Click here to submit comment</v>
      </c>
    </row>
    <row r="2835" spans="1:17" ht="195" x14ac:dyDescent="0.25">
      <c r="A2835" s="9" t="s">
        <v>6878</v>
      </c>
      <c r="B2835" s="9" t="s">
        <v>6879</v>
      </c>
      <c r="C2835" s="9" t="s">
        <v>6829</v>
      </c>
      <c r="D2835" s="9" t="s">
        <v>6742</v>
      </c>
      <c r="E2835" s="9" t="s">
        <v>4880</v>
      </c>
      <c r="F2835" s="9" t="s">
        <v>4881</v>
      </c>
      <c r="G2835" s="10" t="s">
        <v>6660</v>
      </c>
      <c r="H2835" s="9"/>
      <c r="I2835" s="9"/>
      <c r="J2835" s="9"/>
      <c r="K2835" s="9"/>
      <c r="L2835" s="9"/>
      <c r="M2835" s="9" t="s">
        <v>4882</v>
      </c>
      <c r="N2835" s="9"/>
      <c r="O2835" s="9" t="s">
        <v>4883</v>
      </c>
      <c r="P2835" s="9" t="str">
        <f>HYPERLINK("https://ceds.ed.gov/cedselementdetails.aspx?termid=13780")</f>
        <v>https://ceds.ed.gov/cedselementdetails.aspx?termid=13780</v>
      </c>
      <c r="Q2835" s="9" t="str">
        <f>HYPERLINK("https://ceds.ed.gov/elementComment.aspx?elementName=Professional or Technical Credential Conferred &amp;elementID=13780", "Click here to submit comment")</f>
        <v>Click here to submit comment</v>
      </c>
    </row>
    <row r="2836" spans="1:17" ht="270" x14ac:dyDescent="0.25">
      <c r="A2836" s="9" t="s">
        <v>6878</v>
      </c>
      <c r="B2836" s="9" t="s">
        <v>6879</v>
      </c>
      <c r="C2836" s="9" t="s">
        <v>6829</v>
      </c>
      <c r="D2836" s="9" t="s">
        <v>6742</v>
      </c>
      <c r="E2836" s="9" t="s">
        <v>2115</v>
      </c>
      <c r="F2836" s="9" t="s">
        <v>2116</v>
      </c>
      <c r="G2836" s="10" t="s">
        <v>6437</v>
      </c>
      <c r="H2836" s="9"/>
      <c r="I2836" s="9"/>
      <c r="J2836" s="9"/>
      <c r="K2836" s="9"/>
      <c r="L2836" s="9"/>
      <c r="M2836" s="9" t="s">
        <v>2117</v>
      </c>
      <c r="N2836" s="9"/>
      <c r="O2836" s="9" t="s">
        <v>2118</v>
      </c>
      <c r="P2836" s="9" t="str">
        <f>HYPERLINK("https://ceds.ed.gov/cedselementdetails.aspx?termid=14283")</f>
        <v>https://ceds.ed.gov/cedselementdetails.aspx?termid=14283</v>
      </c>
      <c r="Q2836" s="9" t="str">
        <f>HYPERLINK("https://ceds.ed.gov/elementComment.aspx?elementName=Credit Hours Applied Other Program &amp;elementID=14283", "Click here to submit comment")</f>
        <v>Click here to submit comment</v>
      </c>
    </row>
    <row r="2837" spans="1:17" ht="150" x14ac:dyDescent="0.25">
      <c r="A2837" s="9" t="s">
        <v>6878</v>
      </c>
      <c r="B2837" s="9" t="s">
        <v>6879</v>
      </c>
      <c r="C2837" s="9" t="s">
        <v>6829</v>
      </c>
      <c r="D2837" s="9" t="s">
        <v>6742</v>
      </c>
      <c r="E2837" s="9" t="s">
        <v>2366</v>
      </c>
      <c r="F2837" s="9" t="s">
        <v>2367</v>
      </c>
      <c r="G2837" s="10" t="s">
        <v>6459</v>
      </c>
      <c r="H2837" s="9"/>
      <c r="I2837" s="9"/>
      <c r="J2837" s="9"/>
      <c r="K2837" s="9"/>
      <c r="L2837" s="11" t="s">
        <v>2368</v>
      </c>
      <c r="M2837" s="9" t="s">
        <v>2369</v>
      </c>
      <c r="N2837" s="9"/>
      <c r="O2837" s="9" t="s">
        <v>2370</v>
      </c>
      <c r="P2837" s="9" t="str">
        <f>HYPERLINK("https://ceds.ed.gov/cedselementdetails.aspx?termid=14622")</f>
        <v>https://ceds.ed.gov/cedselementdetails.aspx?termid=14622</v>
      </c>
      <c r="Q2837" s="9" t="str">
        <f>HYPERLINK("https://ceds.ed.gov/elementComment.aspx?elementName=DQP Categories of Learning &amp;elementID=14622", "Click here to submit comment")</f>
        <v>Click here to submit comment</v>
      </c>
    </row>
    <row r="2838" spans="1:17" ht="60" x14ac:dyDescent="0.25">
      <c r="A2838" s="9" t="s">
        <v>6878</v>
      </c>
      <c r="B2838" s="9" t="s">
        <v>6879</v>
      </c>
      <c r="C2838" s="9" t="s">
        <v>6770</v>
      </c>
      <c r="D2838" s="9" t="s">
        <v>6742</v>
      </c>
      <c r="E2838" s="9" t="s">
        <v>1516</v>
      </c>
      <c r="F2838" s="9" t="s">
        <v>1517</v>
      </c>
      <c r="G2838" s="9" t="s">
        <v>6106</v>
      </c>
      <c r="H2838" s="9" t="s">
        <v>4</v>
      </c>
      <c r="I2838" s="9"/>
      <c r="J2838" s="9"/>
      <c r="K2838" s="9"/>
      <c r="L2838" s="9"/>
      <c r="M2838" s="9" t="s">
        <v>1518</v>
      </c>
      <c r="N2838" s="9"/>
      <c r="O2838" s="9" t="s">
        <v>1519</v>
      </c>
      <c r="P2838" s="9" t="str">
        <f>HYPERLINK("https://ceds.ed.gov/cedselementdetails.aspx?termid=13031")</f>
        <v>https://ceds.ed.gov/cedselementdetails.aspx?termid=13031</v>
      </c>
      <c r="Q2838" s="9" t="str">
        <f>HYPERLINK("https://ceds.ed.gov/elementComment.aspx?elementName=Awaiting Initial IDEA Evaluation Status &amp;elementID=13031", "Click here to submit comment")</f>
        <v>Click here to submit comment</v>
      </c>
    </row>
    <row r="2839" spans="1:17" ht="285" x14ac:dyDescent="0.25">
      <c r="A2839" s="9" t="s">
        <v>6878</v>
      </c>
      <c r="B2839" s="9" t="s">
        <v>6879</v>
      </c>
      <c r="C2839" s="9" t="s">
        <v>6770</v>
      </c>
      <c r="D2839" s="9" t="s">
        <v>6742</v>
      </c>
      <c r="E2839" s="9" t="s">
        <v>3199</v>
      </c>
      <c r="F2839" s="9" t="s">
        <v>3200</v>
      </c>
      <c r="G2839" s="9" t="s">
        <v>6106</v>
      </c>
      <c r="H2839" s="9" t="s">
        <v>6228</v>
      </c>
      <c r="I2839" s="9"/>
      <c r="J2839" s="9"/>
      <c r="K2839" s="9"/>
      <c r="L2839" s="9"/>
      <c r="M2839" s="9" t="s">
        <v>3201</v>
      </c>
      <c r="N2839" s="9"/>
      <c r="O2839" s="9" t="s">
        <v>3202</v>
      </c>
      <c r="P2839" s="9" t="str">
        <f>HYPERLINK("https://ceds.ed.gov/cedselementdetails.aspx?termid=13151")</f>
        <v>https://ceds.ed.gov/cedselementdetails.aspx?termid=13151</v>
      </c>
      <c r="Q2839" s="9" t="str">
        <f>HYPERLINK("https://ceds.ed.gov/elementComment.aspx?elementName=IDEA Indicator &amp;elementID=13151", "Click here to submit comment")</f>
        <v>Click here to submit comment</v>
      </c>
    </row>
    <row r="2840" spans="1:17" ht="45" x14ac:dyDescent="0.25">
      <c r="A2840" s="9" t="s">
        <v>6878</v>
      </c>
      <c r="B2840" s="9" t="s">
        <v>6879</v>
      </c>
      <c r="C2840" s="9" t="s">
        <v>6770</v>
      </c>
      <c r="D2840" s="9" t="s">
        <v>6742</v>
      </c>
      <c r="E2840" s="9" t="s">
        <v>2291</v>
      </c>
      <c r="F2840" s="9" t="s">
        <v>2292</v>
      </c>
      <c r="G2840" s="9" t="s">
        <v>6106</v>
      </c>
      <c r="H2840" s="9" t="s">
        <v>199</v>
      </c>
      <c r="I2840" s="9"/>
      <c r="J2840" s="9"/>
      <c r="K2840" s="9"/>
      <c r="L2840" s="9"/>
      <c r="M2840" s="9" t="s">
        <v>2293</v>
      </c>
      <c r="N2840" s="9"/>
      <c r="O2840" s="9" t="s">
        <v>2294</v>
      </c>
      <c r="P2840" s="9" t="str">
        <f>HYPERLINK("https://ceds.ed.gov/cedselementdetails.aspx?termid=13569")</f>
        <v>https://ceds.ed.gov/cedselementdetails.aspx?termid=13569</v>
      </c>
      <c r="Q2840" s="9" t="str">
        <f>HYPERLINK("https://ceds.ed.gov/elementComment.aspx?elementName=Disability Status &amp;elementID=13569", "Click here to submit comment")</f>
        <v>Click here to submit comment</v>
      </c>
    </row>
    <row r="2841" spans="1:17" ht="90" x14ac:dyDescent="0.25">
      <c r="A2841" s="9" t="s">
        <v>6878</v>
      </c>
      <c r="B2841" s="9" t="s">
        <v>6879</v>
      </c>
      <c r="C2841" s="9" t="s">
        <v>6770</v>
      </c>
      <c r="D2841" s="9" t="s">
        <v>6742</v>
      </c>
      <c r="E2841" s="9" t="s">
        <v>5392</v>
      </c>
      <c r="F2841" s="9" t="s">
        <v>5393</v>
      </c>
      <c r="G2841" s="9" t="s">
        <v>6106</v>
      </c>
      <c r="H2841" s="9" t="s">
        <v>6228</v>
      </c>
      <c r="I2841" s="9"/>
      <c r="J2841" s="9"/>
      <c r="K2841" s="9"/>
      <c r="L2841" s="9"/>
      <c r="M2841" s="9" t="s">
        <v>5394</v>
      </c>
      <c r="N2841" s="9"/>
      <c r="O2841" s="9" t="s">
        <v>5395</v>
      </c>
      <c r="P2841" s="9" t="str">
        <f>HYPERLINK("https://ceds.ed.gov/cedselementdetails.aspx?termid=13249")</f>
        <v>https://ceds.ed.gov/cedselementdetails.aspx?termid=13249</v>
      </c>
      <c r="Q2841" s="9" t="str">
        <f>HYPERLINK("https://ceds.ed.gov/elementComment.aspx?elementName=Section 504 Status &amp;elementID=13249", "Click here to submit comment")</f>
        <v>Click here to submit comment</v>
      </c>
    </row>
    <row r="2842" spans="1:17" ht="210" x14ac:dyDescent="0.25">
      <c r="A2842" s="9" t="s">
        <v>6878</v>
      </c>
      <c r="B2842" s="9" t="s">
        <v>6879</v>
      </c>
      <c r="C2842" s="9" t="s">
        <v>6770</v>
      </c>
      <c r="D2842" s="9" t="s">
        <v>6742</v>
      </c>
      <c r="E2842" s="9" t="s">
        <v>4705</v>
      </c>
      <c r="F2842" s="9" t="s">
        <v>4706</v>
      </c>
      <c r="G2842" s="10" t="s">
        <v>6648</v>
      </c>
      <c r="H2842" s="9" t="s">
        <v>6259</v>
      </c>
      <c r="I2842" s="9"/>
      <c r="J2842" s="9"/>
      <c r="K2842" s="9"/>
      <c r="L2842" s="9" t="s">
        <v>11683</v>
      </c>
      <c r="M2842" s="9" t="s">
        <v>4707</v>
      </c>
      <c r="N2842" s="9"/>
      <c r="O2842" s="9" t="s">
        <v>4708</v>
      </c>
      <c r="P2842" s="9" t="str">
        <f>HYPERLINK("https://ceds.ed.gov/cedselementdetails.aspx?termid=13218")</f>
        <v>https://ceds.ed.gov/cedselementdetails.aspx?termid=13218</v>
      </c>
      <c r="Q2842" s="9" t="str">
        <f>HYPERLINK("https://ceds.ed.gov/elementComment.aspx?elementName=Primary Disability Type &amp;elementID=13218", "Click here to submit comment")</f>
        <v>Click here to submit comment</v>
      </c>
    </row>
    <row r="2843" spans="1:17" ht="255" x14ac:dyDescent="0.25">
      <c r="A2843" s="9" t="s">
        <v>6878</v>
      </c>
      <c r="B2843" s="9" t="s">
        <v>6879</v>
      </c>
      <c r="C2843" s="9" t="s">
        <v>6770</v>
      </c>
      <c r="D2843" s="9" t="s">
        <v>6742</v>
      </c>
      <c r="E2843" s="9" t="s">
        <v>2282</v>
      </c>
      <c r="F2843" s="9" t="s">
        <v>2283</v>
      </c>
      <c r="G2843" s="10" t="s">
        <v>6449</v>
      </c>
      <c r="H2843" s="9"/>
      <c r="I2843" s="9"/>
      <c r="J2843" s="9"/>
      <c r="K2843" s="9"/>
      <c r="L2843" s="9" t="s">
        <v>2284</v>
      </c>
      <c r="M2843" s="9" t="s">
        <v>2285</v>
      </c>
      <c r="N2843" s="9"/>
      <c r="O2843" s="9" t="s">
        <v>2286</v>
      </c>
      <c r="P2843" s="9" t="str">
        <f>HYPERLINK("https://ceds.ed.gov/cedselementdetails.aspx?termid=14286")</f>
        <v>https://ceds.ed.gov/cedselementdetails.aspx?termid=14286</v>
      </c>
      <c r="Q2843" s="9" t="str">
        <f>HYPERLINK("https://ceds.ed.gov/elementComment.aspx?elementName=Disability Condition Type &amp;elementID=14286", "Click here to submit comment")</f>
        <v>Click here to submit comment</v>
      </c>
    </row>
    <row r="2844" spans="1:17" ht="180" x14ac:dyDescent="0.25">
      <c r="A2844" s="9" t="s">
        <v>6878</v>
      </c>
      <c r="B2844" s="9" t="s">
        <v>6879</v>
      </c>
      <c r="C2844" s="9" t="s">
        <v>6770</v>
      </c>
      <c r="D2844" s="9" t="s">
        <v>6742</v>
      </c>
      <c r="E2844" s="9" t="s">
        <v>2287</v>
      </c>
      <c r="F2844" s="9" t="s">
        <v>2288</v>
      </c>
      <c r="G2844" s="10" t="s">
        <v>6450</v>
      </c>
      <c r="H2844" s="9"/>
      <c r="I2844" s="9"/>
      <c r="J2844" s="9"/>
      <c r="K2844" s="9"/>
      <c r="L2844" s="9" t="s">
        <v>2284</v>
      </c>
      <c r="M2844" s="9" t="s">
        <v>2289</v>
      </c>
      <c r="N2844" s="9"/>
      <c r="O2844" s="9" t="s">
        <v>2290</v>
      </c>
      <c r="P2844" s="9" t="str">
        <f>HYPERLINK("https://ceds.ed.gov/cedselementdetails.aspx?termid=14287")</f>
        <v>https://ceds.ed.gov/cedselementdetails.aspx?termid=14287</v>
      </c>
      <c r="Q2844" s="9" t="str">
        <f>HYPERLINK("https://ceds.ed.gov/elementComment.aspx?elementName=Disability Determination Source Type &amp;elementID=14287", "Click here to submit comment")</f>
        <v>Click here to submit comment</v>
      </c>
    </row>
    <row r="2845" spans="1:17" ht="195" x14ac:dyDescent="0.25">
      <c r="A2845" s="9" t="s">
        <v>6878</v>
      </c>
      <c r="B2845" s="9" t="s">
        <v>6879</v>
      </c>
      <c r="C2845" s="9" t="s">
        <v>6770</v>
      </c>
      <c r="D2845" s="9" t="s">
        <v>6742</v>
      </c>
      <c r="E2845" s="9" t="s">
        <v>3190</v>
      </c>
      <c r="F2845" s="9" t="s">
        <v>3191</v>
      </c>
      <c r="G2845" s="10" t="s">
        <v>6539</v>
      </c>
      <c r="H2845" s="9" t="s">
        <v>199</v>
      </c>
      <c r="I2845" s="9"/>
      <c r="J2845" s="9"/>
      <c r="K2845" s="9"/>
      <c r="L2845" s="9"/>
      <c r="M2845" s="9" t="s">
        <v>3192</v>
      </c>
      <c r="N2845" s="9"/>
      <c r="O2845" s="9" t="s">
        <v>3193</v>
      </c>
      <c r="P2845" s="9" t="str">
        <f>HYPERLINK("https://ceds.ed.gov/cedselementdetails.aspx?termid=13526")</f>
        <v>https://ceds.ed.gov/cedselementdetails.aspx?termid=13526</v>
      </c>
      <c r="Q2845" s="9" t="str">
        <f>HYPERLINK("https://ceds.ed.gov/elementComment.aspx?elementName=IDEA Educational Environment for School Age &amp;elementID=13526", "Click here to submit comment")</f>
        <v>Click here to submit comment</v>
      </c>
    </row>
    <row r="2846" spans="1:17" ht="75" x14ac:dyDescent="0.25">
      <c r="A2846" s="9" t="s">
        <v>6878</v>
      </c>
      <c r="B2846" s="9" t="s">
        <v>6879</v>
      </c>
      <c r="C2846" s="9" t="s">
        <v>6875</v>
      </c>
      <c r="D2846" s="9" t="s">
        <v>6742</v>
      </c>
      <c r="E2846" s="9" t="s">
        <v>1778</v>
      </c>
      <c r="F2846" s="9" t="s">
        <v>1779</v>
      </c>
      <c r="G2846" s="11" t="s">
        <v>1780</v>
      </c>
      <c r="H2846" s="9" t="s">
        <v>6108</v>
      </c>
      <c r="I2846" s="9"/>
      <c r="J2846" s="9"/>
      <c r="K2846" s="9"/>
      <c r="L2846" s="9"/>
      <c r="M2846" s="9" t="s">
        <v>1781</v>
      </c>
      <c r="N2846" s="9" t="s">
        <v>1782</v>
      </c>
      <c r="O2846" s="9" t="s">
        <v>1783</v>
      </c>
      <c r="P2846" s="9" t="str">
        <f>HYPERLINK("https://ceds.ed.gov/cedselementdetails.aspx?termid=13043")</f>
        <v>https://ceds.ed.gov/cedselementdetails.aspx?termid=13043</v>
      </c>
      <c r="Q2846" s="9" t="str">
        <f>HYPERLINK("https://ceds.ed.gov/elementComment.aspx?elementName=Classification of Instructional Program Code &amp;elementID=13043", "Click here to submit comment")</f>
        <v>Click here to submit comment</v>
      </c>
    </row>
    <row r="2847" spans="1:17" ht="360" x14ac:dyDescent="0.25">
      <c r="A2847" s="9" t="s">
        <v>6878</v>
      </c>
      <c r="B2847" s="9" t="s">
        <v>6879</v>
      </c>
      <c r="C2847" s="9" t="s">
        <v>6875</v>
      </c>
      <c r="D2847" s="9" t="s">
        <v>6742</v>
      </c>
      <c r="E2847" s="9" t="s">
        <v>1627</v>
      </c>
      <c r="F2847" s="9" t="s">
        <v>1628</v>
      </c>
      <c r="G2847" s="10" t="s">
        <v>6396</v>
      </c>
      <c r="H2847" s="9"/>
      <c r="I2847" s="9"/>
      <c r="J2847" s="9"/>
      <c r="K2847" s="9"/>
      <c r="L2847" s="9" t="s">
        <v>1629</v>
      </c>
      <c r="M2847" s="9" t="s">
        <v>1630</v>
      </c>
      <c r="N2847" s="9"/>
      <c r="O2847" s="9" t="s">
        <v>1631</v>
      </c>
      <c r="P2847" s="9" t="str">
        <f>HYPERLINK("https://ceds.ed.gov/cedselementdetails.aspx?termid=14254")</f>
        <v>https://ceds.ed.gov/cedselementdetails.aspx?termid=14254</v>
      </c>
      <c r="Q2847" s="9" t="str">
        <f>HYPERLINK("https://ceds.ed.gov/elementComment.aspx?elementName=Career Cluster &amp;elementID=14254", "Click here to submit comment")</f>
        <v>Click here to submit comment</v>
      </c>
    </row>
    <row r="2848" spans="1:17" ht="60" x14ac:dyDescent="0.25">
      <c r="A2848" s="9" t="s">
        <v>6878</v>
      </c>
      <c r="B2848" s="9" t="s">
        <v>6879</v>
      </c>
      <c r="C2848" s="9" t="s">
        <v>6875</v>
      </c>
      <c r="D2848" s="9" t="s">
        <v>6742</v>
      </c>
      <c r="E2848" s="9" t="s">
        <v>4936</v>
      </c>
      <c r="F2848" s="9" t="s">
        <v>4937</v>
      </c>
      <c r="G2848" s="9" t="s">
        <v>12</v>
      </c>
      <c r="H2848" s="9" t="s">
        <v>6267</v>
      </c>
      <c r="I2848" s="9"/>
      <c r="J2848" s="9" t="s">
        <v>73</v>
      </c>
      <c r="K2848" s="9"/>
      <c r="L2848" s="9"/>
      <c r="M2848" s="9" t="s">
        <v>4938</v>
      </c>
      <c r="N2848" s="9"/>
      <c r="O2848" s="9" t="s">
        <v>4939</v>
      </c>
      <c r="P2848" s="9" t="str">
        <f>HYPERLINK("https://ceds.ed.gov/cedselementdetails.aspx?termid=13583")</f>
        <v>https://ceds.ed.gov/cedselementdetails.aspx?termid=13583</v>
      </c>
      <c r="Q2848" s="9" t="str">
        <f>HYPERLINK("https://ceds.ed.gov/elementComment.aspx?elementName=Program Participation Start Date &amp;elementID=13583", "Click here to submit comment")</f>
        <v>Click here to submit comment</v>
      </c>
    </row>
    <row r="2849" spans="1:17" ht="45" x14ac:dyDescent="0.25">
      <c r="A2849" s="9" t="s">
        <v>6878</v>
      </c>
      <c r="B2849" s="9" t="s">
        <v>6879</v>
      </c>
      <c r="C2849" s="9" t="s">
        <v>6875</v>
      </c>
      <c r="D2849" s="9" t="s">
        <v>6742</v>
      </c>
      <c r="E2849" s="9" t="s">
        <v>4933</v>
      </c>
      <c r="F2849" s="9" t="s">
        <v>1641</v>
      </c>
      <c r="G2849" s="9" t="s">
        <v>12</v>
      </c>
      <c r="H2849" s="9" t="s">
        <v>6266</v>
      </c>
      <c r="I2849" s="9"/>
      <c r="J2849" s="9" t="s">
        <v>73</v>
      </c>
      <c r="K2849" s="9"/>
      <c r="L2849" s="9"/>
      <c r="M2849" s="9" t="s">
        <v>4934</v>
      </c>
      <c r="N2849" s="9"/>
      <c r="O2849" s="9" t="s">
        <v>4935</v>
      </c>
      <c r="P2849" s="9" t="str">
        <f>HYPERLINK("https://ceds.ed.gov/cedselementdetails.aspx?termid=13584")</f>
        <v>https://ceds.ed.gov/cedselementdetails.aspx?termid=13584</v>
      </c>
      <c r="Q2849" s="9" t="str">
        <f>HYPERLINK("https://ceds.ed.gov/elementComment.aspx?elementName=Program Participation Exit Date &amp;elementID=13584", "Click here to submit comment")</f>
        <v>Click here to submit comment</v>
      </c>
    </row>
    <row r="2850" spans="1:17" ht="45" x14ac:dyDescent="0.25">
      <c r="A2850" s="9" t="s">
        <v>6878</v>
      </c>
      <c r="B2850" s="9" t="s">
        <v>6879</v>
      </c>
      <c r="C2850" s="9" t="s">
        <v>6875</v>
      </c>
      <c r="D2850" s="9" t="s">
        <v>6742</v>
      </c>
      <c r="E2850" s="9" t="s">
        <v>1648</v>
      </c>
      <c r="F2850" s="9" t="s">
        <v>1649</v>
      </c>
      <c r="G2850" s="9" t="s">
        <v>12</v>
      </c>
      <c r="H2850" s="9"/>
      <c r="I2850" s="9"/>
      <c r="J2850" s="9" t="s">
        <v>73</v>
      </c>
      <c r="K2850" s="9"/>
      <c r="L2850" s="9"/>
      <c r="M2850" s="9" t="s">
        <v>1650</v>
      </c>
      <c r="N2850" s="9"/>
      <c r="O2850" s="9" t="s">
        <v>1651</v>
      </c>
      <c r="P2850" s="9" t="str">
        <f>HYPERLINK("https://ceds.ed.gov/cedselementdetails.aspx?termid=14563")</f>
        <v>https://ceds.ed.gov/cedselementdetails.aspx?termid=14563</v>
      </c>
      <c r="Q2850" s="9" t="str">
        <f>HYPERLINK("https://ceds.ed.gov/elementComment.aspx?elementName=Career Pathways Program Participation Start Date &amp;elementID=14563", "Click here to submit comment")</f>
        <v>Click here to submit comment</v>
      </c>
    </row>
    <row r="2851" spans="1:17" ht="45" x14ac:dyDescent="0.25">
      <c r="A2851" s="9" t="s">
        <v>6878</v>
      </c>
      <c r="B2851" s="9" t="s">
        <v>6879</v>
      </c>
      <c r="C2851" s="9" t="s">
        <v>6875</v>
      </c>
      <c r="D2851" s="9" t="s">
        <v>6742</v>
      </c>
      <c r="E2851" s="9" t="s">
        <v>1640</v>
      </c>
      <c r="F2851" s="9" t="s">
        <v>1641</v>
      </c>
      <c r="G2851" s="9" t="s">
        <v>12</v>
      </c>
      <c r="H2851" s="9"/>
      <c r="I2851" s="9"/>
      <c r="J2851" s="9" t="s">
        <v>73</v>
      </c>
      <c r="K2851" s="9"/>
      <c r="L2851" s="9"/>
      <c r="M2851" s="9" t="s">
        <v>1642</v>
      </c>
      <c r="N2851" s="9"/>
      <c r="O2851" s="9" t="s">
        <v>1643</v>
      </c>
      <c r="P2851" s="9" t="str">
        <f>HYPERLINK("https://ceds.ed.gov/cedselementdetails.aspx?termid=14562")</f>
        <v>https://ceds.ed.gov/cedselementdetails.aspx?termid=14562</v>
      </c>
      <c r="Q2851" s="9" t="str">
        <f>HYPERLINK("https://ceds.ed.gov/elementComment.aspx?elementName=Career Pathways Program Participation Exit Date &amp;elementID=14562", "Click here to submit comment")</f>
        <v>Click here to submit comment</v>
      </c>
    </row>
    <row r="2852" spans="1:17" ht="75" x14ac:dyDescent="0.25">
      <c r="A2852" s="9" t="s">
        <v>6878</v>
      </c>
      <c r="B2852" s="9" t="s">
        <v>6879</v>
      </c>
      <c r="C2852" s="9" t="s">
        <v>6875</v>
      </c>
      <c r="D2852" s="9" t="s">
        <v>6742</v>
      </c>
      <c r="E2852" s="9" t="s">
        <v>1622</v>
      </c>
      <c r="F2852" s="9" t="s">
        <v>1623</v>
      </c>
      <c r="G2852" s="9" t="s">
        <v>6106</v>
      </c>
      <c r="H2852" s="9" t="s">
        <v>199</v>
      </c>
      <c r="I2852" s="9"/>
      <c r="J2852" s="9"/>
      <c r="K2852" s="9"/>
      <c r="L2852" s="9"/>
      <c r="M2852" s="9" t="s">
        <v>1624</v>
      </c>
      <c r="N2852" s="9" t="s">
        <v>1625</v>
      </c>
      <c r="O2852" s="9" t="s">
        <v>1626</v>
      </c>
      <c r="P2852" s="9" t="str">
        <f>HYPERLINK("https://ceds.ed.gov/cedselementdetails.aspx?termid=13585")</f>
        <v>https://ceds.ed.gov/cedselementdetails.aspx?termid=13585</v>
      </c>
      <c r="Q2852" s="9" t="str">
        <f>HYPERLINK("https://ceds.ed.gov/elementComment.aspx?elementName=Career and Technical Education Participant &amp;elementID=13585", "Click here to submit comment")</f>
        <v>Click here to submit comment</v>
      </c>
    </row>
    <row r="2853" spans="1:17" ht="105" x14ac:dyDescent="0.25">
      <c r="A2853" s="9" t="s">
        <v>6878</v>
      </c>
      <c r="B2853" s="9" t="s">
        <v>6879</v>
      </c>
      <c r="C2853" s="9" t="s">
        <v>6875</v>
      </c>
      <c r="D2853" s="9" t="s">
        <v>6742</v>
      </c>
      <c r="E2853" s="9" t="s">
        <v>1601</v>
      </c>
      <c r="F2853" s="9" t="s">
        <v>1602</v>
      </c>
      <c r="G2853" s="9" t="s">
        <v>6106</v>
      </c>
      <c r="H2853" s="9" t="s">
        <v>6155</v>
      </c>
      <c r="I2853" s="9"/>
      <c r="J2853" s="9"/>
      <c r="K2853" s="9"/>
      <c r="L2853" s="9"/>
      <c r="M2853" s="9" t="s">
        <v>1603</v>
      </c>
      <c r="N2853" s="9" t="s">
        <v>1604</v>
      </c>
      <c r="O2853" s="9" t="s">
        <v>1605</v>
      </c>
      <c r="P2853" s="9" t="str">
        <f>HYPERLINK("https://ceds.ed.gov/cedselementdetails.aspx?termid=13037")</f>
        <v>https://ceds.ed.gov/cedselementdetails.aspx?termid=13037</v>
      </c>
      <c r="Q2853" s="9" t="str">
        <f>HYPERLINK("https://ceds.ed.gov/elementComment.aspx?elementName=Career and Technical Education Concentrator &amp;elementID=13037", "Click here to submit comment")</f>
        <v>Click here to submit comment</v>
      </c>
    </row>
    <row r="2854" spans="1:17" ht="270" x14ac:dyDescent="0.25">
      <c r="A2854" s="9" t="s">
        <v>6878</v>
      </c>
      <c r="B2854" s="9" t="s">
        <v>6879</v>
      </c>
      <c r="C2854" s="9" t="s">
        <v>6875</v>
      </c>
      <c r="D2854" s="9" t="s">
        <v>6742</v>
      </c>
      <c r="E2854" s="9" t="s">
        <v>1657</v>
      </c>
      <c r="F2854" s="9" t="s">
        <v>1658</v>
      </c>
      <c r="G2854" s="9" t="s">
        <v>6106</v>
      </c>
      <c r="H2854" s="9" t="s">
        <v>199</v>
      </c>
      <c r="I2854" s="9"/>
      <c r="J2854" s="9"/>
      <c r="K2854" s="9"/>
      <c r="L2854" s="9"/>
      <c r="M2854" s="9" t="s">
        <v>1659</v>
      </c>
      <c r="N2854" s="9" t="s">
        <v>1660</v>
      </c>
      <c r="O2854" s="9" t="s">
        <v>1661</v>
      </c>
      <c r="P2854" s="9" t="str">
        <f>HYPERLINK("https://ceds.ed.gov/cedselementdetails.aspx?termid=13084")</f>
        <v>https://ceds.ed.gov/cedselementdetails.aspx?termid=13084</v>
      </c>
      <c r="Q2854" s="9" t="str">
        <f>HYPERLINK("https://ceds.ed.gov/elementComment.aspx?elementName=Career-Technical-Adult Education Displaced Homemaker Indicator &amp;elementID=13084", "Click here to submit comment")</f>
        <v>Click here to submit comment</v>
      </c>
    </row>
    <row r="2855" spans="1:17" ht="75" x14ac:dyDescent="0.25">
      <c r="A2855" s="9" t="s">
        <v>6878</v>
      </c>
      <c r="B2855" s="9" t="s">
        <v>6879</v>
      </c>
      <c r="C2855" s="9" t="s">
        <v>6875</v>
      </c>
      <c r="D2855" s="9" t="s">
        <v>6742</v>
      </c>
      <c r="E2855" s="9" t="s">
        <v>1644</v>
      </c>
      <c r="F2855" s="9" t="s">
        <v>1645</v>
      </c>
      <c r="G2855" s="9" t="s">
        <v>6106</v>
      </c>
      <c r="H2855" s="9"/>
      <c r="I2855" s="9"/>
      <c r="J2855" s="9"/>
      <c r="K2855" s="9"/>
      <c r="L2855" s="9"/>
      <c r="M2855" s="9" t="s">
        <v>1646</v>
      </c>
      <c r="N2855" s="9"/>
      <c r="O2855" s="9" t="s">
        <v>1647</v>
      </c>
      <c r="P2855" s="9" t="str">
        <f>HYPERLINK("https://ceds.ed.gov/cedselementdetails.aspx?termid=14257")</f>
        <v>https://ceds.ed.gov/cedselementdetails.aspx?termid=14257</v>
      </c>
      <c r="Q2855" s="9" t="str">
        <f>HYPERLINK("https://ceds.ed.gov/elementComment.aspx?elementName=Career Pathways Program Participation Indicator &amp;elementID=14257", "Click here to submit comment")</f>
        <v>Click here to submit comment</v>
      </c>
    </row>
    <row r="2856" spans="1:17" ht="105" x14ac:dyDescent="0.25">
      <c r="A2856" s="9" t="s">
        <v>6878</v>
      </c>
      <c r="B2856" s="9" t="s">
        <v>6879</v>
      </c>
      <c r="C2856" s="9" t="s">
        <v>6875</v>
      </c>
      <c r="D2856" s="9" t="s">
        <v>6742</v>
      </c>
      <c r="E2856" s="9" t="s">
        <v>12220</v>
      </c>
      <c r="F2856" s="9" t="s">
        <v>5485</v>
      </c>
      <c r="G2856" s="9" t="s">
        <v>6106</v>
      </c>
      <c r="H2856" s="9" t="s">
        <v>6169</v>
      </c>
      <c r="I2856" s="9"/>
      <c r="J2856" s="9"/>
      <c r="K2856" s="9"/>
      <c r="L2856" s="9"/>
      <c r="M2856" s="9" t="s">
        <v>5486</v>
      </c>
      <c r="N2856" s="9"/>
      <c r="O2856" s="9" t="s">
        <v>5487</v>
      </c>
      <c r="P2856" s="9" t="str">
        <f>HYPERLINK("https://ceds.ed.gov/cedselementdetails.aspx?termid=13573")</f>
        <v>https://ceds.ed.gov/cedselementdetails.aspx?termid=13573</v>
      </c>
      <c r="Q2856" s="9" t="str">
        <f>HYPERLINK("https://ceds.ed.gov/elementComment.aspx?elementName=Single Parent or Single Pregnant Woman Status &amp;elementID=13573", "Click here to submit comment")</f>
        <v>Click here to submit comment</v>
      </c>
    </row>
    <row r="2857" spans="1:17" ht="240" x14ac:dyDescent="0.25">
      <c r="A2857" s="9" t="s">
        <v>6878</v>
      </c>
      <c r="B2857" s="9" t="s">
        <v>6879</v>
      </c>
      <c r="C2857" s="9" t="s">
        <v>6875</v>
      </c>
      <c r="D2857" s="9" t="s">
        <v>6742</v>
      </c>
      <c r="E2857" s="9" t="s">
        <v>6080</v>
      </c>
      <c r="F2857" s="9" t="s">
        <v>6081</v>
      </c>
      <c r="G2857" s="10" t="s">
        <v>6737</v>
      </c>
      <c r="H2857" s="9"/>
      <c r="I2857" s="9"/>
      <c r="J2857" s="9"/>
      <c r="K2857" s="9"/>
      <c r="L2857" s="9"/>
      <c r="M2857" s="9" t="s">
        <v>6082</v>
      </c>
      <c r="N2857" s="9"/>
      <c r="O2857" s="9" t="s">
        <v>6083</v>
      </c>
      <c r="P2857" s="9" t="str">
        <f>HYPERLINK("https://ceds.ed.gov/cedselementdetails.aspx?termid=14471")</f>
        <v>https://ceds.ed.gov/cedselementdetails.aspx?termid=14471</v>
      </c>
      <c r="Q2857" s="9" t="str">
        <f>HYPERLINK("https://ceds.ed.gov/elementComment.aspx?elementName=Work-based Learning Opportunity Type &amp;elementID=14471", "Click here to submit comment")</f>
        <v>Click here to submit comment</v>
      </c>
    </row>
    <row r="2858" spans="1:17" ht="45" x14ac:dyDescent="0.25">
      <c r="A2858" s="9" t="s">
        <v>6878</v>
      </c>
      <c r="B2858" s="9" t="s">
        <v>6879</v>
      </c>
      <c r="C2858" s="9" t="s">
        <v>6880</v>
      </c>
      <c r="D2858" s="9" t="s">
        <v>6742</v>
      </c>
      <c r="E2858" s="9" t="s">
        <v>1632</v>
      </c>
      <c r="F2858" s="9" t="s">
        <v>1633</v>
      </c>
      <c r="G2858" s="9" t="s">
        <v>12</v>
      </c>
      <c r="H2858" s="9"/>
      <c r="I2858" s="9"/>
      <c r="J2858" s="9" t="s">
        <v>73</v>
      </c>
      <c r="K2858" s="9"/>
      <c r="L2858" s="9"/>
      <c r="M2858" s="9" t="s">
        <v>1634</v>
      </c>
      <c r="N2858" s="9"/>
      <c r="O2858" s="9" t="s">
        <v>1635</v>
      </c>
      <c r="P2858" s="9" t="str">
        <f>HYPERLINK("https://ceds.ed.gov/cedselementdetails.aspx?termid=14255")</f>
        <v>https://ceds.ed.gov/cedselementdetails.aspx?termid=14255</v>
      </c>
      <c r="Q2858" s="9" t="str">
        <f>HYPERLINK("https://ceds.ed.gov/elementComment.aspx?elementName=Career Education Plan Date &amp;elementID=14255", "Click here to submit comment")</f>
        <v>Click here to submit comment</v>
      </c>
    </row>
    <row r="2859" spans="1:17" ht="75" x14ac:dyDescent="0.25">
      <c r="A2859" s="9" t="s">
        <v>6878</v>
      </c>
      <c r="B2859" s="9" t="s">
        <v>6879</v>
      </c>
      <c r="C2859" s="9" t="s">
        <v>6880</v>
      </c>
      <c r="D2859" s="9" t="s">
        <v>6742</v>
      </c>
      <c r="E2859" s="9" t="s">
        <v>1636</v>
      </c>
      <c r="F2859" s="9" t="s">
        <v>1637</v>
      </c>
      <c r="G2859" s="10" t="s">
        <v>6397</v>
      </c>
      <c r="H2859" s="9"/>
      <c r="I2859" s="9"/>
      <c r="J2859" s="9"/>
      <c r="K2859" s="9"/>
      <c r="L2859" s="9"/>
      <c r="M2859" s="9" t="s">
        <v>1638</v>
      </c>
      <c r="N2859" s="9"/>
      <c r="O2859" s="9" t="s">
        <v>1639</v>
      </c>
      <c r="P2859" s="9" t="str">
        <f>HYPERLINK("https://ceds.ed.gov/cedselementdetails.aspx?termid=14256")</f>
        <v>https://ceds.ed.gov/cedselementdetails.aspx?termid=14256</v>
      </c>
      <c r="Q2859" s="9" t="str">
        <f>HYPERLINK("https://ceds.ed.gov/elementComment.aspx?elementName=Career Education Plan Type &amp;elementID=14256", "Click here to submit comment")</f>
        <v>Click here to submit comment</v>
      </c>
    </row>
    <row r="2860" spans="1:17" ht="195" x14ac:dyDescent="0.25">
      <c r="A2860" s="9" t="s">
        <v>6878</v>
      </c>
      <c r="B2860" s="9" t="s">
        <v>6881</v>
      </c>
      <c r="C2860" s="9" t="s">
        <v>6741</v>
      </c>
      <c r="D2860" s="9" t="s">
        <v>6742</v>
      </c>
      <c r="E2860" s="9" t="s">
        <v>2935</v>
      </c>
      <c r="F2860" s="9" t="s">
        <v>2936</v>
      </c>
      <c r="G2860" s="9" t="s">
        <v>12</v>
      </c>
      <c r="H2860" s="9" t="s">
        <v>6211</v>
      </c>
      <c r="I2860" s="9"/>
      <c r="J2860" s="9" t="s">
        <v>1310</v>
      </c>
      <c r="K2860" s="9"/>
      <c r="L2860" s="9" t="s">
        <v>2937</v>
      </c>
      <c r="M2860" s="9" t="s">
        <v>2938</v>
      </c>
      <c r="N2860" s="9"/>
      <c r="O2860" s="9" t="s">
        <v>2939</v>
      </c>
      <c r="P2860" s="9" t="str">
        <f>HYPERLINK("https://ceds.ed.gov/cedselementdetails.aspx?termid=13115")</f>
        <v>https://ceds.ed.gov/cedselementdetails.aspx?termid=13115</v>
      </c>
      <c r="Q2860" s="9" t="str">
        <f>HYPERLINK("https://ceds.ed.gov/elementComment.aspx?elementName=First Name &amp;elementID=13115", "Click here to submit comment")</f>
        <v>Click here to submit comment</v>
      </c>
    </row>
    <row r="2861" spans="1:17" ht="90" customHeight="1" x14ac:dyDescent="0.25">
      <c r="A2861" s="18" t="s">
        <v>6878</v>
      </c>
      <c r="B2861" s="18" t="s">
        <v>6881</v>
      </c>
      <c r="C2861" s="18" t="s">
        <v>6741</v>
      </c>
      <c r="D2861" s="18" t="s">
        <v>6742</v>
      </c>
      <c r="E2861" s="18" t="s">
        <v>4183</v>
      </c>
      <c r="F2861" s="18" t="s">
        <v>4184</v>
      </c>
      <c r="G2861" s="18" t="s">
        <v>12</v>
      </c>
      <c r="H2861" s="18" t="s">
        <v>6211</v>
      </c>
      <c r="I2861" s="18"/>
      <c r="J2861" s="18" t="s">
        <v>1310</v>
      </c>
      <c r="K2861" s="18"/>
      <c r="L2861" s="9" t="s">
        <v>2996</v>
      </c>
      <c r="M2861" s="18" t="s">
        <v>4185</v>
      </c>
      <c r="N2861" s="18"/>
      <c r="O2861" s="18" t="s">
        <v>4186</v>
      </c>
      <c r="P2861" s="18" t="str">
        <f>HYPERLINK("https://ceds.ed.gov/cedselementdetails.aspx?termid=13184")</f>
        <v>https://ceds.ed.gov/cedselementdetails.aspx?termid=13184</v>
      </c>
      <c r="Q2861" s="18" t="str">
        <f>HYPERLINK("https://ceds.ed.gov/elementComment.aspx?elementName=Middle Name &amp;elementID=13184", "Click here to submit comment")</f>
        <v>Click here to submit comment</v>
      </c>
    </row>
    <row r="2862" spans="1:17" ht="90" x14ac:dyDescent="0.25">
      <c r="A2862" s="18"/>
      <c r="B2862" s="18"/>
      <c r="C2862" s="18"/>
      <c r="D2862" s="18"/>
      <c r="E2862" s="18"/>
      <c r="F2862" s="18"/>
      <c r="G2862" s="18"/>
      <c r="H2862" s="18"/>
      <c r="I2862" s="18"/>
      <c r="J2862" s="18"/>
      <c r="K2862" s="18"/>
      <c r="L2862" s="9" t="s">
        <v>2997</v>
      </c>
      <c r="M2862" s="18"/>
      <c r="N2862" s="18"/>
      <c r="O2862" s="18"/>
      <c r="P2862" s="18"/>
      <c r="Q2862" s="18"/>
    </row>
    <row r="2863" spans="1:17" ht="90" customHeight="1" x14ac:dyDescent="0.25">
      <c r="A2863" s="18" t="s">
        <v>6878</v>
      </c>
      <c r="B2863" s="18" t="s">
        <v>6881</v>
      </c>
      <c r="C2863" s="18" t="s">
        <v>6741</v>
      </c>
      <c r="D2863" s="18" t="s">
        <v>6742</v>
      </c>
      <c r="E2863" s="18" t="s">
        <v>3597</v>
      </c>
      <c r="F2863" s="18" t="s">
        <v>3598</v>
      </c>
      <c r="G2863" s="18" t="s">
        <v>12</v>
      </c>
      <c r="H2863" s="18" t="s">
        <v>6211</v>
      </c>
      <c r="I2863" s="18"/>
      <c r="J2863" s="18" t="s">
        <v>1310</v>
      </c>
      <c r="K2863" s="18"/>
      <c r="L2863" s="9" t="s">
        <v>2996</v>
      </c>
      <c r="M2863" s="18" t="s">
        <v>3599</v>
      </c>
      <c r="N2863" s="18" t="s">
        <v>3600</v>
      </c>
      <c r="O2863" s="18" t="s">
        <v>3601</v>
      </c>
      <c r="P2863" s="18" t="str">
        <f>HYPERLINK("https://ceds.ed.gov/cedselementdetails.aspx?termid=13172")</f>
        <v>https://ceds.ed.gov/cedselementdetails.aspx?termid=13172</v>
      </c>
      <c r="Q2863" s="18" t="str">
        <f>HYPERLINK("https://ceds.ed.gov/elementComment.aspx?elementName=Last or Surname &amp;elementID=13172", "Click here to submit comment")</f>
        <v>Click here to submit comment</v>
      </c>
    </row>
    <row r="2864" spans="1:17" ht="90" x14ac:dyDescent="0.25">
      <c r="A2864" s="18"/>
      <c r="B2864" s="18"/>
      <c r="C2864" s="18"/>
      <c r="D2864" s="18"/>
      <c r="E2864" s="18"/>
      <c r="F2864" s="18"/>
      <c r="G2864" s="18"/>
      <c r="H2864" s="18"/>
      <c r="I2864" s="18"/>
      <c r="J2864" s="18"/>
      <c r="K2864" s="18"/>
      <c r="L2864" s="9" t="s">
        <v>2997</v>
      </c>
      <c r="M2864" s="18"/>
      <c r="N2864" s="18"/>
      <c r="O2864" s="18"/>
      <c r="P2864" s="18"/>
      <c r="Q2864" s="18"/>
    </row>
    <row r="2865" spans="1:17" ht="45" customHeight="1" x14ac:dyDescent="0.25">
      <c r="A2865" s="18" t="s">
        <v>6878</v>
      </c>
      <c r="B2865" s="18" t="s">
        <v>6881</v>
      </c>
      <c r="C2865" s="18" t="s">
        <v>6741</v>
      </c>
      <c r="D2865" s="18" t="s">
        <v>6742</v>
      </c>
      <c r="E2865" s="18" t="s">
        <v>2994</v>
      </c>
      <c r="F2865" s="18" t="s">
        <v>2995</v>
      </c>
      <c r="G2865" s="18" t="s">
        <v>12</v>
      </c>
      <c r="H2865" s="18" t="s">
        <v>6212</v>
      </c>
      <c r="I2865" s="18"/>
      <c r="J2865" s="18" t="s">
        <v>2088</v>
      </c>
      <c r="K2865" s="18"/>
      <c r="L2865" s="9" t="s">
        <v>2996</v>
      </c>
      <c r="M2865" s="18" t="s">
        <v>2998</v>
      </c>
      <c r="N2865" s="18"/>
      <c r="O2865" s="18" t="s">
        <v>2999</v>
      </c>
      <c r="P2865" s="18" t="str">
        <f>HYPERLINK("https://ceds.ed.gov/cedselementdetails.aspx?termid=13121")</f>
        <v>https://ceds.ed.gov/cedselementdetails.aspx?termid=13121</v>
      </c>
      <c r="Q2865" s="18" t="str">
        <f>HYPERLINK("https://ceds.ed.gov/elementComment.aspx?elementName=Generation Code or Suffix &amp;elementID=13121", "Click here to submit comment")</f>
        <v>Click here to submit comment</v>
      </c>
    </row>
    <row r="2866" spans="1:17" ht="90" x14ac:dyDescent="0.25">
      <c r="A2866" s="18"/>
      <c r="B2866" s="18"/>
      <c r="C2866" s="18"/>
      <c r="D2866" s="18"/>
      <c r="E2866" s="18"/>
      <c r="F2866" s="18"/>
      <c r="G2866" s="18"/>
      <c r="H2866" s="18"/>
      <c r="I2866" s="18"/>
      <c r="J2866" s="18"/>
      <c r="K2866" s="18"/>
      <c r="L2866" s="9" t="s">
        <v>2997</v>
      </c>
      <c r="M2866" s="18"/>
      <c r="N2866" s="18"/>
      <c r="O2866" s="18"/>
      <c r="P2866" s="18"/>
      <c r="Q2866" s="18"/>
    </row>
    <row r="2867" spans="1:17" ht="105" x14ac:dyDescent="0.25">
      <c r="A2867" s="9" t="s">
        <v>6878</v>
      </c>
      <c r="B2867" s="9" t="s">
        <v>6881</v>
      </c>
      <c r="C2867" s="9" t="s">
        <v>6741</v>
      </c>
      <c r="D2867" s="9" t="s">
        <v>6742</v>
      </c>
      <c r="E2867" s="9" t="s">
        <v>4610</v>
      </c>
      <c r="F2867" s="9" t="s">
        <v>4611</v>
      </c>
      <c r="G2867" s="9" t="s">
        <v>12</v>
      </c>
      <c r="H2867" s="9" t="s">
        <v>6255</v>
      </c>
      <c r="I2867" s="9"/>
      <c r="J2867" s="9" t="s">
        <v>87</v>
      </c>
      <c r="K2867" s="9"/>
      <c r="L2867" s="9"/>
      <c r="M2867" s="9" t="s">
        <v>4612</v>
      </c>
      <c r="N2867" s="9" t="s">
        <v>4613</v>
      </c>
      <c r="O2867" s="9" t="s">
        <v>4614</v>
      </c>
      <c r="P2867" s="9" t="str">
        <f>HYPERLINK("https://ceds.ed.gov/cedselementdetails.aspx?termid=13212")</f>
        <v>https://ceds.ed.gov/cedselementdetails.aspx?termid=13212</v>
      </c>
      <c r="Q2867" s="9" t="str">
        <f>HYPERLINK("https://ceds.ed.gov/elementComment.aspx?elementName=Personal Title or Prefix &amp;elementID=13212", "Click here to submit comment")</f>
        <v>Click here to submit comment</v>
      </c>
    </row>
    <row r="2868" spans="1:17" ht="45" x14ac:dyDescent="0.25">
      <c r="A2868" s="9" t="s">
        <v>6878</v>
      </c>
      <c r="B2868" s="9" t="s">
        <v>6881</v>
      </c>
      <c r="C2868" s="9" t="s">
        <v>6743</v>
      </c>
      <c r="D2868" s="9" t="s">
        <v>6742</v>
      </c>
      <c r="E2868" s="9" t="s">
        <v>4481</v>
      </c>
      <c r="F2868" s="9" t="s">
        <v>4482</v>
      </c>
      <c r="G2868" s="9" t="s">
        <v>12</v>
      </c>
      <c r="H2868" s="9"/>
      <c r="I2868" s="9"/>
      <c r="J2868" s="9" t="s">
        <v>1310</v>
      </c>
      <c r="K2868" s="9"/>
      <c r="L2868" s="9" t="s">
        <v>4483</v>
      </c>
      <c r="M2868" s="9" t="s">
        <v>4484</v>
      </c>
      <c r="N2868" s="9"/>
      <c r="O2868" s="9" t="s">
        <v>4485</v>
      </c>
      <c r="P2868" s="9" t="str">
        <f>HYPERLINK("https://ceds.ed.gov/cedselementdetails.aspx?termid=14486")</f>
        <v>https://ceds.ed.gov/cedselementdetails.aspx?termid=14486</v>
      </c>
      <c r="Q2868" s="9" t="str">
        <f>HYPERLINK("https://ceds.ed.gov/elementComment.aspx?elementName=Other First Name &amp;elementID=14486", "Click here to submit comment")</f>
        <v>Click here to submit comment</v>
      </c>
    </row>
    <row r="2869" spans="1:17" ht="45" x14ac:dyDescent="0.25">
      <c r="A2869" s="9" t="s">
        <v>6878</v>
      </c>
      <c r="B2869" s="9" t="s">
        <v>6881</v>
      </c>
      <c r="C2869" s="9" t="s">
        <v>6743</v>
      </c>
      <c r="D2869" s="9" t="s">
        <v>6742</v>
      </c>
      <c r="E2869" s="9" t="s">
        <v>4486</v>
      </c>
      <c r="F2869" s="9" t="s">
        <v>4487</v>
      </c>
      <c r="G2869" s="9" t="s">
        <v>12</v>
      </c>
      <c r="H2869" s="9"/>
      <c r="I2869" s="9"/>
      <c r="J2869" s="9" t="s">
        <v>1310</v>
      </c>
      <c r="K2869" s="9"/>
      <c r="L2869" s="9" t="s">
        <v>4488</v>
      </c>
      <c r="M2869" s="9" t="s">
        <v>4489</v>
      </c>
      <c r="N2869" s="9"/>
      <c r="O2869" s="9" t="s">
        <v>4490</v>
      </c>
      <c r="P2869" s="9" t="str">
        <f>HYPERLINK("https://ceds.ed.gov/cedselementdetails.aspx?termid=14485")</f>
        <v>https://ceds.ed.gov/cedselementdetails.aspx?termid=14485</v>
      </c>
      <c r="Q2869" s="9" t="str">
        <f>HYPERLINK("https://ceds.ed.gov/elementComment.aspx?elementName=Other Last Name &amp;elementID=14485", "Click here to submit comment")</f>
        <v>Click here to submit comment</v>
      </c>
    </row>
    <row r="2870" spans="1:17" ht="45" x14ac:dyDescent="0.25">
      <c r="A2870" s="9" t="s">
        <v>6878</v>
      </c>
      <c r="B2870" s="9" t="s">
        <v>6881</v>
      </c>
      <c r="C2870" s="9" t="s">
        <v>6743</v>
      </c>
      <c r="D2870" s="9" t="s">
        <v>6742</v>
      </c>
      <c r="E2870" s="9" t="s">
        <v>4491</v>
      </c>
      <c r="F2870" s="9" t="s">
        <v>4492</v>
      </c>
      <c r="G2870" s="9" t="s">
        <v>12</v>
      </c>
      <c r="H2870" s="9"/>
      <c r="I2870" s="9"/>
      <c r="J2870" s="9" t="s">
        <v>1310</v>
      </c>
      <c r="K2870" s="9"/>
      <c r="L2870" s="9" t="s">
        <v>4493</v>
      </c>
      <c r="M2870" s="9" t="s">
        <v>4494</v>
      </c>
      <c r="N2870" s="9"/>
      <c r="O2870" s="9" t="s">
        <v>4495</v>
      </c>
      <c r="P2870" s="9" t="str">
        <f>HYPERLINK("https://ceds.ed.gov/cedselementdetails.aspx?termid=14487")</f>
        <v>https://ceds.ed.gov/cedselementdetails.aspx?termid=14487</v>
      </c>
      <c r="Q2870" s="9" t="str">
        <f>HYPERLINK("https://ceds.ed.gov/elementComment.aspx?elementName=Other Middle Name &amp;elementID=14487", "Click here to submit comment")</f>
        <v>Click here to submit comment</v>
      </c>
    </row>
    <row r="2871" spans="1:17" ht="150" x14ac:dyDescent="0.25">
      <c r="A2871" s="9" t="s">
        <v>6878</v>
      </c>
      <c r="B2871" s="9" t="s">
        <v>6881</v>
      </c>
      <c r="C2871" s="9" t="s">
        <v>6743</v>
      </c>
      <c r="D2871" s="9" t="s">
        <v>6742</v>
      </c>
      <c r="E2871" s="9" t="s">
        <v>4496</v>
      </c>
      <c r="F2871" s="9" t="s">
        <v>4497</v>
      </c>
      <c r="G2871" s="9" t="s">
        <v>12</v>
      </c>
      <c r="H2871" s="9" t="s">
        <v>6212</v>
      </c>
      <c r="I2871" s="9"/>
      <c r="J2871" s="9" t="s">
        <v>119</v>
      </c>
      <c r="K2871" s="9"/>
      <c r="L2871" s="9"/>
      <c r="M2871" s="9" t="s">
        <v>4498</v>
      </c>
      <c r="N2871" s="9"/>
      <c r="O2871" s="9" t="s">
        <v>4499</v>
      </c>
      <c r="P2871" s="9" t="str">
        <f>HYPERLINK("https://ceds.ed.gov/cedselementdetails.aspx?termid=13206")</f>
        <v>https://ceds.ed.gov/cedselementdetails.aspx?termid=13206</v>
      </c>
      <c r="Q2871" s="9" t="str">
        <f>HYPERLINK("https://ceds.ed.gov/elementComment.aspx?elementName=Other Name &amp;elementID=13206", "Click here to submit comment")</f>
        <v>Click here to submit comment</v>
      </c>
    </row>
    <row r="2872" spans="1:17" ht="165" x14ac:dyDescent="0.25">
      <c r="A2872" s="9" t="s">
        <v>6878</v>
      </c>
      <c r="B2872" s="9" t="s">
        <v>6881</v>
      </c>
      <c r="C2872" s="9" t="s">
        <v>6743</v>
      </c>
      <c r="D2872" s="9" t="s">
        <v>6742</v>
      </c>
      <c r="E2872" s="9" t="s">
        <v>4500</v>
      </c>
      <c r="F2872" s="9" t="s">
        <v>4501</v>
      </c>
      <c r="G2872" s="10" t="s">
        <v>6630</v>
      </c>
      <c r="H2872" s="9" t="s">
        <v>6251</v>
      </c>
      <c r="I2872" s="9"/>
      <c r="J2872" s="9" t="s">
        <v>87</v>
      </c>
      <c r="K2872" s="9"/>
      <c r="L2872" s="9"/>
      <c r="M2872" s="9" t="s">
        <v>4502</v>
      </c>
      <c r="N2872" s="9"/>
      <c r="O2872" s="9" t="s">
        <v>4503</v>
      </c>
      <c r="P2872" s="9" t="str">
        <f>HYPERLINK("https://ceds.ed.gov/cedselementdetails.aspx?termid=13627")</f>
        <v>https://ceds.ed.gov/cedselementdetails.aspx?termid=13627</v>
      </c>
      <c r="Q2872" s="9" t="str">
        <f>HYPERLINK("https://ceds.ed.gov/elementComment.aspx?elementName=Other Name Type &amp;elementID=13627", "Click here to submit comment")</f>
        <v>Click here to submit comment</v>
      </c>
    </row>
    <row r="2873" spans="1:17" ht="105" x14ac:dyDescent="0.25">
      <c r="A2873" s="18" t="s">
        <v>6878</v>
      </c>
      <c r="B2873" s="18" t="s">
        <v>6881</v>
      </c>
      <c r="C2873" s="18" t="s">
        <v>6744</v>
      </c>
      <c r="D2873" s="18" t="s">
        <v>6742</v>
      </c>
      <c r="E2873" s="18" t="s">
        <v>5621</v>
      </c>
      <c r="F2873" s="18" t="s">
        <v>5622</v>
      </c>
      <c r="G2873" s="18" t="s">
        <v>12</v>
      </c>
      <c r="H2873" s="18" t="s">
        <v>6284</v>
      </c>
      <c r="I2873" s="18"/>
      <c r="J2873" s="18" t="s">
        <v>119</v>
      </c>
      <c r="K2873" s="18"/>
      <c r="L2873" s="9" t="s">
        <v>120</v>
      </c>
      <c r="M2873" s="18" t="s">
        <v>5623</v>
      </c>
      <c r="N2873" s="18"/>
      <c r="O2873" s="18" t="s">
        <v>5624</v>
      </c>
      <c r="P2873" s="18" t="str">
        <f>HYPERLINK("https://ceds.ed.gov/cedselementdetails.aspx?termid=13156")</f>
        <v>https://ceds.ed.gov/cedselementdetails.aspx?termid=13156</v>
      </c>
      <c r="Q2873" s="18" t="str">
        <f>HYPERLINK("https://ceds.ed.gov/elementComment.aspx?elementName=Staff Member Identifier &amp;elementID=13156", "Click here to submit comment")</f>
        <v>Click here to submit comment</v>
      </c>
    </row>
    <row r="2874" spans="1:17" x14ac:dyDescent="0.25">
      <c r="A2874" s="18"/>
      <c r="B2874" s="18"/>
      <c r="C2874" s="18"/>
      <c r="D2874" s="18"/>
      <c r="E2874" s="18"/>
      <c r="F2874" s="18"/>
      <c r="G2874" s="18"/>
      <c r="H2874" s="18"/>
      <c r="I2874" s="18"/>
      <c r="J2874" s="18"/>
      <c r="K2874" s="18"/>
      <c r="L2874" s="9"/>
      <c r="M2874" s="18"/>
      <c r="N2874" s="18"/>
      <c r="O2874" s="18"/>
      <c r="P2874" s="18"/>
      <c r="Q2874" s="18"/>
    </row>
    <row r="2875" spans="1:17" ht="90" x14ac:dyDescent="0.25">
      <c r="A2875" s="18"/>
      <c r="B2875" s="18"/>
      <c r="C2875" s="18"/>
      <c r="D2875" s="18"/>
      <c r="E2875" s="18"/>
      <c r="F2875" s="18"/>
      <c r="G2875" s="18"/>
      <c r="H2875" s="18"/>
      <c r="I2875" s="18"/>
      <c r="J2875" s="18"/>
      <c r="K2875" s="18"/>
      <c r="L2875" s="9" t="s">
        <v>121</v>
      </c>
      <c r="M2875" s="18"/>
      <c r="N2875" s="18"/>
      <c r="O2875" s="18"/>
      <c r="P2875" s="18"/>
      <c r="Q2875" s="18"/>
    </row>
    <row r="2876" spans="1:17" ht="345" x14ac:dyDescent="0.25">
      <c r="A2876" s="9" t="s">
        <v>6878</v>
      </c>
      <c r="B2876" s="9" t="s">
        <v>6881</v>
      </c>
      <c r="C2876" s="9" t="s">
        <v>6744</v>
      </c>
      <c r="D2876" s="9" t="s">
        <v>6742</v>
      </c>
      <c r="E2876" s="9" t="s">
        <v>5617</v>
      </c>
      <c r="F2876" s="9" t="s">
        <v>5618</v>
      </c>
      <c r="G2876" s="10" t="s">
        <v>6700</v>
      </c>
      <c r="H2876" s="9" t="s">
        <v>6283</v>
      </c>
      <c r="I2876" s="9"/>
      <c r="J2876" s="9"/>
      <c r="K2876" s="9"/>
      <c r="L2876" s="9"/>
      <c r="M2876" s="9" t="s">
        <v>5619</v>
      </c>
      <c r="N2876" s="9"/>
      <c r="O2876" s="9" t="s">
        <v>5620</v>
      </c>
      <c r="P2876" s="9" t="str">
        <f>HYPERLINK("https://ceds.ed.gov/cedselementdetails.aspx?termid=13162")</f>
        <v>https://ceds.ed.gov/cedselementdetails.aspx?termid=13162</v>
      </c>
      <c r="Q2876" s="9" t="str">
        <f>HYPERLINK("https://ceds.ed.gov/elementComment.aspx?elementName=Staff Member Identification System &amp;elementID=13162", "Click here to submit comment")</f>
        <v>Click here to submit comment</v>
      </c>
    </row>
    <row r="2877" spans="1:17" ht="255" x14ac:dyDescent="0.25">
      <c r="A2877" s="9" t="s">
        <v>6878</v>
      </c>
      <c r="B2877" s="9" t="s">
        <v>6881</v>
      </c>
      <c r="C2877" s="9" t="s">
        <v>6744</v>
      </c>
      <c r="D2877" s="9" t="s">
        <v>6742</v>
      </c>
      <c r="E2877" s="9" t="s">
        <v>4606</v>
      </c>
      <c r="F2877" s="9" t="s">
        <v>4607</v>
      </c>
      <c r="G2877" s="10" t="s">
        <v>6637</v>
      </c>
      <c r="H2877" s="9"/>
      <c r="I2877" s="9"/>
      <c r="J2877" s="9"/>
      <c r="K2877" s="9"/>
      <c r="L2877" s="9"/>
      <c r="M2877" s="9" t="s">
        <v>4608</v>
      </c>
      <c r="N2877" s="9"/>
      <c r="O2877" s="9" t="s">
        <v>4609</v>
      </c>
      <c r="P2877" s="9" t="str">
        <f>HYPERLINK("https://ceds.ed.gov/cedselementdetails.aspx?termid=13611")</f>
        <v>https://ceds.ed.gov/cedselementdetails.aspx?termid=13611</v>
      </c>
      <c r="Q2877" s="9" t="str">
        <f>HYPERLINK("https://ceds.ed.gov/elementComment.aspx?elementName=Personal Information Verification &amp;elementID=13611", "Click here to submit comment")</f>
        <v>Click here to submit comment</v>
      </c>
    </row>
    <row r="2878" spans="1:17" ht="105" x14ac:dyDescent="0.25">
      <c r="A2878" s="9" t="s">
        <v>6878</v>
      </c>
      <c r="B2878" s="9" t="s">
        <v>6881</v>
      </c>
      <c r="C2878" s="9" t="s">
        <v>6745</v>
      </c>
      <c r="D2878" s="9" t="s">
        <v>6742</v>
      </c>
      <c r="E2878" s="9" t="s">
        <v>178</v>
      </c>
      <c r="F2878" s="9" t="s">
        <v>179</v>
      </c>
      <c r="G2878" s="10" t="s">
        <v>6321</v>
      </c>
      <c r="H2878" s="9" t="s">
        <v>182</v>
      </c>
      <c r="I2878" s="9"/>
      <c r="J2878" s="9" t="s">
        <v>87</v>
      </c>
      <c r="K2878" s="9"/>
      <c r="L2878" s="9"/>
      <c r="M2878" s="9" t="s">
        <v>180</v>
      </c>
      <c r="N2878" s="9"/>
      <c r="O2878" s="9" t="s">
        <v>181</v>
      </c>
      <c r="P2878" s="9" t="str">
        <f>HYPERLINK("https://ceds.ed.gov/cedselementdetails.aspx?termid=13698")</f>
        <v>https://ceds.ed.gov/cedselementdetails.aspx?termid=13698</v>
      </c>
      <c r="Q2878" s="9" t="str">
        <f>HYPERLINK("https://ceds.ed.gov/elementComment.aspx?elementName=Address Type for Staff &amp;elementID=13698", "Click here to submit comment")</f>
        <v>Click here to submit comment</v>
      </c>
    </row>
    <row r="2879" spans="1:17" ht="225" x14ac:dyDescent="0.25">
      <c r="A2879" s="9" t="s">
        <v>6878</v>
      </c>
      <c r="B2879" s="9" t="s">
        <v>6881</v>
      </c>
      <c r="C2879" s="9" t="s">
        <v>6745</v>
      </c>
      <c r="D2879" s="9" t="s">
        <v>6742</v>
      </c>
      <c r="E2879" s="9" t="s">
        <v>166</v>
      </c>
      <c r="F2879" s="9" t="s">
        <v>167</v>
      </c>
      <c r="G2879" s="9" t="s">
        <v>12</v>
      </c>
      <c r="H2879" s="9" t="s">
        <v>6113</v>
      </c>
      <c r="I2879" s="9"/>
      <c r="J2879" s="9" t="s">
        <v>119</v>
      </c>
      <c r="K2879" s="9"/>
      <c r="L2879" s="9"/>
      <c r="M2879" s="9" t="s">
        <v>168</v>
      </c>
      <c r="N2879" s="9"/>
      <c r="O2879" s="9" t="s">
        <v>169</v>
      </c>
      <c r="P2879" s="9" t="str">
        <f>HYPERLINK("https://ceds.ed.gov/cedselementdetails.aspx?termid=13269")</f>
        <v>https://ceds.ed.gov/cedselementdetails.aspx?termid=13269</v>
      </c>
      <c r="Q2879" s="9" t="str">
        <f>HYPERLINK("https://ceds.ed.gov/elementComment.aspx?elementName=Address Street Number and Name &amp;elementID=13269", "Click here to submit comment")</f>
        <v>Click here to submit comment</v>
      </c>
    </row>
    <row r="2880" spans="1:17" ht="225" x14ac:dyDescent="0.25">
      <c r="A2880" s="9" t="s">
        <v>6878</v>
      </c>
      <c r="B2880" s="9" t="s">
        <v>6881</v>
      </c>
      <c r="C2880" s="9" t="s">
        <v>6745</v>
      </c>
      <c r="D2880" s="9" t="s">
        <v>6742</v>
      </c>
      <c r="E2880" s="9" t="s">
        <v>149</v>
      </c>
      <c r="F2880" s="9" t="s">
        <v>150</v>
      </c>
      <c r="G2880" s="9" t="s">
        <v>12</v>
      </c>
      <c r="H2880" s="9" t="s">
        <v>6113</v>
      </c>
      <c r="I2880" s="9"/>
      <c r="J2880" s="9" t="s">
        <v>87</v>
      </c>
      <c r="K2880" s="9"/>
      <c r="L2880" s="9"/>
      <c r="M2880" s="9" t="s">
        <v>151</v>
      </c>
      <c r="N2880" s="9"/>
      <c r="O2880" s="9" t="s">
        <v>152</v>
      </c>
      <c r="P2880" s="9" t="str">
        <f>HYPERLINK("https://ceds.ed.gov/cedselementdetails.aspx?termid=13019")</f>
        <v>https://ceds.ed.gov/cedselementdetails.aspx?termid=13019</v>
      </c>
      <c r="Q2880" s="9" t="str">
        <f>HYPERLINK("https://ceds.ed.gov/elementComment.aspx?elementName=Address Apartment Room or Suite Number &amp;elementID=13019", "Click here to submit comment")</f>
        <v>Click here to submit comment</v>
      </c>
    </row>
    <row r="2881" spans="1:17" ht="225" x14ac:dyDescent="0.25">
      <c r="A2881" s="9" t="s">
        <v>6878</v>
      </c>
      <c r="B2881" s="9" t="s">
        <v>6881</v>
      </c>
      <c r="C2881" s="9" t="s">
        <v>6745</v>
      </c>
      <c r="D2881" s="9" t="s">
        <v>6742</v>
      </c>
      <c r="E2881" s="9" t="s">
        <v>153</v>
      </c>
      <c r="F2881" s="9" t="s">
        <v>154</v>
      </c>
      <c r="G2881" s="9" t="s">
        <v>12</v>
      </c>
      <c r="H2881" s="9" t="s">
        <v>6113</v>
      </c>
      <c r="I2881" s="9"/>
      <c r="J2881" s="9" t="s">
        <v>87</v>
      </c>
      <c r="K2881" s="9"/>
      <c r="L2881" s="9"/>
      <c r="M2881" s="9" t="s">
        <v>155</v>
      </c>
      <c r="N2881" s="9"/>
      <c r="O2881" s="9" t="s">
        <v>156</v>
      </c>
      <c r="P2881" s="9" t="str">
        <f>HYPERLINK("https://ceds.ed.gov/cedselementdetails.aspx?termid=13040")</f>
        <v>https://ceds.ed.gov/cedselementdetails.aspx?termid=13040</v>
      </c>
      <c r="Q2881" s="9" t="str">
        <f>HYPERLINK("https://ceds.ed.gov/elementComment.aspx?elementName=Address City &amp;elementID=13040", "Click here to submit comment")</f>
        <v>Click here to submit comment</v>
      </c>
    </row>
    <row r="2882" spans="1:17" ht="409.5" x14ac:dyDescent="0.25">
      <c r="A2882" s="9" t="s">
        <v>6878</v>
      </c>
      <c r="B2882" s="9" t="s">
        <v>6881</v>
      </c>
      <c r="C2882" s="9" t="s">
        <v>6745</v>
      </c>
      <c r="D2882" s="9" t="s">
        <v>6742</v>
      </c>
      <c r="E2882" s="9" t="s">
        <v>5647</v>
      </c>
      <c r="F2882" s="9" t="s">
        <v>5648</v>
      </c>
      <c r="G2882" s="10" t="s">
        <v>6702</v>
      </c>
      <c r="H2882" s="9" t="s">
        <v>6285</v>
      </c>
      <c r="I2882" s="9"/>
      <c r="J2882" s="9"/>
      <c r="K2882" s="9"/>
      <c r="L2882" s="9"/>
      <c r="M2882" s="9" t="s">
        <v>5649</v>
      </c>
      <c r="N2882" s="9"/>
      <c r="O2882" s="9" t="s">
        <v>5650</v>
      </c>
      <c r="P2882" s="9" t="str">
        <f>HYPERLINK("https://ceds.ed.gov/cedselementdetails.aspx?termid=13267")</f>
        <v>https://ceds.ed.gov/cedselementdetails.aspx?termid=13267</v>
      </c>
      <c r="Q2882" s="9" t="str">
        <f>HYPERLINK("https://ceds.ed.gov/elementComment.aspx?elementName=State Abbreviation &amp;elementID=13267", "Click here to submit comment")</f>
        <v>Click here to submit comment</v>
      </c>
    </row>
    <row r="2883" spans="1:17" ht="225" x14ac:dyDescent="0.25">
      <c r="A2883" s="9" t="s">
        <v>6878</v>
      </c>
      <c r="B2883" s="9" t="s">
        <v>6881</v>
      </c>
      <c r="C2883" s="9" t="s">
        <v>6745</v>
      </c>
      <c r="D2883" s="9" t="s">
        <v>6742</v>
      </c>
      <c r="E2883" s="9" t="s">
        <v>161</v>
      </c>
      <c r="F2883" s="9" t="s">
        <v>162</v>
      </c>
      <c r="G2883" s="9" t="s">
        <v>12</v>
      </c>
      <c r="H2883" s="9" t="s">
        <v>6113</v>
      </c>
      <c r="I2883" s="9"/>
      <c r="J2883" s="9" t="s">
        <v>163</v>
      </c>
      <c r="K2883" s="9"/>
      <c r="L2883" s="9"/>
      <c r="M2883" s="9" t="s">
        <v>164</v>
      </c>
      <c r="N2883" s="9"/>
      <c r="O2883" s="9" t="s">
        <v>165</v>
      </c>
      <c r="P2883" s="9" t="str">
        <f>HYPERLINK("https://ceds.ed.gov/cedselementdetails.aspx?termid=13214")</f>
        <v>https://ceds.ed.gov/cedselementdetails.aspx?termid=13214</v>
      </c>
      <c r="Q2883" s="9" t="str">
        <f>HYPERLINK("https://ceds.ed.gov/elementComment.aspx?elementName=Address Postal Code &amp;elementID=13214", "Click here to submit comment")</f>
        <v>Click here to submit comment</v>
      </c>
    </row>
    <row r="2884" spans="1:17" ht="225" x14ac:dyDescent="0.25">
      <c r="A2884" s="9" t="s">
        <v>6878</v>
      </c>
      <c r="B2884" s="9" t="s">
        <v>6881</v>
      </c>
      <c r="C2884" s="9" t="s">
        <v>6745</v>
      </c>
      <c r="D2884" s="9" t="s">
        <v>6742</v>
      </c>
      <c r="E2884" s="9" t="s">
        <v>157</v>
      </c>
      <c r="F2884" s="9" t="s">
        <v>158</v>
      </c>
      <c r="G2884" s="9" t="s">
        <v>12</v>
      </c>
      <c r="H2884" s="9" t="s">
        <v>6113</v>
      </c>
      <c r="I2884" s="9"/>
      <c r="J2884" s="9" t="s">
        <v>87</v>
      </c>
      <c r="K2884" s="9"/>
      <c r="L2884" s="9"/>
      <c r="M2884" s="9" t="s">
        <v>159</v>
      </c>
      <c r="N2884" s="9"/>
      <c r="O2884" s="9" t="s">
        <v>160</v>
      </c>
      <c r="P2884" s="9" t="str">
        <f>HYPERLINK("https://ceds.ed.gov/cedselementdetails.aspx?termid=13190")</f>
        <v>https://ceds.ed.gov/cedselementdetails.aspx?termid=13190</v>
      </c>
      <c r="Q2884" s="9" t="str">
        <f>HYPERLINK("https://ceds.ed.gov/elementComment.aspx?elementName=Address County Name &amp;elementID=13190", "Click here to submit comment")</f>
        <v>Click here to submit comment</v>
      </c>
    </row>
    <row r="2885" spans="1:17" ht="409.5" x14ac:dyDescent="0.25">
      <c r="A2885" s="9" t="s">
        <v>6878</v>
      </c>
      <c r="B2885" s="9" t="s">
        <v>6881</v>
      </c>
      <c r="C2885" s="9" t="s">
        <v>6745</v>
      </c>
      <c r="D2885" s="9" t="s">
        <v>6742</v>
      </c>
      <c r="E2885" s="9" t="s">
        <v>1885</v>
      </c>
      <c r="F2885" s="9" t="s">
        <v>1886</v>
      </c>
      <c r="G2885" s="10" t="s">
        <v>11839</v>
      </c>
      <c r="H2885" s="9" t="s">
        <v>6174</v>
      </c>
      <c r="I2885" s="9"/>
      <c r="J2885" s="9"/>
      <c r="K2885" s="9"/>
      <c r="L2885" s="11" t="s">
        <v>1887</v>
      </c>
      <c r="M2885" s="9" t="s">
        <v>1888</v>
      </c>
      <c r="N2885" s="9"/>
      <c r="O2885" s="9" t="s">
        <v>1889</v>
      </c>
      <c r="P2885" s="9" t="str">
        <f>HYPERLINK("https://ceds.ed.gov/cedselementdetails.aspx?termid=13050")</f>
        <v>https://ceds.ed.gov/cedselementdetails.aspx?termid=13050</v>
      </c>
      <c r="Q2885" s="9" t="str">
        <f>HYPERLINK("https://ceds.ed.gov/elementComment.aspx?elementName=Country Code &amp;elementID=13050", "Click here to submit comment")</f>
        <v>Click here to submit comment</v>
      </c>
    </row>
    <row r="2886" spans="1:17" ht="75" x14ac:dyDescent="0.25">
      <c r="A2886" s="9" t="s">
        <v>6878</v>
      </c>
      <c r="B2886" s="9" t="s">
        <v>6881</v>
      </c>
      <c r="C2886" s="9" t="s">
        <v>6745</v>
      </c>
      <c r="D2886" s="9" t="s">
        <v>6742</v>
      </c>
      <c r="E2886" s="9" t="s">
        <v>3606</v>
      </c>
      <c r="F2886" s="9" t="s">
        <v>3607</v>
      </c>
      <c r="G2886" s="9" t="s">
        <v>12</v>
      </c>
      <c r="H2886" s="9"/>
      <c r="I2886" s="9"/>
      <c r="J2886" s="9" t="s">
        <v>1165</v>
      </c>
      <c r="K2886" s="9"/>
      <c r="L2886" s="9"/>
      <c r="M2886" s="9" t="s">
        <v>3608</v>
      </c>
      <c r="N2886" s="9"/>
      <c r="O2886" s="9" t="s">
        <v>3606</v>
      </c>
      <c r="P2886" s="9" t="str">
        <f>HYPERLINK("https://ceds.ed.gov/cedselementdetails.aspx?termid=13599")</f>
        <v>https://ceds.ed.gov/cedselementdetails.aspx?termid=13599</v>
      </c>
      <c r="Q2886" s="9" t="str">
        <f>HYPERLINK("https://ceds.ed.gov/elementComment.aspx?elementName=Latitude &amp;elementID=13599", "Click here to submit comment")</f>
        <v>Click here to submit comment</v>
      </c>
    </row>
    <row r="2887" spans="1:17" ht="75" x14ac:dyDescent="0.25">
      <c r="A2887" s="9" t="s">
        <v>6878</v>
      </c>
      <c r="B2887" s="9" t="s">
        <v>6881</v>
      </c>
      <c r="C2887" s="9" t="s">
        <v>6745</v>
      </c>
      <c r="D2887" s="9" t="s">
        <v>6742</v>
      </c>
      <c r="E2887" s="9" t="s">
        <v>4139</v>
      </c>
      <c r="F2887" s="9" t="s">
        <v>4140</v>
      </c>
      <c r="G2887" s="9" t="s">
        <v>12</v>
      </c>
      <c r="H2887" s="9"/>
      <c r="I2887" s="9"/>
      <c r="J2887" s="9" t="s">
        <v>1165</v>
      </c>
      <c r="K2887" s="9"/>
      <c r="L2887" s="9"/>
      <c r="M2887" s="9" t="s">
        <v>4141</v>
      </c>
      <c r="N2887" s="9"/>
      <c r="O2887" s="9" t="s">
        <v>4139</v>
      </c>
      <c r="P2887" s="9" t="str">
        <f>HYPERLINK("https://ceds.ed.gov/cedselementdetails.aspx?termid=13600")</f>
        <v>https://ceds.ed.gov/cedselementdetails.aspx?termid=13600</v>
      </c>
      <c r="Q2887" s="9" t="str">
        <f>HYPERLINK("https://ceds.ed.gov/elementComment.aspx?elementName=Longitude &amp;elementID=13600", "Click here to submit comment")</f>
        <v>Click here to submit comment</v>
      </c>
    </row>
    <row r="2888" spans="1:17" ht="90" x14ac:dyDescent="0.25">
      <c r="A2888" s="9" t="s">
        <v>6878</v>
      </c>
      <c r="B2888" s="9" t="s">
        <v>6881</v>
      </c>
      <c r="C2888" s="9" t="s">
        <v>6773</v>
      </c>
      <c r="D2888" s="9" t="s">
        <v>6742</v>
      </c>
      <c r="E2888" s="9" t="s">
        <v>2584</v>
      </c>
      <c r="F2888" s="9" t="s">
        <v>2585</v>
      </c>
      <c r="G2888" s="9" t="s">
        <v>12</v>
      </c>
      <c r="H2888" s="9" t="s">
        <v>6109</v>
      </c>
      <c r="I2888" s="9"/>
      <c r="J2888" s="9" t="s">
        <v>11127</v>
      </c>
      <c r="K2888" s="9"/>
      <c r="L2888" s="9"/>
      <c r="M2888" s="9" t="s">
        <v>2586</v>
      </c>
      <c r="N2888" s="9" t="s">
        <v>2587</v>
      </c>
      <c r="O2888" s="9" t="s">
        <v>2588</v>
      </c>
      <c r="P2888" s="9" t="str">
        <f>HYPERLINK("https://ceds.ed.gov/cedselementdetails.aspx?termid=13088")</f>
        <v>https://ceds.ed.gov/cedselementdetails.aspx?termid=13088</v>
      </c>
      <c r="Q2888" s="9" t="str">
        <f>HYPERLINK("https://ceds.ed.gov/elementComment.aspx?elementName=Electronic Mail Address &amp;elementID=13088", "Click here to submit comment")</f>
        <v>Click here to submit comment</v>
      </c>
    </row>
    <row r="2889" spans="1:17" ht="90" x14ac:dyDescent="0.25">
      <c r="A2889" s="9" t="s">
        <v>6878</v>
      </c>
      <c r="B2889" s="9" t="s">
        <v>6881</v>
      </c>
      <c r="C2889" s="9" t="s">
        <v>6773</v>
      </c>
      <c r="D2889" s="9" t="s">
        <v>6742</v>
      </c>
      <c r="E2889" s="9" t="s">
        <v>2589</v>
      </c>
      <c r="F2889" s="9" t="s">
        <v>2590</v>
      </c>
      <c r="G2889" s="10" t="s">
        <v>6484</v>
      </c>
      <c r="H2889" s="9" t="s">
        <v>6109</v>
      </c>
      <c r="I2889" s="9"/>
      <c r="J2889" s="9"/>
      <c r="K2889" s="9"/>
      <c r="L2889" s="9"/>
      <c r="M2889" s="9" t="s">
        <v>2591</v>
      </c>
      <c r="N2889" s="9" t="s">
        <v>2592</v>
      </c>
      <c r="O2889" s="9" t="s">
        <v>2593</v>
      </c>
      <c r="P2889" s="9" t="str">
        <f>HYPERLINK("https://ceds.ed.gov/cedselementdetails.aspx?termid=13089")</f>
        <v>https://ceds.ed.gov/cedselementdetails.aspx?termid=13089</v>
      </c>
      <c r="Q2889" s="9" t="str">
        <f>HYPERLINK("https://ceds.ed.gov/elementComment.aspx?elementName=Electronic Mail Address Type &amp;elementID=13089", "Click here to submit comment")</f>
        <v>Click here to submit comment</v>
      </c>
    </row>
    <row r="2890" spans="1:17" ht="90" x14ac:dyDescent="0.25">
      <c r="A2890" s="9" t="s">
        <v>6878</v>
      </c>
      <c r="B2890" s="9" t="s">
        <v>6881</v>
      </c>
      <c r="C2890" s="9" t="s">
        <v>6747</v>
      </c>
      <c r="D2890" s="9" t="s">
        <v>6742</v>
      </c>
      <c r="E2890" s="9" t="s">
        <v>5849</v>
      </c>
      <c r="F2890" s="9" t="s">
        <v>5850</v>
      </c>
      <c r="G2890" s="9" t="s">
        <v>12</v>
      </c>
      <c r="H2890" s="9" t="s">
        <v>6109</v>
      </c>
      <c r="I2890" s="9"/>
      <c r="J2890" s="9" t="s">
        <v>5851</v>
      </c>
      <c r="K2890" s="9"/>
      <c r="L2890" s="9"/>
      <c r="M2890" s="9" t="s">
        <v>5852</v>
      </c>
      <c r="N2890" s="9"/>
      <c r="O2890" s="9" t="s">
        <v>5853</v>
      </c>
      <c r="P2890" s="9" t="str">
        <f>HYPERLINK("https://ceds.ed.gov/cedselementdetails.aspx?termid=13279")</f>
        <v>https://ceds.ed.gov/cedselementdetails.aspx?termid=13279</v>
      </c>
      <c r="Q2890" s="9" t="str">
        <f>HYPERLINK("https://ceds.ed.gov/elementComment.aspx?elementName=Telephone Number &amp;elementID=13279", "Click here to submit comment")</f>
        <v>Click here to submit comment</v>
      </c>
    </row>
    <row r="2891" spans="1:17" ht="90" x14ac:dyDescent="0.25">
      <c r="A2891" s="9" t="s">
        <v>6878</v>
      </c>
      <c r="B2891" s="9" t="s">
        <v>6881</v>
      </c>
      <c r="C2891" s="9" t="s">
        <v>6747</v>
      </c>
      <c r="D2891" s="9" t="s">
        <v>6742</v>
      </c>
      <c r="E2891" s="9" t="s">
        <v>5854</v>
      </c>
      <c r="F2891" s="9" t="s">
        <v>5855</v>
      </c>
      <c r="G2891" s="10" t="s">
        <v>6717</v>
      </c>
      <c r="H2891" s="9" t="s">
        <v>6109</v>
      </c>
      <c r="I2891" s="9"/>
      <c r="J2891" s="9" t="s">
        <v>1900</v>
      </c>
      <c r="K2891" s="9"/>
      <c r="L2891" s="9"/>
      <c r="M2891" s="9" t="s">
        <v>5856</v>
      </c>
      <c r="N2891" s="9"/>
      <c r="O2891" s="9" t="s">
        <v>5857</v>
      </c>
      <c r="P2891" s="9" t="str">
        <f>HYPERLINK("https://ceds.ed.gov/cedselementdetails.aspx?termid=13280")</f>
        <v>https://ceds.ed.gov/cedselementdetails.aspx?termid=13280</v>
      </c>
      <c r="Q2891" s="9" t="str">
        <f>HYPERLINK("https://ceds.ed.gov/elementComment.aspx?elementName=Telephone Number Type &amp;elementID=13280", "Click here to submit comment")</f>
        <v>Click here to submit comment</v>
      </c>
    </row>
    <row r="2892" spans="1:17" ht="90" x14ac:dyDescent="0.25">
      <c r="A2892" s="9" t="s">
        <v>6878</v>
      </c>
      <c r="B2892" s="9" t="s">
        <v>6881</v>
      </c>
      <c r="C2892" s="9" t="s">
        <v>6747</v>
      </c>
      <c r="D2892" s="9" t="s">
        <v>6742</v>
      </c>
      <c r="E2892" s="9" t="s">
        <v>4709</v>
      </c>
      <c r="F2892" s="9" t="s">
        <v>4710</v>
      </c>
      <c r="G2892" s="9" t="s">
        <v>6106</v>
      </c>
      <c r="H2892" s="9" t="s">
        <v>6109</v>
      </c>
      <c r="I2892" s="9"/>
      <c r="J2892" s="9"/>
      <c r="K2892" s="9"/>
      <c r="L2892" s="9"/>
      <c r="M2892" s="9" t="s">
        <v>4711</v>
      </c>
      <c r="N2892" s="9"/>
      <c r="O2892" s="9" t="s">
        <v>4712</v>
      </c>
      <c r="P2892" s="9" t="str">
        <f>HYPERLINK("https://ceds.ed.gov/cedselementdetails.aspx?termid=13219")</f>
        <v>https://ceds.ed.gov/cedselementdetails.aspx?termid=13219</v>
      </c>
      <c r="Q2892" s="9" t="str">
        <f>HYPERLINK("https://ceds.ed.gov/elementComment.aspx?elementName=Primary Telephone Number Indicator &amp;elementID=13219", "Click here to submit comment")</f>
        <v>Click here to submit comment</v>
      </c>
    </row>
    <row r="2893" spans="1:17" ht="90" x14ac:dyDescent="0.25">
      <c r="A2893" s="9" t="s">
        <v>6878</v>
      </c>
      <c r="B2893" s="9" t="s">
        <v>6881</v>
      </c>
      <c r="C2893" s="9" t="s">
        <v>6804</v>
      </c>
      <c r="D2893" s="9" t="s">
        <v>6742</v>
      </c>
      <c r="E2893" s="9" t="s">
        <v>2111</v>
      </c>
      <c r="F2893" s="9" t="s">
        <v>2112</v>
      </c>
      <c r="G2893" s="10" t="s">
        <v>6436</v>
      </c>
      <c r="H2893" s="9"/>
      <c r="I2893" s="9"/>
      <c r="J2893" s="9"/>
      <c r="K2893" s="9"/>
      <c r="L2893" s="9"/>
      <c r="M2893" s="9" t="s">
        <v>2113</v>
      </c>
      <c r="N2893" s="9"/>
      <c r="O2893" s="9" t="s">
        <v>2114</v>
      </c>
      <c r="P2893" s="9" t="str">
        <f>HYPERLINK("https://ceds.ed.gov/cedselementdetails.aspx?termid=13071")</f>
        <v>https://ceds.ed.gov/cedselementdetails.aspx?termid=13071</v>
      </c>
      <c r="Q2893" s="9" t="str">
        <f>HYPERLINK("https://ceds.ed.gov/elementComment.aspx?elementName=Credential Type &amp;elementID=13071", "Click here to submit comment")</f>
        <v>Click here to submit comment</v>
      </c>
    </row>
    <row r="2894" spans="1:17" ht="240" x14ac:dyDescent="0.25">
      <c r="A2894" s="9" t="s">
        <v>6878</v>
      </c>
      <c r="B2894" s="9" t="s">
        <v>6881</v>
      </c>
      <c r="C2894" s="9" t="s">
        <v>6804</v>
      </c>
      <c r="D2894" s="9" t="s">
        <v>6742</v>
      </c>
      <c r="E2894" s="9" t="s">
        <v>5821</v>
      </c>
      <c r="F2894" s="9" t="s">
        <v>5822</v>
      </c>
      <c r="G2894" s="10" t="s">
        <v>6713</v>
      </c>
      <c r="H2894" s="9" t="s">
        <v>329</v>
      </c>
      <c r="I2894" s="9"/>
      <c r="J2894" s="9"/>
      <c r="K2894" s="9"/>
      <c r="L2894" s="9"/>
      <c r="M2894" s="9" t="s">
        <v>5823</v>
      </c>
      <c r="N2894" s="9"/>
      <c r="O2894" s="9" t="s">
        <v>5824</v>
      </c>
      <c r="P2894" s="9" t="str">
        <f>HYPERLINK("https://ceds.ed.gov/cedselementdetails.aspx?termid=13277")</f>
        <v>https://ceds.ed.gov/cedselementdetails.aspx?termid=13277</v>
      </c>
      <c r="Q2894" s="9" t="str">
        <f>HYPERLINK("https://ceds.ed.gov/elementComment.aspx?elementName=Teaching Credential Basis &amp;elementID=13277", "Click here to submit comment")</f>
        <v>Click here to submit comment</v>
      </c>
    </row>
    <row r="2895" spans="1:17" ht="75" x14ac:dyDescent="0.25">
      <c r="A2895" s="9" t="s">
        <v>6878</v>
      </c>
      <c r="B2895" s="9" t="s">
        <v>6881</v>
      </c>
      <c r="C2895" s="9" t="s">
        <v>6804</v>
      </c>
      <c r="D2895" s="9" t="s">
        <v>6742</v>
      </c>
      <c r="E2895" s="9" t="s">
        <v>1612</v>
      </c>
      <c r="F2895" s="9" t="s">
        <v>1613</v>
      </c>
      <c r="G2895" s="9" t="s">
        <v>6106</v>
      </c>
      <c r="H2895" s="9"/>
      <c r="I2895" s="9"/>
      <c r="J2895" s="9"/>
      <c r="K2895" s="9"/>
      <c r="L2895" s="9"/>
      <c r="M2895" s="9" t="s">
        <v>1614</v>
      </c>
      <c r="N2895" s="9" t="s">
        <v>1615</v>
      </c>
      <c r="O2895" s="9" t="s">
        <v>1616</v>
      </c>
      <c r="P2895" s="9" t="str">
        <f>HYPERLINK("https://ceds.ed.gov/cedselementdetails.aspx?termid=14284")</f>
        <v>https://ceds.ed.gov/cedselementdetails.aspx?termid=14284</v>
      </c>
      <c r="Q2895" s="9" t="str">
        <f>HYPERLINK("https://ceds.ed.gov/elementComment.aspx?elementName=Career and Technical Education Instructor Industry Certification &amp;elementID=14284", "Click here to submit comment")</f>
        <v>Click here to submit comment</v>
      </c>
    </row>
    <row r="2896" spans="1:17" ht="105" x14ac:dyDescent="0.25">
      <c r="A2896" s="18" t="s">
        <v>6878</v>
      </c>
      <c r="B2896" s="18" t="s">
        <v>6848</v>
      </c>
      <c r="C2896" s="18"/>
      <c r="D2896" s="18" t="s">
        <v>6742</v>
      </c>
      <c r="E2896" s="18" t="s">
        <v>1982</v>
      </c>
      <c r="F2896" s="18" t="s">
        <v>1983</v>
      </c>
      <c r="G2896" s="18" t="s">
        <v>12</v>
      </c>
      <c r="H2896" s="18" t="s">
        <v>6176</v>
      </c>
      <c r="I2896" s="18"/>
      <c r="J2896" s="18" t="s">
        <v>119</v>
      </c>
      <c r="K2896" s="18"/>
      <c r="L2896" s="9" t="s">
        <v>120</v>
      </c>
      <c r="M2896" s="18" t="s">
        <v>1984</v>
      </c>
      <c r="N2896" s="18"/>
      <c r="O2896" s="18" t="s">
        <v>1985</v>
      </c>
      <c r="P2896" s="18" t="str">
        <f>HYPERLINK("https://ceds.ed.gov/cedselementdetails.aspx?termid=13055")</f>
        <v>https://ceds.ed.gov/cedselementdetails.aspx?termid=13055</v>
      </c>
      <c r="Q2896" s="18" t="str">
        <f>HYPERLINK("https://ceds.ed.gov/elementComment.aspx?elementName=Course Identifier &amp;elementID=13055", "Click here to submit comment")</f>
        <v>Click here to submit comment</v>
      </c>
    </row>
    <row r="2897" spans="1:17" x14ac:dyDescent="0.25">
      <c r="A2897" s="18"/>
      <c r="B2897" s="18"/>
      <c r="C2897" s="18"/>
      <c r="D2897" s="18"/>
      <c r="E2897" s="18"/>
      <c r="F2897" s="18"/>
      <c r="G2897" s="18"/>
      <c r="H2897" s="18"/>
      <c r="I2897" s="18"/>
      <c r="J2897" s="18"/>
      <c r="K2897" s="18"/>
      <c r="L2897" s="9"/>
      <c r="M2897" s="18"/>
      <c r="N2897" s="18"/>
      <c r="O2897" s="18"/>
      <c r="P2897" s="18"/>
      <c r="Q2897" s="18"/>
    </row>
    <row r="2898" spans="1:17" ht="90" x14ac:dyDescent="0.25">
      <c r="A2898" s="18"/>
      <c r="B2898" s="18"/>
      <c r="C2898" s="18"/>
      <c r="D2898" s="18"/>
      <c r="E2898" s="18"/>
      <c r="F2898" s="18"/>
      <c r="G2898" s="18"/>
      <c r="H2898" s="18"/>
      <c r="I2898" s="18"/>
      <c r="J2898" s="18"/>
      <c r="K2898" s="18"/>
      <c r="L2898" s="9" t="s">
        <v>121</v>
      </c>
      <c r="M2898" s="18"/>
      <c r="N2898" s="18"/>
      <c r="O2898" s="18"/>
      <c r="P2898" s="18"/>
      <c r="Q2898" s="18"/>
    </row>
    <row r="2899" spans="1:17" ht="195" x14ac:dyDescent="0.25">
      <c r="A2899" s="9" t="s">
        <v>6878</v>
      </c>
      <c r="B2899" s="9" t="s">
        <v>6848</v>
      </c>
      <c r="C2899" s="9"/>
      <c r="D2899" s="9" t="s">
        <v>6742</v>
      </c>
      <c r="E2899" s="9" t="s">
        <v>1933</v>
      </c>
      <c r="F2899" s="9" t="s">
        <v>1934</v>
      </c>
      <c r="G2899" s="10" t="s">
        <v>6421</v>
      </c>
      <c r="H2899" s="9" t="s">
        <v>6150</v>
      </c>
      <c r="I2899" s="9"/>
      <c r="J2899" s="9"/>
      <c r="K2899" s="9"/>
      <c r="L2899" s="9"/>
      <c r="M2899" s="9" t="s">
        <v>1935</v>
      </c>
      <c r="N2899" s="9"/>
      <c r="O2899" s="9" t="s">
        <v>1936</v>
      </c>
      <c r="P2899" s="9" t="str">
        <f>HYPERLINK("https://ceds.ed.gov/cedselementdetails.aspx?termid=13056")</f>
        <v>https://ceds.ed.gov/cedselementdetails.aspx?termid=13056</v>
      </c>
      <c r="Q2899" s="9" t="str">
        <f>HYPERLINK("https://ceds.ed.gov/elementComment.aspx?elementName=Course Code System &amp;elementID=13056", "Click here to submit comment")</f>
        <v>Click here to submit comment</v>
      </c>
    </row>
    <row r="2900" spans="1:17" ht="225" x14ac:dyDescent="0.25">
      <c r="A2900" s="9" t="s">
        <v>6878</v>
      </c>
      <c r="B2900" s="9" t="s">
        <v>6848</v>
      </c>
      <c r="C2900" s="9"/>
      <c r="D2900" s="9" t="s">
        <v>6742</v>
      </c>
      <c r="E2900" s="9" t="s">
        <v>2091</v>
      </c>
      <c r="F2900" s="9" t="s">
        <v>2092</v>
      </c>
      <c r="G2900" s="9" t="s">
        <v>12</v>
      </c>
      <c r="H2900" s="9" t="s">
        <v>6150</v>
      </c>
      <c r="I2900" s="9"/>
      <c r="J2900" s="9" t="s">
        <v>92</v>
      </c>
      <c r="K2900" s="9"/>
      <c r="L2900" s="9"/>
      <c r="M2900" s="9" t="s">
        <v>2093</v>
      </c>
      <c r="N2900" s="9"/>
      <c r="O2900" s="9" t="s">
        <v>2094</v>
      </c>
      <c r="P2900" s="9" t="str">
        <f>HYPERLINK("https://ceds.ed.gov/cedselementdetails.aspx?termid=13067")</f>
        <v>https://ceds.ed.gov/cedselementdetails.aspx?termid=13067</v>
      </c>
      <c r="Q2900" s="9" t="str">
        <f>HYPERLINK("https://ceds.ed.gov/elementComment.aspx?elementName=Course Title &amp;elementID=13067", "Click here to submit comment")</f>
        <v>Click here to submit comment</v>
      </c>
    </row>
    <row r="2901" spans="1:17" ht="45" x14ac:dyDescent="0.25">
      <c r="A2901" s="9" t="s">
        <v>6878</v>
      </c>
      <c r="B2901" s="9" t="s">
        <v>6848</v>
      </c>
      <c r="C2901" s="9"/>
      <c r="D2901" s="9" t="s">
        <v>6742</v>
      </c>
      <c r="E2901" s="9" t="s">
        <v>1955</v>
      </c>
      <c r="F2901" s="9" t="s">
        <v>1956</v>
      </c>
      <c r="G2901" s="9" t="s">
        <v>12</v>
      </c>
      <c r="H2901" s="9"/>
      <c r="I2901" s="9"/>
      <c r="J2901" s="9" t="s">
        <v>92</v>
      </c>
      <c r="K2901" s="9"/>
      <c r="L2901" s="9"/>
      <c r="M2901" s="9" t="s">
        <v>1957</v>
      </c>
      <c r="N2901" s="9"/>
      <c r="O2901" s="9" t="s">
        <v>1958</v>
      </c>
      <c r="P2901" s="9" t="str">
        <f>HYPERLINK("https://ceds.ed.gov/cedselementdetails.aspx?termid=13508")</f>
        <v>https://ceds.ed.gov/cedselementdetails.aspx?termid=13508</v>
      </c>
      <c r="Q2901" s="9" t="str">
        <f>HYPERLINK("https://ceds.ed.gov/elementComment.aspx?elementName=Course Description &amp;elementID=13508", "Click here to submit comment")</f>
        <v>Click here to submit comment</v>
      </c>
    </row>
    <row r="2902" spans="1:17" ht="45" x14ac:dyDescent="0.25">
      <c r="A2902" s="9" t="s">
        <v>6878</v>
      </c>
      <c r="B2902" s="9" t="s">
        <v>6848</v>
      </c>
      <c r="C2902" s="9"/>
      <c r="D2902" s="9" t="s">
        <v>6742</v>
      </c>
      <c r="E2902" s="9" t="s">
        <v>1951</v>
      </c>
      <c r="F2902" s="9" t="s">
        <v>1952</v>
      </c>
      <c r="G2902" s="9" t="s">
        <v>12</v>
      </c>
      <c r="H2902" s="9"/>
      <c r="I2902" s="9"/>
      <c r="J2902" s="9" t="s">
        <v>92</v>
      </c>
      <c r="K2902" s="9"/>
      <c r="L2902" s="9"/>
      <c r="M2902" s="9" t="s">
        <v>1953</v>
      </c>
      <c r="N2902" s="9"/>
      <c r="O2902" s="9" t="s">
        <v>1954</v>
      </c>
      <c r="P2902" s="9" t="str">
        <f>HYPERLINK("https://ceds.ed.gov/cedselementdetails.aspx?termid=14525")</f>
        <v>https://ceds.ed.gov/cedselementdetails.aspx?termid=14525</v>
      </c>
      <c r="Q2902" s="9" t="str">
        <f>HYPERLINK("https://ceds.ed.gov/elementComment.aspx?elementName=Course Department Name &amp;elementID=14525", "Click here to submit comment")</f>
        <v>Click here to submit comment</v>
      </c>
    </row>
    <row r="2903" spans="1:17" ht="165" x14ac:dyDescent="0.25">
      <c r="A2903" s="9" t="s">
        <v>6878</v>
      </c>
      <c r="B2903" s="9" t="s">
        <v>6848</v>
      </c>
      <c r="C2903" s="9"/>
      <c r="D2903" s="9" t="s">
        <v>6742</v>
      </c>
      <c r="E2903" s="9" t="s">
        <v>1945</v>
      </c>
      <c r="F2903" s="9" t="s">
        <v>1946</v>
      </c>
      <c r="G2903" s="10" t="s">
        <v>6424</v>
      </c>
      <c r="H2903" s="9" t="s">
        <v>25</v>
      </c>
      <c r="I2903" s="9"/>
      <c r="J2903" s="9"/>
      <c r="K2903" s="9"/>
      <c r="L2903" s="9"/>
      <c r="M2903" s="9" t="s">
        <v>1947</v>
      </c>
      <c r="N2903" s="9"/>
      <c r="O2903" s="9" t="s">
        <v>1948</v>
      </c>
      <c r="P2903" s="9" t="str">
        <f>HYPERLINK("https://ceds.ed.gov/cedselementdetails.aspx?termid=13057")</f>
        <v>https://ceds.ed.gov/cedselementdetails.aspx?termid=13057</v>
      </c>
      <c r="Q2903" s="9" t="str">
        <f>HYPERLINK("https://ceds.ed.gov/elementComment.aspx?elementName=Course Credit Units &amp;elementID=13057", "Click here to submit comment")</f>
        <v>Click here to submit comment</v>
      </c>
    </row>
    <row r="2904" spans="1:17" ht="360" x14ac:dyDescent="0.25">
      <c r="A2904" s="9" t="s">
        <v>6878</v>
      </c>
      <c r="B2904" s="9" t="s">
        <v>6848</v>
      </c>
      <c r="C2904" s="9"/>
      <c r="D2904" s="9" t="s">
        <v>6742</v>
      </c>
      <c r="E2904" s="9" t="s">
        <v>11089</v>
      </c>
      <c r="F2904" s="9" t="s">
        <v>2119</v>
      </c>
      <c r="G2904" s="10" t="s">
        <v>11847</v>
      </c>
      <c r="H2904" s="9" t="s">
        <v>6109</v>
      </c>
      <c r="I2904" s="9"/>
      <c r="J2904" s="9"/>
      <c r="K2904" s="9"/>
      <c r="L2904" s="9"/>
      <c r="M2904" s="9" t="s">
        <v>2120</v>
      </c>
      <c r="N2904" s="9"/>
      <c r="O2904" s="9" t="s">
        <v>11091</v>
      </c>
      <c r="P2904" s="9" t="str">
        <f>HYPERLINK("https://ceds.ed.gov/cedselementdetails.aspx?termid=13072")</f>
        <v>https://ceds.ed.gov/cedselementdetails.aspx?termid=13072</v>
      </c>
      <c r="Q2904" s="9" t="str">
        <f>HYPERLINK("https://ceds.ed.gov/elementComment.aspx?elementName=Credit Unit Type &amp;elementID=13072", "Click here to submit comment")</f>
        <v>Click here to submit comment</v>
      </c>
    </row>
    <row r="2905" spans="1:17" ht="105" x14ac:dyDescent="0.25">
      <c r="A2905" s="9" t="s">
        <v>6878</v>
      </c>
      <c r="B2905" s="9" t="s">
        <v>6848</v>
      </c>
      <c r="C2905" s="9"/>
      <c r="D2905" s="9" t="s">
        <v>6742</v>
      </c>
      <c r="E2905" s="9" t="s">
        <v>11092</v>
      </c>
      <c r="F2905" s="9" t="s">
        <v>11093</v>
      </c>
      <c r="G2905" s="9" t="s">
        <v>12</v>
      </c>
      <c r="H2905" s="9" t="s">
        <v>25</v>
      </c>
      <c r="I2905" s="9"/>
      <c r="J2905" s="9" t="s">
        <v>1513</v>
      </c>
      <c r="K2905" s="9"/>
      <c r="L2905" s="9" t="s">
        <v>1949</v>
      </c>
      <c r="M2905" s="9" t="s">
        <v>1950</v>
      </c>
      <c r="N2905" s="9"/>
      <c r="O2905" s="9" t="s">
        <v>11095</v>
      </c>
      <c r="P2905" s="9" t="str">
        <f>HYPERLINK("https://ceds.ed.gov/cedselementdetails.aspx?termid=13058")</f>
        <v>https://ceds.ed.gov/cedselementdetails.aspx?termid=13058</v>
      </c>
      <c r="Q2905" s="9" t="str">
        <f>HYPERLINK("https://ceds.ed.gov/elementComment.aspx?elementName=Credit Value &amp;elementID=13058", "Click here to submit comment")</f>
        <v>Click here to submit comment</v>
      </c>
    </row>
    <row r="2906" spans="1:17" ht="255" x14ac:dyDescent="0.25">
      <c r="A2906" s="9" t="s">
        <v>6878</v>
      </c>
      <c r="B2906" s="9" t="s">
        <v>6848</v>
      </c>
      <c r="C2906" s="9"/>
      <c r="D2906" s="9" t="s">
        <v>6742</v>
      </c>
      <c r="E2906" s="9" t="s">
        <v>145</v>
      </c>
      <c r="F2906" s="9" t="s">
        <v>146</v>
      </c>
      <c r="G2906" s="10" t="s">
        <v>6318</v>
      </c>
      <c r="H2906" s="9"/>
      <c r="I2906" s="9"/>
      <c r="J2906" s="9"/>
      <c r="K2906" s="9"/>
      <c r="L2906" s="9"/>
      <c r="M2906" s="9" t="s">
        <v>147</v>
      </c>
      <c r="N2906" s="9"/>
      <c r="O2906" s="9" t="s">
        <v>148</v>
      </c>
      <c r="P2906" s="9" t="str">
        <f>HYPERLINK("https://ceds.ed.gov/cedselementdetails.aspx?termid=13589")</f>
        <v>https://ceds.ed.gov/cedselementdetails.aspx?termid=13589</v>
      </c>
      <c r="Q2906" s="9" t="str">
        <f>HYPERLINK("https://ceds.ed.gov/elementComment.aspx?elementName=Additional Credit Type &amp;elementID=13589", "Click here to submit comment")</f>
        <v>Click here to submit comment</v>
      </c>
    </row>
    <row r="2907" spans="1:17" ht="150" x14ac:dyDescent="0.25">
      <c r="A2907" s="9" t="s">
        <v>6878</v>
      </c>
      <c r="B2907" s="9" t="s">
        <v>6848</v>
      </c>
      <c r="C2907" s="9"/>
      <c r="D2907" s="9" t="s">
        <v>6742</v>
      </c>
      <c r="E2907" s="9" t="s">
        <v>1511</v>
      </c>
      <c r="F2907" s="9" t="s">
        <v>1512</v>
      </c>
      <c r="G2907" s="9" t="s">
        <v>12</v>
      </c>
      <c r="H2907" s="9" t="s">
        <v>6150</v>
      </c>
      <c r="I2907" s="9"/>
      <c r="J2907" s="9" t="s">
        <v>1513</v>
      </c>
      <c r="K2907" s="9"/>
      <c r="L2907" s="9"/>
      <c r="M2907" s="9" t="s">
        <v>1514</v>
      </c>
      <c r="N2907" s="9"/>
      <c r="O2907" s="9" t="s">
        <v>1515</v>
      </c>
      <c r="P2907" s="9" t="str">
        <f>HYPERLINK("https://ceds.ed.gov/cedselementdetails.aspx?termid=13030")</f>
        <v>https://ceds.ed.gov/cedselementdetails.aspx?termid=13030</v>
      </c>
      <c r="Q2907" s="9" t="str">
        <f>HYPERLINK("https://ceds.ed.gov/elementComment.aspx?elementName=Available Carnegie Unit Credit &amp;elementID=13030", "Click here to submit comment")</f>
        <v>Click here to submit comment</v>
      </c>
    </row>
    <row r="2908" spans="1:17" ht="120" x14ac:dyDescent="0.25">
      <c r="A2908" s="9" t="s">
        <v>6878</v>
      </c>
      <c r="B2908" s="9" t="s">
        <v>6848</v>
      </c>
      <c r="C2908" s="9"/>
      <c r="D2908" s="9" t="s">
        <v>6742</v>
      </c>
      <c r="E2908" s="9" t="s">
        <v>1973</v>
      </c>
      <c r="F2908" s="9" t="s">
        <v>1974</v>
      </c>
      <c r="G2908" s="10" t="s">
        <v>6425</v>
      </c>
      <c r="H2908" s="9" t="s">
        <v>6150</v>
      </c>
      <c r="I2908" s="9"/>
      <c r="J2908" s="9"/>
      <c r="K2908" s="9"/>
      <c r="L2908" s="9"/>
      <c r="M2908" s="9" t="s">
        <v>1975</v>
      </c>
      <c r="N2908" s="9" t="s">
        <v>1976</v>
      </c>
      <c r="O2908" s="9" t="s">
        <v>1977</v>
      </c>
      <c r="P2908" s="9" t="str">
        <f>HYPERLINK("https://ceds.ed.gov/cedselementdetails.aspx?termid=13060")</f>
        <v>https://ceds.ed.gov/cedselementdetails.aspx?termid=13060</v>
      </c>
      <c r="Q2908" s="9" t="str">
        <f>HYPERLINK("https://ceds.ed.gov/elementComment.aspx?elementName=Course Grade Point Average Applicability &amp;elementID=13060", "Click here to submit comment")</f>
        <v>Click here to submit comment</v>
      </c>
    </row>
    <row r="2909" spans="1:17" ht="330" x14ac:dyDescent="0.25">
      <c r="A2909" s="9" t="s">
        <v>6878</v>
      </c>
      <c r="B2909" s="9" t="s">
        <v>6848</v>
      </c>
      <c r="C2909" s="9"/>
      <c r="D2909" s="9" t="s">
        <v>6742</v>
      </c>
      <c r="E2909" s="9" t="s">
        <v>2003</v>
      </c>
      <c r="F2909" s="9" t="s">
        <v>2004</v>
      </c>
      <c r="G2909" s="10" t="s">
        <v>11840</v>
      </c>
      <c r="H2909" s="9" t="s">
        <v>6176</v>
      </c>
      <c r="I2909" s="9" t="s">
        <v>91</v>
      </c>
      <c r="J2909" s="9"/>
      <c r="K2909" s="9"/>
      <c r="L2909" s="9"/>
      <c r="M2909" s="9" t="s">
        <v>2005</v>
      </c>
      <c r="N2909" s="9"/>
      <c r="O2909" s="9" t="s">
        <v>2006</v>
      </c>
      <c r="P2909" s="9" t="str">
        <f>HYPERLINK("https://ceds.ed.gov/cedselementdetails.aspx?termid=13061")</f>
        <v>https://ceds.ed.gov/cedselementdetails.aspx?termid=13061</v>
      </c>
      <c r="Q2909" s="9" t="str">
        <f>HYPERLINK("https://ceds.ed.gov/elementComment.aspx?elementName=Course Level Characteristic &amp;elementID=13061", "Click here to submit comment")</f>
        <v>Click here to submit comment</v>
      </c>
    </row>
    <row r="2910" spans="1:17" ht="120" x14ac:dyDescent="0.25">
      <c r="A2910" s="9" t="s">
        <v>6878</v>
      </c>
      <c r="B2910" s="9" t="s">
        <v>6848</v>
      </c>
      <c r="C2910" s="9"/>
      <c r="D2910" s="9" t="s">
        <v>6742</v>
      </c>
      <c r="E2910" s="9" t="s">
        <v>3101</v>
      </c>
      <c r="F2910" s="9" t="s">
        <v>3102</v>
      </c>
      <c r="G2910" s="9" t="s">
        <v>6106</v>
      </c>
      <c r="H2910" s="9" t="s">
        <v>6150</v>
      </c>
      <c r="I2910" s="9"/>
      <c r="J2910" s="9"/>
      <c r="K2910" s="9"/>
      <c r="L2910" s="9"/>
      <c r="M2910" s="9" t="s">
        <v>3103</v>
      </c>
      <c r="N2910" s="9"/>
      <c r="O2910" s="9" t="s">
        <v>3104</v>
      </c>
      <c r="P2910" s="9" t="str">
        <f>HYPERLINK("https://ceds.ed.gov/cedselementdetails.aspx?termid=13137")</f>
        <v>https://ceds.ed.gov/cedselementdetails.aspx?termid=13137</v>
      </c>
      <c r="Q2910" s="9" t="str">
        <f>HYPERLINK("https://ceds.ed.gov/elementComment.aspx?elementName=High School Course Requirement &amp;elementID=13137", "Click here to submit comment")</f>
        <v>Click here to submit comment</v>
      </c>
    </row>
    <row r="2911" spans="1:17" ht="45" x14ac:dyDescent="0.25">
      <c r="A2911" s="9" t="s">
        <v>6878</v>
      </c>
      <c r="B2911" s="9" t="s">
        <v>6848</v>
      </c>
      <c r="C2911" s="9"/>
      <c r="D2911" s="9" t="s">
        <v>6742</v>
      </c>
      <c r="E2911" s="9" t="s">
        <v>10945</v>
      </c>
      <c r="F2911" s="9" t="s">
        <v>10946</v>
      </c>
      <c r="G2911" s="9" t="s">
        <v>12</v>
      </c>
      <c r="H2911" s="9"/>
      <c r="I2911" s="9"/>
      <c r="J2911" s="9" t="s">
        <v>589</v>
      </c>
      <c r="K2911" s="9"/>
      <c r="L2911" s="9"/>
      <c r="M2911" s="9" t="s">
        <v>10947</v>
      </c>
      <c r="N2911" s="9"/>
      <c r="O2911" s="9" t="s">
        <v>10948</v>
      </c>
      <c r="P2911" s="9" t="str">
        <f>HYPERLINK("https://ceds.ed.gov/cedselementdetails.aspx?termid=14648")</f>
        <v>https://ceds.ed.gov/cedselementdetails.aspx?termid=14648</v>
      </c>
      <c r="Q2911" s="9" t="str">
        <f>HYPERLINK("https://ceds.ed.gov/elementComment.aspx?elementName=Course Repeatability Maximum Number &amp;elementID=14648", "Click here to submit comment")</f>
        <v>Click here to submit comment</v>
      </c>
    </row>
    <row r="2912" spans="1:17" ht="150" x14ac:dyDescent="0.25">
      <c r="A2912" s="9" t="s">
        <v>6878</v>
      </c>
      <c r="B2912" s="9" t="s">
        <v>6848</v>
      </c>
      <c r="C2912" s="9"/>
      <c r="D2912" s="9" t="s">
        <v>6742</v>
      </c>
      <c r="E2912" s="9" t="s">
        <v>2164</v>
      </c>
      <c r="F2912" s="9" t="s">
        <v>2165</v>
      </c>
      <c r="G2912" s="10" t="s">
        <v>6438</v>
      </c>
      <c r="H2912" s="9"/>
      <c r="I2912" s="9"/>
      <c r="J2912" s="9"/>
      <c r="K2912" s="9"/>
      <c r="L2912" s="9"/>
      <c r="M2912" s="9" t="s">
        <v>2166</v>
      </c>
      <c r="N2912" s="9"/>
      <c r="O2912" s="9" t="s">
        <v>2167</v>
      </c>
      <c r="P2912" s="9" t="str">
        <f>HYPERLINK("https://ceds.ed.gov/cedselementdetails.aspx?termid=13688")</f>
        <v>https://ceds.ed.gov/cedselementdetails.aspx?termid=13688</v>
      </c>
      <c r="Q2912" s="9" t="str">
        <f>HYPERLINK("https://ceds.ed.gov/elementComment.aspx?elementName=Curriculum Framework Type &amp;elementID=13688", "Click here to submit comment")</f>
        <v>Click here to submit comment</v>
      </c>
    </row>
    <row r="2913" spans="1:17" ht="45" x14ac:dyDescent="0.25">
      <c r="A2913" s="9" t="s">
        <v>6878</v>
      </c>
      <c r="B2913" s="9" t="s">
        <v>6848</v>
      </c>
      <c r="C2913" s="9"/>
      <c r="D2913" s="9" t="s">
        <v>6742</v>
      </c>
      <c r="E2913" s="9" t="s">
        <v>1868</v>
      </c>
      <c r="F2913" s="9" t="s">
        <v>1869</v>
      </c>
      <c r="G2913" s="9" t="s">
        <v>6106</v>
      </c>
      <c r="H2913" s="9"/>
      <c r="I2913" s="9"/>
      <c r="J2913" s="9"/>
      <c r="K2913" s="9"/>
      <c r="L2913" s="9"/>
      <c r="M2913" s="9" t="s">
        <v>1870</v>
      </c>
      <c r="N2913" s="9"/>
      <c r="O2913" s="9" t="s">
        <v>1871</v>
      </c>
      <c r="P2913" s="9" t="str">
        <f>HYPERLINK("https://ceds.ed.gov/cedselementdetails.aspx?termid=13509")</f>
        <v>https://ceds.ed.gov/cedselementdetails.aspx?termid=13509</v>
      </c>
      <c r="Q2913" s="9" t="str">
        <f>HYPERLINK("https://ceds.ed.gov/elementComment.aspx?elementName=Core Academic Course &amp;elementID=13509", "Click here to submit comment")</f>
        <v>Click here to submit comment</v>
      </c>
    </row>
    <row r="2914" spans="1:17" ht="45" x14ac:dyDescent="0.25">
      <c r="A2914" s="9" t="s">
        <v>6878</v>
      </c>
      <c r="B2914" s="9" t="s">
        <v>6848</v>
      </c>
      <c r="C2914" s="9"/>
      <c r="D2914" s="9" t="s">
        <v>6742</v>
      </c>
      <c r="E2914" s="9" t="s">
        <v>1916</v>
      </c>
      <c r="F2914" s="9" t="s">
        <v>1917</v>
      </c>
      <c r="G2914" s="9" t="s">
        <v>6106</v>
      </c>
      <c r="H2914" s="9"/>
      <c r="I2914" s="9"/>
      <c r="J2914" s="9"/>
      <c r="K2914" s="9"/>
      <c r="L2914" s="9"/>
      <c r="M2914" s="9" t="s">
        <v>1918</v>
      </c>
      <c r="N2914" s="9"/>
      <c r="O2914" s="9" t="s">
        <v>1919</v>
      </c>
      <c r="P2914" s="9" t="str">
        <f>HYPERLINK("https://ceds.ed.gov/cedselementdetails.aspx?termid=13013")</f>
        <v>https://ceds.ed.gov/cedselementdetails.aspx?termid=13013</v>
      </c>
      <c r="Q2914" s="9" t="str">
        <f>HYPERLINK("https://ceds.ed.gov/elementComment.aspx?elementName=Course Aligned with Standards &amp;elementID=13013", "Click here to submit comment")</f>
        <v>Click here to submit comment</v>
      </c>
    </row>
    <row r="2915" spans="1:17" ht="90" x14ac:dyDescent="0.25">
      <c r="A2915" s="9" t="s">
        <v>6878</v>
      </c>
      <c r="B2915" s="9" t="s">
        <v>6848</v>
      </c>
      <c r="C2915" s="9"/>
      <c r="D2915" s="9" t="s">
        <v>6742</v>
      </c>
      <c r="E2915" s="9" t="s">
        <v>3458</v>
      </c>
      <c r="F2915" s="9" t="s">
        <v>3459</v>
      </c>
      <c r="G2915" s="11" t="s">
        <v>966</v>
      </c>
      <c r="H2915" s="9" t="s">
        <v>188</v>
      </c>
      <c r="I2915" s="9"/>
      <c r="J2915" s="9"/>
      <c r="K2915" s="9"/>
      <c r="L2915" s="11" t="s">
        <v>967</v>
      </c>
      <c r="M2915" s="9" t="s">
        <v>3460</v>
      </c>
      <c r="N2915" s="9"/>
      <c r="O2915" s="9" t="s">
        <v>3461</v>
      </c>
      <c r="P2915" s="9" t="str">
        <f>HYPERLINK("https://ceds.ed.gov/cedselementdetails.aspx?termid=13438")</f>
        <v>https://ceds.ed.gov/cedselementdetails.aspx?termid=13438</v>
      </c>
      <c r="Q2915" s="9" t="str">
        <f>HYPERLINK("https://ceds.ed.gov/elementComment.aspx?elementName=Instruction Language &amp;elementID=13438", "Click here to submit comment")</f>
        <v>Click here to submit comment</v>
      </c>
    </row>
    <row r="2916" spans="1:17" ht="120" x14ac:dyDescent="0.25">
      <c r="A2916" s="9" t="s">
        <v>6878</v>
      </c>
      <c r="B2916" s="9" t="s">
        <v>6848</v>
      </c>
      <c r="C2916" s="9"/>
      <c r="D2916" s="9" t="s">
        <v>6742</v>
      </c>
      <c r="E2916" s="9" t="s">
        <v>5308</v>
      </c>
      <c r="F2916" s="9" t="s">
        <v>5309</v>
      </c>
      <c r="G2916" s="11" t="s">
        <v>11707</v>
      </c>
      <c r="H2916" s="9"/>
      <c r="I2916" s="9"/>
      <c r="J2916" s="9"/>
      <c r="K2916" s="9"/>
      <c r="L2916" s="9" t="s">
        <v>5310</v>
      </c>
      <c r="M2916" s="9" t="s">
        <v>5311</v>
      </c>
      <c r="N2916" s="9" t="s">
        <v>5312</v>
      </c>
      <c r="O2916" s="9" t="s">
        <v>5313</v>
      </c>
      <c r="P2916" s="9" t="str">
        <f>HYPERLINK("https://ceds.ed.gov/cedselementdetails.aspx?termid=14490")</f>
        <v>https://ceds.ed.gov/cedselementdetails.aspx?termid=14490</v>
      </c>
      <c r="Q2916" s="9" t="str">
        <f>HYPERLINK("https://ceds.ed.gov/elementComment.aspx?elementName=School Courses for the Exchange of Data Course Code &amp;elementID=14490", "Click here to submit comment")</f>
        <v>Click here to submit comment</v>
      </c>
    </row>
    <row r="2917" spans="1:17" ht="105" x14ac:dyDescent="0.25">
      <c r="A2917" s="9" t="s">
        <v>6878</v>
      </c>
      <c r="B2917" s="9" t="s">
        <v>6848</v>
      </c>
      <c r="C2917" s="9"/>
      <c r="D2917" s="9" t="s">
        <v>6742</v>
      </c>
      <c r="E2917" s="9" t="s">
        <v>5314</v>
      </c>
      <c r="F2917" s="9" t="s">
        <v>5315</v>
      </c>
      <c r="G2917" s="10" t="s">
        <v>6684</v>
      </c>
      <c r="H2917" s="9"/>
      <c r="I2917" s="9"/>
      <c r="J2917" s="9"/>
      <c r="K2917" s="9"/>
      <c r="L2917" s="9"/>
      <c r="M2917" s="9" t="s">
        <v>5316</v>
      </c>
      <c r="N2917" s="9" t="s">
        <v>5317</v>
      </c>
      <c r="O2917" s="9" t="s">
        <v>5318</v>
      </c>
      <c r="P2917" s="9" t="str">
        <f>HYPERLINK("https://ceds.ed.gov/cedselementdetails.aspx?termid=14488")</f>
        <v>https://ceds.ed.gov/cedselementdetails.aspx?termid=14488</v>
      </c>
      <c r="Q2917" s="9" t="str">
        <f>HYPERLINK("https://ceds.ed.gov/elementComment.aspx?elementName=School Courses for the Exchange of Data Course Level &amp;elementID=14488", "Click here to submit comment")</f>
        <v>Click here to submit comment</v>
      </c>
    </row>
    <row r="2918" spans="1:17" ht="409.5" x14ac:dyDescent="0.25">
      <c r="A2918" s="9" t="s">
        <v>6878</v>
      </c>
      <c r="B2918" s="9" t="s">
        <v>6848</v>
      </c>
      <c r="C2918" s="9"/>
      <c r="D2918" s="9" t="s">
        <v>6742</v>
      </c>
      <c r="E2918" s="9" t="s">
        <v>5319</v>
      </c>
      <c r="F2918" s="9" t="s">
        <v>5320</v>
      </c>
      <c r="G2918" s="10" t="s">
        <v>11908</v>
      </c>
      <c r="H2918" s="9"/>
      <c r="I2918" s="9"/>
      <c r="J2918" s="9"/>
      <c r="K2918" s="9"/>
      <c r="L2918" s="9" t="s">
        <v>5321</v>
      </c>
      <c r="M2918" s="9" t="s">
        <v>5322</v>
      </c>
      <c r="N2918" s="9" t="s">
        <v>5323</v>
      </c>
      <c r="O2918" s="9" t="s">
        <v>5324</v>
      </c>
      <c r="P2918" s="9" t="str">
        <f>HYPERLINK("https://ceds.ed.gov/cedselementdetails.aspx?termid=14491")</f>
        <v>https://ceds.ed.gov/cedselementdetails.aspx?termid=14491</v>
      </c>
      <c r="Q2918" s="9" t="str">
        <f>HYPERLINK("https://ceds.ed.gov/elementComment.aspx?elementName=School Courses for the Exchange of Data Course Subject Area &amp;elementID=14491", "Click here to submit comment")</f>
        <v>Click here to submit comment</v>
      </c>
    </row>
    <row r="2919" spans="1:17" ht="120" x14ac:dyDescent="0.25">
      <c r="A2919" s="9" t="s">
        <v>6878</v>
      </c>
      <c r="B2919" s="9" t="s">
        <v>6848</v>
      </c>
      <c r="C2919" s="9"/>
      <c r="D2919" s="9" t="s">
        <v>6742</v>
      </c>
      <c r="E2919" s="9" t="s">
        <v>5331</v>
      </c>
      <c r="F2919" s="9" t="s">
        <v>5332</v>
      </c>
      <c r="G2919" s="9" t="s">
        <v>12</v>
      </c>
      <c r="H2919" s="9" t="s">
        <v>6150</v>
      </c>
      <c r="I2919" s="9"/>
      <c r="J2919" s="9" t="s">
        <v>2088</v>
      </c>
      <c r="K2919" s="9"/>
      <c r="L2919" s="9" t="s">
        <v>5333</v>
      </c>
      <c r="M2919" s="9" t="s">
        <v>5334</v>
      </c>
      <c r="N2919" s="9" t="s">
        <v>5335</v>
      </c>
      <c r="O2919" s="9" t="s">
        <v>5336</v>
      </c>
      <c r="P2919" s="9" t="str">
        <f>HYPERLINK("https://ceds.ed.gov/cedselementdetails.aspx?termid=13250")</f>
        <v>https://ceds.ed.gov/cedselementdetails.aspx?termid=13250</v>
      </c>
      <c r="Q2919" s="9" t="str">
        <f>HYPERLINK("https://ceds.ed.gov/elementComment.aspx?elementName=School Courses for the Exchange of Data Sequence of Course &amp;elementID=13250", "Click here to submit comment")</f>
        <v>Click here to submit comment</v>
      </c>
    </row>
    <row r="2920" spans="1:17" ht="105" x14ac:dyDescent="0.25">
      <c r="A2920" s="18" t="s">
        <v>6878</v>
      </c>
      <c r="B2920" s="18" t="s">
        <v>6847</v>
      </c>
      <c r="C2920" s="18"/>
      <c r="D2920" s="18" t="s">
        <v>6742</v>
      </c>
      <c r="E2920" s="18" t="s">
        <v>2062</v>
      </c>
      <c r="F2920" s="18" t="s">
        <v>2063</v>
      </c>
      <c r="G2920" s="18" t="s">
        <v>12</v>
      </c>
      <c r="H2920" s="18"/>
      <c r="I2920" s="18"/>
      <c r="J2920" s="18" t="s">
        <v>119</v>
      </c>
      <c r="K2920" s="18"/>
      <c r="L2920" s="9" t="s">
        <v>120</v>
      </c>
      <c r="M2920" s="18" t="s">
        <v>2064</v>
      </c>
      <c r="N2920" s="18"/>
      <c r="O2920" s="18" t="s">
        <v>2065</v>
      </c>
      <c r="P2920" s="18" t="str">
        <f>HYPERLINK("https://ceds.ed.gov/cedselementdetails.aspx?termid=13979")</f>
        <v>https://ceds.ed.gov/cedselementdetails.aspx?termid=13979</v>
      </c>
      <c r="Q2920" s="18" t="str">
        <f>HYPERLINK("https://ceds.ed.gov/elementComment.aspx?elementName=Course Section Identifier &amp;elementID=13979", "Click here to submit comment")</f>
        <v>Click here to submit comment</v>
      </c>
    </row>
    <row r="2921" spans="1:17" x14ac:dyDescent="0.25">
      <c r="A2921" s="18"/>
      <c r="B2921" s="18"/>
      <c r="C2921" s="18"/>
      <c r="D2921" s="18"/>
      <c r="E2921" s="18"/>
      <c r="F2921" s="18"/>
      <c r="G2921" s="18"/>
      <c r="H2921" s="18"/>
      <c r="I2921" s="18"/>
      <c r="J2921" s="18"/>
      <c r="K2921" s="18"/>
      <c r="L2921" s="9"/>
      <c r="M2921" s="18"/>
      <c r="N2921" s="18"/>
      <c r="O2921" s="18"/>
      <c r="P2921" s="18"/>
      <c r="Q2921" s="18"/>
    </row>
    <row r="2922" spans="1:17" ht="90" x14ac:dyDescent="0.25">
      <c r="A2922" s="18"/>
      <c r="B2922" s="18"/>
      <c r="C2922" s="18"/>
      <c r="D2922" s="18"/>
      <c r="E2922" s="18"/>
      <c r="F2922" s="18"/>
      <c r="G2922" s="18"/>
      <c r="H2922" s="18"/>
      <c r="I2922" s="18"/>
      <c r="J2922" s="18"/>
      <c r="K2922" s="18"/>
      <c r="L2922" s="9" t="s">
        <v>121</v>
      </c>
      <c r="M2922" s="18"/>
      <c r="N2922" s="18"/>
      <c r="O2922" s="18"/>
      <c r="P2922" s="18"/>
      <c r="Q2922" s="18"/>
    </row>
    <row r="2923" spans="1:17" ht="75" x14ac:dyDescent="0.25">
      <c r="A2923" s="9" t="s">
        <v>6878</v>
      </c>
      <c r="B2923" s="9" t="s">
        <v>6847</v>
      </c>
      <c r="C2923" s="9"/>
      <c r="D2923" s="9" t="s">
        <v>6742</v>
      </c>
      <c r="E2923" s="9" t="s">
        <v>2074</v>
      </c>
      <c r="F2923" s="9" t="s">
        <v>2075</v>
      </c>
      <c r="G2923" s="9" t="s">
        <v>12</v>
      </c>
      <c r="H2923" s="9"/>
      <c r="I2923" s="9"/>
      <c r="J2923" s="9" t="s">
        <v>87</v>
      </c>
      <c r="K2923" s="9"/>
      <c r="L2923" s="9"/>
      <c r="M2923" s="9" t="s">
        <v>2076</v>
      </c>
      <c r="N2923" s="9"/>
      <c r="O2923" s="9" t="s">
        <v>2077</v>
      </c>
      <c r="P2923" s="9" t="str">
        <f>HYPERLINK("https://ceds.ed.gov/cedselementdetails.aspx?termid=14281")</f>
        <v>https://ceds.ed.gov/cedselementdetails.aspx?termid=14281</v>
      </c>
      <c r="Q2923" s="9" t="str">
        <f>HYPERLINK("https://ceds.ed.gov/elementComment.aspx?elementName=Course Section Number &amp;elementID=14281", "Click here to submit comment")</f>
        <v>Click here to submit comment</v>
      </c>
    </row>
    <row r="2924" spans="1:17" ht="90" x14ac:dyDescent="0.25">
      <c r="A2924" s="9" t="s">
        <v>6878</v>
      </c>
      <c r="B2924" s="9" t="s">
        <v>6847</v>
      </c>
      <c r="C2924" s="9"/>
      <c r="D2924" s="9" t="s">
        <v>6742</v>
      </c>
      <c r="E2924" s="9" t="s">
        <v>2015</v>
      </c>
      <c r="F2924" s="9" t="s">
        <v>2016</v>
      </c>
      <c r="G2924" s="9" t="s">
        <v>12</v>
      </c>
      <c r="H2924" s="9"/>
      <c r="I2924" s="9"/>
      <c r="J2924" s="9" t="s">
        <v>87</v>
      </c>
      <c r="K2924" s="9"/>
      <c r="L2924" s="9"/>
      <c r="M2924" s="9" t="s">
        <v>2017</v>
      </c>
      <c r="N2924" s="9"/>
      <c r="O2924" s="9" t="s">
        <v>2018</v>
      </c>
      <c r="P2924" s="9" t="str">
        <f>HYPERLINK("https://ceds.ed.gov/cedselementdetails.aspx?termid=14280")</f>
        <v>https://ceds.ed.gov/cedselementdetails.aspx?termid=14280</v>
      </c>
      <c r="Q2924" s="9" t="str">
        <f>HYPERLINK("https://ceds.ed.gov/elementComment.aspx?elementName=Course Number &amp;elementID=14280", "Click here to submit comment")</f>
        <v>Click here to submit comment</v>
      </c>
    </row>
    <row r="2925" spans="1:17" ht="105" x14ac:dyDescent="0.25">
      <c r="A2925" s="18" t="s">
        <v>6878</v>
      </c>
      <c r="B2925" s="18" t="s">
        <v>6847</v>
      </c>
      <c r="C2925" s="18"/>
      <c r="D2925" s="18" t="s">
        <v>6742</v>
      </c>
      <c r="E2925" s="18" t="s">
        <v>4477</v>
      </c>
      <c r="F2925" s="18" t="s">
        <v>4478</v>
      </c>
      <c r="G2925" s="18" t="s">
        <v>12</v>
      </c>
      <c r="H2925" s="18"/>
      <c r="I2925" s="18"/>
      <c r="J2925" s="18" t="s">
        <v>119</v>
      </c>
      <c r="K2925" s="18"/>
      <c r="L2925" s="9" t="s">
        <v>120</v>
      </c>
      <c r="M2925" s="18" t="s">
        <v>4479</v>
      </c>
      <c r="N2925" s="18"/>
      <c r="O2925" s="18" t="s">
        <v>4480</v>
      </c>
      <c r="P2925" s="18" t="str">
        <f>HYPERLINK("https://ceds.ed.gov/cedselementdetails.aspx?termid=14389")</f>
        <v>https://ceds.ed.gov/cedselementdetails.aspx?termid=14389</v>
      </c>
      <c r="Q2925" s="18" t="str">
        <f>HYPERLINK("https://ceds.ed.gov/elementComment.aspx?elementName=Original Course Identifier &amp;elementID=14389", "Click here to submit comment")</f>
        <v>Click here to submit comment</v>
      </c>
    </row>
    <row r="2926" spans="1:17" x14ac:dyDescent="0.25">
      <c r="A2926" s="18"/>
      <c r="B2926" s="18"/>
      <c r="C2926" s="18"/>
      <c r="D2926" s="18"/>
      <c r="E2926" s="18"/>
      <c r="F2926" s="18"/>
      <c r="G2926" s="18"/>
      <c r="H2926" s="18"/>
      <c r="I2926" s="18"/>
      <c r="J2926" s="18"/>
      <c r="K2926" s="18"/>
      <c r="L2926" s="9"/>
      <c r="M2926" s="18"/>
      <c r="N2926" s="18"/>
      <c r="O2926" s="18"/>
      <c r="P2926" s="18"/>
      <c r="Q2926" s="18"/>
    </row>
    <row r="2927" spans="1:17" ht="90" x14ac:dyDescent="0.25">
      <c r="A2927" s="18"/>
      <c r="B2927" s="18"/>
      <c r="C2927" s="18"/>
      <c r="D2927" s="18"/>
      <c r="E2927" s="18"/>
      <c r="F2927" s="18"/>
      <c r="G2927" s="18"/>
      <c r="H2927" s="18"/>
      <c r="I2927" s="18"/>
      <c r="J2927" s="18"/>
      <c r="K2927" s="18"/>
      <c r="L2927" s="9" t="s">
        <v>121</v>
      </c>
      <c r="M2927" s="18"/>
      <c r="N2927" s="18"/>
      <c r="O2927" s="18"/>
      <c r="P2927" s="18"/>
      <c r="Q2927" s="18"/>
    </row>
    <row r="2928" spans="1:17" ht="45" x14ac:dyDescent="0.25">
      <c r="A2928" s="9" t="s">
        <v>6878</v>
      </c>
      <c r="B2928" s="9" t="s">
        <v>6847</v>
      </c>
      <c r="C2928" s="9"/>
      <c r="D2928" s="9" t="s">
        <v>6742</v>
      </c>
      <c r="E2928" s="9" t="s">
        <v>4513</v>
      </c>
      <c r="F2928" s="9" t="s">
        <v>4514</v>
      </c>
      <c r="G2928" s="9" t="s">
        <v>12</v>
      </c>
      <c r="H2928" s="9"/>
      <c r="I2928" s="9"/>
      <c r="J2928" s="9" t="s">
        <v>87</v>
      </c>
      <c r="K2928" s="9"/>
      <c r="L2928" s="9"/>
      <c r="M2928" s="9" t="s">
        <v>4515</v>
      </c>
      <c r="N2928" s="9"/>
      <c r="O2928" s="9" t="s">
        <v>4516</v>
      </c>
      <c r="P2928" s="9" t="str">
        <f>HYPERLINK("https://ceds.ed.gov/cedselementdetails.aspx?termid=14391")</f>
        <v>https://ceds.ed.gov/cedselementdetails.aspx?termid=14391</v>
      </c>
      <c r="Q2928" s="9" t="str">
        <f>HYPERLINK("https://ceds.ed.gov/elementComment.aspx?elementName=Override School Course Number &amp;elementID=14391", "Click here to submit comment")</f>
        <v>Click here to submit comment</v>
      </c>
    </row>
    <row r="2929" spans="1:17" ht="120" x14ac:dyDescent="0.25">
      <c r="A2929" s="9" t="s">
        <v>6878</v>
      </c>
      <c r="B2929" s="9" t="s">
        <v>6847</v>
      </c>
      <c r="C2929" s="9"/>
      <c r="D2929" s="9" t="s">
        <v>6742</v>
      </c>
      <c r="E2929" s="9" t="s">
        <v>5428</v>
      </c>
      <c r="F2929" s="9" t="s">
        <v>5429</v>
      </c>
      <c r="G2929" s="9" t="s">
        <v>12</v>
      </c>
      <c r="H2929" s="9" t="s">
        <v>6150</v>
      </c>
      <c r="I2929" s="9"/>
      <c r="J2929" s="9" t="s">
        <v>73</v>
      </c>
      <c r="K2929" s="9"/>
      <c r="L2929" s="9"/>
      <c r="M2929" s="9" t="s">
        <v>5430</v>
      </c>
      <c r="N2929" s="9"/>
      <c r="O2929" s="9" t="s">
        <v>5431</v>
      </c>
      <c r="P2929" s="9" t="str">
        <f>HYPERLINK("https://ceds.ed.gov/cedselementdetails.aspx?termid=13251")</f>
        <v>https://ceds.ed.gov/cedselementdetails.aspx?termid=13251</v>
      </c>
      <c r="Q2929" s="9" t="str">
        <f>HYPERLINK("https://ceds.ed.gov/elementComment.aspx?elementName=Session Begin Date &amp;elementID=13251", "Click here to submit comment")</f>
        <v>Click here to submit comment</v>
      </c>
    </row>
    <row r="2930" spans="1:17" ht="120" x14ac:dyDescent="0.25">
      <c r="A2930" s="9" t="s">
        <v>6878</v>
      </c>
      <c r="B2930" s="9" t="s">
        <v>6847</v>
      </c>
      <c r="C2930" s="9"/>
      <c r="D2930" s="9" t="s">
        <v>6742</v>
      </c>
      <c r="E2930" s="9" t="s">
        <v>5444</v>
      </c>
      <c r="F2930" s="9" t="s">
        <v>5445</v>
      </c>
      <c r="G2930" s="9" t="s">
        <v>12</v>
      </c>
      <c r="H2930" s="9" t="s">
        <v>6150</v>
      </c>
      <c r="I2930" s="9"/>
      <c r="J2930" s="9" t="s">
        <v>73</v>
      </c>
      <c r="K2930" s="9"/>
      <c r="L2930" s="9"/>
      <c r="M2930" s="9" t="s">
        <v>5446</v>
      </c>
      <c r="N2930" s="9"/>
      <c r="O2930" s="9" t="s">
        <v>5447</v>
      </c>
      <c r="P2930" s="9" t="str">
        <f>HYPERLINK("https://ceds.ed.gov/cedselementdetails.aspx?termid=13253")</f>
        <v>https://ceds.ed.gov/cedselementdetails.aspx?termid=13253</v>
      </c>
      <c r="Q2930" s="9" t="str">
        <f>HYPERLINK("https://ceds.ed.gov/elementComment.aspx?elementName=Session End Date &amp;elementID=13253", "Click here to submit comment")</f>
        <v>Click here to submit comment</v>
      </c>
    </row>
    <row r="2931" spans="1:17" ht="45" x14ac:dyDescent="0.25">
      <c r="A2931" s="9" t="s">
        <v>6878</v>
      </c>
      <c r="B2931" s="9" t="s">
        <v>6847</v>
      </c>
      <c r="C2931" s="9"/>
      <c r="D2931" s="9" t="s">
        <v>6742</v>
      </c>
      <c r="E2931" s="9" t="s">
        <v>5440</v>
      </c>
      <c r="F2931" s="9" t="s">
        <v>5441</v>
      </c>
      <c r="G2931" s="9" t="s">
        <v>12</v>
      </c>
      <c r="H2931" s="9" t="s">
        <v>6161</v>
      </c>
      <c r="I2931" s="9"/>
      <c r="J2931" s="9" t="s">
        <v>2270</v>
      </c>
      <c r="K2931" s="9"/>
      <c r="L2931" s="9"/>
      <c r="M2931" s="9" t="s">
        <v>5442</v>
      </c>
      <c r="N2931" s="9"/>
      <c r="O2931" s="9" t="s">
        <v>5443</v>
      </c>
      <c r="P2931" s="9" t="str">
        <f>HYPERLINK("https://ceds.ed.gov/cedselementdetails.aspx?termid=13252")</f>
        <v>https://ceds.ed.gov/cedselementdetails.aspx?termid=13252</v>
      </c>
      <c r="Q2931" s="9" t="str">
        <f>HYPERLINK("https://ceds.ed.gov/elementComment.aspx?elementName=Session Designator &amp;elementID=13252", "Click here to submit comment")</f>
        <v>Click here to submit comment</v>
      </c>
    </row>
    <row r="2932" spans="1:17" ht="180" x14ac:dyDescent="0.25">
      <c r="A2932" s="9" t="s">
        <v>6878</v>
      </c>
      <c r="B2932" s="9" t="s">
        <v>6847</v>
      </c>
      <c r="C2932" s="9"/>
      <c r="D2932" s="9" t="s">
        <v>6742</v>
      </c>
      <c r="E2932" s="9" t="s">
        <v>5464</v>
      </c>
      <c r="F2932" s="9" t="s">
        <v>5465</v>
      </c>
      <c r="G2932" s="10" t="s">
        <v>6693</v>
      </c>
      <c r="H2932" s="9" t="s">
        <v>6150</v>
      </c>
      <c r="I2932" s="9"/>
      <c r="J2932" s="9"/>
      <c r="K2932" s="9"/>
      <c r="L2932" s="9"/>
      <c r="M2932" s="9" t="s">
        <v>5466</v>
      </c>
      <c r="N2932" s="9"/>
      <c r="O2932" s="9" t="s">
        <v>5467</v>
      </c>
      <c r="P2932" s="9" t="str">
        <f>HYPERLINK("https://ceds.ed.gov/cedselementdetails.aspx?termid=13254")</f>
        <v>https://ceds.ed.gov/cedselementdetails.aspx?termid=13254</v>
      </c>
      <c r="Q2932" s="9" t="str">
        <f>HYPERLINK("https://ceds.ed.gov/elementComment.aspx?elementName=Session Type &amp;elementID=13254", "Click here to submit comment")</f>
        <v>Click here to submit comment</v>
      </c>
    </row>
    <row r="2933" spans="1:17" ht="60" x14ac:dyDescent="0.25">
      <c r="A2933" s="9" t="s">
        <v>6878</v>
      </c>
      <c r="B2933" s="9" t="s">
        <v>6847</v>
      </c>
      <c r="C2933" s="9"/>
      <c r="D2933" s="9" t="s">
        <v>6742</v>
      </c>
      <c r="E2933" s="9" t="s">
        <v>5432</v>
      </c>
      <c r="F2933" s="9" t="s">
        <v>5433</v>
      </c>
      <c r="G2933" s="9" t="s">
        <v>12</v>
      </c>
      <c r="H2933" s="9"/>
      <c r="I2933" s="9"/>
      <c r="J2933" s="9" t="s">
        <v>87</v>
      </c>
      <c r="K2933" s="9"/>
      <c r="L2933" s="9"/>
      <c r="M2933" s="9" t="s">
        <v>5434</v>
      </c>
      <c r="N2933" s="9"/>
      <c r="O2933" s="9" t="s">
        <v>5435</v>
      </c>
      <c r="P2933" s="9" t="str">
        <f>HYPERLINK("https://ceds.ed.gov/cedselementdetails.aspx?termid=14236")</f>
        <v>https://ceds.ed.gov/cedselementdetails.aspx?termid=14236</v>
      </c>
      <c r="Q2933" s="9" t="str">
        <f>HYPERLINK("https://ceds.ed.gov/elementComment.aspx?elementName=Session Code &amp;elementID=14236", "Click here to submit comment")</f>
        <v>Click here to submit comment</v>
      </c>
    </row>
    <row r="2934" spans="1:17" ht="45" x14ac:dyDescent="0.25">
      <c r="A2934" s="9" t="s">
        <v>6878</v>
      </c>
      <c r="B2934" s="9" t="s">
        <v>6847</v>
      </c>
      <c r="C2934" s="9"/>
      <c r="D2934" s="9" t="s">
        <v>6742</v>
      </c>
      <c r="E2934" s="9" t="s">
        <v>5436</v>
      </c>
      <c r="F2934" s="9" t="s">
        <v>5437</v>
      </c>
      <c r="G2934" s="9" t="s">
        <v>12</v>
      </c>
      <c r="H2934" s="9"/>
      <c r="I2934" s="9"/>
      <c r="J2934" s="9" t="s">
        <v>303</v>
      </c>
      <c r="K2934" s="9"/>
      <c r="L2934" s="9"/>
      <c r="M2934" s="9" t="s">
        <v>5438</v>
      </c>
      <c r="N2934" s="9"/>
      <c r="O2934" s="9" t="s">
        <v>5439</v>
      </c>
      <c r="P2934" s="9" t="str">
        <f>HYPERLINK("https://ceds.ed.gov/cedselementdetails.aspx?termid=14237")</f>
        <v>https://ceds.ed.gov/cedselementdetails.aspx?termid=14237</v>
      </c>
      <c r="Q2934" s="9" t="str">
        <f>HYPERLINK("https://ceds.ed.gov/elementComment.aspx?elementName=Session Description &amp;elementID=14237", "Click here to submit comment")</f>
        <v>Click here to submit comment</v>
      </c>
    </row>
    <row r="2935" spans="1:17" ht="409.5" x14ac:dyDescent="0.25">
      <c r="A2935" s="9" t="s">
        <v>6878</v>
      </c>
      <c r="B2935" s="9" t="s">
        <v>6847</v>
      </c>
      <c r="C2935" s="9"/>
      <c r="D2935" s="9" t="s">
        <v>6742</v>
      </c>
      <c r="E2935" s="9" t="s">
        <v>281</v>
      </c>
      <c r="F2935" s="9" t="s">
        <v>282</v>
      </c>
      <c r="G2935" s="10" t="s">
        <v>6337</v>
      </c>
      <c r="H2935" s="9"/>
      <c r="I2935" s="9"/>
      <c r="J2935" s="9" t="s">
        <v>92</v>
      </c>
      <c r="K2935" s="9"/>
      <c r="L2935" s="9"/>
      <c r="M2935" s="9" t="s">
        <v>283</v>
      </c>
      <c r="N2935" s="9" t="s">
        <v>284</v>
      </c>
      <c r="O2935" s="9" t="s">
        <v>285</v>
      </c>
      <c r="P2935" s="9" t="str">
        <f>HYPERLINK("https://ceds.ed.gov/cedselementdetails.aspx?termid=14244")</f>
        <v>https://ceds.ed.gov/cedselementdetails.aspx?termid=14244</v>
      </c>
      <c r="Q2935" s="9" t="str">
        <f>HYPERLINK("https://ceds.ed.gov/elementComment.aspx?elementName=Advanced Placement Course Code &amp;elementID=14244", "Click here to submit comment")</f>
        <v>Click here to submit comment</v>
      </c>
    </row>
    <row r="2936" spans="1:17" ht="45" x14ac:dyDescent="0.25">
      <c r="A2936" s="9" t="s">
        <v>6878</v>
      </c>
      <c r="B2936" s="9" t="s">
        <v>6847</v>
      </c>
      <c r="C2936" s="9"/>
      <c r="D2936" s="9" t="s">
        <v>6742</v>
      </c>
      <c r="E2936" s="9" t="s">
        <v>1955</v>
      </c>
      <c r="F2936" s="9" t="s">
        <v>1956</v>
      </c>
      <c r="G2936" s="9" t="s">
        <v>12</v>
      </c>
      <c r="H2936" s="9"/>
      <c r="I2936" s="9"/>
      <c r="J2936" s="9" t="s">
        <v>92</v>
      </c>
      <c r="K2936" s="9"/>
      <c r="L2936" s="9"/>
      <c r="M2936" s="9" t="s">
        <v>1957</v>
      </c>
      <c r="N2936" s="9"/>
      <c r="O2936" s="9" t="s">
        <v>1958</v>
      </c>
      <c r="P2936" s="9" t="str">
        <f>HYPERLINK("https://ceds.ed.gov/cedselementdetails.aspx?termid=13508")</f>
        <v>https://ceds.ed.gov/cedselementdetails.aspx?termid=13508</v>
      </c>
      <c r="Q2936" s="9" t="str">
        <f>HYPERLINK("https://ceds.ed.gov/elementComment.aspx?elementName=Course Description &amp;elementID=13508", "Click here to submit comment")</f>
        <v>Click here to submit comment</v>
      </c>
    </row>
    <row r="2937" spans="1:17" ht="409.5" x14ac:dyDescent="0.25">
      <c r="A2937" s="9" t="s">
        <v>6878</v>
      </c>
      <c r="B2937" s="9" t="s">
        <v>6847</v>
      </c>
      <c r="C2937" s="9"/>
      <c r="D2937" s="9" t="s">
        <v>6742</v>
      </c>
      <c r="E2937" s="9" t="s">
        <v>1937</v>
      </c>
      <c r="F2937" s="9" t="s">
        <v>1938</v>
      </c>
      <c r="G2937" s="10" t="s">
        <v>6422</v>
      </c>
      <c r="H2937" s="9"/>
      <c r="I2937" s="9"/>
      <c r="J2937" s="9"/>
      <c r="K2937" s="9"/>
      <c r="L2937" s="9"/>
      <c r="M2937" s="9" t="s">
        <v>1939</v>
      </c>
      <c r="N2937" s="9"/>
      <c r="O2937" s="9" t="s">
        <v>1940</v>
      </c>
      <c r="P2937" s="9" t="str">
        <f>HYPERLINK("https://ceds.ed.gov/cedselementdetails.aspx?termid=14269")</f>
        <v>https://ceds.ed.gov/cedselementdetails.aspx?termid=14269</v>
      </c>
      <c r="Q2937" s="9" t="str">
        <f>HYPERLINK("https://ceds.ed.gov/elementComment.aspx?elementName=Course Credit Basis Type &amp;elementID=14269", "Click here to submit comment")</f>
        <v>Click here to submit comment</v>
      </c>
    </row>
    <row r="2938" spans="1:17" ht="255" x14ac:dyDescent="0.25">
      <c r="A2938" s="9" t="s">
        <v>6878</v>
      </c>
      <c r="B2938" s="9" t="s">
        <v>6847</v>
      </c>
      <c r="C2938" s="9"/>
      <c r="D2938" s="9" t="s">
        <v>6742</v>
      </c>
      <c r="E2938" s="9" t="s">
        <v>1941</v>
      </c>
      <c r="F2938" s="9" t="s">
        <v>1942</v>
      </c>
      <c r="G2938" s="10" t="s">
        <v>6423</v>
      </c>
      <c r="H2938" s="9"/>
      <c r="I2938" s="9"/>
      <c r="J2938" s="9"/>
      <c r="K2938" s="9"/>
      <c r="L2938" s="9"/>
      <c r="M2938" s="9" t="s">
        <v>1943</v>
      </c>
      <c r="N2938" s="9"/>
      <c r="O2938" s="9" t="s">
        <v>1944</v>
      </c>
      <c r="P2938" s="9" t="str">
        <f>HYPERLINK("https://ceds.ed.gov/cedselementdetails.aspx?termid=14270")</f>
        <v>https://ceds.ed.gov/cedselementdetails.aspx?termid=14270</v>
      </c>
      <c r="Q2938" s="9" t="str">
        <f>HYPERLINK("https://ceds.ed.gov/elementComment.aspx?elementName=Course Credit Level Type &amp;elementID=14270", "Click here to submit comment")</f>
        <v>Click here to submit comment</v>
      </c>
    </row>
    <row r="2939" spans="1:17" ht="409.5" x14ac:dyDescent="0.25">
      <c r="A2939" s="9" t="s">
        <v>6878</v>
      </c>
      <c r="B2939" s="9" t="s">
        <v>6847</v>
      </c>
      <c r="C2939" s="9"/>
      <c r="D2939" s="9" t="s">
        <v>6742</v>
      </c>
      <c r="E2939" s="9" t="s">
        <v>1920</v>
      </c>
      <c r="F2939" s="9" t="s">
        <v>1921</v>
      </c>
      <c r="G2939" s="10" t="s">
        <v>6420</v>
      </c>
      <c r="H2939" s="9"/>
      <c r="I2939" s="9"/>
      <c r="J2939" s="9"/>
      <c r="K2939" s="9"/>
      <c r="L2939" s="9" t="s">
        <v>1922</v>
      </c>
      <c r="M2939" s="9" t="s">
        <v>1923</v>
      </c>
      <c r="N2939" s="9"/>
      <c r="O2939" s="9" t="s">
        <v>1924</v>
      </c>
      <c r="P2939" s="9" t="str">
        <f>HYPERLINK("https://ceds.ed.gov/cedselementdetails.aspx?termid=14267")</f>
        <v>https://ceds.ed.gov/cedselementdetails.aspx?termid=14267</v>
      </c>
      <c r="Q2939" s="9" t="str">
        <f>HYPERLINK("https://ceds.ed.gov/elementComment.aspx?elementName=Course Applicable Education Level &amp;elementID=14267", "Click here to submit comment")</f>
        <v>Click here to submit comment</v>
      </c>
    </row>
    <row r="2940" spans="1:17" ht="390" x14ac:dyDescent="0.25">
      <c r="A2940" s="9" t="s">
        <v>6878</v>
      </c>
      <c r="B2940" s="9" t="s">
        <v>6847</v>
      </c>
      <c r="C2940" s="9"/>
      <c r="D2940" s="9" t="s">
        <v>6742</v>
      </c>
      <c r="E2940" s="9" t="s">
        <v>2007</v>
      </c>
      <c r="F2940" s="9" t="s">
        <v>2008</v>
      </c>
      <c r="G2940" s="10" t="s">
        <v>11841</v>
      </c>
      <c r="H2940" s="9"/>
      <c r="I2940" s="9" t="s">
        <v>91</v>
      </c>
      <c r="J2940" s="9"/>
      <c r="K2940" s="9"/>
      <c r="L2940" s="9"/>
      <c r="M2940" s="9" t="s">
        <v>2009</v>
      </c>
      <c r="N2940" s="9"/>
      <c r="O2940" s="9" t="s">
        <v>2010</v>
      </c>
      <c r="P2940" s="9" t="str">
        <f>HYPERLINK("https://ceds.ed.gov/cedselementdetails.aspx?termid=14278")</f>
        <v>https://ceds.ed.gov/cedselementdetails.aspx?termid=14278</v>
      </c>
      <c r="Q2940" s="9" t="str">
        <f>HYPERLINK("https://ceds.ed.gov/elementComment.aspx?elementName=Course Level Type &amp;elementID=14278", "Click here to submit comment")</f>
        <v>Click here to submit comment</v>
      </c>
    </row>
    <row r="2941" spans="1:17" ht="150" x14ac:dyDescent="0.25">
      <c r="A2941" s="9" t="s">
        <v>6878</v>
      </c>
      <c r="B2941" s="9" t="s">
        <v>6847</v>
      </c>
      <c r="C2941" s="9"/>
      <c r="D2941" s="9" t="s">
        <v>6742</v>
      </c>
      <c r="E2941" s="9" t="s">
        <v>1903</v>
      </c>
      <c r="F2941" s="9" t="s">
        <v>1904</v>
      </c>
      <c r="G2941" s="9" t="s">
        <v>12</v>
      </c>
      <c r="H2941" s="9"/>
      <c r="I2941" s="9"/>
      <c r="J2941" s="9" t="s">
        <v>10936</v>
      </c>
      <c r="K2941" s="9"/>
      <c r="L2941" s="9" t="s">
        <v>1905</v>
      </c>
      <c r="M2941" s="9" t="s">
        <v>1906</v>
      </c>
      <c r="N2941" s="9"/>
      <c r="O2941" s="9" t="s">
        <v>1907</v>
      </c>
      <c r="P2941" s="9" t="str">
        <f>HYPERLINK("https://ceds.ed.gov/cedselementdetails.aspx?termid=14264")</f>
        <v>https://ceds.ed.gov/cedselementdetails.aspx?termid=14264</v>
      </c>
      <c r="Q2941" s="9" t="str">
        <f>HYPERLINK("https://ceds.ed.gov/elementComment.aspx?elementName=Course Academic Grade Scale Code &amp;elementID=14264", "Click here to submit comment")</f>
        <v>Click here to submit comment</v>
      </c>
    </row>
    <row r="2942" spans="1:17" ht="45" x14ac:dyDescent="0.25">
      <c r="A2942" s="9" t="s">
        <v>6878</v>
      </c>
      <c r="B2942" s="9" t="s">
        <v>6847</v>
      </c>
      <c r="C2942" s="9"/>
      <c r="D2942" s="9" t="s">
        <v>6742</v>
      </c>
      <c r="E2942" s="9" t="s">
        <v>1978</v>
      </c>
      <c r="F2942" s="9" t="s">
        <v>1979</v>
      </c>
      <c r="G2942" s="10" t="s">
        <v>6426</v>
      </c>
      <c r="H2942" s="9"/>
      <c r="I2942" s="9"/>
      <c r="J2942" s="9"/>
      <c r="K2942" s="9"/>
      <c r="L2942" s="9"/>
      <c r="M2942" s="9" t="s">
        <v>1980</v>
      </c>
      <c r="N2942" s="9"/>
      <c r="O2942" s="9" t="s">
        <v>1981</v>
      </c>
      <c r="P2942" s="9" t="str">
        <f>HYPERLINK("https://ceds.ed.gov/cedselementdetails.aspx?termid=14273")</f>
        <v>https://ceds.ed.gov/cedselementdetails.aspx?termid=14273</v>
      </c>
      <c r="Q2942" s="9" t="str">
        <f>HYPERLINK("https://ceds.ed.gov/elementComment.aspx?elementName=Course Honors Type &amp;elementID=14273", "Click here to submit comment")</f>
        <v>Click here to submit comment</v>
      </c>
    </row>
    <row r="2943" spans="1:17" ht="360" x14ac:dyDescent="0.25">
      <c r="A2943" s="9" t="s">
        <v>6878</v>
      </c>
      <c r="B2943" s="9" t="s">
        <v>6847</v>
      </c>
      <c r="C2943" s="9"/>
      <c r="D2943" s="9" t="s">
        <v>6742</v>
      </c>
      <c r="E2943" s="9" t="s">
        <v>1627</v>
      </c>
      <c r="F2943" s="9" t="s">
        <v>1628</v>
      </c>
      <c r="G2943" s="10" t="s">
        <v>6396</v>
      </c>
      <c r="H2943" s="9"/>
      <c r="I2943" s="9"/>
      <c r="J2943" s="9"/>
      <c r="K2943" s="9"/>
      <c r="L2943" s="9" t="s">
        <v>1629</v>
      </c>
      <c r="M2943" s="9" t="s">
        <v>1630</v>
      </c>
      <c r="N2943" s="9"/>
      <c r="O2943" s="9" t="s">
        <v>1631</v>
      </c>
      <c r="P2943" s="9" t="str">
        <f>HYPERLINK("https://ceds.ed.gov/cedselementdetails.aspx?termid=14254")</f>
        <v>https://ceds.ed.gov/cedselementdetails.aspx?termid=14254</v>
      </c>
      <c r="Q2943" s="9" t="str">
        <f>HYPERLINK("https://ceds.ed.gov/elementComment.aspx?elementName=Career Cluster &amp;elementID=14254", "Click here to submit comment")</f>
        <v>Click here to submit comment</v>
      </c>
    </row>
    <row r="2944" spans="1:17" ht="45" x14ac:dyDescent="0.25">
      <c r="A2944" s="9" t="s">
        <v>6878</v>
      </c>
      <c r="B2944" s="9" t="s">
        <v>6847</v>
      </c>
      <c r="C2944" s="9"/>
      <c r="D2944" s="9" t="s">
        <v>6742</v>
      </c>
      <c r="E2944" s="9" t="s">
        <v>1916</v>
      </c>
      <c r="F2944" s="9" t="s">
        <v>1917</v>
      </c>
      <c r="G2944" s="9" t="s">
        <v>6106</v>
      </c>
      <c r="H2944" s="9"/>
      <c r="I2944" s="9"/>
      <c r="J2944" s="9"/>
      <c r="K2944" s="9"/>
      <c r="L2944" s="9"/>
      <c r="M2944" s="9" t="s">
        <v>1918</v>
      </c>
      <c r="N2944" s="9"/>
      <c r="O2944" s="9" t="s">
        <v>1919</v>
      </c>
      <c r="P2944" s="9" t="str">
        <f>HYPERLINK("https://ceds.ed.gov/cedselementdetails.aspx?termid=13013")</f>
        <v>https://ceds.ed.gov/cedselementdetails.aspx?termid=13013</v>
      </c>
      <c r="Q2944" s="9" t="str">
        <f>HYPERLINK("https://ceds.ed.gov/elementComment.aspx?elementName=Course Aligned with Standards &amp;elementID=13013", "Click here to submit comment")</f>
        <v>Click here to submit comment</v>
      </c>
    </row>
    <row r="2945" spans="1:17" ht="45" x14ac:dyDescent="0.25">
      <c r="A2945" s="9" t="s">
        <v>6878</v>
      </c>
      <c r="B2945" s="9" t="s">
        <v>6847</v>
      </c>
      <c r="C2945" s="9"/>
      <c r="D2945" s="9" t="s">
        <v>6742</v>
      </c>
      <c r="E2945" s="9" t="s">
        <v>5452</v>
      </c>
      <c r="F2945" s="9" t="s">
        <v>5453</v>
      </c>
      <c r="G2945" s="9" t="s">
        <v>6106</v>
      </c>
      <c r="H2945" s="9"/>
      <c r="I2945" s="9"/>
      <c r="J2945" s="9"/>
      <c r="K2945" s="9"/>
      <c r="L2945" s="9"/>
      <c r="M2945" s="9" t="s">
        <v>5454</v>
      </c>
      <c r="N2945" s="9"/>
      <c r="O2945" s="9" t="s">
        <v>5455</v>
      </c>
      <c r="P2945" s="9" t="str">
        <f>HYPERLINK("https://ceds.ed.gov/cedselementdetails.aspx?termid=14238")</f>
        <v>https://ceds.ed.gov/cedselementdetails.aspx?termid=14238</v>
      </c>
      <c r="Q2945" s="9" t="str">
        <f>HYPERLINK("https://ceds.ed.gov/elementComment.aspx?elementName=Session Marking Term Indicator &amp;elementID=14238", "Click here to submit comment")</f>
        <v>Click here to submit comment</v>
      </c>
    </row>
    <row r="2946" spans="1:17" ht="45" x14ac:dyDescent="0.25">
      <c r="A2946" s="9" t="s">
        <v>6878</v>
      </c>
      <c r="B2946" s="9" t="s">
        <v>6847</v>
      </c>
      <c r="C2946" s="9"/>
      <c r="D2946" s="9" t="s">
        <v>6742</v>
      </c>
      <c r="E2946" s="9" t="s">
        <v>5456</v>
      </c>
      <c r="F2946" s="9" t="s">
        <v>5457</v>
      </c>
      <c r="G2946" s="9" t="s">
        <v>6106</v>
      </c>
      <c r="H2946" s="9"/>
      <c r="I2946" s="9"/>
      <c r="J2946" s="9"/>
      <c r="K2946" s="9"/>
      <c r="L2946" s="9"/>
      <c r="M2946" s="9" t="s">
        <v>5458</v>
      </c>
      <c r="N2946" s="9"/>
      <c r="O2946" s="9" t="s">
        <v>5459</v>
      </c>
      <c r="P2946" s="9" t="str">
        <f>HYPERLINK("https://ceds.ed.gov/cedselementdetails.aspx?termid=14239")</f>
        <v>https://ceds.ed.gov/cedselementdetails.aspx?termid=14239</v>
      </c>
      <c r="Q2946" s="9" t="str">
        <f>HYPERLINK("https://ceds.ed.gov/elementComment.aspx?elementName=Session Scheduling Term Indicator &amp;elementID=14239", "Click here to submit comment")</f>
        <v>Click here to submit comment</v>
      </c>
    </row>
    <row r="2947" spans="1:17" ht="45" x14ac:dyDescent="0.25">
      <c r="A2947" s="9" t="s">
        <v>6878</v>
      </c>
      <c r="B2947" s="9" t="s">
        <v>6847</v>
      </c>
      <c r="C2947" s="9"/>
      <c r="D2947" s="9" t="s">
        <v>6742</v>
      </c>
      <c r="E2947" s="9" t="s">
        <v>5424</v>
      </c>
      <c r="F2947" s="9" t="s">
        <v>5425</v>
      </c>
      <c r="G2947" s="9" t="s">
        <v>6106</v>
      </c>
      <c r="H2947" s="9"/>
      <c r="I2947" s="9"/>
      <c r="J2947" s="9"/>
      <c r="K2947" s="9"/>
      <c r="L2947" s="9"/>
      <c r="M2947" s="9" t="s">
        <v>5426</v>
      </c>
      <c r="N2947" s="9"/>
      <c r="O2947" s="9" t="s">
        <v>5427</v>
      </c>
      <c r="P2947" s="9" t="str">
        <f>HYPERLINK("https://ceds.ed.gov/cedselementdetails.aspx?termid=14240")</f>
        <v>https://ceds.ed.gov/cedselementdetails.aspx?termid=14240</v>
      </c>
      <c r="Q2947" s="9" t="str">
        <f>HYPERLINK("https://ceds.ed.gov/elementComment.aspx?elementName=Session Attendance Term Indicator &amp;elementID=14240", "Click here to submit comment")</f>
        <v>Click here to submit comment</v>
      </c>
    </row>
    <row r="2948" spans="1:17" ht="165" x14ac:dyDescent="0.25">
      <c r="A2948" s="9" t="s">
        <v>6878</v>
      </c>
      <c r="B2948" s="9" t="s">
        <v>6847</v>
      </c>
      <c r="C2948" s="9"/>
      <c r="D2948" s="9" t="s">
        <v>6742</v>
      </c>
      <c r="E2948" s="9" t="s">
        <v>12212</v>
      </c>
      <c r="F2948" s="9" t="s">
        <v>2082</v>
      </c>
      <c r="G2948" s="9" t="s">
        <v>12</v>
      </c>
      <c r="H2948" s="9" t="s">
        <v>2085</v>
      </c>
      <c r="I2948" s="9"/>
      <c r="J2948" s="9" t="s">
        <v>10489</v>
      </c>
      <c r="K2948" s="9"/>
      <c r="L2948" s="9"/>
      <c r="M2948" s="9" t="s">
        <v>2083</v>
      </c>
      <c r="N2948" s="9"/>
      <c r="O2948" s="9" t="s">
        <v>2084</v>
      </c>
      <c r="P2948" s="9" t="str">
        <f>HYPERLINK("https://ceds.ed.gov/cedselementdetails.aspx?termid=13101")</f>
        <v>https://ceds.ed.gov/cedselementdetails.aspx?termid=13101</v>
      </c>
      <c r="Q2948" s="9" t="str">
        <f>HYPERLINK("https://ceds.ed.gov/elementComment.aspx?elementName=Course Section Time Required for Completion &amp;elementID=13101", "Click here to submit comment")</f>
        <v>Click here to submit comment</v>
      </c>
    </row>
    <row r="2949" spans="1:17" ht="210" x14ac:dyDescent="0.25">
      <c r="A2949" s="9" t="s">
        <v>6878</v>
      </c>
      <c r="B2949" s="9" t="s">
        <v>6847</v>
      </c>
      <c r="C2949" s="9"/>
      <c r="D2949" s="9" t="s">
        <v>6742</v>
      </c>
      <c r="E2949" s="9" t="s">
        <v>2027</v>
      </c>
      <c r="F2949" s="9" t="s">
        <v>2028</v>
      </c>
      <c r="G2949" s="10" t="s">
        <v>6430</v>
      </c>
      <c r="H2949" s="9" t="s">
        <v>6109</v>
      </c>
      <c r="I2949" s="9"/>
      <c r="J2949" s="9"/>
      <c r="K2949" s="9"/>
      <c r="L2949" s="9"/>
      <c r="M2949" s="9" t="s">
        <v>2029</v>
      </c>
      <c r="N2949" s="9"/>
      <c r="O2949" s="9" t="s">
        <v>2030</v>
      </c>
      <c r="P2949" s="9" t="str">
        <f>HYPERLINK("https://ceds.ed.gov/cedselementdetails.aspx?termid=13065")</f>
        <v>https://ceds.ed.gov/cedselementdetails.aspx?termid=13065</v>
      </c>
      <c r="Q2949" s="9" t="str">
        <f>HYPERLINK("https://ceds.ed.gov/elementComment.aspx?elementName=Course Repeat Code &amp;elementID=13065", "Click here to submit comment")</f>
        <v>Click here to submit comment</v>
      </c>
    </row>
    <row r="2950" spans="1:17" ht="45" x14ac:dyDescent="0.25">
      <c r="A2950" s="9" t="s">
        <v>6878</v>
      </c>
      <c r="B2950" s="9" t="s">
        <v>6847</v>
      </c>
      <c r="C2950" s="9"/>
      <c r="D2950" s="9" t="s">
        <v>6742</v>
      </c>
      <c r="E2950" s="9" t="s">
        <v>1757</v>
      </c>
      <c r="F2950" s="9" t="s">
        <v>1758</v>
      </c>
      <c r="G2950" s="9" t="s">
        <v>12</v>
      </c>
      <c r="H2950" s="9" t="s">
        <v>6167</v>
      </c>
      <c r="I2950" s="9"/>
      <c r="J2950" s="9" t="s">
        <v>406</v>
      </c>
      <c r="K2950" s="9"/>
      <c r="L2950" s="9"/>
      <c r="M2950" s="9" t="s">
        <v>1759</v>
      </c>
      <c r="N2950" s="9"/>
      <c r="O2950" s="9" t="s">
        <v>1760</v>
      </c>
      <c r="P2950" s="9" t="str">
        <f>HYPERLINK("https://ceds.ed.gov/cedselementdetails.aspx?termid=13510")</f>
        <v>https://ceds.ed.gov/cedselementdetails.aspx?termid=13510</v>
      </c>
      <c r="Q2950" s="9" t="str">
        <f>HYPERLINK("https://ceds.ed.gov/elementComment.aspx?elementName=Class Beginning Time &amp;elementID=13510", "Click here to submit comment")</f>
        <v>Click here to submit comment</v>
      </c>
    </row>
    <row r="2951" spans="1:17" ht="45" x14ac:dyDescent="0.25">
      <c r="A2951" s="9" t="s">
        <v>6878</v>
      </c>
      <c r="B2951" s="9" t="s">
        <v>6847</v>
      </c>
      <c r="C2951" s="9"/>
      <c r="D2951" s="9" t="s">
        <v>6742</v>
      </c>
      <c r="E2951" s="9" t="s">
        <v>1761</v>
      </c>
      <c r="F2951" s="9" t="s">
        <v>1762</v>
      </c>
      <c r="G2951" s="9" t="s">
        <v>12</v>
      </c>
      <c r="H2951" s="9" t="s">
        <v>6167</v>
      </c>
      <c r="I2951" s="9"/>
      <c r="J2951" s="9" t="s">
        <v>406</v>
      </c>
      <c r="K2951" s="9"/>
      <c r="L2951" s="9"/>
      <c r="M2951" s="9" t="s">
        <v>1763</v>
      </c>
      <c r="N2951" s="9"/>
      <c r="O2951" s="9" t="s">
        <v>1764</v>
      </c>
      <c r="P2951" s="9" t="str">
        <f>HYPERLINK("https://ceds.ed.gov/cedselementdetails.aspx?termid=13511")</f>
        <v>https://ceds.ed.gov/cedselementdetails.aspx?termid=13511</v>
      </c>
      <c r="Q2951" s="9" t="str">
        <f>HYPERLINK("https://ceds.ed.gov/elementComment.aspx?elementName=Class Ending Time &amp;elementID=13511", "Click here to submit comment")</f>
        <v>Click here to submit comment</v>
      </c>
    </row>
    <row r="2952" spans="1:17" ht="60" x14ac:dyDescent="0.25">
      <c r="A2952" s="9" t="s">
        <v>6878</v>
      </c>
      <c r="B2952" s="9" t="s">
        <v>6847</v>
      </c>
      <c r="C2952" s="9"/>
      <c r="D2952" s="9" t="s">
        <v>6742</v>
      </c>
      <c r="E2952" s="9" t="s">
        <v>1765</v>
      </c>
      <c r="F2952" s="9" t="s">
        <v>1766</v>
      </c>
      <c r="G2952" s="9" t="s">
        <v>12</v>
      </c>
      <c r="H2952" s="9"/>
      <c r="I2952" s="9"/>
      <c r="J2952" s="9" t="s">
        <v>92</v>
      </c>
      <c r="K2952" s="9"/>
      <c r="L2952" s="9"/>
      <c r="M2952" s="9" t="s">
        <v>1767</v>
      </c>
      <c r="N2952" s="9"/>
      <c r="O2952" s="9" t="s">
        <v>1768</v>
      </c>
      <c r="P2952" s="9" t="str">
        <f>HYPERLINK("https://ceds.ed.gov/cedselementdetails.aspx?termid=13512")</f>
        <v>https://ceds.ed.gov/cedselementdetails.aspx?termid=13512</v>
      </c>
      <c r="Q2952" s="9" t="str">
        <f>HYPERLINK("https://ceds.ed.gov/elementComment.aspx?elementName=Class Meeting Days &amp;elementID=13512", "Click here to submit comment")</f>
        <v>Click here to submit comment</v>
      </c>
    </row>
    <row r="2953" spans="1:17" ht="75" x14ac:dyDescent="0.25">
      <c r="A2953" s="9" t="s">
        <v>6878</v>
      </c>
      <c r="B2953" s="9" t="s">
        <v>6847</v>
      </c>
      <c r="C2953" s="9"/>
      <c r="D2953" s="9" t="s">
        <v>6742</v>
      </c>
      <c r="E2953" s="9" t="s">
        <v>1769</v>
      </c>
      <c r="F2953" s="9" t="s">
        <v>1770</v>
      </c>
      <c r="G2953" s="9" t="s">
        <v>12</v>
      </c>
      <c r="H2953" s="9"/>
      <c r="I2953" s="9"/>
      <c r="J2953" s="9" t="s">
        <v>87</v>
      </c>
      <c r="K2953" s="9"/>
      <c r="L2953" s="9"/>
      <c r="M2953" s="9" t="s">
        <v>1771</v>
      </c>
      <c r="N2953" s="9"/>
      <c r="O2953" s="9" t="s">
        <v>1772</v>
      </c>
      <c r="P2953" s="9" t="str">
        <f>HYPERLINK("https://ceds.ed.gov/cedselementdetails.aspx?termid=13513")</f>
        <v>https://ceds.ed.gov/cedselementdetails.aspx?termid=13513</v>
      </c>
      <c r="Q2953" s="9" t="str">
        <f>HYPERLINK("https://ceds.ed.gov/elementComment.aspx?elementName=Class Period &amp;elementID=13513", "Click here to submit comment")</f>
        <v>Click here to submit comment</v>
      </c>
    </row>
    <row r="2954" spans="1:17" ht="105" x14ac:dyDescent="0.25">
      <c r="A2954" s="18" t="s">
        <v>6878</v>
      </c>
      <c r="B2954" s="18" t="s">
        <v>6847</v>
      </c>
      <c r="C2954" s="18"/>
      <c r="D2954" s="18" t="s">
        <v>6742</v>
      </c>
      <c r="E2954" s="18" t="s">
        <v>5870</v>
      </c>
      <c r="F2954" s="18" t="s">
        <v>5871</v>
      </c>
      <c r="G2954" s="18" t="s">
        <v>12</v>
      </c>
      <c r="H2954" s="18"/>
      <c r="I2954" s="18"/>
      <c r="J2954" s="18" t="s">
        <v>119</v>
      </c>
      <c r="K2954" s="18"/>
      <c r="L2954" s="9" t="s">
        <v>120</v>
      </c>
      <c r="M2954" s="18" t="s">
        <v>5872</v>
      </c>
      <c r="N2954" s="18"/>
      <c r="O2954" s="18" t="s">
        <v>5873</v>
      </c>
      <c r="P2954" s="18" t="str">
        <f>HYPERLINK("https://ceds.ed.gov/cedselementdetails.aspx?termid=13514")</f>
        <v>https://ceds.ed.gov/cedselementdetails.aspx?termid=13514</v>
      </c>
      <c r="Q2954" s="18" t="str">
        <f>HYPERLINK("https://ceds.ed.gov/elementComment.aspx?elementName=Timetable Day Identifier &amp;elementID=13514", "Click here to submit comment")</f>
        <v>Click here to submit comment</v>
      </c>
    </row>
    <row r="2955" spans="1:17" x14ac:dyDescent="0.25">
      <c r="A2955" s="18"/>
      <c r="B2955" s="18"/>
      <c r="C2955" s="18"/>
      <c r="D2955" s="18"/>
      <c r="E2955" s="18"/>
      <c r="F2955" s="18"/>
      <c r="G2955" s="18"/>
      <c r="H2955" s="18"/>
      <c r="I2955" s="18"/>
      <c r="J2955" s="18"/>
      <c r="K2955" s="18"/>
      <c r="L2955" s="9"/>
      <c r="M2955" s="18"/>
      <c r="N2955" s="18"/>
      <c r="O2955" s="18"/>
      <c r="P2955" s="18"/>
      <c r="Q2955" s="18"/>
    </row>
    <row r="2956" spans="1:17" ht="90" x14ac:dyDescent="0.25">
      <c r="A2956" s="18"/>
      <c r="B2956" s="18"/>
      <c r="C2956" s="18"/>
      <c r="D2956" s="18"/>
      <c r="E2956" s="18"/>
      <c r="F2956" s="18"/>
      <c r="G2956" s="18"/>
      <c r="H2956" s="18"/>
      <c r="I2956" s="18"/>
      <c r="J2956" s="18"/>
      <c r="K2956" s="18"/>
      <c r="L2956" s="9" t="s">
        <v>121</v>
      </c>
      <c r="M2956" s="18"/>
      <c r="N2956" s="18"/>
      <c r="O2956" s="18"/>
      <c r="P2956" s="18"/>
      <c r="Q2956" s="18"/>
    </row>
    <row r="2957" spans="1:17" ht="45" x14ac:dyDescent="0.25">
      <c r="A2957" s="9" t="s">
        <v>6878</v>
      </c>
      <c r="B2957" s="9" t="s">
        <v>6847</v>
      </c>
      <c r="C2957" s="9"/>
      <c r="D2957" s="9" t="s">
        <v>6742</v>
      </c>
      <c r="E2957" s="9" t="s">
        <v>2070</v>
      </c>
      <c r="F2957" s="9" t="s">
        <v>2071</v>
      </c>
      <c r="G2957" s="9" t="s">
        <v>12</v>
      </c>
      <c r="H2957" s="9"/>
      <c r="I2957" s="9"/>
      <c r="J2957" s="9" t="s">
        <v>10489</v>
      </c>
      <c r="K2957" s="9"/>
      <c r="L2957" s="9"/>
      <c r="M2957" s="9" t="s">
        <v>2072</v>
      </c>
      <c r="N2957" s="9"/>
      <c r="O2957" s="9" t="s">
        <v>2073</v>
      </c>
      <c r="P2957" s="9" t="str">
        <f>HYPERLINK("https://ceds.ed.gov/cedselementdetails.aspx?termid=14636")</f>
        <v>https://ceds.ed.gov/cedselementdetails.aspx?termid=14636</v>
      </c>
      <c r="Q2957" s="9" t="str">
        <f>HYPERLINK("https://ceds.ed.gov/elementComment.aspx?elementName=Course Section Maximum Capacity &amp;elementID=14636", "Click here to submit comment")</f>
        <v>Click here to submit comment</v>
      </c>
    </row>
    <row r="2958" spans="1:17" ht="409.5" x14ac:dyDescent="0.25">
      <c r="A2958" s="9" t="s">
        <v>6878</v>
      </c>
      <c r="B2958" s="9" t="s">
        <v>6847</v>
      </c>
      <c r="C2958" s="9"/>
      <c r="D2958" s="9" t="s">
        <v>6742</v>
      </c>
      <c r="E2958" s="9" t="s">
        <v>1986</v>
      </c>
      <c r="F2958" s="9" t="s">
        <v>1987</v>
      </c>
      <c r="G2958" s="10" t="s">
        <v>6427</v>
      </c>
      <c r="H2958" s="9"/>
      <c r="I2958" s="9"/>
      <c r="J2958" s="9"/>
      <c r="K2958" s="9"/>
      <c r="L2958" s="9"/>
      <c r="M2958" s="9" t="s">
        <v>1988</v>
      </c>
      <c r="N2958" s="9"/>
      <c r="O2958" s="9" t="s">
        <v>1989</v>
      </c>
      <c r="P2958" s="9" t="str">
        <f>HYPERLINK("https://ceds.ed.gov/cedselementdetails.aspx?termid=14274")</f>
        <v>https://ceds.ed.gov/cedselementdetails.aspx?termid=14274</v>
      </c>
      <c r="Q2958" s="9" t="str">
        <f>HYPERLINK("https://ceds.ed.gov/elementComment.aspx?elementName=Course Instruction Method &amp;elementID=14274", "Click here to submit comment")</f>
        <v>Click here to submit comment</v>
      </c>
    </row>
    <row r="2959" spans="1:17" ht="90" x14ac:dyDescent="0.25">
      <c r="A2959" s="9" t="s">
        <v>6878</v>
      </c>
      <c r="B2959" s="9" t="s">
        <v>6847</v>
      </c>
      <c r="C2959" s="9"/>
      <c r="D2959" s="9" t="s">
        <v>6742</v>
      </c>
      <c r="E2959" s="9" t="s">
        <v>3458</v>
      </c>
      <c r="F2959" s="9" t="s">
        <v>3459</v>
      </c>
      <c r="G2959" s="11" t="s">
        <v>966</v>
      </c>
      <c r="H2959" s="9" t="s">
        <v>188</v>
      </c>
      <c r="I2959" s="9"/>
      <c r="J2959" s="9"/>
      <c r="K2959" s="9"/>
      <c r="L2959" s="11" t="s">
        <v>967</v>
      </c>
      <c r="M2959" s="9" t="s">
        <v>3460</v>
      </c>
      <c r="N2959" s="9"/>
      <c r="O2959" s="9" t="s">
        <v>3461</v>
      </c>
      <c r="P2959" s="9" t="str">
        <f>HYPERLINK("https://ceds.ed.gov/cedselementdetails.aspx?termid=13438")</f>
        <v>https://ceds.ed.gov/cedselementdetails.aspx?termid=13438</v>
      </c>
      <c r="Q2959" s="9" t="str">
        <f>HYPERLINK("https://ceds.ed.gov/elementComment.aspx?elementName=Instruction Language &amp;elementID=13438", "Click here to submit comment")</f>
        <v>Click here to submit comment</v>
      </c>
    </row>
    <row r="2960" spans="1:17" ht="105" x14ac:dyDescent="0.25">
      <c r="A2960" s="18" t="s">
        <v>6878</v>
      </c>
      <c r="B2960" s="18" t="s">
        <v>6847</v>
      </c>
      <c r="C2960" s="18"/>
      <c r="D2960" s="18" t="s">
        <v>6742</v>
      </c>
      <c r="E2960" s="18" t="s">
        <v>1794</v>
      </c>
      <c r="F2960" s="18" t="s">
        <v>1795</v>
      </c>
      <c r="G2960" s="18" t="s">
        <v>12</v>
      </c>
      <c r="H2960" s="18"/>
      <c r="I2960" s="18"/>
      <c r="J2960" s="18" t="s">
        <v>119</v>
      </c>
      <c r="K2960" s="18"/>
      <c r="L2960" s="9" t="s">
        <v>120</v>
      </c>
      <c r="M2960" s="18" t="s">
        <v>1796</v>
      </c>
      <c r="N2960" s="18"/>
      <c r="O2960" s="18" t="s">
        <v>1797</v>
      </c>
      <c r="P2960" s="18" t="str">
        <f>HYPERLINK("https://ceds.ed.gov/cedselementdetails.aspx?termid=13507")</f>
        <v>https://ceds.ed.gov/cedselementdetails.aspx?termid=13507</v>
      </c>
      <c r="Q2960" s="18" t="str">
        <f>HYPERLINK("https://ceds.ed.gov/elementComment.aspx?elementName=Classroom Identifier &amp;elementID=13507", "Click here to submit comment")</f>
        <v>Click here to submit comment</v>
      </c>
    </row>
    <row r="2961" spans="1:17" x14ac:dyDescent="0.25">
      <c r="A2961" s="18"/>
      <c r="B2961" s="18"/>
      <c r="C2961" s="18"/>
      <c r="D2961" s="18"/>
      <c r="E2961" s="18"/>
      <c r="F2961" s="18"/>
      <c r="G2961" s="18"/>
      <c r="H2961" s="18"/>
      <c r="I2961" s="18"/>
      <c r="J2961" s="18"/>
      <c r="K2961" s="18"/>
      <c r="L2961" s="9"/>
      <c r="M2961" s="18"/>
      <c r="N2961" s="18"/>
      <c r="O2961" s="18"/>
      <c r="P2961" s="18"/>
      <c r="Q2961" s="18"/>
    </row>
    <row r="2962" spans="1:17" ht="90" x14ac:dyDescent="0.25">
      <c r="A2962" s="18"/>
      <c r="B2962" s="18"/>
      <c r="C2962" s="18"/>
      <c r="D2962" s="18"/>
      <c r="E2962" s="18"/>
      <c r="F2962" s="18"/>
      <c r="G2962" s="18"/>
      <c r="H2962" s="18"/>
      <c r="I2962" s="18"/>
      <c r="J2962" s="18"/>
      <c r="K2962" s="18"/>
      <c r="L2962" s="9" t="s">
        <v>121</v>
      </c>
      <c r="M2962" s="18"/>
      <c r="N2962" s="18"/>
      <c r="O2962" s="18"/>
      <c r="P2962" s="18"/>
      <c r="Q2962" s="18"/>
    </row>
    <row r="2963" spans="1:17" ht="180" x14ac:dyDescent="0.25">
      <c r="A2963" s="9" t="s">
        <v>6878</v>
      </c>
      <c r="B2963" s="9" t="s">
        <v>6847</v>
      </c>
      <c r="C2963" s="9"/>
      <c r="D2963" s="9" t="s">
        <v>6742</v>
      </c>
      <c r="E2963" s="9" t="s">
        <v>5089</v>
      </c>
      <c r="F2963" s="9" t="s">
        <v>5090</v>
      </c>
      <c r="G2963" s="10" t="s">
        <v>6676</v>
      </c>
      <c r="H2963" s="9"/>
      <c r="I2963" s="9"/>
      <c r="J2963" s="9"/>
      <c r="K2963" s="9"/>
      <c r="L2963" s="9"/>
      <c r="M2963" s="9" t="s">
        <v>5091</v>
      </c>
      <c r="N2963" s="9"/>
      <c r="O2963" s="9" t="s">
        <v>5092</v>
      </c>
      <c r="P2963" s="9" t="str">
        <f>HYPERLINK("https://ceds.ed.gov/cedselementdetails.aspx?termid=13515")</f>
        <v>https://ceds.ed.gov/cedselementdetails.aspx?termid=13515</v>
      </c>
      <c r="Q2963" s="9" t="str">
        <f>HYPERLINK("https://ceds.ed.gov/elementComment.aspx?elementName=Receiving Location of Instruction &amp;elementID=13515", "Click here to submit comment")</f>
        <v>Click here to submit comment</v>
      </c>
    </row>
    <row r="2964" spans="1:17" ht="45" x14ac:dyDescent="0.25">
      <c r="A2964" s="9" t="s">
        <v>6878</v>
      </c>
      <c r="B2964" s="9" t="s">
        <v>6847</v>
      </c>
      <c r="C2964" s="9"/>
      <c r="D2964" s="9" t="s">
        <v>6742</v>
      </c>
      <c r="E2964" s="9" t="s">
        <v>1990</v>
      </c>
      <c r="F2964" s="9" t="s">
        <v>1991</v>
      </c>
      <c r="G2964" s="9" t="s">
        <v>12</v>
      </c>
      <c r="H2964" s="9"/>
      <c r="I2964" s="9"/>
      <c r="J2964" s="9" t="s">
        <v>92</v>
      </c>
      <c r="K2964" s="9"/>
      <c r="L2964" s="9"/>
      <c r="M2964" s="9" t="s">
        <v>1992</v>
      </c>
      <c r="N2964" s="9"/>
      <c r="O2964" s="9" t="s">
        <v>1993</v>
      </c>
      <c r="P2964" s="9" t="str">
        <f>HYPERLINK("https://ceds.ed.gov/cedselementdetails.aspx?termid=14275")</f>
        <v>https://ceds.ed.gov/cedselementdetails.aspx?termid=14275</v>
      </c>
      <c r="Q2964" s="9" t="str">
        <f>HYPERLINK("https://ceds.ed.gov/elementComment.aspx?elementName=Course Instruction Site Name &amp;elementID=14275", "Click here to submit comment")</f>
        <v>Click here to submit comment</v>
      </c>
    </row>
    <row r="2965" spans="1:17" ht="180" x14ac:dyDescent="0.25">
      <c r="A2965" s="9" t="s">
        <v>6878</v>
      </c>
      <c r="B2965" s="9" t="s">
        <v>6847</v>
      </c>
      <c r="C2965" s="9"/>
      <c r="D2965" s="9" t="s">
        <v>6742</v>
      </c>
      <c r="E2965" s="9" t="s">
        <v>1994</v>
      </c>
      <c r="F2965" s="9" t="s">
        <v>1995</v>
      </c>
      <c r="G2965" s="10" t="s">
        <v>6428</v>
      </c>
      <c r="H2965" s="9"/>
      <c r="I2965" s="9"/>
      <c r="J2965" s="9"/>
      <c r="K2965" s="9"/>
      <c r="L2965" s="9"/>
      <c r="M2965" s="9" t="s">
        <v>1996</v>
      </c>
      <c r="N2965" s="9"/>
      <c r="O2965" s="9" t="s">
        <v>1997</v>
      </c>
      <c r="P2965" s="9" t="str">
        <f>HYPERLINK("https://ceds.ed.gov/cedselementdetails.aspx?termid=14276")</f>
        <v>https://ceds.ed.gov/cedselementdetails.aspx?termid=14276</v>
      </c>
      <c r="Q2965" s="9" t="str">
        <f>HYPERLINK("https://ceds.ed.gov/elementComment.aspx?elementName=Course Instruction Site Type &amp;elementID=14276", "Click here to submit comment")</f>
        <v>Click here to submit comment</v>
      </c>
    </row>
    <row r="2966" spans="1:17" ht="270" x14ac:dyDescent="0.25">
      <c r="A2966" s="9" t="s">
        <v>6878</v>
      </c>
      <c r="B2966" s="9" t="s">
        <v>6847</v>
      </c>
      <c r="C2966" s="9"/>
      <c r="D2966" s="9" t="s">
        <v>6742</v>
      </c>
      <c r="E2966" s="9" t="s">
        <v>1798</v>
      </c>
      <c r="F2966" s="9" t="s">
        <v>1799</v>
      </c>
      <c r="G2966" s="10" t="s">
        <v>6409</v>
      </c>
      <c r="H2966" s="9"/>
      <c r="I2966" s="9"/>
      <c r="J2966" s="9"/>
      <c r="K2966" s="9"/>
      <c r="L2966" s="9"/>
      <c r="M2966" s="9" t="s">
        <v>1800</v>
      </c>
      <c r="N2966" s="9"/>
      <c r="O2966" s="9" t="s">
        <v>1801</v>
      </c>
      <c r="P2966" s="9" t="str">
        <f>HYPERLINK("https://ceds.ed.gov/cedselementdetails.aspx?termid=13615")</f>
        <v>https://ceds.ed.gov/cedselementdetails.aspx?termid=13615</v>
      </c>
      <c r="Q2966" s="9" t="str">
        <f>HYPERLINK("https://ceds.ed.gov/elementComment.aspx?elementName=Classroom Position Type &amp;elementID=13615", "Click here to submit comment")</f>
        <v>Click here to submit comment</v>
      </c>
    </row>
    <row r="2967" spans="1:17" ht="105" x14ac:dyDescent="0.25">
      <c r="A2967" s="9" t="s">
        <v>6878</v>
      </c>
      <c r="B2967" s="9" t="s">
        <v>6847</v>
      </c>
      <c r="C2967" s="9"/>
      <c r="D2967" s="9" t="s">
        <v>6742</v>
      </c>
      <c r="E2967" s="9" t="s">
        <v>6024</v>
      </c>
      <c r="F2967" s="9" t="s">
        <v>6025</v>
      </c>
      <c r="G2967" s="9" t="s">
        <v>6106</v>
      </c>
      <c r="H2967" s="9"/>
      <c r="I2967" s="9"/>
      <c r="J2967" s="9"/>
      <c r="K2967" s="9"/>
      <c r="L2967" s="9"/>
      <c r="M2967" s="9" t="s">
        <v>6026</v>
      </c>
      <c r="N2967" s="9"/>
      <c r="O2967" s="9" t="s">
        <v>6027</v>
      </c>
      <c r="P2967" s="9" t="str">
        <f>HYPERLINK("https://ceds.ed.gov/cedselementdetails.aspx?termid=14167")</f>
        <v>https://ceds.ed.gov/cedselementdetails.aspx?termid=14167</v>
      </c>
      <c r="Q2967" s="9" t="str">
        <f>HYPERLINK("https://ceds.ed.gov/elementComment.aspx?elementName=Virtual Indicator &amp;elementID=14167", "Click here to submit comment")</f>
        <v>Click here to submit comment</v>
      </c>
    </row>
    <row r="2968" spans="1:17" ht="150" x14ac:dyDescent="0.25">
      <c r="A2968" s="9" t="s">
        <v>6878</v>
      </c>
      <c r="B2968" s="9" t="s">
        <v>6847</v>
      </c>
      <c r="C2968" s="9"/>
      <c r="D2968" s="9" t="s">
        <v>6742</v>
      </c>
      <c r="E2968" s="9" t="s">
        <v>2066</v>
      </c>
      <c r="F2968" s="9" t="s">
        <v>2067</v>
      </c>
      <c r="G2968" s="10" t="s">
        <v>6434</v>
      </c>
      <c r="H2968" s="9"/>
      <c r="I2968" s="9"/>
      <c r="J2968" s="9"/>
      <c r="K2968" s="9"/>
      <c r="L2968" s="9"/>
      <c r="M2968" s="9" t="s">
        <v>2068</v>
      </c>
      <c r="N2968" s="9"/>
      <c r="O2968" s="9" t="s">
        <v>2069</v>
      </c>
      <c r="P2968" s="9" t="str">
        <f>HYPERLINK("https://ceds.ed.gov/cedselementdetails.aspx?termid=14168")</f>
        <v>https://ceds.ed.gov/cedselementdetails.aspx?termid=14168</v>
      </c>
      <c r="Q2968" s="9" t="str">
        <f>HYPERLINK("https://ceds.ed.gov/elementComment.aspx?elementName=Course Section Instructional Delivery Mode &amp;elementID=14168", "Click here to submit comment")</f>
        <v>Click here to submit comment</v>
      </c>
    </row>
    <row r="2969" spans="1:17" ht="105" customHeight="1" x14ac:dyDescent="0.25">
      <c r="A2969" s="18" t="s">
        <v>6878</v>
      </c>
      <c r="B2969" s="18" t="s">
        <v>6847</v>
      </c>
      <c r="C2969" s="18"/>
      <c r="D2969" s="18" t="s">
        <v>6742</v>
      </c>
      <c r="E2969" s="18" t="s">
        <v>1542</v>
      </c>
      <c r="F2969" s="18" t="s">
        <v>1543</v>
      </c>
      <c r="G2969" s="19" t="s">
        <v>6393</v>
      </c>
      <c r="H2969" s="18"/>
      <c r="I2969" s="18"/>
      <c r="J2969" s="18"/>
      <c r="K2969" s="18"/>
      <c r="L2969" s="9" t="s">
        <v>1544</v>
      </c>
      <c r="M2969" s="18" t="s">
        <v>1546</v>
      </c>
      <c r="N2969" s="18"/>
      <c r="O2969" s="18" t="s">
        <v>1547</v>
      </c>
      <c r="P2969" s="18" t="str">
        <f>HYPERLINK("https://ceds.ed.gov/cedselementdetails.aspx?termid=14253")</f>
        <v>https://ceds.ed.gov/cedselementdetails.aspx?termid=14253</v>
      </c>
      <c r="Q2969" s="18" t="str">
        <f>HYPERLINK("https://ceds.ed.gov/elementComment.aspx?elementName=Blended Learning Model Type &amp;elementID=14253", "Click here to submit comment")</f>
        <v>Click here to submit comment</v>
      </c>
    </row>
    <row r="2970" spans="1:17" x14ac:dyDescent="0.25">
      <c r="A2970" s="18"/>
      <c r="B2970" s="18"/>
      <c r="C2970" s="18"/>
      <c r="D2970" s="18"/>
      <c r="E2970" s="18"/>
      <c r="F2970" s="18"/>
      <c r="G2970" s="18"/>
      <c r="H2970" s="18"/>
      <c r="I2970" s="18"/>
      <c r="J2970" s="18"/>
      <c r="K2970" s="18"/>
      <c r="L2970" s="9"/>
      <c r="M2970" s="18"/>
      <c r="N2970" s="18"/>
      <c r="O2970" s="18"/>
      <c r="P2970" s="18"/>
      <c r="Q2970" s="18"/>
    </row>
    <row r="2971" spans="1:17" ht="45" x14ac:dyDescent="0.25">
      <c r="A2971" s="18"/>
      <c r="B2971" s="18"/>
      <c r="C2971" s="18"/>
      <c r="D2971" s="18"/>
      <c r="E2971" s="18"/>
      <c r="F2971" s="18"/>
      <c r="G2971" s="18"/>
      <c r="H2971" s="18"/>
      <c r="I2971" s="18"/>
      <c r="J2971" s="18"/>
      <c r="K2971" s="18"/>
      <c r="L2971" s="9" t="s">
        <v>1545</v>
      </c>
      <c r="M2971" s="18"/>
      <c r="N2971" s="18"/>
      <c r="O2971" s="18"/>
      <c r="P2971" s="18"/>
      <c r="Q2971" s="18"/>
    </row>
    <row r="2972" spans="1:17" ht="45" x14ac:dyDescent="0.25">
      <c r="A2972" s="9" t="s">
        <v>6878</v>
      </c>
      <c r="B2972" s="9" t="s">
        <v>6847</v>
      </c>
      <c r="C2972" s="9"/>
      <c r="D2972" s="9" t="s">
        <v>6742</v>
      </c>
      <c r="E2972" s="9" t="s">
        <v>1998</v>
      </c>
      <c r="F2972" s="9" t="s">
        <v>1999</v>
      </c>
      <c r="G2972" s="10" t="s">
        <v>6429</v>
      </c>
      <c r="H2972" s="9"/>
      <c r="I2972" s="9"/>
      <c r="J2972" s="9"/>
      <c r="K2972" s="9"/>
      <c r="L2972" s="9" t="s">
        <v>2000</v>
      </c>
      <c r="M2972" s="9" t="s">
        <v>2001</v>
      </c>
      <c r="N2972" s="9"/>
      <c r="O2972" s="9" t="s">
        <v>2002</v>
      </c>
      <c r="P2972" s="9" t="str">
        <f>HYPERLINK("https://ceds.ed.gov/cedselementdetails.aspx?termid=14277")</f>
        <v>https://ceds.ed.gov/cedselementdetails.aspx?termid=14277</v>
      </c>
      <c r="Q2972" s="9" t="str">
        <f>HYPERLINK("https://ceds.ed.gov/elementComment.aspx?elementName=Course Interaction Mode &amp;elementID=14277", "Click here to submit comment")</f>
        <v>Click here to submit comment</v>
      </c>
    </row>
    <row r="2973" spans="1:17" ht="240" x14ac:dyDescent="0.25">
      <c r="A2973" s="9" t="s">
        <v>6878</v>
      </c>
      <c r="B2973" s="9" t="s">
        <v>6847</v>
      </c>
      <c r="C2973" s="9"/>
      <c r="D2973" s="9" t="s">
        <v>6742</v>
      </c>
      <c r="E2973" s="9" t="s">
        <v>6080</v>
      </c>
      <c r="F2973" s="9" t="s">
        <v>6081</v>
      </c>
      <c r="G2973" s="10" t="s">
        <v>6737</v>
      </c>
      <c r="H2973" s="9"/>
      <c r="I2973" s="9"/>
      <c r="J2973" s="9"/>
      <c r="K2973" s="9"/>
      <c r="L2973" s="9"/>
      <c r="M2973" s="9" t="s">
        <v>6082</v>
      </c>
      <c r="N2973" s="9"/>
      <c r="O2973" s="9" t="s">
        <v>6083</v>
      </c>
      <c r="P2973" s="9" t="str">
        <f>HYPERLINK("https://ceds.ed.gov/cedselementdetails.aspx?termid=14471")</f>
        <v>https://ceds.ed.gov/cedselementdetails.aspx?termid=14471</v>
      </c>
      <c r="Q2973" s="9" t="str">
        <f>HYPERLINK("https://ceds.ed.gov/elementComment.aspx?elementName=Work-based Learning Opportunity Type &amp;elementID=14471", "Click here to submit comment")</f>
        <v>Click here to submit comment</v>
      </c>
    </row>
    <row r="2974" spans="1:17" ht="60" x14ac:dyDescent="0.25">
      <c r="A2974" s="9" t="s">
        <v>6878</v>
      </c>
      <c r="B2974" s="9" t="s">
        <v>6847</v>
      </c>
      <c r="C2974" s="9"/>
      <c r="D2974" s="9" t="s">
        <v>6742</v>
      </c>
      <c r="E2974" s="9" t="s">
        <v>2078</v>
      </c>
      <c r="F2974" s="9" t="s">
        <v>2079</v>
      </c>
      <c r="G2974" s="10" t="s">
        <v>6435</v>
      </c>
      <c r="H2974" s="9" t="s">
        <v>6179</v>
      </c>
      <c r="I2974" s="9"/>
      <c r="J2974" s="9"/>
      <c r="K2974" s="9"/>
      <c r="L2974" s="9"/>
      <c r="M2974" s="9" t="s">
        <v>2080</v>
      </c>
      <c r="N2974" s="9"/>
      <c r="O2974" s="9" t="s">
        <v>2081</v>
      </c>
      <c r="P2974" s="9" t="str">
        <f>HYPERLINK("https://ceds.ed.gov/cedselementdetails.aspx?termid=13258")</f>
        <v>https://ceds.ed.gov/cedselementdetails.aspx?termid=13258</v>
      </c>
      <c r="Q2974" s="9" t="str">
        <f>HYPERLINK("https://ceds.ed.gov/elementComment.aspx?elementName=Course Section Single Sex Class Status &amp;elementID=13258", "Click here to submit comment")</f>
        <v>Click here to submit comment</v>
      </c>
    </row>
    <row r="2975" spans="1:17" ht="75" x14ac:dyDescent="0.25">
      <c r="A2975" s="9" t="s">
        <v>6878</v>
      </c>
      <c r="B2975" s="9" t="s">
        <v>6847</v>
      </c>
      <c r="C2975" s="9"/>
      <c r="D2975" s="9" t="s">
        <v>6742</v>
      </c>
      <c r="E2975" s="9" t="s">
        <v>0</v>
      </c>
      <c r="F2975" s="9" t="s">
        <v>1</v>
      </c>
      <c r="G2975" s="9" t="s">
        <v>6106</v>
      </c>
      <c r="H2975" s="9" t="s">
        <v>4</v>
      </c>
      <c r="I2975" s="9"/>
      <c r="J2975" s="9"/>
      <c r="K2975" s="9"/>
      <c r="L2975" s="9"/>
      <c r="M2975" s="9" t="s">
        <v>2</v>
      </c>
      <c r="N2975" s="9"/>
      <c r="O2975" s="9" t="s">
        <v>3</v>
      </c>
      <c r="P2975" s="9" t="str">
        <f>HYPERLINK("https://ceds.ed.gov/cedselementdetails.aspx?termid=13000")</f>
        <v>https://ceds.ed.gov/cedselementdetails.aspx?termid=13000</v>
      </c>
      <c r="Q2975" s="9" t="str">
        <f>HYPERLINK("https://ceds.ed.gov/elementComment.aspx?elementName=Ability Grouping Status &amp;elementID=13000", "Click here to submit comment")</f>
        <v>Click here to submit comment</v>
      </c>
    </row>
    <row r="2976" spans="1:17" ht="120" x14ac:dyDescent="0.25">
      <c r="A2976" s="9" t="s">
        <v>6878</v>
      </c>
      <c r="B2976" s="9" t="s">
        <v>6847</v>
      </c>
      <c r="C2976" s="9"/>
      <c r="D2976" s="9" t="s">
        <v>6742</v>
      </c>
      <c r="E2976" s="9" t="s">
        <v>1973</v>
      </c>
      <c r="F2976" s="9" t="s">
        <v>1974</v>
      </c>
      <c r="G2976" s="10" t="s">
        <v>6425</v>
      </c>
      <c r="H2976" s="9" t="s">
        <v>6150</v>
      </c>
      <c r="I2976" s="9"/>
      <c r="J2976" s="9"/>
      <c r="K2976" s="9"/>
      <c r="L2976" s="9"/>
      <c r="M2976" s="9" t="s">
        <v>1975</v>
      </c>
      <c r="N2976" s="9" t="s">
        <v>1976</v>
      </c>
      <c r="O2976" s="9" t="s">
        <v>1977</v>
      </c>
      <c r="P2976" s="9" t="str">
        <f>HYPERLINK("https://ceds.ed.gov/cedselementdetails.aspx?termid=13060")</f>
        <v>https://ceds.ed.gov/cedselementdetails.aspx?termid=13060</v>
      </c>
      <c r="Q2976" s="9" t="str">
        <f>HYPERLINK("https://ceds.ed.gov/elementComment.aspx?elementName=Course Grade Point Average Applicability &amp;elementID=13060", "Click here to submit comment")</f>
        <v>Click here to submit comment</v>
      </c>
    </row>
    <row r="2977" spans="1:17" ht="255" x14ac:dyDescent="0.25">
      <c r="A2977" s="9" t="s">
        <v>6878</v>
      </c>
      <c r="B2977" s="9" t="s">
        <v>6847</v>
      </c>
      <c r="C2977" s="9"/>
      <c r="D2977" s="9" t="s">
        <v>6742</v>
      </c>
      <c r="E2977" s="9" t="s">
        <v>145</v>
      </c>
      <c r="F2977" s="9" t="s">
        <v>146</v>
      </c>
      <c r="G2977" s="10" t="s">
        <v>6318</v>
      </c>
      <c r="H2977" s="9"/>
      <c r="I2977" s="9"/>
      <c r="J2977" s="9"/>
      <c r="K2977" s="9"/>
      <c r="L2977" s="9"/>
      <c r="M2977" s="9" t="s">
        <v>147</v>
      </c>
      <c r="N2977" s="9"/>
      <c r="O2977" s="9" t="s">
        <v>148</v>
      </c>
      <c r="P2977" s="9" t="str">
        <f>HYPERLINK("https://ceds.ed.gov/cedselementdetails.aspx?termid=13589")</f>
        <v>https://ceds.ed.gov/cedselementdetails.aspx?termid=13589</v>
      </c>
      <c r="Q2977" s="9" t="str">
        <f>HYPERLINK("https://ceds.ed.gov/elementComment.aspx?elementName=Additional Credit Type &amp;elementID=13589", "Click here to submit comment")</f>
        <v>Click here to submit comment</v>
      </c>
    </row>
    <row r="2978" spans="1:17" ht="45" x14ac:dyDescent="0.25">
      <c r="A2978" s="9" t="s">
        <v>6878</v>
      </c>
      <c r="B2978" s="9" t="s">
        <v>6847</v>
      </c>
      <c r="C2978" s="9"/>
      <c r="D2978" s="9" t="s">
        <v>6742</v>
      </c>
      <c r="E2978" s="9" t="s">
        <v>1929</v>
      </c>
      <c r="F2978" s="9" t="s">
        <v>1930</v>
      </c>
      <c r="G2978" s="9" t="s">
        <v>12</v>
      </c>
      <c r="H2978" s="9"/>
      <c r="I2978" s="9"/>
      <c r="J2978" s="9" t="s">
        <v>68</v>
      </c>
      <c r="K2978" s="9"/>
      <c r="L2978" s="9"/>
      <c r="M2978" s="9" t="s">
        <v>1931</v>
      </c>
      <c r="N2978" s="9"/>
      <c r="O2978" s="9" t="s">
        <v>1932</v>
      </c>
      <c r="P2978" s="9" t="str">
        <f>HYPERLINK("https://ceds.ed.gov/cedselementdetails.aspx?termid=14268")</f>
        <v>https://ceds.ed.gov/cedselementdetails.aspx?termid=14268</v>
      </c>
      <c r="Q2978" s="9" t="str">
        <f>HYPERLINK("https://ceds.ed.gov/elementComment.aspx?elementName=Course Certification Description &amp;elementID=14268", "Click here to submit comment")</f>
        <v>Click here to submit comment</v>
      </c>
    </row>
    <row r="2979" spans="1:17" ht="90" x14ac:dyDescent="0.25">
      <c r="A2979" s="9" t="s">
        <v>6878</v>
      </c>
      <c r="B2979" s="9" t="s">
        <v>6847</v>
      </c>
      <c r="C2979" s="9"/>
      <c r="D2979" s="9" t="s">
        <v>6742</v>
      </c>
      <c r="E2979" s="9" t="s">
        <v>2011</v>
      </c>
      <c r="F2979" s="9" t="s">
        <v>2012</v>
      </c>
      <c r="G2979" s="9" t="s">
        <v>12</v>
      </c>
      <c r="H2979" s="9"/>
      <c r="I2979" s="9"/>
      <c r="J2979" s="9" t="s">
        <v>303</v>
      </c>
      <c r="K2979" s="9"/>
      <c r="L2979" s="9"/>
      <c r="M2979" s="9" t="s">
        <v>2013</v>
      </c>
      <c r="N2979" s="9"/>
      <c r="O2979" s="9" t="s">
        <v>2014</v>
      </c>
      <c r="P2979" s="9" t="str">
        <f>HYPERLINK("https://ceds.ed.gov/cedselementdetails.aspx?termid=14279")</f>
        <v>https://ceds.ed.gov/cedselementdetails.aspx?termid=14279</v>
      </c>
      <c r="Q2979" s="9" t="str">
        <f>HYPERLINK("https://ceds.ed.gov/elementComment.aspx?elementName=Course Narrative Explanation Grade &amp;elementID=14279", "Click here to submit comment")</f>
        <v>Click here to submit comment</v>
      </c>
    </row>
    <row r="2980" spans="1:17" ht="45" x14ac:dyDescent="0.25">
      <c r="A2980" s="9" t="s">
        <v>6878</v>
      </c>
      <c r="B2980" s="9" t="s">
        <v>6847</v>
      </c>
      <c r="C2980" s="9"/>
      <c r="D2980" s="9" t="s">
        <v>6742</v>
      </c>
      <c r="E2980" s="9" t="s">
        <v>2762</v>
      </c>
      <c r="F2980" s="9" t="s">
        <v>2763</v>
      </c>
      <c r="G2980" s="9" t="s">
        <v>6106</v>
      </c>
      <c r="H2980" s="9"/>
      <c r="I2980" s="9"/>
      <c r="J2980" s="9"/>
      <c r="K2980" s="9"/>
      <c r="L2980" s="9"/>
      <c r="M2980" s="9" t="s">
        <v>2764</v>
      </c>
      <c r="N2980" s="9"/>
      <c r="O2980" s="9" t="s">
        <v>2765</v>
      </c>
      <c r="P2980" s="9" t="str">
        <f>HYPERLINK("https://ceds.ed.gov/cedselementdetails.aspx?termid=14311")</f>
        <v>https://ceds.ed.gov/cedselementdetails.aspx?termid=14311</v>
      </c>
      <c r="Q2980" s="9" t="str">
        <f>HYPERLINK("https://ceds.ed.gov/elementComment.aspx?elementName=Family and Consumer Sciences Course Indicator &amp;elementID=14311", "Click here to submit comment")</f>
        <v>Click here to submit comment</v>
      </c>
    </row>
    <row r="2981" spans="1:17" ht="45" x14ac:dyDescent="0.25">
      <c r="A2981" s="9" t="s">
        <v>6878</v>
      </c>
      <c r="B2981" s="9" t="s">
        <v>6847</v>
      </c>
      <c r="C2981" s="9"/>
      <c r="D2981" s="9" t="s">
        <v>6742</v>
      </c>
      <c r="E2981" s="9" t="s">
        <v>4304</v>
      </c>
      <c r="F2981" s="9" t="s">
        <v>4305</v>
      </c>
      <c r="G2981" s="9" t="s">
        <v>6106</v>
      </c>
      <c r="H2981" s="9"/>
      <c r="I2981" s="9"/>
      <c r="J2981" s="9"/>
      <c r="K2981" s="9"/>
      <c r="L2981" s="9"/>
      <c r="M2981" s="9" t="s">
        <v>4306</v>
      </c>
      <c r="N2981" s="9" t="s">
        <v>4307</v>
      </c>
      <c r="O2981" s="9" t="s">
        <v>4308</v>
      </c>
      <c r="P2981" s="9" t="str">
        <f>HYPERLINK("https://ceds.ed.gov/cedselementdetails.aspx?termid=14382")</f>
        <v>https://ceds.ed.gov/cedselementdetails.aspx?termid=14382</v>
      </c>
      <c r="Q2981" s="9" t="str">
        <f>HYPERLINK("https://ceds.ed.gov/elementComment.aspx?elementName=National Collegiate Athletic Association Eligibility &amp;elementID=14382", "Click here to submit comment")</f>
        <v>Click here to submit comment</v>
      </c>
    </row>
    <row r="2982" spans="1:17" ht="90" x14ac:dyDescent="0.25">
      <c r="A2982" s="9" t="s">
        <v>6878</v>
      </c>
      <c r="B2982" s="9" t="s">
        <v>6847</v>
      </c>
      <c r="C2982" s="9"/>
      <c r="D2982" s="9" t="s">
        <v>6742</v>
      </c>
      <c r="E2982" s="9" t="s">
        <v>1968</v>
      </c>
      <c r="F2982" s="9" t="s">
        <v>1969</v>
      </c>
      <c r="G2982" s="9" t="s">
        <v>12</v>
      </c>
      <c r="H2982" s="9"/>
      <c r="I2982" s="9"/>
      <c r="J2982" s="9" t="s">
        <v>87</v>
      </c>
      <c r="K2982" s="9"/>
      <c r="L2982" s="9" t="s">
        <v>1970</v>
      </c>
      <c r="M2982" s="9" t="s">
        <v>1971</v>
      </c>
      <c r="N2982" s="9"/>
      <c r="O2982" s="9" t="s">
        <v>1972</v>
      </c>
      <c r="P2982" s="9" t="str">
        <f>HYPERLINK("https://ceds.ed.gov/cedselementdetails.aspx?termid=14272")</f>
        <v>https://ceds.ed.gov/cedselementdetails.aspx?termid=14272</v>
      </c>
      <c r="Q2982" s="9" t="str">
        <f>HYPERLINK("https://ceds.ed.gov/elementComment.aspx?elementName=Course Funding Program &amp;elementID=14272", "Click here to submit comment")</f>
        <v>Click here to submit comment</v>
      </c>
    </row>
    <row r="2983" spans="1:17" ht="60" x14ac:dyDescent="0.25">
      <c r="A2983" s="9" t="s">
        <v>6878</v>
      </c>
      <c r="B2983" s="9" t="s">
        <v>6847</v>
      </c>
      <c r="C2983" s="9"/>
      <c r="D2983" s="9" t="s">
        <v>6742</v>
      </c>
      <c r="E2983" s="9" t="s">
        <v>5990</v>
      </c>
      <c r="F2983" s="9" t="s">
        <v>5991</v>
      </c>
      <c r="G2983" s="9" t="s">
        <v>6106</v>
      </c>
      <c r="H2983" s="9"/>
      <c r="I2983" s="9"/>
      <c r="J2983" s="9"/>
      <c r="K2983" s="9"/>
      <c r="L2983" s="9" t="s">
        <v>5992</v>
      </c>
      <c r="M2983" s="9" t="s">
        <v>5993</v>
      </c>
      <c r="N2983" s="9"/>
      <c r="O2983" s="9" t="s">
        <v>5994</v>
      </c>
      <c r="P2983" s="9" t="str">
        <f>HYPERLINK("https://ceds.ed.gov/cedselementdetails.aspx?termid=14554")</f>
        <v>https://ceds.ed.gov/cedselementdetails.aspx?termid=14554</v>
      </c>
      <c r="Q2983" s="9" t="str">
        <f>HYPERLINK("https://ceds.ed.gov/elementComment.aspx?elementName=Tuition Funded &amp;elementID=14554", "Click here to submit comment")</f>
        <v>Click here to submit comment</v>
      </c>
    </row>
    <row r="2984" spans="1:17" ht="165" x14ac:dyDescent="0.25">
      <c r="A2984" s="9" t="s">
        <v>6878</v>
      </c>
      <c r="B2984" s="9" t="s">
        <v>6847</v>
      </c>
      <c r="C2984" s="9"/>
      <c r="D2984" s="9" t="s">
        <v>6742</v>
      </c>
      <c r="E2984" s="9" t="s">
        <v>2251</v>
      </c>
      <c r="F2984" s="9" t="s">
        <v>2252</v>
      </c>
      <c r="G2984" s="10" t="s">
        <v>6445</v>
      </c>
      <c r="H2984" s="9" t="s">
        <v>2250</v>
      </c>
      <c r="I2984" s="9"/>
      <c r="J2984" s="9"/>
      <c r="K2984" s="9"/>
      <c r="L2984" s="9"/>
      <c r="M2984" s="9" t="s">
        <v>2253</v>
      </c>
      <c r="N2984" s="9"/>
      <c r="O2984" s="9" t="s">
        <v>2254</v>
      </c>
      <c r="P2984" s="9" t="str">
        <f>HYPERLINK("https://ceds.ed.gov/cedselementdetails.aspx?termid=14568")</f>
        <v>https://ceds.ed.gov/cedselementdetails.aspx?termid=14568</v>
      </c>
      <c r="Q2984" s="9" t="str">
        <f>HYPERLINK("https://ceds.ed.gov/elementComment.aspx?elementName=Developmental Education Type &amp;elementID=14568", "Click here to submit comment")</f>
        <v>Click here to submit comment</v>
      </c>
    </row>
    <row r="2985" spans="1:17" ht="105" x14ac:dyDescent="0.25">
      <c r="A2985" s="18" t="s">
        <v>6878</v>
      </c>
      <c r="B2985" s="18" t="s">
        <v>6847</v>
      </c>
      <c r="C2985" s="18" t="s">
        <v>6848</v>
      </c>
      <c r="D2985" s="18" t="s">
        <v>6742</v>
      </c>
      <c r="E2985" s="18" t="s">
        <v>1982</v>
      </c>
      <c r="F2985" s="18" t="s">
        <v>1983</v>
      </c>
      <c r="G2985" s="18" t="s">
        <v>12</v>
      </c>
      <c r="H2985" s="18" t="s">
        <v>6176</v>
      </c>
      <c r="I2985" s="18"/>
      <c r="J2985" s="18" t="s">
        <v>119</v>
      </c>
      <c r="K2985" s="18"/>
      <c r="L2985" s="9" t="s">
        <v>120</v>
      </c>
      <c r="M2985" s="18" t="s">
        <v>1984</v>
      </c>
      <c r="N2985" s="18"/>
      <c r="O2985" s="18" t="s">
        <v>1985</v>
      </c>
      <c r="P2985" s="18" t="str">
        <f>HYPERLINK("https://ceds.ed.gov/cedselementdetails.aspx?termid=13055")</f>
        <v>https://ceds.ed.gov/cedselementdetails.aspx?termid=13055</v>
      </c>
      <c r="Q2985" s="18" t="str">
        <f>HYPERLINK("https://ceds.ed.gov/elementComment.aspx?elementName=Course Identifier &amp;elementID=13055", "Click here to submit comment")</f>
        <v>Click here to submit comment</v>
      </c>
    </row>
    <row r="2986" spans="1:17" x14ac:dyDescent="0.25">
      <c r="A2986" s="18"/>
      <c r="B2986" s="18"/>
      <c r="C2986" s="18"/>
      <c r="D2986" s="18"/>
      <c r="E2986" s="18"/>
      <c r="F2986" s="18"/>
      <c r="G2986" s="18"/>
      <c r="H2986" s="18"/>
      <c r="I2986" s="18"/>
      <c r="J2986" s="18"/>
      <c r="K2986" s="18"/>
      <c r="L2986" s="9"/>
      <c r="M2986" s="18"/>
      <c r="N2986" s="18"/>
      <c r="O2986" s="18"/>
      <c r="P2986" s="18"/>
      <c r="Q2986" s="18"/>
    </row>
    <row r="2987" spans="1:17" ht="90" x14ac:dyDescent="0.25">
      <c r="A2987" s="18"/>
      <c r="B2987" s="18"/>
      <c r="C2987" s="18"/>
      <c r="D2987" s="18"/>
      <c r="E2987" s="18"/>
      <c r="F2987" s="18"/>
      <c r="G2987" s="18"/>
      <c r="H2987" s="18"/>
      <c r="I2987" s="18"/>
      <c r="J2987" s="18"/>
      <c r="K2987" s="18"/>
      <c r="L2987" s="9" t="s">
        <v>121</v>
      </c>
      <c r="M2987" s="18"/>
      <c r="N2987" s="18"/>
      <c r="O2987" s="18"/>
      <c r="P2987" s="18"/>
      <c r="Q2987" s="18"/>
    </row>
    <row r="2988" spans="1:17" ht="105" x14ac:dyDescent="0.25">
      <c r="A2988" s="18" t="s">
        <v>6878</v>
      </c>
      <c r="B2988" s="18" t="s">
        <v>6847</v>
      </c>
      <c r="C2988" s="18" t="s">
        <v>6848</v>
      </c>
      <c r="D2988" s="18" t="s">
        <v>6742</v>
      </c>
      <c r="E2988" s="18" t="s">
        <v>297</v>
      </c>
      <c r="F2988" s="18" t="s">
        <v>298</v>
      </c>
      <c r="G2988" s="18" t="s">
        <v>12</v>
      </c>
      <c r="H2988" s="18"/>
      <c r="I2988" s="18"/>
      <c r="J2988" s="18" t="s">
        <v>119</v>
      </c>
      <c r="K2988" s="18"/>
      <c r="L2988" s="9" t="s">
        <v>120</v>
      </c>
      <c r="M2988" s="18" t="s">
        <v>299</v>
      </c>
      <c r="N2988" s="18"/>
      <c r="O2988" s="18" t="s">
        <v>300</v>
      </c>
      <c r="P2988" s="18" t="str">
        <f>HYPERLINK("https://ceds.ed.gov/cedselementdetails.aspx?termid=14246")</f>
        <v>https://ceds.ed.gov/cedselementdetails.aspx?termid=14246</v>
      </c>
      <c r="Q2988" s="18" t="str">
        <f>HYPERLINK("https://ceds.ed.gov/elementComment.aspx?elementName=Agency Course Identifier &amp;elementID=14246", "Click here to submit comment")</f>
        <v>Click here to submit comment</v>
      </c>
    </row>
    <row r="2989" spans="1:17" x14ac:dyDescent="0.25">
      <c r="A2989" s="18"/>
      <c r="B2989" s="18"/>
      <c r="C2989" s="18"/>
      <c r="D2989" s="18"/>
      <c r="E2989" s="18"/>
      <c r="F2989" s="18"/>
      <c r="G2989" s="18"/>
      <c r="H2989" s="18"/>
      <c r="I2989" s="18"/>
      <c r="J2989" s="18"/>
      <c r="K2989" s="18"/>
      <c r="L2989" s="9"/>
      <c r="M2989" s="18"/>
      <c r="N2989" s="18"/>
      <c r="O2989" s="18"/>
      <c r="P2989" s="18"/>
      <c r="Q2989" s="18"/>
    </row>
    <row r="2990" spans="1:17" ht="90" x14ac:dyDescent="0.25">
      <c r="A2990" s="18"/>
      <c r="B2990" s="18"/>
      <c r="C2990" s="18"/>
      <c r="D2990" s="18"/>
      <c r="E2990" s="18"/>
      <c r="F2990" s="18"/>
      <c r="G2990" s="18"/>
      <c r="H2990" s="18"/>
      <c r="I2990" s="18"/>
      <c r="J2990" s="18"/>
      <c r="K2990" s="18"/>
      <c r="L2990" s="9" t="s">
        <v>121</v>
      </c>
      <c r="M2990" s="18"/>
      <c r="N2990" s="18"/>
      <c r="O2990" s="18"/>
      <c r="P2990" s="18"/>
      <c r="Q2990" s="18"/>
    </row>
    <row r="2991" spans="1:17" ht="195" x14ac:dyDescent="0.25">
      <c r="A2991" s="9" t="s">
        <v>6878</v>
      </c>
      <c r="B2991" s="9" t="s">
        <v>6847</v>
      </c>
      <c r="C2991" s="9" t="s">
        <v>6848</v>
      </c>
      <c r="D2991" s="9" t="s">
        <v>6742</v>
      </c>
      <c r="E2991" s="9" t="s">
        <v>1933</v>
      </c>
      <c r="F2991" s="9" t="s">
        <v>1934</v>
      </c>
      <c r="G2991" s="10" t="s">
        <v>6421</v>
      </c>
      <c r="H2991" s="9" t="s">
        <v>6150</v>
      </c>
      <c r="I2991" s="9"/>
      <c r="J2991" s="9"/>
      <c r="K2991" s="9"/>
      <c r="L2991" s="9"/>
      <c r="M2991" s="9" t="s">
        <v>1935</v>
      </c>
      <c r="N2991" s="9"/>
      <c r="O2991" s="9" t="s">
        <v>1936</v>
      </c>
      <c r="P2991" s="9" t="str">
        <f>HYPERLINK("https://ceds.ed.gov/cedselementdetails.aspx?termid=13056")</f>
        <v>https://ceds.ed.gov/cedselementdetails.aspx?termid=13056</v>
      </c>
      <c r="Q2991" s="9" t="str">
        <f>HYPERLINK("https://ceds.ed.gov/elementComment.aspx?elementName=Course Code System &amp;elementID=13056", "Click here to submit comment")</f>
        <v>Click here to submit comment</v>
      </c>
    </row>
    <row r="2992" spans="1:17" ht="45" x14ac:dyDescent="0.25">
      <c r="A2992" s="9" t="s">
        <v>6878</v>
      </c>
      <c r="B2992" s="9" t="s">
        <v>6847</v>
      </c>
      <c r="C2992" s="9" t="s">
        <v>6848</v>
      </c>
      <c r="D2992" s="9" t="s">
        <v>6742</v>
      </c>
      <c r="E2992" s="9" t="s">
        <v>4318</v>
      </c>
      <c r="F2992" s="9" t="s">
        <v>4319</v>
      </c>
      <c r="G2992" s="9" t="s">
        <v>4320</v>
      </c>
      <c r="H2992" s="9"/>
      <c r="I2992" s="9"/>
      <c r="J2992" s="9"/>
      <c r="K2992" s="9"/>
      <c r="L2992" s="9"/>
      <c r="M2992" s="9" t="s">
        <v>4321</v>
      </c>
      <c r="N2992" s="9"/>
      <c r="O2992" s="9" t="s">
        <v>4322</v>
      </c>
      <c r="P2992" s="9" t="str">
        <f>HYPERLINK("https://ceds.ed.gov/cedselementdetails.aspx?termid=14383")</f>
        <v>https://ceds.ed.gov/cedselementdetails.aspx?termid=14383</v>
      </c>
      <c r="Q2992" s="9" t="str">
        <f>HYPERLINK("https://ceds.ed.gov/elementComment.aspx?elementName=NCES College Course Map Code &amp;elementID=14383", "Click here to submit comment")</f>
        <v>Click here to submit comment</v>
      </c>
    </row>
    <row r="2993" spans="1:17" ht="60" x14ac:dyDescent="0.25">
      <c r="A2993" s="9" t="s">
        <v>6878</v>
      </c>
      <c r="B2993" s="9" t="s">
        <v>6847</v>
      </c>
      <c r="C2993" s="9" t="s">
        <v>6848</v>
      </c>
      <c r="D2993" s="9" t="s">
        <v>6742</v>
      </c>
      <c r="E2993" s="9" t="s">
        <v>2086</v>
      </c>
      <c r="F2993" s="9" t="s">
        <v>2087</v>
      </c>
      <c r="G2993" s="9" t="s">
        <v>12</v>
      </c>
      <c r="H2993" s="9" t="s">
        <v>25</v>
      </c>
      <c r="I2993" s="9"/>
      <c r="J2993" s="9" t="s">
        <v>2088</v>
      </c>
      <c r="K2993" s="9"/>
      <c r="L2993" s="9"/>
      <c r="M2993" s="9" t="s">
        <v>2089</v>
      </c>
      <c r="N2993" s="9"/>
      <c r="O2993" s="9" t="s">
        <v>2090</v>
      </c>
      <c r="P2993" s="9" t="str">
        <f>HYPERLINK("https://ceds.ed.gov/cedselementdetails.aspx?termid=13066")</f>
        <v>https://ceds.ed.gov/cedselementdetails.aspx?termid=13066</v>
      </c>
      <c r="Q2993" s="9" t="str">
        <f>HYPERLINK("https://ceds.ed.gov/elementComment.aspx?elementName=Course Subject Abbreviation &amp;elementID=13066", "Click here to submit comment")</f>
        <v>Click here to submit comment</v>
      </c>
    </row>
    <row r="2994" spans="1:17" ht="45" x14ac:dyDescent="0.25">
      <c r="A2994" s="9" t="s">
        <v>6878</v>
      </c>
      <c r="B2994" s="9" t="s">
        <v>6847</v>
      </c>
      <c r="C2994" s="9" t="s">
        <v>6848</v>
      </c>
      <c r="D2994" s="9" t="s">
        <v>6742</v>
      </c>
      <c r="E2994" s="9" t="s">
        <v>4628</v>
      </c>
      <c r="F2994" s="9" t="s">
        <v>4629</v>
      </c>
      <c r="G2994" s="9" t="s">
        <v>12</v>
      </c>
      <c r="H2994" s="9" t="s">
        <v>25</v>
      </c>
      <c r="I2994" s="9"/>
      <c r="J2994" s="9" t="s">
        <v>92</v>
      </c>
      <c r="K2994" s="9"/>
      <c r="L2994" s="9"/>
      <c r="M2994" s="9" t="s">
        <v>4630</v>
      </c>
      <c r="N2994" s="9"/>
      <c r="O2994" s="9" t="s">
        <v>4631</v>
      </c>
      <c r="P2994" s="9" t="str">
        <f>HYPERLINK("https://ceds.ed.gov/cedselementdetails.aspx?termid=13068")</f>
        <v>https://ceds.ed.gov/cedselementdetails.aspx?termid=13068</v>
      </c>
      <c r="Q2994" s="9" t="str">
        <f>HYPERLINK("https://ceds.ed.gov/elementComment.aspx?elementName=Postsecondary Course Title &amp;elementID=13068", "Click here to submit comment")</f>
        <v>Click here to submit comment</v>
      </c>
    </row>
    <row r="2995" spans="1:17" ht="225" x14ac:dyDescent="0.25">
      <c r="A2995" s="9" t="s">
        <v>6878</v>
      </c>
      <c r="B2995" s="9" t="s">
        <v>6847</v>
      </c>
      <c r="C2995" s="9" t="s">
        <v>6848</v>
      </c>
      <c r="D2995" s="9" t="s">
        <v>6742</v>
      </c>
      <c r="E2995" s="9" t="s">
        <v>2091</v>
      </c>
      <c r="F2995" s="9" t="s">
        <v>2092</v>
      </c>
      <c r="G2995" s="9" t="s">
        <v>12</v>
      </c>
      <c r="H2995" s="9" t="s">
        <v>6150</v>
      </c>
      <c r="I2995" s="9"/>
      <c r="J2995" s="9" t="s">
        <v>92</v>
      </c>
      <c r="K2995" s="9"/>
      <c r="L2995" s="9"/>
      <c r="M2995" s="9" t="s">
        <v>2093</v>
      </c>
      <c r="N2995" s="9"/>
      <c r="O2995" s="9" t="s">
        <v>2094</v>
      </c>
      <c r="P2995" s="9" t="str">
        <f>HYPERLINK("https://ceds.ed.gov/cedselementdetails.aspx?termid=13067")</f>
        <v>https://ceds.ed.gov/cedselementdetails.aspx?termid=13067</v>
      </c>
      <c r="Q2995" s="9" t="str">
        <f>HYPERLINK("https://ceds.ed.gov/elementComment.aspx?elementName=Course Title &amp;elementID=13067", "Click here to submit comment")</f>
        <v>Click here to submit comment</v>
      </c>
    </row>
    <row r="2996" spans="1:17" ht="45" x14ac:dyDescent="0.25">
      <c r="A2996" s="9" t="s">
        <v>6878</v>
      </c>
      <c r="B2996" s="9" t="s">
        <v>6847</v>
      </c>
      <c r="C2996" s="9" t="s">
        <v>6848</v>
      </c>
      <c r="D2996" s="9" t="s">
        <v>6742</v>
      </c>
      <c r="E2996" s="9" t="s">
        <v>11699</v>
      </c>
      <c r="F2996" s="9" t="s">
        <v>11700</v>
      </c>
      <c r="G2996" s="9" t="s">
        <v>12</v>
      </c>
      <c r="H2996" s="9"/>
      <c r="I2996" s="9" t="s">
        <v>91</v>
      </c>
      <c r="J2996" s="9" t="s">
        <v>92</v>
      </c>
      <c r="K2996" s="9" t="s">
        <v>10738</v>
      </c>
      <c r="L2996" s="9"/>
      <c r="M2996" s="9" t="s">
        <v>5133</v>
      </c>
      <c r="N2996" s="9" t="s">
        <v>11701</v>
      </c>
      <c r="O2996" s="9" t="s">
        <v>11702</v>
      </c>
      <c r="P2996" s="9" t="str">
        <f>HYPERLINK("https://ceds.ed.gov/cedselementdetails.aspx?termid=13231")</f>
        <v>https://ceds.ed.gov/cedselementdetails.aspx?termid=13231</v>
      </c>
      <c r="Q2996" s="9" t="str">
        <f>HYPERLINK("https://ceds.ed.gov/elementComment.aspx?elementName=Related Competency Items &amp;elementID=13231", "Click here to submit comment")</f>
        <v>Click here to submit comment</v>
      </c>
    </row>
    <row r="2997" spans="1:17" ht="45" x14ac:dyDescent="0.25">
      <c r="A2997" s="9" t="s">
        <v>6878</v>
      </c>
      <c r="B2997" s="9" t="s">
        <v>6847</v>
      </c>
      <c r="C2997" s="9" t="s">
        <v>6848</v>
      </c>
      <c r="D2997" s="9" t="s">
        <v>6742</v>
      </c>
      <c r="E2997" s="9" t="s">
        <v>1925</v>
      </c>
      <c r="F2997" s="9" t="s">
        <v>1926</v>
      </c>
      <c r="G2997" s="9" t="s">
        <v>12</v>
      </c>
      <c r="H2997" s="9" t="s">
        <v>6161</v>
      </c>
      <c r="I2997" s="9"/>
      <c r="J2997" s="9" t="s">
        <v>73</v>
      </c>
      <c r="K2997" s="9"/>
      <c r="L2997" s="9"/>
      <c r="M2997" s="9" t="s">
        <v>1927</v>
      </c>
      <c r="N2997" s="9"/>
      <c r="O2997" s="9" t="s">
        <v>1928</v>
      </c>
      <c r="P2997" s="9" t="str">
        <f>HYPERLINK("https://ceds.ed.gov/cedselementdetails.aspx?termid=13054")</f>
        <v>https://ceds.ed.gov/cedselementdetails.aspx?termid=13054</v>
      </c>
      <c r="Q2997" s="9" t="str">
        <f>HYPERLINK("https://ceds.ed.gov/elementComment.aspx?elementName=Course Begin Date &amp;elementID=13054", "Click here to submit comment")</f>
        <v>Click here to submit comment</v>
      </c>
    </row>
    <row r="2998" spans="1:17" ht="45" x14ac:dyDescent="0.25">
      <c r="A2998" s="9" t="s">
        <v>6878</v>
      </c>
      <c r="B2998" s="9" t="s">
        <v>6847</v>
      </c>
      <c r="C2998" s="9" t="s">
        <v>6848</v>
      </c>
      <c r="D2998" s="9" t="s">
        <v>6742</v>
      </c>
      <c r="E2998" s="9" t="s">
        <v>1964</v>
      </c>
      <c r="F2998" s="9" t="s">
        <v>1965</v>
      </c>
      <c r="G2998" s="9" t="s">
        <v>12</v>
      </c>
      <c r="H2998" s="9" t="s">
        <v>6161</v>
      </c>
      <c r="I2998" s="9"/>
      <c r="J2998" s="9" t="s">
        <v>73</v>
      </c>
      <c r="K2998" s="9"/>
      <c r="L2998" s="9"/>
      <c r="M2998" s="9" t="s">
        <v>1966</v>
      </c>
      <c r="N2998" s="9"/>
      <c r="O2998" s="9" t="s">
        <v>1967</v>
      </c>
      <c r="P2998" s="9" t="str">
        <f>HYPERLINK("https://ceds.ed.gov/cedselementdetails.aspx?termid=13059")</f>
        <v>https://ceds.ed.gov/cedselementdetails.aspx?termid=13059</v>
      </c>
      <c r="Q2998" s="9" t="str">
        <f>HYPERLINK("https://ceds.ed.gov/elementComment.aspx?elementName=Course End Date &amp;elementID=13059", "Click here to submit comment")</f>
        <v>Click here to submit comment</v>
      </c>
    </row>
    <row r="2999" spans="1:17" ht="45" x14ac:dyDescent="0.25">
      <c r="A2999" s="9" t="s">
        <v>6878</v>
      </c>
      <c r="B2999" s="9" t="s">
        <v>6847</v>
      </c>
      <c r="C2999" s="9" t="s">
        <v>6848</v>
      </c>
      <c r="D2999" s="9" t="s">
        <v>6742</v>
      </c>
      <c r="E2999" s="9" t="s">
        <v>1951</v>
      </c>
      <c r="F2999" s="9" t="s">
        <v>1952</v>
      </c>
      <c r="G2999" s="9" t="s">
        <v>12</v>
      </c>
      <c r="H2999" s="9"/>
      <c r="I2999" s="9"/>
      <c r="J2999" s="9" t="s">
        <v>92</v>
      </c>
      <c r="K2999" s="9"/>
      <c r="L2999" s="9"/>
      <c r="M2999" s="9" t="s">
        <v>1953</v>
      </c>
      <c r="N2999" s="9"/>
      <c r="O2999" s="9" t="s">
        <v>1954</v>
      </c>
      <c r="P2999" s="9" t="str">
        <f>HYPERLINK("https://ceds.ed.gov/cedselementdetails.aspx?termid=14525")</f>
        <v>https://ceds.ed.gov/cedselementdetails.aspx?termid=14525</v>
      </c>
      <c r="Q2999" s="9" t="str">
        <f>HYPERLINK("https://ceds.ed.gov/elementComment.aspx?elementName=Course Department Name &amp;elementID=14525", "Click here to submit comment")</f>
        <v>Click here to submit comment</v>
      </c>
    </row>
    <row r="3000" spans="1:17" ht="75" x14ac:dyDescent="0.25">
      <c r="A3000" s="9" t="s">
        <v>6878</v>
      </c>
      <c r="B3000" s="9" t="s">
        <v>6847</v>
      </c>
      <c r="C3000" s="9" t="s">
        <v>6848</v>
      </c>
      <c r="D3000" s="9" t="s">
        <v>6742</v>
      </c>
      <c r="E3000" s="9" t="s">
        <v>1778</v>
      </c>
      <c r="F3000" s="9" t="s">
        <v>1779</v>
      </c>
      <c r="G3000" s="11" t="s">
        <v>1780</v>
      </c>
      <c r="H3000" s="9" t="s">
        <v>6108</v>
      </c>
      <c r="I3000" s="9"/>
      <c r="J3000" s="9"/>
      <c r="K3000" s="9"/>
      <c r="L3000" s="9"/>
      <c r="M3000" s="9" t="s">
        <v>1781</v>
      </c>
      <c r="N3000" s="9" t="s">
        <v>1782</v>
      </c>
      <c r="O3000" s="9" t="s">
        <v>1783</v>
      </c>
      <c r="P3000" s="9" t="str">
        <f>HYPERLINK("https://ceds.ed.gov/cedselementdetails.aspx?termid=13043")</f>
        <v>https://ceds.ed.gov/cedselementdetails.aspx?termid=13043</v>
      </c>
      <c r="Q3000" s="9" t="str">
        <f>HYPERLINK("https://ceds.ed.gov/elementComment.aspx?elementName=Classification of Instructional Program Code &amp;elementID=13043", "Click here to submit comment")</f>
        <v>Click here to submit comment</v>
      </c>
    </row>
    <row r="3001" spans="1:17" ht="90" x14ac:dyDescent="0.25">
      <c r="A3001" s="9" t="s">
        <v>6878</v>
      </c>
      <c r="B3001" s="9" t="s">
        <v>6847</v>
      </c>
      <c r="C3001" s="9" t="s">
        <v>6848</v>
      </c>
      <c r="D3001" s="9" t="s">
        <v>6742</v>
      </c>
      <c r="E3001" s="9" t="s">
        <v>1789</v>
      </c>
      <c r="F3001" s="9" t="s">
        <v>1790</v>
      </c>
      <c r="G3001" s="10" t="s">
        <v>6408</v>
      </c>
      <c r="H3001" s="9" t="s">
        <v>6115</v>
      </c>
      <c r="I3001" s="9"/>
      <c r="J3001" s="9"/>
      <c r="K3001" s="9"/>
      <c r="L3001" s="9"/>
      <c r="M3001" s="9" t="s">
        <v>1791</v>
      </c>
      <c r="N3001" s="9" t="s">
        <v>1792</v>
      </c>
      <c r="O3001" s="9" t="s">
        <v>1793</v>
      </c>
      <c r="P3001" s="9" t="str">
        <f>HYPERLINK("https://ceds.ed.gov/cedselementdetails.aspx?termid=13045")</f>
        <v>https://ceds.ed.gov/cedselementdetails.aspx?termid=13045</v>
      </c>
      <c r="Q3001" s="9" t="str">
        <f>HYPERLINK("https://ceds.ed.gov/elementComment.aspx?elementName=Classification of Instructional Program Version &amp;elementID=13045", "Click here to submit comment")</f>
        <v>Click here to submit comment</v>
      </c>
    </row>
    <row r="3002" spans="1:17" ht="409.5" x14ac:dyDescent="0.25">
      <c r="A3002" s="9" t="s">
        <v>6878</v>
      </c>
      <c r="B3002" s="9" t="s">
        <v>6847</v>
      </c>
      <c r="C3002" s="9" t="s">
        <v>6848</v>
      </c>
      <c r="D3002" s="9" t="s">
        <v>6742</v>
      </c>
      <c r="E3002" s="9" t="s">
        <v>2031</v>
      </c>
      <c r="F3002" s="9" t="s">
        <v>2032</v>
      </c>
      <c r="G3002" s="10" t="s">
        <v>6374</v>
      </c>
      <c r="H3002" s="9" t="s">
        <v>6177</v>
      </c>
      <c r="I3002" s="9"/>
      <c r="J3002" s="9"/>
      <c r="K3002" s="9"/>
      <c r="L3002" s="9"/>
      <c r="M3002" s="9" t="s">
        <v>2033</v>
      </c>
      <c r="N3002" s="9"/>
      <c r="O3002" s="9" t="s">
        <v>2034</v>
      </c>
      <c r="P3002" s="9" t="str">
        <f>HYPERLINK("https://ceds.ed.gov/cedselementdetails.aspx?termid=13027")</f>
        <v>https://ceds.ed.gov/cedselementdetails.aspx?termid=13027</v>
      </c>
      <c r="Q3002" s="9" t="str">
        <f>HYPERLINK("https://ceds.ed.gov/elementComment.aspx?elementName=Course Section Assessment Reporting Method &amp;elementID=13027", "Click here to submit comment")</f>
        <v>Click here to submit comment</v>
      </c>
    </row>
    <row r="3003" spans="1:17" ht="165" x14ac:dyDescent="0.25">
      <c r="A3003" s="9" t="s">
        <v>6878</v>
      </c>
      <c r="B3003" s="9" t="s">
        <v>6847</v>
      </c>
      <c r="C3003" s="9" t="s">
        <v>6848</v>
      </c>
      <c r="D3003" s="9" t="s">
        <v>6742</v>
      </c>
      <c r="E3003" s="9" t="s">
        <v>1945</v>
      </c>
      <c r="F3003" s="9" t="s">
        <v>1946</v>
      </c>
      <c r="G3003" s="10" t="s">
        <v>6424</v>
      </c>
      <c r="H3003" s="9" t="s">
        <v>25</v>
      </c>
      <c r="I3003" s="9"/>
      <c r="J3003" s="9"/>
      <c r="K3003" s="9"/>
      <c r="L3003" s="9"/>
      <c r="M3003" s="9" t="s">
        <v>1947</v>
      </c>
      <c r="N3003" s="9"/>
      <c r="O3003" s="9" t="s">
        <v>1948</v>
      </c>
      <c r="P3003" s="9" t="str">
        <f>HYPERLINK("https://ceds.ed.gov/cedselementdetails.aspx?termid=13057")</f>
        <v>https://ceds.ed.gov/cedselementdetails.aspx?termid=13057</v>
      </c>
      <c r="Q3003" s="9" t="str">
        <f>HYPERLINK("https://ceds.ed.gov/elementComment.aspx?elementName=Course Credit Units &amp;elementID=13057", "Click here to submit comment")</f>
        <v>Click here to submit comment</v>
      </c>
    </row>
    <row r="3004" spans="1:17" ht="360" x14ac:dyDescent="0.25">
      <c r="A3004" s="9" t="s">
        <v>6878</v>
      </c>
      <c r="B3004" s="9" t="s">
        <v>6847</v>
      </c>
      <c r="C3004" s="9" t="s">
        <v>6848</v>
      </c>
      <c r="D3004" s="9" t="s">
        <v>6742</v>
      </c>
      <c r="E3004" s="9" t="s">
        <v>11089</v>
      </c>
      <c r="F3004" s="9" t="s">
        <v>2119</v>
      </c>
      <c r="G3004" s="10" t="s">
        <v>11847</v>
      </c>
      <c r="H3004" s="9" t="s">
        <v>6109</v>
      </c>
      <c r="I3004" s="9"/>
      <c r="J3004" s="9"/>
      <c r="K3004" s="9"/>
      <c r="L3004" s="9"/>
      <c r="M3004" s="9" t="s">
        <v>2120</v>
      </c>
      <c r="N3004" s="9"/>
      <c r="O3004" s="9" t="s">
        <v>11091</v>
      </c>
      <c r="P3004" s="9" t="str">
        <f>HYPERLINK("https://ceds.ed.gov/cedselementdetails.aspx?termid=13072")</f>
        <v>https://ceds.ed.gov/cedselementdetails.aspx?termid=13072</v>
      </c>
      <c r="Q3004" s="9" t="str">
        <f>HYPERLINK("https://ceds.ed.gov/elementComment.aspx?elementName=Credit Unit Type &amp;elementID=13072", "Click here to submit comment")</f>
        <v>Click here to submit comment</v>
      </c>
    </row>
    <row r="3005" spans="1:17" ht="105" x14ac:dyDescent="0.25">
      <c r="A3005" s="9" t="s">
        <v>6878</v>
      </c>
      <c r="B3005" s="9" t="s">
        <v>6847</v>
      </c>
      <c r="C3005" s="9" t="s">
        <v>6848</v>
      </c>
      <c r="D3005" s="9" t="s">
        <v>6742</v>
      </c>
      <c r="E3005" s="9" t="s">
        <v>11092</v>
      </c>
      <c r="F3005" s="9" t="s">
        <v>11093</v>
      </c>
      <c r="G3005" s="9" t="s">
        <v>12</v>
      </c>
      <c r="H3005" s="9" t="s">
        <v>25</v>
      </c>
      <c r="I3005" s="9"/>
      <c r="J3005" s="9" t="s">
        <v>1513</v>
      </c>
      <c r="K3005" s="9"/>
      <c r="L3005" s="9" t="s">
        <v>1949</v>
      </c>
      <c r="M3005" s="9" t="s">
        <v>1950</v>
      </c>
      <c r="N3005" s="9"/>
      <c r="O3005" s="9" t="s">
        <v>11095</v>
      </c>
      <c r="P3005" s="9" t="str">
        <f>HYPERLINK("https://ceds.ed.gov/cedselementdetails.aspx?termid=13058")</f>
        <v>https://ceds.ed.gov/cedselementdetails.aspx?termid=13058</v>
      </c>
      <c r="Q3005" s="9" t="str">
        <f>HYPERLINK("https://ceds.ed.gov/elementComment.aspx?elementName=Credit Value &amp;elementID=13058", "Click here to submit comment")</f>
        <v>Click here to submit comment</v>
      </c>
    </row>
    <row r="3006" spans="1:17" ht="150" x14ac:dyDescent="0.25">
      <c r="A3006" s="9" t="s">
        <v>6878</v>
      </c>
      <c r="B3006" s="9" t="s">
        <v>6847</v>
      </c>
      <c r="C3006" s="9" t="s">
        <v>6848</v>
      </c>
      <c r="D3006" s="9" t="s">
        <v>6742</v>
      </c>
      <c r="E3006" s="9" t="s">
        <v>1511</v>
      </c>
      <c r="F3006" s="9" t="s">
        <v>1512</v>
      </c>
      <c r="G3006" s="9" t="s">
        <v>12</v>
      </c>
      <c r="H3006" s="9" t="s">
        <v>6150</v>
      </c>
      <c r="I3006" s="9"/>
      <c r="J3006" s="9" t="s">
        <v>1513</v>
      </c>
      <c r="K3006" s="9"/>
      <c r="L3006" s="9"/>
      <c r="M3006" s="9" t="s">
        <v>1514</v>
      </c>
      <c r="N3006" s="9"/>
      <c r="O3006" s="9" t="s">
        <v>1515</v>
      </c>
      <c r="P3006" s="9" t="str">
        <f>HYPERLINK("https://ceds.ed.gov/cedselementdetails.aspx?termid=13030")</f>
        <v>https://ceds.ed.gov/cedselementdetails.aspx?termid=13030</v>
      </c>
      <c r="Q3006" s="9" t="str">
        <f>HYPERLINK("https://ceds.ed.gov/elementComment.aspx?elementName=Available Carnegie Unit Credit &amp;elementID=13030", "Click here to submit comment")</f>
        <v>Click here to submit comment</v>
      </c>
    </row>
    <row r="3007" spans="1:17" ht="330" x14ac:dyDescent="0.25">
      <c r="A3007" s="9" t="s">
        <v>6878</v>
      </c>
      <c r="B3007" s="9" t="s">
        <v>6847</v>
      </c>
      <c r="C3007" s="9" t="s">
        <v>6848</v>
      </c>
      <c r="D3007" s="9" t="s">
        <v>6742</v>
      </c>
      <c r="E3007" s="9" t="s">
        <v>2003</v>
      </c>
      <c r="F3007" s="9" t="s">
        <v>2004</v>
      </c>
      <c r="G3007" s="10" t="s">
        <v>11840</v>
      </c>
      <c r="H3007" s="9" t="s">
        <v>6176</v>
      </c>
      <c r="I3007" s="9" t="s">
        <v>91</v>
      </c>
      <c r="J3007" s="9"/>
      <c r="K3007" s="9"/>
      <c r="L3007" s="9"/>
      <c r="M3007" s="9" t="s">
        <v>2005</v>
      </c>
      <c r="N3007" s="9"/>
      <c r="O3007" s="9" t="s">
        <v>2006</v>
      </c>
      <c r="P3007" s="9" t="str">
        <f>HYPERLINK("https://ceds.ed.gov/cedselementdetails.aspx?termid=13061")</f>
        <v>https://ceds.ed.gov/cedselementdetails.aspx?termid=13061</v>
      </c>
      <c r="Q3007" s="9" t="str">
        <f>HYPERLINK("https://ceds.ed.gov/elementComment.aspx?elementName=Course Level Characteristic &amp;elementID=13061", "Click here to submit comment")</f>
        <v>Click here to submit comment</v>
      </c>
    </row>
    <row r="3008" spans="1:17" ht="120" x14ac:dyDescent="0.25">
      <c r="A3008" s="9" t="s">
        <v>6878</v>
      </c>
      <c r="B3008" s="9" t="s">
        <v>6847</v>
      </c>
      <c r="C3008" s="9" t="s">
        <v>6848</v>
      </c>
      <c r="D3008" s="9" t="s">
        <v>6742</v>
      </c>
      <c r="E3008" s="9" t="s">
        <v>3101</v>
      </c>
      <c r="F3008" s="9" t="s">
        <v>3102</v>
      </c>
      <c r="G3008" s="9" t="s">
        <v>6106</v>
      </c>
      <c r="H3008" s="9" t="s">
        <v>6150</v>
      </c>
      <c r="I3008" s="9"/>
      <c r="J3008" s="9"/>
      <c r="K3008" s="9"/>
      <c r="L3008" s="9"/>
      <c r="M3008" s="9" t="s">
        <v>3103</v>
      </c>
      <c r="N3008" s="9"/>
      <c r="O3008" s="9" t="s">
        <v>3104</v>
      </c>
      <c r="P3008" s="9" t="str">
        <f>HYPERLINK("https://ceds.ed.gov/cedselementdetails.aspx?termid=13137")</f>
        <v>https://ceds.ed.gov/cedselementdetails.aspx?termid=13137</v>
      </c>
      <c r="Q3008" s="9" t="str">
        <f>HYPERLINK("https://ceds.ed.gov/elementComment.aspx?elementName=High School Course Requirement &amp;elementID=13137", "Click here to submit comment")</f>
        <v>Click here to submit comment</v>
      </c>
    </row>
    <row r="3009" spans="1:17" ht="45" x14ac:dyDescent="0.25">
      <c r="A3009" s="9" t="s">
        <v>6878</v>
      </c>
      <c r="B3009" s="9" t="s">
        <v>6847</v>
      </c>
      <c r="C3009" s="9" t="s">
        <v>6848</v>
      </c>
      <c r="D3009" s="9" t="s">
        <v>6742</v>
      </c>
      <c r="E3009" s="9" t="s">
        <v>10945</v>
      </c>
      <c r="F3009" s="9" t="s">
        <v>10946</v>
      </c>
      <c r="G3009" s="9" t="s">
        <v>12</v>
      </c>
      <c r="H3009" s="9"/>
      <c r="I3009" s="9"/>
      <c r="J3009" s="9" t="s">
        <v>589</v>
      </c>
      <c r="K3009" s="9"/>
      <c r="L3009" s="9"/>
      <c r="M3009" s="9" t="s">
        <v>10947</v>
      </c>
      <c r="N3009" s="9"/>
      <c r="O3009" s="9" t="s">
        <v>10948</v>
      </c>
      <c r="P3009" s="9" t="str">
        <f>HYPERLINK("https://ceds.ed.gov/cedselementdetails.aspx?termid=14648")</f>
        <v>https://ceds.ed.gov/cedselementdetails.aspx?termid=14648</v>
      </c>
      <c r="Q3009" s="9" t="str">
        <f>HYPERLINK("https://ceds.ed.gov/elementComment.aspx?elementName=Course Repeatability Maximum Number &amp;elementID=14648", "Click here to submit comment")</f>
        <v>Click here to submit comment</v>
      </c>
    </row>
    <row r="3010" spans="1:17" ht="120" x14ac:dyDescent="0.25">
      <c r="A3010" s="9" t="s">
        <v>6878</v>
      </c>
      <c r="B3010" s="9" t="s">
        <v>6847</v>
      </c>
      <c r="C3010" s="9" t="s">
        <v>6848</v>
      </c>
      <c r="D3010" s="9" t="s">
        <v>6742</v>
      </c>
      <c r="E3010" s="9" t="s">
        <v>5331</v>
      </c>
      <c r="F3010" s="9" t="s">
        <v>5332</v>
      </c>
      <c r="G3010" s="9" t="s">
        <v>12</v>
      </c>
      <c r="H3010" s="9" t="s">
        <v>6150</v>
      </c>
      <c r="I3010" s="9"/>
      <c r="J3010" s="9" t="s">
        <v>2088</v>
      </c>
      <c r="K3010" s="9"/>
      <c r="L3010" s="9" t="s">
        <v>5333</v>
      </c>
      <c r="M3010" s="9" t="s">
        <v>5334</v>
      </c>
      <c r="N3010" s="9" t="s">
        <v>5335</v>
      </c>
      <c r="O3010" s="9" t="s">
        <v>5336</v>
      </c>
      <c r="P3010" s="9" t="str">
        <f>HYPERLINK("https://ceds.ed.gov/cedselementdetails.aspx?termid=13250")</f>
        <v>https://ceds.ed.gov/cedselementdetails.aspx?termid=13250</v>
      </c>
      <c r="Q3010" s="9" t="str">
        <f>HYPERLINK("https://ceds.ed.gov/elementComment.aspx?elementName=School Courses for the Exchange of Data Sequence of Course &amp;elementID=13250", "Click here to submit comment")</f>
        <v>Click here to submit comment</v>
      </c>
    </row>
    <row r="3011" spans="1:17" ht="105" x14ac:dyDescent="0.25">
      <c r="A3011" s="18" t="s">
        <v>6878</v>
      </c>
      <c r="B3011" s="18" t="s">
        <v>6847</v>
      </c>
      <c r="C3011" s="18" t="s">
        <v>6761</v>
      </c>
      <c r="D3011" s="18" t="s">
        <v>6742</v>
      </c>
      <c r="E3011" s="18" t="s">
        <v>5732</v>
      </c>
      <c r="F3011" s="18" t="s">
        <v>5733</v>
      </c>
      <c r="G3011" s="18" t="s">
        <v>12</v>
      </c>
      <c r="H3011" s="18" t="s">
        <v>6290</v>
      </c>
      <c r="I3011" s="18"/>
      <c r="J3011" s="18" t="s">
        <v>119</v>
      </c>
      <c r="K3011" s="18"/>
      <c r="L3011" s="9" t="s">
        <v>120</v>
      </c>
      <c r="M3011" s="18" t="s">
        <v>5734</v>
      </c>
      <c r="N3011" s="18"/>
      <c r="O3011" s="18" t="s">
        <v>5735</v>
      </c>
      <c r="P3011" s="18" t="str">
        <f>HYPERLINK("https://ceds.ed.gov/cedselementdetails.aspx?termid=13157")</f>
        <v>https://ceds.ed.gov/cedselementdetails.aspx?termid=13157</v>
      </c>
      <c r="Q3011" s="18" t="str">
        <f>HYPERLINK("https://ceds.ed.gov/elementComment.aspx?elementName=Student Identifier &amp;elementID=13157", "Click here to submit comment")</f>
        <v>Click here to submit comment</v>
      </c>
    </row>
    <row r="3012" spans="1:17" x14ac:dyDescent="0.25">
      <c r="A3012" s="18"/>
      <c r="B3012" s="18"/>
      <c r="C3012" s="18"/>
      <c r="D3012" s="18"/>
      <c r="E3012" s="18"/>
      <c r="F3012" s="18"/>
      <c r="G3012" s="18"/>
      <c r="H3012" s="18"/>
      <c r="I3012" s="18"/>
      <c r="J3012" s="18"/>
      <c r="K3012" s="18"/>
      <c r="L3012" s="9"/>
      <c r="M3012" s="18"/>
      <c r="N3012" s="18"/>
      <c r="O3012" s="18"/>
      <c r="P3012" s="18"/>
      <c r="Q3012" s="18"/>
    </row>
    <row r="3013" spans="1:17" ht="90" x14ac:dyDescent="0.25">
      <c r="A3013" s="18"/>
      <c r="B3013" s="18"/>
      <c r="C3013" s="18"/>
      <c r="D3013" s="18"/>
      <c r="E3013" s="18"/>
      <c r="F3013" s="18"/>
      <c r="G3013" s="18"/>
      <c r="H3013" s="18"/>
      <c r="I3013" s="18"/>
      <c r="J3013" s="18"/>
      <c r="K3013" s="18"/>
      <c r="L3013" s="9" t="s">
        <v>121</v>
      </c>
      <c r="M3013" s="18"/>
      <c r="N3013" s="18"/>
      <c r="O3013" s="18"/>
      <c r="P3013" s="18"/>
      <c r="Q3013" s="18"/>
    </row>
    <row r="3014" spans="1:17" ht="210" x14ac:dyDescent="0.25">
      <c r="A3014" s="9" t="s">
        <v>6878</v>
      </c>
      <c r="B3014" s="9" t="s">
        <v>6847</v>
      </c>
      <c r="C3014" s="9" t="s">
        <v>6761</v>
      </c>
      <c r="D3014" s="9" t="s">
        <v>6742</v>
      </c>
      <c r="E3014" s="9" t="s">
        <v>5728</v>
      </c>
      <c r="F3014" s="9" t="s">
        <v>5729</v>
      </c>
      <c r="G3014" s="10" t="s">
        <v>6706</v>
      </c>
      <c r="H3014" s="9" t="s">
        <v>6290</v>
      </c>
      <c r="I3014" s="9"/>
      <c r="J3014" s="9"/>
      <c r="K3014" s="9"/>
      <c r="L3014" s="9"/>
      <c r="M3014" s="9" t="s">
        <v>5730</v>
      </c>
      <c r="N3014" s="9"/>
      <c r="O3014" s="9" t="s">
        <v>5731</v>
      </c>
      <c r="P3014" s="9" t="str">
        <f>HYPERLINK("https://ceds.ed.gov/cedselementdetails.aspx?termid=13163")</f>
        <v>https://ceds.ed.gov/cedselementdetails.aspx?termid=13163</v>
      </c>
      <c r="Q3014" s="9" t="str">
        <f>HYPERLINK("https://ceds.ed.gov/elementComment.aspx?elementName=Student Identification System &amp;elementID=13163", "Click here to submit comment")</f>
        <v>Click here to submit comment</v>
      </c>
    </row>
    <row r="3015" spans="1:17" ht="45" x14ac:dyDescent="0.25">
      <c r="A3015" s="9" t="s">
        <v>6878</v>
      </c>
      <c r="B3015" s="9" t="s">
        <v>6847</v>
      </c>
      <c r="C3015" s="9" t="s">
        <v>6761</v>
      </c>
      <c r="D3015" s="9" t="s">
        <v>6742</v>
      </c>
      <c r="E3015" s="9" t="s">
        <v>2019</v>
      </c>
      <c r="F3015" s="9" t="s">
        <v>2020</v>
      </c>
      <c r="G3015" s="9" t="s">
        <v>12</v>
      </c>
      <c r="H3015" s="9" t="s">
        <v>25</v>
      </c>
      <c r="I3015" s="9"/>
      <c r="J3015" s="9" t="s">
        <v>22</v>
      </c>
      <c r="K3015" s="9"/>
      <c r="L3015" s="9"/>
      <c r="M3015" s="9" t="s">
        <v>2021</v>
      </c>
      <c r="N3015" s="9"/>
      <c r="O3015" s="9" t="s">
        <v>2022</v>
      </c>
      <c r="P3015" s="9" t="str">
        <f>HYPERLINK("https://ceds.ed.gov/cedselementdetails.aspx?termid=13063")</f>
        <v>https://ceds.ed.gov/cedselementdetails.aspx?termid=13063</v>
      </c>
      <c r="Q3015" s="9" t="str">
        <f>HYPERLINK("https://ceds.ed.gov/elementComment.aspx?elementName=Course Override School &amp;elementID=13063", "Click here to submit comment")</f>
        <v>Click here to submit comment</v>
      </c>
    </row>
    <row r="3016" spans="1:17" ht="45" x14ac:dyDescent="0.25">
      <c r="A3016" s="9" t="s">
        <v>6878</v>
      </c>
      <c r="B3016" s="9" t="s">
        <v>6847</v>
      </c>
      <c r="C3016" s="9" t="s">
        <v>6761</v>
      </c>
      <c r="D3016" s="9" t="s">
        <v>6742</v>
      </c>
      <c r="E3016" s="9" t="s">
        <v>1912</v>
      </c>
      <c r="F3016" s="9" t="s">
        <v>1913</v>
      </c>
      <c r="G3016" s="9" t="s">
        <v>12</v>
      </c>
      <c r="H3016" s="9"/>
      <c r="I3016" s="9"/>
      <c r="J3016" s="9" t="s">
        <v>73</v>
      </c>
      <c r="K3016" s="9"/>
      <c r="L3016" s="9"/>
      <c r="M3016" s="9" t="s">
        <v>1914</v>
      </c>
      <c r="N3016" s="9"/>
      <c r="O3016" s="9" t="s">
        <v>1915</v>
      </c>
      <c r="P3016" s="9" t="str">
        <f>HYPERLINK("https://ceds.ed.gov/cedselementdetails.aspx?termid=14266")</f>
        <v>https://ceds.ed.gov/cedselementdetails.aspx?termid=14266</v>
      </c>
      <c r="Q3016" s="9" t="str">
        <f>HYPERLINK("https://ceds.ed.gov/elementComment.aspx?elementName=Course Add Date &amp;elementID=14266", "Click here to submit comment")</f>
        <v>Click here to submit comment</v>
      </c>
    </row>
    <row r="3017" spans="1:17" ht="45" x14ac:dyDescent="0.25">
      <c r="A3017" s="9" t="s">
        <v>6878</v>
      </c>
      <c r="B3017" s="9" t="s">
        <v>6847</v>
      </c>
      <c r="C3017" s="9" t="s">
        <v>6761</v>
      </c>
      <c r="D3017" s="9" t="s">
        <v>6742</v>
      </c>
      <c r="E3017" s="9" t="s">
        <v>1959</v>
      </c>
      <c r="F3017" s="9" t="s">
        <v>1960</v>
      </c>
      <c r="G3017" s="9" t="s">
        <v>12</v>
      </c>
      <c r="H3017" s="9" t="s">
        <v>1963</v>
      </c>
      <c r="I3017" s="9"/>
      <c r="J3017" s="9" t="s">
        <v>73</v>
      </c>
      <c r="K3017" s="9"/>
      <c r="L3017" s="9"/>
      <c r="M3017" s="9" t="s">
        <v>1961</v>
      </c>
      <c r="N3017" s="9"/>
      <c r="O3017" s="9" t="s">
        <v>1962</v>
      </c>
      <c r="P3017" s="9" t="str">
        <f>HYPERLINK("https://ceds.ed.gov/cedselementdetails.aspx?termid=14271")</f>
        <v>https://ceds.ed.gov/cedselementdetails.aspx?termid=14271</v>
      </c>
      <c r="Q3017" s="9" t="str">
        <f>HYPERLINK("https://ceds.ed.gov/elementComment.aspx?elementName=Course Drop Date &amp;elementID=14271", "Click here to submit comment")</f>
        <v>Click here to submit comment</v>
      </c>
    </row>
    <row r="3018" spans="1:17" ht="45" x14ac:dyDescent="0.25">
      <c r="A3018" s="9" t="s">
        <v>6878</v>
      </c>
      <c r="B3018" s="9" t="s">
        <v>6847</v>
      </c>
      <c r="C3018" s="9" t="s">
        <v>6761</v>
      </c>
      <c r="D3018" s="9" t="s">
        <v>6742</v>
      </c>
      <c r="E3018" s="9" t="s">
        <v>2195</v>
      </c>
      <c r="F3018" s="9" t="s">
        <v>2196</v>
      </c>
      <c r="G3018" s="9" t="s">
        <v>6106</v>
      </c>
      <c r="H3018" s="9" t="s">
        <v>25</v>
      </c>
      <c r="I3018" s="9"/>
      <c r="J3018" s="9"/>
      <c r="K3018" s="9"/>
      <c r="L3018" s="9"/>
      <c r="M3018" s="9" t="s">
        <v>2197</v>
      </c>
      <c r="N3018" s="9"/>
      <c r="O3018" s="9" t="s">
        <v>2198</v>
      </c>
      <c r="P3018" s="9" t="str">
        <f>HYPERLINK("https://ceds.ed.gov/cedselementdetails.aspx?termid=13077")</f>
        <v>https://ceds.ed.gov/cedselementdetails.aspx?termid=13077</v>
      </c>
      <c r="Q3018" s="9" t="str">
        <f>HYPERLINK("https://ceds.ed.gov/elementComment.aspx?elementName=Degree Applicability &amp;elementID=13077", "Click here to submit comment")</f>
        <v>Click here to submit comment</v>
      </c>
    </row>
    <row r="3019" spans="1:17" ht="90" x14ac:dyDescent="0.25">
      <c r="A3019" s="9" t="s">
        <v>6878</v>
      </c>
      <c r="B3019" s="9" t="s">
        <v>6847</v>
      </c>
      <c r="C3019" s="9" t="s">
        <v>6761</v>
      </c>
      <c r="D3019" s="9" t="s">
        <v>6742</v>
      </c>
      <c r="E3019" s="9" t="s">
        <v>5716</v>
      </c>
      <c r="F3019" s="9" t="s">
        <v>5717</v>
      </c>
      <c r="G3019" s="9" t="s">
        <v>12</v>
      </c>
      <c r="H3019" s="9" t="s">
        <v>6109</v>
      </c>
      <c r="I3019" s="9"/>
      <c r="J3019" s="9" t="s">
        <v>1900</v>
      </c>
      <c r="K3019" s="9"/>
      <c r="L3019" s="9"/>
      <c r="M3019" s="9" t="s">
        <v>5718</v>
      </c>
      <c r="N3019" s="9"/>
      <c r="O3019" s="9" t="s">
        <v>5719</v>
      </c>
      <c r="P3019" s="9" t="str">
        <f>HYPERLINK("https://ceds.ed.gov/cedselementdetails.aspx?termid=13124")</f>
        <v>https://ceds.ed.gov/cedselementdetails.aspx?termid=13124</v>
      </c>
      <c r="Q3019" s="9" t="str">
        <f>HYPERLINK("https://ceds.ed.gov/elementComment.aspx?elementName=Student Course Section Grade Earned &amp;elementID=13124", "Click here to submit comment")</f>
        <v>Click here to submit comment</v>
      </c>
    </row>
    <row r="3020" spans="1:17" ht="45" x14ac:dyDescent="0.25">
      <c r="A3020" s="9" t="s">
        <v>6878</v>
      </c>
      <c r="B3020" s="9" t="s">
        <v>6847</v>
      </c>
      <c r="C3020" s="9" t="s">
        <v>6761</v>
      </c>
      <c r="D3020" s="9" t="s">
        <v>6742</v>
      </c>
      <c r="E3020" s="9" t="s">
        <v>1898</v>
      </c>
      <c r="F3020" s="9" t="s">
        <v>1899</v>
      </c>
      <c r="G3020" s="9" t="s">
        <v>12</v>
      </c>
      <c r="H3020" s="9" t="s">
        <v>6161</v>
      </c>
      <c r="I3020" s="9"/>
      <c r="J3020" s="9" t="s">
        <v>1900</v>
      </c>
      <c r="K3020" s="9"/>
      <c r="L3020" s="9"/>
      <c r="M3020" s="9" t="s">
        <v>1901</v>
      </c>
      <c r="N3020" s="9"/>
      <c r="O3020" s="9" t="s">
        <v>1902</v>
      </c>
      <c r="P3020" s="9" t="str">
        <f>HYPERLINK("https://ceds.ed.gov/cedselementdetails.aspx?termid=13053")</f>
        <v>https://ceds.ed.gov/cedselementdetails.aspx?termid=13053</v>
      </c>
      <c r="Q3020" s="9" t="str">
        <f>HYPERLINK("https://ceds.ed.gov/elementComment.aspx?elementName=Course Academic Grade &amp;elementID=13053", "Click here to submit comment")</f>
        <v>Click here to submit comment</v>
      </c>
    </row>
    <row r="3021" spans="1:17" ht="120" x14ac:dyDescent="0.25">
      <c r="A3021" s="9" t="s">
        <v>6878</v>
      </c>
      <c r="B3021" s="9" t="s">
        <v>6847</v>
      </c>
      <c r="C3021" s="9" t="s">
        <v>6761</v>
      </c>
      <c r="D3021" s="9" t="s">
        <v>6742</v>
      </c>
      <c r="E3021" s="9" t="s">
        <v>4365</v>
      </c>
      <c r="F3021" s="9" t="s">
        <v>4366</v>
      </c>
      <c r="G3021" s="9" t="s">
        <v>12</v>
      </c>
      <c r="H3021" s="9" t="s">
        <v>6241</v>
      </c>
      <c r="I3021" s="9"/>
      <c r="J3021" s="9" t="s">
        <v>1513</v>
      </c>
      <c r="K3021" s="9"/>
      <c r="L3021" s="9"/>
      <c r="M3021" s="9" t="s">
        <v>4367</v>
      </c>
      <c r="N3021" s="9"/>
      <c r="O3021" s="9" t="s">
        <v>4368</v>
      </c>
      <c r="P3021" s="9" t="str">
        <f>HYPERLINK("https://ceds.ed.gov/cedselementdetails.aspx?termid=13200")</f>
        <v>https://ceds.ed.gov/cedselementdetails.aspx?termid=13200</v>
      </c>
      <c r="Q3021" s="9" t="str">
        <f>HYPERLINK("https://ceds.ed.gov/elementComment.aspx?elementName=Number of Credits Earned &amp;elementID=13200", "Click here to submit comment")</f>
        <v>Click here to submit comment</v>
      </c>
    </row>
    <row r="3022" spans="1:17" ht="60" x14ac:dyDescent="0.25">
      <c r="A3022" s="9" t="s">
        <v>6878</v>
      </c>
      <c r="B3022" s="9" t="s">
        <v>6847</v>
      </c>
      <c r="C3022" s="9" t="s">
        <v>6761</v>
      </c>
      <c r="D3022" s="9" t="s">
        <v>6742</v>
      </c>
      <c r="E3022" s="9" t="s">
        <v>2023</v>
      </c>
      <c r="F3022" s="9" t="s">
        <v>2024</v>
      </c>
      <c r="G3022" s="9" t="s">
        <v>12</v>
      </c>
      <c r="H3022" s="9" t="s">
        <v>25</v>
      </c>
      <c r="I3022" s="9"/>
      <c r="J3022" s="9" t="s">
        <v>1513</v>
      </c>
      <c r="K3022" s="9"/>
      <c r="L3022" s="9"/>
      <c r="M3022" s="9" t="s">
        <v>2025</v>
      </c>
      <c r="N3022" s="9"/>
      <c r="O3022" s="9" t="s">
        <v>2026</v>
      </c>
      <c r="P3022" s="9" t="str">
        <f>HYPERLINK("https://ceds.ed.gov/cedselementdetails.aspx?termid=13064")</f>
        <v>https://ceds.ed.gov/cedselementdetails.aspx?termid=13064</v>
      </c>
      <c r="Q3022" s="9" t="str">
        <f>HYPERLINK("https://ceds.ed.gov/elementComment.aspx?elementName=Course Quality Points Earned &amp;elementID=13064", "Click here to submit comment")</f>
        <v>Click here to submit comment</v>
      </c>
    </row>
    <row r="3023" spans="1:17" ht="45" x14ac:dyDescent="0.25">
      <c r="A3023" s="9" t="s">
        <v>6878</v>
      </c>
      <c r="B3023" s="9" t="s">
        <v>6847</v>
      </c>
      <c r="C3023" s="9" t="s">
        <v>6761</v>
      </c>
      <c r="D3023" s="9" t="s">
        <v>6742</v>
      </c>
      <c r="E3023" s="9" t="s">
        <v>5720</v>
      </c>
      <c r="F3023" s="9" t="s">
        <v>5721</v>
      </c>
      <c r="G3023" s="9" t="s">
        <v>12</v>
      </c>
      <c r="H3023" s="9"/>
      <c r="I3023" s="9"/>
      <c r="J3023" s="9" t="s">
        <v>68</v>
      </c>
      <c r="K3023" s="9"/>
      <c r="L3023" s="9"/>
      <c r="M3023" s="9" t="s">
        <v>5722</v>
      </c>
      <c r="N3023" s="9"/>
      <c r="O3023" s="9" t="s">
        <v>5723</v>
      </c>
      <c r="P3023" s="9" t="str">
        <f>HYPERLINK("https://ceds.ed.gov/cedselementdetails.aspx?termid=14552")</f>
        <v>https://ceds.ed.gov/cedselementdetails.aspx?termid=14552</v>
      </c>
      <c r="Q3023" s="9" t="str">
        <f>HYPERLINK("https://ceds.ed.gov/elementComment.aspx?elementName=Student Course Section Grade Narrative &amp;elementID=14552", "Click here to submit comment")</f>
        <v>Click here to submit comment</v>
      </c>
    </row>
    <row r="3024" spans="1:17" ht="90" x14ac:dyDescent="0.25">
      <c r="A3024" s="9" t="s">
        <v>6878</v>
      </c>
      <c r="B3024" s="9" t="s">
        <v>6847</v>
      </c>
      <c r="C3024" s="9" t="s">
        <v>6849</v>
      </c>
      <c r="D3024" s="9" t="s">
        <v>6742</v>
      </c>
      <c r="E3024" s="9" t="s">
        <v>4150</v>
      </c>
      <c r="F3024" s="9" t="s">
        <v>4151</v>
      </c>
      <c r="G3024" s="9" t="s">
        <v>12</v>
      </c>
      <c r="H3024" s="9" t="s">
        <v>6109</v>
      </c>
      <c r="I3024" s="9"/>
      <c r="J3024" s="9" t="s">
        <v>87</v>
      </c>
      <c r="K3024" s="9"/>
      <c r="L3024" s="9"/>
      <c r="M3024" s="9" t="s">
        <v>4152</v>
      </c>
      <c r="N3024" s="9"/>
      <c r="O3024" s="9" t="s">
        <v>4153</v>
      </c>
      <c r="P3024" s="9" t="str">
        <f>HYPERLINK("https://ceds.ed.gov/cedselementdetails.aspx?termid=13182")</f>
        <v>https://ceds.ed.gov/cedselementdetails.aspx?termid=13182</v>
      </c>
      <c r="Q3024" s="9" t="str">
        <f>HYPERLINK("https://ceds.ed.gov/elementComment.aspx?elementName=Marking Period Name &amp;elementID=13182", "Click here to submit comment")</f>
        <v>Click here to submit comment</v>
      </c>
    </row>
    <row r="3025" spans="1:17" ht="90" x14ac:dyDescent="0.25">
      <c r="A3025" s="9" t="s">
        <v>6878</v>
      </c>
      <c r="B3025" s="9" t="s">
        <v>6847</v>
      </c>
      <c r="C3025" s="9" t="s">
        <v>6849</v>
      </c>
      <c r="D3025" s="9" t="s">
        <v>6742</v>
      </c>
      <c r="E3025" s="9" t="s">
        <v>4179</v>
      </c>
      <c r="F3025" s="9" t="s">
        <v>4180</v>
      </c>
      <c r="G3025" s="9" t="s">
        <v>12</v>
      </c>
      <c r="H3025" s="9" t="s">
        <v>6109</v>
      </c>
      <c r="I3025" s="9"/>
      <c r="J3025" s="9" t="s">
        <v>1900</v>
      </c>
      <c r="K3025" s="9"/>
      <c r="L3025" s="9"/>
      <c r="M3025" s="9" t="s">
        <v>4181</v>
      </c>
      <c r="N3025" s="9"/>
      <c r="O3025" s="9" t="s">
        <v>4182</v>
      </c>
      <c r="P3025" s="9" t="str">
        <f>HYPERLINK("https://ceds.ed.gov/cedselementdetails.aspx?termid=13183")</f>
        <v>https://ceds.ed.gov/cedselementdetails.aspx?termid=13183</v>
      </c>
      <c r="Q3025" s="9" t="str">
        <f>HYPERLINK("https://ceds.ed.gov/elementComment.aspx?elementName=Mid Term Mark &amp;elementID=13183", "Click here to submit comment")</f>
        <v>Click here to submit comment</v>
      </c>
    </row>
    <row r="3026" spans="1:17" ht="90" x14ac:dyDescent="0.25">
      <c r="A3026" s="9" t="s">
        <v>6878</v>
      </c>
      <c r="B3026" s="9" t="s">
        <v>6847</v>
      </c>
      <c r="C3026" s="9" t="s">
        <v>6849</v>
      </c>
      <c r="D3026" s="9" t="s">
        <v>6742</v>
      </c>
      <c r="E3026" s="9" t="s">
        <v>5716</v>
      </c>
      <c r="F3026" s="9" t="s">
        <v>5717</v>
      </c>
      <c r="G3026" s="9" t="s">
        <v>12</v>
      </c>
      <c r="H3026" s="9" t="s">
        <v>6109</v>
      </c>
      <c r="I3026" s="9"/>
      <c r="J3026" s="9" t="s">
        <v>1900</v>
      </c>
      <c r="K3026" s="9"/>
      <c r="L3026" s="9"/>
      <c r="M3026" s="9" t="s">
        <v>5718</v>
      </c>
      <c r="N3026" s="9"/>
      <c r="O3026" s="9" t="s">
        <v>5719</v>
      </c>
      <c r="P3026" s="9" t="str">
        <f>HYPERLINK("https://ceds.ed.gov/cedselementdetails.aspx?termid=13124")</f>
        <v>https://ceds.ed.gov/cedselementdetails.aspx?termid=13124</v>
      </c>
      <c r="Q3026" s="9" t="str">
        <f>HYPERLINK("https://ceds.ed.gov/elementComment.aspx?elementName=Student Course Section Grade Earned &amp;elementID=13124", "Click here to submit comment")</f>
        <v>Click here to submit comment</v>
      </c>
    </row>
    <row r="3027" spans="1:17" ht="45" x14ac:dyDescent="0.25">
      <c r="A3027" s="9" t="s">
        <v>6878</v>
      </c>
      <c r="B3027" s="9" t="s">
        <v>6847</v>
      </c>
      <c r="C3027" s="9" t="s">
        <v>6849</v>
      </c>
      <c r="D3027" s="9" t="s">
        <v>6742</v>
      </c>
      <c r="E3027" s="9" t="s">
        <v>5724</v>
      </c>
      <c r="F3027" s="9" t="s">
        <v>5725</v>
      </c>
      <c r="G3027" s="9" t="s">
        <v>6106</v>
      </c>
      <c r="H3027" s="9"/>
      <c r="I3027" s="9"/>
      <c r="J3027" s="9"/>
      <c r="K3027" s="9"/>
      <c r="L3027" s="9"/>
      <c r="M3027" s="9" t="s">
        <v>5726</v>
      </c>
      <c r="N3027" s="9"/>
      <c r="O3027" s="9" t="s">
        <v>5727</v>
      </c>
      <c r="P3027" s="9" t="str">
        <f>HYPERLINK("https://ceds.ed.gov/cedselementdetails.aspx?termid=14191")</f>
        <v>https://ceds.ed.gov/cedselementdetails.aspx?termid=14191</v>
      </c>
      <c r="Q3027" s="9" t="str">
        <f>HYPERLINK("https://ceds.ed.gov/elementComment.aspx?elementName=Student Course Section Mark Final Indicator &amp;elementID=14191", "Click here to submit comment")</f>
        <v>Click here to submit comment</v>
      </c>
    </row>
    <row r="3028" spans="1:17" ht="285" x14ac:dyDescent="0.25">
      <c r="A3028" s="9" t="s">
        <v>6878</v>
      </c>
      <c r="B3028" s="9" t="s">
        <v>6847</v>
      </c>
      <c r="C3028" s="9" t="s">
        <v>6849</v>
      </c>
      <c r="D3028" s="9" t="s">
        <v>6742</v>
      </c>
      <c r="E3028" s="9" t="s">
        <v>1908</v>
      </c>
      <c r="F3028" s="9" t="s">
        <v>1909</v>
      </c>
      <c r="G3028" s="10" t="s">
        <v>6419</v>
      </c>
      <c r="H3028" s="9"/>
      <c r="I3028" s="9"/>
      <c r="J3028" s="9"/>
      <c r="K3028" s="9"/>
      <c r="L3028" s="9"/>
      <c r="M3028" s="9" t="s">
        <v>1910</v>
      </c>
      <c r="N3028" s="9"/>
      <c r="O3028" s="9" t="s">
        <v>1911</v>
      </c>
      <c r="P3028" s="9" t="str">
        <f>HYPERLINK("https://ceds.ed.gov/cedselementdetails.aspx?termid=14265")</f>
        <v>https://ceds.ed.gov/cedselementdetails.aspx?termid=14265</v>
      </c>
      <c r="Q3028" s="9" t="str">
        <f>HYPERLINK("https://ceds.ed.gov/elementComment.aspx?elementName=Course Academic Grade Status Code &amp;elementID=14265", "Click here to submit comment")</f>
        <v>Click here to submit comment</v>
      </c>
    </row>
    <row r="3029" spans="1:17" ht="135" x14ac:dyDescent="0.25">
      <c r="A3029" s="9" t="s">
        <v>6878</v>
      </c>
      <c r="B3029" s="9" t="s">
        <v>6847</v>
      </c>
      <c r="C3029" s="9" t="s">
        <v>6849</v>
      </c>
      <c r="D3029" s="9" t="s">
        <v>6742</v>
      </c>
      <c r="E3029" s="9" t="s">
        <v>3047</v>
      </c>
      <c r="F3029" s="9" t="s">
        <v>3048</v>
      </c>
      <c r="G3029" s="9" t="s">
        <v>12</v>
      </c>
      <c r="H3029" s="9"/>
      <c r="I3029" s="9"/>
      <c r="J3029" s="9" t="s">
        <v>762</v>
      </c>
      <c r="K3029" s="9"/>
      <c r="L3029" s="9" t="s">
        <v>3049</v>
      </c>
      <c r="M3029" s="9" t="s">
        <v>3050</v>
      </c>
      <c r="N3029" s="9"/>
      <c r="O3029" s="9" t="s">
        <v>3051</v>
      </c>
      <c r="P3029" s="9" t="str">
        <f>HYPERLINK("https://ceds.ed.gov/cedselementdetails.aspx?termid=13609")</f>
        <v>https://ceds.ed.gov/cedselementdetails.aspx?termid=13609</v>
      </c>
      <c r="Q3029" s="9" t="str">
        <f>HYPERLINK("https://ceds.ed.gov/elementComment.aspx?elementName=Grade Value Qualifier &amp;elementID=13609", "Click here to submit comment")</f>
        <v>Click here to submit comment</v>
      </c>
    </row>
    <row r="3030" spans="1:17" ht="105" x14ac:dyDescent="0.25">
      <c r="A3030" s="18" t="s">
        <v>6878</v>
      </c>
      <c r="B3030" s="18" t="s">
        <v>6847</v>
      </c>
      <c r="C3030" s="18" t="s">
        <v>6850</v>
      </c>
      <c r="D3030" s="18" t="s">
        <v>6742</v>
      </c>
      <c r="E3030" s="18" t="s">
        <v>5621</v>
      </c>
      <c r="F3030" s="18" t="s">
        <v>5622</v>
      </c>
      <c r="G3030" s="18" t="s">
        <v>12</v>
      </c>
      <c r="H3030" s="18" t="s">
        <v>6284</v>
      </c>
      <c r="I3030" s="18"/>
      <c r="J3030" s="18" t="s">
        <v>119</v>
      </c>
      <c r="K3030" s="18"/>
      <c r="L3030" s="9" t="s">
        <v>120</v>
      </c>
      <c r="M3030" s="18" t="s">
        <v>5623</v>
      </c>
      <c r="N3030" s="18"/>
      <c r="O3030" s="18" t="s">
        <v>5624</v>
      </c>
      <c r="P3030" s="18" t="str">
        <f>HYPERLINK("https://ceds.ed.gov/cedselementdetails.aspx?termid=13156")</f>
        <v>https://ceds.ed.gov/cedselementdetails.aspx?termid=13156</v>
      </c>
      <c r="Q3030" s="18" t="str">
        <f>HYPERLINK("https://ceds.ed.gov/elementComment.aspx?elementName=Staff Member Identifier &amp;elementID=13156", "Click here to submit comment")</f>
        <v>Click here to submit comment</v>
      </c>
    </row>
    <row r="3031" spans="1:17" x14ac:dyDescent="0.25">
      <c r="A3031" s="18"/>
      <c r="B3031" s="18"/>
      <c r="C3031" s="18"/>
      <c r="D3031" s="18"/>
      <c r="E3031" s="18"/>
      <c r="F3031" s="18"/>
      <c r="G3031" s="18"/>
      <c r="H3031" s="18"/>
      <c r="I3031" s="18"/>
      <c r="J3031" s="18"/>
      <c r="K3031" s="18"/>
      <c r="L3031" s="9"/>
      <c r="M3031" s="18"/>
      <c r="N3031" s="18"/>
      <c r="O3031" s="18"/>
      <c r="P3031" s="18"/>
      <c r="Q3031" s="18"/>
    </row>
    <row r="3032" spans="1:17" ht="90" x14ac:dyDescent="0.25">
      <c r="A3032" s="18"/>
      <c r="B3032" s="18"/>
      <c r="C3032" s="18"/>
      <c r="D3032" s="18"/>
      <c r="E3032" s="18"/>
      <c r="F3032" s="18"/>
      <c r="G3032" s="18"/>
      <c r="H3032" s="18"/>
      <c r="I3032" s="18"/>
      <c r="J3032" s="18"/>
      <c r="K3032" s="18"/>
      <c r="L3032" s="9" t="s">
        <v>121</v>
      </c>
      <c r="M3032" s="18"/>
      <c r="N3032" s="18"/>
      <c r="O3032" s="18"/>
      <c r="P3032" s="18"/>
      <c r="Q3032" s="18"/>
    </row>
    <row r="3033" spans="1:17" ht="345" x14ac:dyDescent="0.25">
      <c r="A3033" s="9" t="s">
        <v>6878</v>
      </c>
      <c r="B3033" s="9" t="s">
        <v>6847</v>
      </c>
      <c r="C3033" s="9" t="s">
        <v>6850</v>
      </c>
      <c r="D3033" s="9" t="s">
        <v>6742</v>
      </c>
      <c r="E3033" s="9" t="s">
        <v>5617</v>
      </c>
      <c r="F3033" s="9" t="s">
        <v>5618</v>
      </c>
      <c r="G3033" s="10" t="s">
        <v>6700</v>
      </c>
      <c r="H3033" s="9" t="s">
        <v>6283</v>
      </c>
      <c r="I3033" s="9"/>
      <c r="J3033" s="9"/>
      <c r="K3033" s="9"/>
      <c r="L3033" s="9"/>
      <c r="M3033" s="9" t="s">
        <v>5619</v>
      </c>
      <c r="N3033" s="9"/>
      <c r="O3033" s="9" t="s">
        <v>5620</v>
      </c>
      <c r="P3033" s="9" t="str">
        <f>HYPERLINK("https://ceds.ed.gov/cedselementdetails.aspx?termid=13162")</f>
        <v>https://ceds.ed.gov/cedselementdetails.aspx?termid=13162</v>
      </c>
      <c r="Q3033" s="9" t="str">
        <f>HYPERLINK("https://ceds.ed.gov/elementComment.aspx?elementName=Staff Member Identification System &amp;elementID=13162", "Click here to submit comment")</f>
        <v>Click here to submit comment</v>
      </c>
    </row>
    <row r="3034" spans="1:17" ht="45" x14ac:dyDescent="0.25">
      <c r="A3034" s="9" t="s">
        <v>6878</v>
      </c>
      <c r="B3034" s="9" t="s">
        <v>6847</v>
      </c>
      <c r="C3034" s="9" t="s">
        <v>6850</v>
      </c>
      <c r="D3034" s="9" t="s">
        <v>6742</v>
      </c>
      <c r="E3034" s="9" t="s">
        <v>1451</v>
      </c>
      <c r="F3034" s="9" t="s">
        <v>1452</v>
      </c>
      <c r="G3034" s="9" t="s">
        <v>12</v>
      </c>
      <c r="H3034" s="9"/>
      <c r="I3034" s="9"/>
      <c r="J3034" s="9" t="s">
        <v>73</v>
      </c>
      <c r="K3034" s="9"/>
      <c r="L3034" s="9"/>
      <c r="M3034" s="9" t="s">
        <v>1453</v>
      </c>
      <c r="N3034" s="9"/>
      <c r="O3034" s="9" t="s">
        <v>1454</v>
      </c>
      <c r="P3034" s="9" t="str">
        <f>HYPERLINK("https://ceds.ed.gov/cedselementdetails.aspx?termid=13517")</f>
        <v>https://ceds.ed.gov/cedselementdetails.aspx?termid=13517</v>
      </c>
      <c r="Q3034" s="9" t="str">
        <f>HYPERLINK("https://ceds.ed.gov/elementComment.aspx?elementName=Assignment Start Date &amp;elementID=13517", "Click here to submit comment")</f>
        <v>Click here to submit comment</v>
      </c>
    </row>
    <row r="3035" spans="1:17" ht="45" x14ac:dyDescent="0.25">
      <c r="A3035" s="9" t="s">
        <v>6878</v>
      </c>
      <c r="B3035" s="9" t="s">
        <v>6847</v>
      </c>
      <c r="C3035" s="9" t="s">
        <v>6850</v>
      </c>
      <c r="D3035" s="9" t="s">
        <v>6742</v>
      </c>
      <c r="E3035" s="9" t="s">
        <v>1447</v>
      </c>
      <c r="F3035" s="9" t="s">
        <v>1448</v>
      </c>
      <c r="G3035" s="9" t="s">
        <v>12</v>
      </c>
      <c r="H3035" s="9"/>
      <c r="I3035" s="9"/>
      <c r="J3035" s="9" t="s">
        <v>73</v>
      </c>
      <c r="K3035" s="9"/>
      <c r="L3035" s="9"/>
      <c r="M3035" s="9" t="s">
        <v>1449</v>
      </c>
      <c r="N3035" s="9"/>
      <c r="O3035" s="9" t="s">
        <v>1450</v>
      </c>
      <c r="P3035" s="9" t="str">
        <f>HYPERLINK("https://ceds.ed.gov/cedselementdetails.aspx?termid=13518")</f>
        <v>https://ceds.ed.gov/cedselementdetails.aspx?termid=13518</v>
      </c>
      <c r="Q3035" s="9" t="str">
        <f>HYPERLINK("https://ceds.ed.gov/elementComment.aspx?elementName=Assignment End Date &amp;elementID=13518", "Click here to submit comment")</f>
        <v>Click here to submit comment</v>
      </c>
    </row>
    <row r="3036" spans="1:17" ht="60" x14ac:dyDescent="0.25">
      <c r="A3036" s="9" t="s">
        <v>6878</v>
      </c>
      <c r="B3036" s="9" t="s">
        <v>6847</v>
      </c>
      <c r="C3036" s="9" t="s">
        <v>6850</v>
      </c>
      <c r="D3036" s="9" t="s">
        <v>6742</v>
      </c>
      <c r="E3036" s="9" t="s">
        <v>5786</v>
      </c>
      <c r="F3036" s="9" t="s">
        <v>5787</v>
      </c>
      <c r="G3036" s="9" t="s">
        <v>6106</v>
      </c>
      <c r="H3036" s="9" t="s">
        <v>5791</v>
      </c>
      <c r="I3036" s="9"/>
      <c r="J3036" s="9"/>
      <c r="K3036" s="9"/>
      <c r="L3036" s="9" t="s">
        <v>5788</v>
      </c>
      <c r="M3036" s="9" t="s">
        <v>5789</v>
      </c>
      <c r="N3036" s="9"/>
      <c r="O3036" s="9" t="s">
        <v>5790</v>
      </c>
      <c r="P3036" s="9" t="str">
        <f>HYPERLINK("https://ceds.ed.gov/cedselementdetails.aspx?termid=13649")</f>
        <v>https://ceds.ed.gov/cedselementdetails.aspx?termid=13649</v>
      </c>
      <c r="Q3036" s="9" t="str">
        <f>HYPERLINK("https://ceds.ed.gov/elementComment.aspx?elementName=Teacher of Record &amp;elementID=13649", "Click here to submit comment")</f>
        <v>Click here to submit comment</v>
      </c>
    </row>
    <row r="3037" spans="1:17" ht="90" x14ac:dyDescent="0.25">
      <c r="A3037" s="9" t="s">
        <v>6878</v>
      </c>
      <c r="B3037" s="9" t="s">
        <v>6847</v>
      </c>
      <c r="C3037" s="9" t="s">
        <v>6850</v>
      </c>
      <c r="D3037" s="9" t="s">
        <v>6742</v>
      </c>
      <c r="E3037" s="9" t="s">
        <v>5813</v>
      </c>
      <c r="F3037" s="9" t="s">
        <v>5814</v>
      </c>
      <c r="G3037" s="10" t="s">
        <v>6712</v>
      </c>
      <c r="H3037" s="9" t="s">
        <v>5791</v>
      </c>
      <c r="I3037" s="9"/>
      <c r="J3037" s="9"/>
      <c r="K3037" s="9"/>
      <c r="L3037" s="9"/>
      <c r="M3037" s="9" t="s">
        <v>5815</v>
      </c>
      <c r="N3037" s="9"/>
      <c r="O3037" s="9" t="s">
        <v>5816</v>
      </c>
      <c r="P3037" s="9" t="str">
        <f>HYPERLINK("https://ceds.ed.gov/cedselementdetails.aspx?termid=13650")</f>
        <v>https://ceds.ed.gov/cedselementdetails.aspx?termid=13650</v>
      </c>
      <c r="Q3037" s="9" t="str">
        <f>HYPERLINK("https://ceds.ed.gov/elementComment.aspx?elementName=Teaching Assignment Role &amp;elementID=13650", "Click here to submit comment")</f>
        <v>Click here to submit comment</v>
      </c>
    </row>
    <row r="3038" spans="1:17" ht="90" x14ac:dyDescent="0.25">
      <c r="A3038" s="9" t="s">
        <v>6878</v>
      </c>
      <c r="B3038" s="9" t="s">
        <v>6847</v>
      </c>
      <c r="C3038" s="9" t="s">
        <v>6850</v>
      </c>
      <c r="D3038" s="9" t="s">
        <v>6742</v>
      </c>
      <c r="E3038" s="9" t="s">
        <v>5805</v>
      </c>
      <c r="F3038" s="9" t="s">
        <v>5806</v>
      </c>
      <c r="G3038" s="9" t="s">
        <v>12</v>
      </c>
      <c r="H3038" s="9" t="s">
        <v>5791</v>
      </c>
      <c r="I3038" s="9"/>
      <c r="J3038" s="9" t="s">
        <v>10496</v>
      </c>
      <c r="K3038" s="9"/>
      <c r="L3038" s="9"/>
      <c r="M3038" s="9" t="s">
        <v>5807</v>
      </c>
      <c r="N3038" s="9"/>
      <c r="O3038" s="9" t="s">
        <v>5808</v>
      </c>
      <c r="P3038" s="9" t="str">
        <f>HYPERLINK("https://ceds.ed.gov/cedselementdetails.aspx?termid=13651")</f>
        <v>https://ceds.ed.gov/cedselementdetails.aspx?termid=13651</v>
      </c>
      <c r="Q3038" s="9" t="str">
        <f>HYPERLINK("https://ceds.ed.gov/elementComment.aspx?elementName=Teaching Assignment Contribution Percentage &amp;elementID=13651", "Click here to submit comment")</f>
        <v>Click here to submit comment</v>
      </c>
    </row>
    <row r="3039" spans="1:17" ht="270" x14ac:dyDescent="0.25">
      <c r="A3039" s="9" t="s">
        <v>6878</v>
      </c>
      <c r="B3039" s="9" t="s">
        <v>6847</v>
      </c>
      <c r="C3039" s="9" t="s">
        <v>6850</v>
      </c>
      <c r="D3039" s="9" t="s">
        <v>6742</v>
      </c>
      <c r="E3039" s="9" t="s">
        <v>1798</v>
      </c>
      <c r="F3039" s="9" t="s">
        <v>1799</v>
      </c>
      <c r="G3039" s="10" t="s">
        <v>6409</v>
      </c>
      <c r="H3039" s="9"/>
      <c r="I3039" s="9"/>
      <c r="J3039" s="9"/>
      <c r="K3039" s="9"/>
      <c r="L3039" s="9"/>
      <c r="M3039" s="9" t="s">
        <v>1800</v>
      </c>
      <c r="N3039" s="9"/>
      <c r="O3039" s="9" t="s">
        <v>1801</v>
      </c>
      <c r="P3039" s="9" t="str">
        <f>HYPERLINK("https://ceds.ed.gov/cedselementdetails.aspx?termid=13615")</f>
        <v>https://ceds.ed.gov/cedselementdetails.aspx?termid=13615</v>
      </c>
      <c r="Q3039" s="9" t="str">
        <f>HYPERLINK("https://ceds.ed.gov/elementComment.aspx?elementName=Classroom Position Type &amp;elementID=13615", "Click here to submit comment")</f>
        <v>Click here to submit comment</v>
      </c>
    </row>
    <row r="3040" spans="1:17" ht="45" x14ac:dyDescent="0.25">
      <c r="A3040" s="9" t="s">
        <v>6878</v>
      </c>
      <c r="B3040" s="9" t="s">
        <v>6847</v>
      </c>
      <c r="C3040" s="9" t="s">
        <v>6830</v>
      </c>
      <c r="D3040" s="9" t="s">
        <v>6742</v>
      </c>
      <c r="E3040" s="9" t="s">
        <v>1455</v>
      </c>
      <c r="F3040" s="9" t="s">
        <v>1456</v>
      </c>
      <c r="G3040" s="9" t="s">
        <v>12</v>
      </c>
      <c r="H3040" s="9"/>
      <c r="I3040" s="9"/>
      <c r="J3040" s="9" t="s">
        <v>73</v>
      </c>
      <c r="K3040" s="9"/>
      <c r="L3040" s="9"/>
      <c r="M3040" s="9" t="s">
        <v>1458</v>
      </c>
      <c r="N3040" s="9"/>
      <c r="O3040" s="9" t="s">
        <v>1459</v>
      </c>
      <c r="P3040" s="9" t="str">
        <f>HYPERLINK("https://ceds.ed.gov/cedselementdetails.aspx?termid=14630")</f>
        <v>https://ceds.ed.gov/cedselementdetails.aspx?termid=14630</v>
      </c>
      <c r="Q3040" s="9" t="str">
        <f>HYPERLINK("https://ceds.ed.gov/elementComment.aspx?elementName=Attendance Event Date &amp;elementID=14630", "Click here to submit comment")</f>
        <v>Click here to submit comment</v>
      </c>
    </row>
    <row r="3041" spans="1:17" ht="120" x14ac:dyDescent="0.25">
      <c r="A3041" s="9" t="s">
        <v>6878</v>
      </c>
      <c r="B3041" s="9" t="s">
        <v>6847</v>
      </c>
      <c r="C3041" s="9" t="s">
        <v>6830</v>
      </c>
      <c r="D3041" s="9" t="s">
        <v>6742</v>
      </c>
      <c r="E3041" s="9" t="s">
        <v>1460</v>
      </c>
      <c r="F3041" s="9" t="s">
        <v>1461</v>
      </c>
      <c r="G3041" s="10" t="s">
        <v>6389</v>
      </c>
      <c r="H3041" s="9"/>
      <c r="I3041" s="9"/>
      <c r="J3041" s="9"/>
      <c r="K3041" s="9"/>
      <c r="L3041" s="9"/>
      <c r="M3041" s="9" t="s">
        <v>1462</v>
      </c>
      <c r="N3041" s="9"/>
      <c r="O3041" s="9" t="s">
        <v>1463</v>
      </c>
      <c r="P3041" s="9" t="str">
        <f>HYPERLINK("https://ceds.ed.gov/cedselementdetails.aspx?termid=13594")</f>
        <v>https://ceds.ed.gov/cedselementdetails.aspx?termid=13594</v>
      </c>
      <c r="Q3041" s="9" t="str">
        <f>HYPERLINK("https://ceds.ed.gov/elementComment.aspx?elementName=Attendance Event Type &amp;elementID=13594", "Click here to submit comment")</f>
        <v>Click here to submit comment</v>
      </c>
    </row>
    <row r="3042" spans="1:17" ht="105" x14ac:dyDescent="0.25">
      <c r="A3042" s="9" t="s">
        <v>6878</v>
      </c>
      <c r="B3042" s="9" t="s">
        <v>6847</v>
      </c>
      <c r="C3042" s="9" t="s">
        <v>6830</v>
      </c>
      <c r="D3042" s="9" t="s">
        <v>6742</v>
      </c>
      <c r="E3042" s="9" t="s">
        <v>1464</v>
      </c>
      <c r="F3042" s="9" t="s">
        <v>1465</v>
      </c>
      <c r="G3042" s="10" t="s">
        <v>6390</v>
      </c>
      <c r="H3042" s="9"/>
      <c r="I3042" s="9"/>
      <c r="J3042" s="9"/>
      <c r="K3042" s="9"/>
      <c r="L3042" s="9"/>
      <c r="M3042" s="9" t="s">
        <v>1466</v>
      </c>
      <c r="N3042" s="9"/>
      <c r="O3042" s="9" t="s">
        <v>1467</v>
      </c>
      <c r="P3042" s="9" t="str">
        <f>HYPERLINK("https://ceds.ed.gov/cedselementdetails.aspx?termid=13076")</f>
        <v>https://ceds.ed.gov/cedselementdetails.aspx?termid=13076</v>
      </c>
      <c r="Q3042" s="9" t="str">
        <f>HYPERLINK("https://ceds.ed.gov/elementComment.aspx?elementName=Attendance Status &amp;elementID=13076", "Click here to submit comment")</f>
        <v>Click here to submit comment</v>
      </c>
    </row>
    <row r="3043" spans="1:17" ht="409.5" x14ac:dyDescent="0.25">
      <c r="A3043" s="9" t="s">
        <v>6878</v>
      </c>
      <c r="B3043" s="9" t="s">
        <v>6769</v>
      </c>
      <c r="C3043" s="9"/>
      <c r="D3043" s="9" t="s">
        <v>6742</v>
      </c>
      <c r="E3043" s="9" t="s">
        <v>4969</v>
      </c>
      <c r="F3043" s="9" t="s">
        <v>4970</v>
      </c>
      <c r="G3043" s="10" t="s">
        <v>11907</v>
      </c>
      <c r="H3043" s="9" t="s">
        <v>6109</v>
      </c>
      <c r="I3043" s="9"/>
      <c r="J3043" s="9"/>
      <c r="K3043" s="9"/>
      <c r="L3043" s="9"/>
      <c r="M3043" s="9" t="s">
        <v>4971</v>
      </c>
      <c r="N3043" s="9"/>
      <c r="O3043" s="9" t="s">
        <v>4972</v>
      </c>
      <c r="P3043" s="9" t="str">
        <f>HYPERLINK("https://ceds.ed.gov/cedselementdetails.aspx?termid=13225")</f>
        <v>https://ceds.ed.gov/cedselementdetails.aspx?termid=13225</v>
      </c>
      <c r="Q3043" s="9" t="str">
        <f>HYPERLINK("https://ceds.ed.gov/elementComment.aspx?elementName=Program Type &amp;elementID=13225", "Click here to submit comment")</f>
        <v>Click here to submit comment</v>
      </c>
    </row>
    <row r="3044" spans="1:17" ht="60" x14ac:dyDescent="0.25">
      <c r="A3044" s="9" t="s">
        <v>6878</v>
      </c>
      <c r="B3044" s="9" t="s">
        <v>6769</v>
      </c>
      <c r="C3044" s="9"/>
      <c r="D3044" s="9" t="s">
        <v>6742</v>
      </c>
      <c r="E3044" s="9" t="s">
        <v>4929</v>
      </c>
      <c r="F3044" s="9" t="s">
        <v>4930</v>
      </c>
      <c r="G3044" s="9" t="s">
        <v>12</v>
      </c>
      <c r="H3044" s="9" t="s">
        <v>1963</v>
      </c>
      <c r="I3044" s="9"/>
      <c r="J3044" s="9" t="s">
        <v>92</v>
      </c>
      <c r="K3044" s="9"/>
      <c r="L3044" s="9"/>
      <c r="M3044" s="9" t="s">
        <v>4931</v>
      </c>
      <c r="N3044" s="9"/>
      <c r="O3044" s="9" t="s">
        <v>4932</v>
      </c>
      <c r="P3044" s="9" t="str">
        <f>HYPERLINK("https://ceds.ed.gov/cedselementdetails.aspx?termid=13619")</f>
        <v>https://ceds.ed.gov/cedselementdetails.aspx?termid=13619</v>
      </c>
      <c r="Q3044" s="9" t="str">
        <f>HYPERLINK("https://ceds.ed.gov/elementComment.aspx?elementName=Program Name &amp;elementID=13619", "Click here to submit comment")</f>
        <v>Click here to submit comment</v>
      </c>
    </row>
    <row r="3045" spans="1:17" ht="360" x14ac:dyDescent="0.25">
      <c r="A3045" s="9" t="s">
        <v>6878</v>
      </c>
      <c r="B3045" s="9" t="s">
        <v>6769</v>
      </c>
      <c r="C3045" s="9"/>
      <c r="D3045" s="9" t="s">
        <v>6742</v>
      </c>
      <c r="E3045" s="9" t="s">
        <v>1627</v>
      </c>
      <c r="F3045" s="9" t="s">
        <v>1628</v>
      </c>
      <c r="G3045" s="10" t="s">
        <v>6396</v>
      </c>
      <c r="H3045" s="9"/>
      <c r="I3045" s="9"/>
      <c r="J3045" s="9"/>
      <c r="K3045" s="9"/>
      <c r="L3045" s="9" t="s">
        <v>1629</v>
      </c>
      <c r="M3045" s="9" t="s">
        <v>1630</v>
      </c>
      <c r="N3045" s="9"/>
      <c r="O3045" s="9" t="s">
        <v>1631</v>
      </c>
      <c r="P3045" s="9" t="str">
        <f>HYPERLINK("https://ceds.ed.gov/cedselementdetails.aspx?termid=14254")</f>
        <v>https://ceds.ed.gov/cedselementdetails.aspx?termid=14254</v>
      </c>
      <c r="Q3045" s="9" t="str">
        <f>HYPERLINK("https://ceds.ed.gov/elementComment.aspx?elementName=Career Cluster &amp;elementID=14254", "Click here to submit comment")</f>
        <v>Click here to submit comment</v>
      </c>
    </row>
    <row r="3046" spans="1:17" ht="270" x14ac:dyDescent="0.25">
      <c r="A3046" s="9" t="s">
        <v>6878</v>
      </c>
      <c r="B3046" s="9" t="s">
        <v>6769</v>
      </c>
      <c r="C3046" s="9"/>
      <c r="D3046" s="9" t="s">
        <v>6742</v>
      </c>
      <c r="E3046" s="9" t="s">
        <v>4961</v>
      </c>
      <c r="F3046" s="9" t="s">
        <v>4962</v>
      </c>
      <c r="G3046" s="10" t="s">
        <v>6665</v>
      </c>
      <c r="H3046" s="9"/>
      <c r="I3046" s="9"/>
      <c r="J3046" s="9"/>
      <c r="K3046" s="9"/>
      <c r="L3046" s="9"/>
      <c r="M3046" s="9" t="s">
        <v>4963</v>
      </c>
      <c r="N3046" s="9"/>
      <c r="O3046" s="9" t="s">
        <v>4964</v>
      </c>
      <c r="P3046" s="9" t="str">
        <f>HYPERLINK("https://ceds.ed.gov/cedselementdetails.aspx?termid=13692")</f>
        <v>https://ceds.ed.gov/cedselementdetails.aspx?termid=13692</v>
      </c>
      <c r="Q3046" s="9" t="str">
        <f>HYPERLINK("https://ceds.ed.gov/elementComment.aspx?elementName=Program Sponsor Type &amp;elementID=13692", "Click here to submit comment")</f>
        <v>Click here to submit comment</v>
      </c>
    </row>
    <row r="3047" spans="1:17" ht="105" x14ac:dyDescent="0.25">
      <c r="A3047" s="18" t="s">
        <v>6882</v>
      </c>
      <c r="B3047" s="18" t="s">
        <v>6888</v>
      </c>
      <c r="C3047" s="18"/>
      <c r="D3047" s="18" t="s">
        <v>6742</v>
      </c>
      <c r="E3047" s="18" t="s">
        <v>255</v>
      </c>
      <c r="F3047" s="18" t="s">
        <v>256</v>
      </c>
      <c r="G3047" s="18" t="s">
        <v>12</v>
      </c>
      <c r="H3047" s="18"/>
      <c r="I3047" s="18"/>
      <c r="J3047" s="18" t="s">
        <v>119</v>
      </c>
      <c r="K3047" s="18"/>
      <c r="L3047" s="9" t="s">
        <v>120</v>
      </c>
      <c r="M3047" s="18" t="s">
        <v>257</v>
      </c>
      <c r="N3047" s="18"/>
      <c r="O3047" s="18" t="s">
        <v>258</v>
      </c>
      <c r="P3047" s="18" t="str">
        <f>HYPERLINK("https://ceds.ed.gov/cedselementdetails.aspx?termid=13777")</f>
        <v>https://ceds.ed.gov/cedselementdetails.aspx?termid=13777</v>
      </c>
      <c r="Q3047" s="18" t="str">
        <f>HYPERLINK("https://ceds.ed.gov/elementComment.aspx?elementName=Adult Education Service Provider Identifier &amp;elementID=13777", "Click here to submit comment")</f>
        <v>Click here to submit comment</v>
      </c>
    </row>
    <row r="3048" spans="1:17" x14ac:dyDescent="0.25">
      <c r="A3048" s="18"/>
      <c r="B3048" s="18"/>
      <c r="C3048" s="18"/>
      <c r="D3048" s="18"/>
      <c r="E3048" s="18"/>
      <c r="F3048" s="18"/>
      <c r="G3048" s="18"/>
      <c r="H3048" s="18"/>
      <c r="I3048" s="18"/>
      <c r="J3048" s="18"/>
      <c r="K3048" s="18"/>
      <c r="L3048" s="9"/>
      <c r="M3048" s="18"/>
      <c r="N3048" s="18"/>
      <c r="O3048" s="18"/>
      <c r="P3048" s="18"/>
      <c r="Q3048" s="18"/>
    </row>
    <row r="3049" spans="1:17" ht="90" x14ac:dyDescent="0.25">
      <c r="A3049" s="18"/>
      <c r="B3049" s="18"/>
      <c r="C3049" s="18"/>
      <c r="D3049" s="18"/>
      <c r="E3049" s="18"/>
      <c r="F3049" s="18"/>
      <c r="G3049" s="18"/>
      <c r="H3049" s="18"/>
      <c r="I3049" s="18"/>
      <c r="J3049" s="18"/>
      <c r="K3049" s="18"/>
      <c r="L3049" s="9" t="s">
        <v>121</v>
      </c>
      <c r="M3049" s="18"/>
      <c r="N3049" s="18"/>
      <c r="O3049" s="18"/>
      <c r="P3049" s="18"/>
      <c r="Q3049" s="18"/>
    </row>
    <row r="3050" spans="1:17" ht="240" x14ac:dyDescent="0.25">
      <c r="A3050" s="9" t="s">
        <v>6882</v>
      </c>
      <c r="B3050" s="9" t="s">
        <v>6888</v>
      </c>
      <c r="C3050" s="9"/>
      <c r="D3050" s="9" t="s">
        <v>6742</v>
      </c>
      <c r="E3050" s="9" t="s">
        <v>251</v>
      </c>
      <c r="F3050" s="9" t="s">
        <v>252</v>
      </c>
      <c r="G3050" s="10" t="s">
        <v>6332</v>
      </c>
      <c r="H3050" s="9"/>
      <c r="I3050" s="9"/>
      <c r="J3050" s="9"/>
      <c r="K3050" s="9"/>
      <c r="L3050" s="9"/>
      <c r="M3050" s="9" t="s">
        <v>253</v>
      </c>
      <c r="N3050" s="9"/>
      <c r="O3050" s="9" t="s">
        <v>254</v>
      </c>
      <c r="P3050" s="9" t="str">
        <f>HYPERLINK("https://ceds.ed.gov/cedselementdetails.aspx?termid=13778")</f>
        <v>https://ceds.ed.gov/cedselementdetails.aspx?termid=13778</v>
      </c>
      <c r="Q3050" s="9" t="str">
        <f>HYPERLINK("https://ceds.ed.gov/elementComment.aspx?elementName=Adult Education Service Provider Identification System &amp;elementID=13778", "Click here to submit comment")</f>
        <v>Click here to submit comment</v>
      </c>
    </row>
    <row r="3051" spans="1:17" ht="195" x14ac:dyDescent="0.25">
      <c r="A3051" s="9" t="s">
        <v>6882</v>
      </c>
      <c r="B3051" s="9" t="s">
        <v>6888</v>
      </c>
      <c r="C3051" s="9"/>
      <c r="D3051" s="9" t="s">
        <v>6742</v>
      </c>
      <c r="E3051" s="9" t="s">
        <v>246</v>
      </c>
      <c r="F3051" s="9" t="s">
        <v>247</v>
      </c>
      <c r="G3051" s="10" t="s">
        <v>6331</v>
      </c>
      <c r="H3051" s="9"/>
      <c r="I3051" s="9"/>
      <c r="J3051" s="9"/>
      <c r="K3051" s="9"/>
      <c r="L3051" s="9"/>
      <c r="M3051" s="9" t="s">
        <v>249</v>
      </c>
      <c r="N3051" s="9"/>
      <c r="O3051" s="9" t="s">
        <v>250</v>
      </c>
      <c r="P3051" s="9" t="str">
        <f>HYPERLINK("https://ceds.ed.gov/cedselementdetails.aspx?termid=13779")</f>
        <v>https://ceds.ed.gov/cedselementdetails.aspx?termid=13779</v>
      </c>
      <c r="Q3051" s="9" t="str">
        <f>HYPERLINK("https://ceds.ed.gov/elementComment.aspx?elementName=Adult Education Provider Type &amp;elementID=13779", "Click here to submit comment")</f>
        <v>Click here to submit comment</v>
      </c>
    </row>
    <row r="3052" spans="1:17" ht="225" x14ac:dyDescent="0.25">
      <c r="A3052" s="9" t="s">
        <v>6882</v>
      </c>
      <c r="B3052" s="9" t="s">
        <v>6888</v>
      </c>
      <c r="C3052" s="9"/>
      <c r="D3052" s="9" t="s">
        <v>6742</v>
      </c>
      <c r="E3052" s="9" t="s">
        <v>4296</v>
      </c>
      <c r="F3052" s="9" t="s">
        <v>4297</v>
      </c>
      <c r="G3052" s="9" t="s">
        <v>12</v>
      </c>
      <c r="H3052" s="9" t="s">
        <v>6245</v>
      </c>
      <c r="I3052" s="9"/>
      <c r="J3052" s="9" t="s">
        <v>92</v>
      </c>
      <c r="K3052" s="9"/>
      <c r="L3052" s="9"/>
      <c r="M3052" s="9" t="s">
        <v>4298</v>
      </c>
      <c r="N3052" s="9"/>
      <c r="O3052" s="9" t="s">
        <v>4299</v>
      </c>
      <c r="P3052" s="9" t="str">
        <f>HYPERLINK("https://ceds.ed.gov/cedselementdetails.aspx?termid=13191")</f>
        <v>https://ceds.ed.gov/cedselementdetails.aspx?termid=13191</v>
      </c>
      <c r="Q3052" s="9" t="str">
        <f>HYPERLINK("https://ceds.ed.gov/elementComment.aspx?elementName=Name of Institution &amp;elementID=13191", "Click here to submit comment")</f>
        <v>Click here to submit comment</v>
      </c>
    </row>
    <row r="3053" spans="1:17" ht="90" x14ac:dyDescent="0.25">
      <c r="A3053" s="9" t="s">
        <v>6882</v>
      </c>
      <c r="B3053" s="9" t="s">
        <v>6888</v>
      </c>
      <c r="C3053" s="9"/>
      <c r="D3053" s="9" t="s">
        <v>6742</v>
      </c>
      <c r="E3053" s="9" t="s">
        <v>5476</v>
      </c>
      <c r="F3053" s="9" t="s">
        <v>5477</v>
      </c>
      <c r="G3053" s="9" t="s">
        <v>12</v>
      </c>
      <c r="H3053" s="9"/>
      <c r="I3053" s="9"/>
      <c r="J3053" s="9" t="s">
        <v>87</v>
      </c>
      <c r="K3053" s="9"/>
      <c r="L3053" s="9" t="s">
        <v>5478</v>
      </c>
      <c r="M3053" s="9" t="s">
        <v>5479</v>
      </c>
      <c r="N3053" s="9"/>
      <c r="O3053" s="9" t="s">
        <v>5480</v>
      </c>
      <c r="P3053" s="9" t="str">
        <f>HYPERLINK("https://ceds.ed.gov/cedselementdetails.aspx?termid=14459")</f>
        <v>https://ceds.ed.gov/cedselementdetails.aspx?termid=14459</v>
      </c>
      <c r="Q3053" s="9" t="str">
        <f>HYPERLINK("https://ceds.ed.gov/elementComment.aspx?elementName=Short Name of Institution &amp;elementID=14459", "Click here to submit comment")</f>
        <v>Click here to submit comment</v>
      </c>
    </row>
    <row r="3054" spans="1:17" ht="90" x14ac:dyDescent="0.25">
      <c r="A3054" s="9" t="s">
        <v>6882</v>
      </c>
      <c r="B3054" s="9" t="s">
        <v>6888</v>
      </c>
      <c r="C3054" s="9"/>
      <c r="D3054" s="9" t="s">
        <v>6742</v>
      </c>
      <c r="E3054" s="9" t="s">
        <v>4056</v>
      </c>
      <c r="F3054" s="9" t="s">
        <v>4057</v>
      </c>
      <c r="G3054" s="10" t="s">
        <v>6600</v>
      </c>
      <c r="H3054" s="9" t="s">
        <v>6161</v>
      </c>
      <c r="I3054" s="9"/>
      <c r="J3054" s="9"/>
      <c r="K3054" s="9"/>
      <c r="L3054" s="9"/>
      <c r="M3054" s="9" t="s">
        <v>4058</v>
      </c>
      <c r="N3054" s="9"/>
      <c r="O3054" s="9" t="s">
        <v>4059</v>
      </c>
      <c r="P3054" s="9" t="str">
        <f>HYPERLINK("https://ceds.ed.gov/cedselementdetails.aspx?termid=13178")</f>
        <v>https://ceds.ed.gov/cedselementdetails.aspx?termid=13178</v>
      </c>
      <c r="Q3054" s="9" t="str">
        <f>HYPERLINK("https://ceds.ed.gov/elementComment.aspx?elementName=Level of Institution &amp;elementID=13178", "Click here to submit comment")</f>
        <v>Click here to submit comment</v>
      </c>
    </row>
    <row r="3055" spans="1:17" ht="195" x14ac:dyDescent="0.25">
      <c r="A3055" s="9" t="s">
        <v>6882</v>
      </c>
      <c r="B3055" s="9" t="s">
        <v>6883</v>
      </c>
      <c r="C3055" s="9" t="s">
        <v>6741</v>
      </c>
      <c r="D3055" s="9" t="s">
        <v>6742</v>
      </c>
      <c r="E3055" s="9" t="s">
        <v>2935</v>
      </c>
      <c r="F3055" s="9" t="s">
        <v>2936</v>
      </c>
      <c r="G3055" s="9" t="s">
        <v>12</v>
      </c>
      <c r="H3055" s="9" t="s">
        <v>6211</v>
      </c>
      <c r="I3055" s="9"/>
      <c r="J3055" s="9" t="s">
        <v>1310</v>
      </c>
      <c r="K3055" s="9"/>
      <c r="L3055" s="9" t="s">
        <v>2937</v>
      </c>
      <c r="M3055" s="9" t="s">
        <v>2938</v>
      </c>
      <c r="N3055" s="9"/>
      <c r="O3055" s="9" t="s">
        <v>2939</v>
      </c>
      <c r="P3055" s="9" t="str">
        <f>HYPERLINK("https://ceds.ed.gov/cedselementdetails.aspx?termid=13115")</f>
        <v>https://ceds.ed.gov/cedselementdetails.aspx?termid=13115</v>
      </c>
      <c r="Q3055" s="9" t="str">
        <f>HYPERLINK("https://ceds.ed.gov/elementComment.aspx?elementName=First Name &amp;elementID=13115", "Click here to submit comment")</f>
        <v>Click here to submit comment</v>
      </c>
    </row>
    <row r="3056" spans="1:17" ht="90" customHeight="1" x14ac:dyDescent="0.25">
      <c r="A3056" s="18" t="s">
        <v>6882</v>
      </c>
      <c r="B3056" s="18" t="s">
        <v>6883</v>
      </c>
      <c r="C3056" s="18" t="s">
        <v>6741</v>
      </c>
      <c r="D3056" s="18" t="s">
        <v>6742</v>
      </c>
      <c r="E3056" s="18" t="s">
        <v>4183</v>
      </c>
      <c r="F3056" s="18" t="s">
        <v>4184</v>
      </c>
      <c r="G3056" s="18" t="s">
        <v>12</v>
      </c>
      <c r="H3056" s="18" t="s">
        <v>6211</v>
      </c>
      <c r="I3056" s="18"/>
      <c r="J3056" s="18" t="s">
        <v>1310</v>
      </c>
      <c r="K3056" s="18"/>
      <c r="L3056" s="9" t="s">
        <v>2996</v>
      </c>
      <c r="M3056" s="18" t="s">
        <v>4185</v>
      </c>
      <c r="N3056" s="18"/>
      <c r="O3056" s="18" t="s">
        <v>4186</v>
      </c>
      <c r="P3056" s="18" t="str">
        <f>HYPERLINK("https://ceds.ed.gov/cedselementdetails.aspx?termid=13184")</f>
        <v>https://ceds.ed.gov/cedselementdetails.aspx?termid=13184</v>
      </c>
      <c r="Q3056" s="18" t="str">
        <f>HYPERLINK("https://ceds.ed.gov/elementComment.aspx?elementName=Middle Name &amp;elementID=13184", "Click here to submit comment")</f>
        <v>Click here to submit comment</v>
      </c>
    </row>
    <row r="3057" spans="1:17" ht="90" x14ac:dyDescent="0.25">
      <c r="A3057" s="18"/>
      <c r="B3057" s="18"/>
      <c r="C3057" s="18"/>
      <c r="D3057" s="18"/>
      <c r="E3057" s="18"/>
      <c r="F3057" s="18"/>
      <c r="G3057" s="18"/>
      <c r="H3057" s="18"/>
      <c r="I3057" s="18"/>
      <c r="J3057" s="18"/>
      <c r="K3057" s="18"/>
      <c r="L3057" s="9" t="s">
        <v>2997</v>
      </c>
      <c r="M3057" s="18"/>
      <c r="N3057" s="18"/>
      <c r="O3057" s="18"/>
      <c r="P3057" s="18"/>
      <c r="Q3057" s="18"/>
    </row>
    <row r="3058" spans="1:17" ht="90" customHeight="1" x14ac:dyDescent="0.25">
      <c r="A3058" s="18" t="s">
        <v>6882</v>
      </c>
      <c r="B3058" s="18" t="s">
        <v>6883</v>
      </c>
      <c r="C3058" s="18" t="s">
        <v>6741</v>
      </c>
      <c r="D3058" s="18" t="s">
        <v>6742</v>
      </c>
      <c r="E3058" s="18" t="s">
        <v>3597</v>
      </c>
      <c r="F3058" s="18" t="s">
        <v>3598</v>
      </c>
      <c r="G3058" s="18" t="s">
        <v>12</v>
      </c>
      <c r="H3058" s="18" t="s">
        <v>6211</v>
      </c>
      <c r="I3058" s="18"/>
      <c r="J3058" s="18" t="s">
        <v>1310</v>
      </c>
      <c r="K3058" s="18"/>
      <c r="L3058" s="9" t="s">
        <v>2996</v>
      </c>
      <c r="M3058" s="18" t="s">
        <v>3599</v>
      </c>
      <c r="N3058" s="18" t="s">
        <v>3600</v>
      </c>
      <c r="O3058" s="18" t="s">
        <v>3601</v>
      </c>
      <c r="P3058" s="18" t="str">
        <f>HYPERLINK("https://ceds.ed.gov/cedselementdetails.aspx?termid=13172")</f>
        <v>https://ceds.ed.gov/cedselementdetails.aspx?termid=13172</v>
      </c>
      <c r="Q3058" s="18" t="str">
        <f>HYPERLINK("https://ceds.ed.gov/elementComment.aspx?elementName=Last or Surname &amp;elementID=13172", "Click here to submit comment")</f>
        <v>Click here to submit comment</v>
      </c>
    </row>
    <row r="3059" spans="1:17" ht="90" x14ac:dyDescent="0.25">
      <c r="A3059" s="18"/>
      <c r="B3059" s="18"/>
      <c r="C3059" s="18"/>
      <c r="D3059" s="18"/>
      <c r="E3059" s="18"/>
      <c r="F3059" s="18"/>
      <c r="G3059" s="18"/>
      <c r="H3059" s="18"/>
      <c r="I3059" s="18"/>
      <c r="J3059" s="18"/>
      <c r="K3059" s="18"/>
      <c r="L3059" s="9" t="s">
        <v>2997</v>
      </c>
      <c r="M3059" s="18"/>
      <c r="N3059" s="18"/>
      <c r="O3059" s="18"/>
      <c r="P3059" s="18"/>
      <c r="Q3059" s="18"/>
    </row>
    <row r="3060" spans="1:17" ht="45" customHeight="1" x14ac:dyDescent="0.25">
      <c r="A3060" s="18" t="s">
        <v>6882</v>
      </c>
      <c r="B3060" s="18" t="s">
        <v>6883</v>
      </c>
      <c r="C3060" s="18" t="s">
        <v>6741</v>
      </c>
      <c r="D3060" s="18" t="s">
        <v>6742</v>
      </c>
      <c r="E3060" s="18" t="s">
        <v>2994</v>
      </c>
      <c r="F3060" s="18" t="s">
        <v>2995</v>
      </c>
      <c r="G3060" s="18" t="s">
        <v>12</v>
      </c>
      <c r="H3060" s="18" t="s">
        <v>6212</v>
      </c>
      <c r="I3060" s="18"/>
      <c r="J3060" s="18" t="s">
        <v>2088</v>
      </c>
      <c r="K3060" s="18"/>
      <c r="L3060" s="9" t="s">
        <v>2996</v>
      </c>
      <c r="M3060" s="18" t="s">
        <v>2998</v>
      </c>
      <c r="N3060" s="18"/>
      <c r="O3060" s="18" t="s">
        <v>2999</v>
      </c>
      <c r="P3060" s="18" t="str">
        <f>HYPERLINK("https://ceds.ed.gov/cedselementdetails.aspx?termid=13121")</f>
        <v>https://ceds.ed.gov/cedselementdetails.aspx?termid=13121</v>
      </c>
      <c r="Q3060" s="18" t="str">
        <f>HYPERLINK("https://ceds.ed.gov/elementComment.aspx?elementName=Generation Code or Suffix &amp;elementID=13121", "Click here to submit comment")</f>
        <v>Click here to submit comment</v>
      </c>
    </row>
    <row r="3061" spans="1:17" ht="90" x14ac:dyDescent="0.25">
      <c r="A3061" s="18"/>
      <c r="B3061" s="18"/>
      <c r="C3061" s="18"/>
      <c r="D3061" s="18"/>
      <c r="E3061" s="18"/>
      <c r="F3061" s="18"/>
      <c r="G3061" s="18"/>
      <c r="H3061" s="18"/>
      <c r="I3061" s="18"/>
      <c r="J3061" s="18"/>
      <c r="K3061" s="18"/>
      <c r="L3061" s="9" t="s">
        <v>2997</v>
      </c>
      <c r="M3061" s="18"/>
      <c r="N3061" s="18"/>
      <c r="O3061" s="18"/>
      <c r="P3061" s="18"/>
      <c r="Q3061" s="18"/>
    </row>
    <row r="3062" spans="1:17" ht="105" x14ac:dyDescent="0.25">
      <c r="A3062" s="9" t="s">
        <v>6882</v>
      </c>
      <c r="B3062" s="9" t="s">
        <v>6883</v>
      </c>
      <c r="C3062" s="9" t="s">
        <v>6741</v>
      </c>
      <c r="D3062" s="9" t="s">
        <v>6742</v>
      </c>
      <c r="E3062" s="9" t="s">
        <v>4610</v>
      </c>
      <c r="F3062" s="9" t="s">
        <v>4611</v>
      </c>
      <c r="G3062" s="9" t="s">
        <v>12</v>
      </c>
      <c r="H3062" s="9" t="s">
        <v>6255</v>
      </c>
      <c r="I3062" s="9"/>
      <c r="J3062" s="9" t="s">
        <v>87</v>
      </c>
      <c r="K3062" s="9"/>
      <c r="L3062" s="9"/>
      <c r="M3062" s="9" t="s">
        <v>4612</v>
      </c>
      <c r="N3062" s="9" t="s">
        <v>4613</v>
      </c>
      <c r="O3062" s="9" t="s">
        <v>4614</v>
      </c>
      <c r="P3062" s="9" t="str">
        <f>HYPERLINK("https://ceds.ed.gov/cedselementdetails.aspx?termid=13212")</f>
        <v>https://ceds.ed.gov/cedselementdetails.aspx?termid=13212</v>
      </c>
      <c r="Q3062" s="9" t="str">
        <f>HYPERLINK("https://ceds.ed.gov/elementComment.aspx?elementName=Personal Title or Prefix &amp;elementID=13212", "Click here to submit comment")</f>
        <v>Click here to submit comment</v>
      </c>
    </row>
    <row r="3063" spans="1:17" ht="45" x14ac:dyDescent="0.25">
      <c r="A3063" s="9" t="s">
        <v>6882</v>
      </c>
      <c r="B3063" s="9" t="s">
        <v>6883</v>
      </c>
      <c r="C3063" s="9" t="s">
        <v>6743</v>
      </c>
      <c r="D3063" s="9" t="s">
        <v>6742</v>
      </c>
      <c r="E3063" s="9" t="s">
        <v>4481</v>
      </c>
      <c r="F3063" s="9" t="s">
        <v>4482</v>
      </c>
      <c r="G3063" s="9" t="s">
        <v>12</v>
      </c>
      <c r="H3063" s="9"/>
      <c r="I3063" s="9"/>
      <c r="J3063" s="9" t="s">
        <v>1310</v>
      </c>
      <c r="K3063" s="9"/>
      <c r="L3063" s="9" t="s">
        <v>4483</v>
      </c>
      <c r="M3063" s="9" t="s">
        <v>4484</v>
      </c>
      <c r="N3063" s="9"/>
      <c r="O3063" s="9" t="s">
        <v>4485</v>
      </c>
      <c r="P3063" s="9" t="str">
        <f>HYPERLINK("https://ceds.ed.gov/cedselementdetails.aspx?termid=14486")</f>
        <v>https://ceds.ed.gov/cedselementdetails.aspx?termid=14486</v>
      </c>
      <c r="Q3063" s="9" t="str">
        <f>HYPERLINK("https://ceds.ed.gov/elementComment.aspx?elementName=Other First Name &amp;elementID=14486", "Click here to submit comment")</f>
        <v>Click here to submit comment</v>
      </c>
    </row>
    <row r="3064" spans="1:17" ht="45" x14ac:dyDescent="0.25">
      <c r="A3064" s="9" t="s">
        <v>6882</v>
      </c>
      <c r="B3064" s="9" t="s">
        <v>6883</v>
      </c>
      <c r="C3064" s="9" t="s">
        <v>6743</v>
      </c>
      <c r="D3064" s="9" t="s">
        <v>6742</v>
      </c>
      <c r="E3064" s="9" t="s">
        <v>4491</v>
      </c>
      <c r="F3064" s="9" t="s">
        <v>4492</v>
      </c>
      <c r="G3064" s="9" t="s">
        <v>12</v>
      </c>
      <c r="H3064" s="9"/>
      <c r="I3064" s="9"/>
      <c r="J3064" s="9" t="s">
        <v>1310</v>
      </c>
      <c r="K3064" s="9"/>
      <c r="L3064" s="9" t="s">
        <v>4493</v>
      </c>
      <c r="M3064" s="9" t="s">
        <v>4494</v>
      </c>
      <c r="N3064" s="9"/>
      <c r="O3064" s="9" t="s">
        <v>4495</v>
      </c>
      <c r="P3064" s="9" t="str">
        <f>HYPERLINK("https://ceds.ed.gov/cedselementdetails.aspx?termid=14487")</f>
        <v>https://ceds.ed.gov/cedselementdetails.aspx?termid=14487</v>
      </c>
      <c r="Q3064" s="9" t="str">
        <f>HYPERLINK("https://ceds.ed.gov/elementComment.aspx?elementName=Other Middle Name &amp;elementID=14487", "Click here to submit comment")</f>
        <v>Click here to submit comment</v>
      </c>
    </row>
    <row r="3065" spans="1:17" ht="45" x14ac:dyDescent="0.25">
      <c r="A3065" s="9" t="s">
        <v>6882</v>
      </c>
      <c r="B3065" s="9" t="s">
        <v>6883</v>
      </c>
      <c r="C3065" s="9" t="s">
        <v>6743</v>
      </c>
      <c r="D3065" s="9" t="s">
        <v>6742</v>
      </c>
      <c r="E3065" s="9" t="s">
        <v>4486</v>
      </c>
      <c r="F3065" s="9" t="s">
        <v>4487</v>
      </c>
      <c r="G3065" s="9" t="s">
        <v>12</v>
      </c>
      <c r="H3065" s="9"/>
      <c r="I3065" s="9"/>
      <c r="J3065" s="9" t="s">
        <v>1310</v>
      </c>
      <c r="K3065" s="9"/>
      <c r="L3065" s="9" t="s">
        <v>4488</v>
      </c>
      <c r="M3065" s="9" t="s">
        <v>4489</v>
      </c>
      <c r="N3065" s="9"/>
      <c r="O3065" s="9" t="s">
        <v>4490</v>
      </c>
      <c r="P3065" s="9" t="str">
        <f>HYPERLINK("https://ceds.ed.gov/cedselementdetails.aspx?termid=14485")</f>
        <v>https://ceds.ed.gov/cedselementdetails.aspx?termid=14485</v>
      </c>
      <c r="Q3065" s="9" t="str">
        <f>HYPERLINK("https://ceds.ed.gov/elementComment.aspx?elementName=Other Last Name &amp;elementID=14485", "Click here to submit comment")</f>
        <v>Click here to submit comment</v>
      </c>
    </row>
    <row r="3066" spans="1:17" ht="150" x14ac:dyDescent="0.25">
      <c r="A3066" s="9" t="s">
        <v>6882</v>
      </c>
      <c r="B3066" s="9" t="s">
        <v>6883</v>
      </c>
      <c r="C3066" s="9" t="s">
        <v>6743</v>
      </c>
      <c r="D3066" s="9" t="s">
        <v>6742</v>
      </c>
      <c r="E3066" s="9" t="s">
        <v>4496</v>
      </c>
      <c r="F3066" s="9" t="s">
        <v>4497</v>
      </c>
      <c r="G3066" s="9" t="s">
        <v>12</v>
      </c>
      <c r="H3066" s="9" t="s">
        <v>6212</v>
      </c>
      <c r="I3066" s="9"/>
      <c r="J3066" s="9" t="s">
        <v>119</v>
      </c>
      <c r="K3066" s="9"/>
      <c r="L3066" s="9"/>
      <c r="M3066" s="9" t="s">
        <v>4498</v>
      </c>
      <c r="N3066" s="9"/>
      <c r="O3066" s="9" t="s">
        <v>4499</v>
      </c>
      <c r="P3066" s="9" t="str">
        <f>HYPERLINK("https://ceds.ed.gov/cedselementdetails.aspx?termid=13206")</f>
        <v>https://ceds.ed.gov/cedselementdetails.aspx?termid=13206</v>
      </c>
      <c r="Q3066" s="9" t="str">
        <f>HYPERLINK("https://ceds.ed.gov/elementComment.aspx?elementName=Other Name &amp;elementID=13206", "Click here to submit comment")</f>
        <v>Click here to submit comment</v>
      </c>
    </row>
    <row r="3067" spans="1:17" ht="165" x14ac:dyDescent="0.25">
      <c r="A3067" s="9" t="s">
        <v>6882</v>
      </c>
      <c r="B3067" s="9" t="s">
        <v>6883</v>
      </c>
      <c r="C3067" s="9" t="s">
        <v>6743</v>
      </c>
      <c r="D3067" s="9" t="s">
        <v>6742</v>
      </c>
      <c r="E3067" s="9" t="s">
        <v>4500</v>
      </c>
      <c r="F3067" s="9" t="s">
        <v>4501</v>
      </c>
      <c r="G3067" s="10" t="s">
        <v>6630</v>
      </c>
      <c r="H3067" s="9" t="s">
        <v>6251</v>
      </c>
      <c r="I3067" s="9"/>
      <c r="J3067" s="9" t="s">
        <v>87</v>
      </c>
      <c r="K3067" s="9"/>
      <c r="L3067" s="9"/>
      <c r="M3067" s="9" t="s">
        <v>4502</v>
      </c>
      <c r="N3067" s="9"/>
      <c r="O3067" s="9" t="s">
        <v>4503</v>
      </c>
      <c r="P3067" s="9" t="str">
        <f>HYPERLINK("https://ceds.ed.gov/cedselementdetails.aspx?termid=13627")</f>
        <v>https://ceds.ed.gov/cedselementdetails.aspx?termid=13627</v>
      </c>
      <c r="Q3067" s="9" t="str">
        <f>HYPERLINK("https://ceds.ed.gov/elementComment.aspx?elementName=Other Name Type &amp;elementID=13627", "Click here to submit comment")</f>
        <v>Click here to submit comment</v>
      </c>
    </row>
    <row r="3068" spans="1:17" ht="105" x14ac:dyDescent="0.25">
      <c r="A3068" s="18" t="s">
        <v>6882</v>
      </c>
      <c r="B3068" s="18" t="s">
        <v>6883</v>
      </c>
      <c r="C3068" s="18" t="s">
        <v>6744</v>
      </c>
      <c r="D3068" s="18" t="s">
        <v>6742</v>
      </c>
      <c r="E3068" s="18" t="s">
        <v>5732</v>
      </c>
      <c r="F3068" s="18" t="s">
        <v>5733</v>
      </c>
      <c r="G3068" s="18" t="s">
        <v>12</v>
      </c>
      <c r="H3068" s="18" t="s">
        <v>6290</v>
      </c>
      <c r="I3068" s="18"/>
      <c r="J3068" s="18" t="s">
        <v>119</v>
      </c>
      <c r="K3068" s="18"/>
      <c r="L3068" s="9" t="s">
        <v>120</v>
      </c>
      <c r="M3068" s="18" t="s">
        <v>5734</v>
      </c>
      <c r="N3068" s="18"/>
      <c r="O3068" s="18" t="s">
        <v>5735</v>
      </c>
      <c r="P3068" s="18" t="str">
        <f>HYPERLINK("https://ceds.ed.gov/cedselementdetails.aspx?termid=13157")</f>
        <v>https://ceds.ed.gov/cedselementdetails.aspx?termid=13157</v>
      </c>
      <c r="Q3068" s="18" t="str">
        <f>HYPERLINK("https://ceds.ed.gov/elementComment.aspx?elementName=Student Identifier &amp;elementID=13157", "Click here to submit comment")</f>
        <v>Click here to submit comment</v>
      </c>
    </row>
    <row r="3069" spans="1:17" x14ac:dyDescent="0.25">
      <c r="A3069" s="18"/>
      <c r="B3069" s="18"/>
      <c r="C3069" s="18"/>
      <c r="D3069" s="18"/>
      <c r="E3069" s="18"/>
      <c r="F3069" s="18"/>
      <c r="G3069" s="18"/>
      <c r="H3069" s="18"/>
      <c r="I3069" s="18"/>
      <c r="J3069" s="18"/>
      <c r="K3069" s="18"/>
      <c r="L3069" s="9"/>
      <c r="M3069" s="18"/>
      <c r="N3069" s="18"/>
      <c r="O3069" s="18"/>
      <c r="P3069" s="18"/>
      <c r="Q3069" s="18"/>
    </row>
    <row r="3070" spans="1:17" ht="90" x14ac:dyDescent="0.25">
      <c r="A3070" s="18"/>
      <c r="B3070" s="18"/>
      <c r="C3070" s="18"/>
      <c r="D3070" s="18"/>
      <c r="E3070" s="18"/>
      <c r="F3070" s="18"/>
      <c r="G3070" s="18"/>
      <c r="H3070" s="18"/>
      <c r="I3070" s="18"/>
      <c r="J3070" s="18"/>
      <c r="K3070" s="18"/>
      <c r="L3070" s="9" t="s">
        <v>121</v>
      </c>
      <c r="M3070" s="18"/>
      <c r="N3070" s="18"/>
      <c r="O3070" s="18"/>
      <c r="P3070" s="18"/>
      <c r="Q3070" s="18"/>
    </row>
    <row r="3071" spans="1:17" ht="210" x14ac:dyDescent="0.25">
      <c r="A3071" s="9" t="s">
        <v>6882</v>
      </c>
      <c r="B3071" s="9" t="s">
        <v>6883</v>
      </c>
      <c r="C3071" s="9" t="s">
        <v>6744</v>
      </c>
      <c r="D3071" s="9" t="s">
        <v>6742</v>
      </c>
      <c r="E3071" s="9" t="s">
        <v>5728</v>
      </c>
      <c r="F3071" s="9" t="s">
        <v>5729</v>
      </c>
      <c r="G3071" s="10" t="s">
        <v>6706</v>
      </c>
      <c r="H3071" s="9" t="s">
        <v>6290</v>
      </c>
      <c r="I3071" s="9"/>
      <c r="J3071" s="9"/>
      <c r="K3071" s="9"/>
      <c r="L3071" s="9"/>
      <c r="M3071" s="9" t="s">
        <v>5730</v>
      </c>
      <c r="N3071" s="9"/>
      <c r="O3071" s="9" t="s">
        <v>5731</v>
      </c>
      <c r="P3071" s="9" t="str">
        <f>HYPERLINK("https://ceds.ed.gov/cedselementdetails.aspx?termid=13163")</f>
        <v>https://ceds.ed.gov/cedselementdetails.aspx?termid=13163</v>
      </c>
      <c r="Q3071" s="9" t="str">
        <f>HYPERLINK("https://ceds.ed.gov/elementComment.aspx?elementName=Student Identification System &amp;elementID=13163", "Click here to submit comment")</f>
        <v>Click here to submit comment</v>
      </c>
    </row>
    <row r="3072" spans="1:17" ht="255" x14ac:dyDescent="0.25">
      <c r="A3072" s="9" t="s">
        <v>6882</v>
      </c>
      <c r="B3072" s="9" t="s">
        <v>6883</v>
      </c>
      <c r="C3072" s="9" t="s">
        <v>6744</v>
      </c>
      <c r="D3072" s="9" t="s">
        <v>6742</v>
      </c>
      <c r="E3072" s="9" t="s">
        <v>4606</v>
      </c>
      <c r="F3072" s="9" t="s">
        <v>4607</v>
      </c>
      <c r="G3072" s="10" t="s">
        <v>6637</v>
      </c>
      <c r="H3072" s="9"/>
      <c r="I3072" s="9"/>
      <c r="J3072" s="9"/>
      <c r="K3072" s="9"/>
      <c r="L3072" s="9"/>
      <c r="M3072" s="9" t="s">
        <v>4608</v>
      </c>
      <c r="N3072" s="9"/>
      <c r="O3072" s="9" t="s">
        <v>4609</v>
      </c>
      <c r="P3072" s="9" t="str">
        <f>HYPERLINK("https://ceds.ed.gov/cedselementdetails.aspx?termid=13611")</f>
        <v>https://ceds.ed.gov/cedselementdetails.aspx?termid=13611</v>
      </c>
      <c r="Q3072" s="9" t="str">
        <f>HYPERLINK("https://ceds.ed.gov/elementComment.aspx?elementName=Personal Information Verification &amp;elementID=13611", "Click here to submit comment")</f>
        <v>Click here to submit comment</v>
      </c>
    </row>
    <row r="3073" spans="1:17" ht="210" x14ac:dyDescent="0.25">
      <c r="A3073" s="9" t="s">
        <v>6882</v>
      </c>
      <c r="B3073" s="9" t="s">
        <v>6883</v>
      </c>
      <c r="C3073" s="9" t="s">
        <v>6745</v>
      </c>
      <c r="D3073" s="9" t="s">
        <v>6742</v>
      </c>
      <c r="E3073" s="9" t="s">
        <v>170</v>
      </c>
      <c r="F3073" s="9" t="s">
        <v>171</v>
      </c>
      <c r="G3073" s="10" t="s">
        <v>6319</v>
      </c>
      <c r="H3073" s="9" t="s">
        <v>6115</v>
      </c>
      <c r="I3073" s="9"/>
      <c r="J3073" s="9" t="s">
        <v>87</v>
      </c>
      <c r="K3073" s="9"/>
      <c r="L3073" s="9"/>
      <c r="M3073" s="9" t="s">
        <v>172</v>
      </c>
      <c r="N3073" s="9"/>
      <c r="O3073" s="9" t="s">
        <v>173</v>
      </c>
      <c r="P3073" s="9" t="str">
        <f>HYPERLINK("https://ceds.ed.gov/cedselementdetails.aspx?termid=13358")</f>
        <v>https://ceds.ed.gov/cedselementdetails.aspx?termid=13358</v>
      </c>
      <c r="Q3073" s="9" t="str">
        <f>HYPERLINK("https://ceds.ed.gov/elementComment.aspx?elementName=Address Type for Learner or Family &amp;elementID=13358", "Click here to submit comment")</f>
        <v>Click here to submit comment</v>
      </c>
    </row>
    <row r="3074" spans="1:17" ht="225" x14ac:dyDescent="0.25">
      <c r="A3074" s="9" t="s">
        <v>6882</v>
      </c>
      <c r="B3074" s="9" t="s">
        <v>6883</v>
      </c>
      <c r="C3074" s="9" t="s">
        <v>6745</v>
      </c>
      <c r="D3074" s="9" t="s">
        <v>6742</v>
      </c>
      <c r="E3074" s="9" t="s">
        <v>166</v>
      </c>
      <c r="F3074" s="9" t="s">
        <v>167</v>
      </c>
      <c r="G3074" s="9" t="s">
        <v>12</v>
      </c>
      <c r="H3074" s="9" t="s">
        <v>6113</v>
      </c>
      <c r="I3074" s="9"/>
      <c r="J3074" s="9" t="s">
        <v>119</v>
      </c>
      <c r="K3074" s="9"/>
      <c r="L3074" s="9"/>
      <c r="M3074" s="9" t="s">
        <v>168</v>
      </c>
      <c r="N3074" s="9"/>
      <c r="O3074" s="9" t="s">
        <v>169</v>
      </c>
      <c r="P3074" s="9" t="str">
        <f>HYPERLINK("https://ceds.ed.gov/cedselementdetails.aspx?termid=13269")</f>
        <v>https://ceds.ed.gov/cedselementdetails.aspx?termid=13269</v>
      </c>
      <c r="Q3074" s="9" t="str">
        <f>HYPERLINK("https://ceds.ed.gov/elementComment.aspx?elementName=Address Street Number and Name &amp;elementID=13269", "Click here to submit comment")</f>
        <v>Click here to submit comment</v>
      </c>
    </row>
    <row r="3075" spans="1:17" ht="225" x14ac:dyDescent="0.25">
      <c r="A3075" s="9" t="s">
        <v>6882</v>
      </c>
      <c r="B3075" s="9" t="s">
        <v>6883</v>
      </c>
      <c r="C3075" s="9" t="s">
        <v>6745</v>
      </c>
      <c r="D3075" s="9" t="s">
        <v>6742</v>
      </c>
      <c r="E3075" s="9" t="s">
        <v>149</v>
      </c>
      <c r="F3075" s="9" t="s">
        <v>150</v>
      </c>
      <c r="G3075" s="9" t="s">
        <v>12</v>
      </c>
      <c r="H3075" s="9" t="s">
        <v>6113</v>
      </c>
      <c r="I3075" s="9"/>
      <c r="J3075" s="9" t="s">
        <v>87</v>
      </c>
      <c r="K3075" s="9"/>
      <c r="L3075" s="9"/>
      <c r="M3075" s="9" t="s">
        <v>151</v>
      </c>
      <c r="N3075" s="9"/>
      <c r="O3075" s="9" t="s">
        <v>152</v>
      </c>
      <c r="P3075" s="9" t="str">
        <f>HYPERLINK("https://ceds.ed.gov/cedselementdetails.aspx?termid=13019")</f>
        <v>https://ceds.ed.gov/cedselementdetails.aspx?termid=13019</v>
      </c>
      <c r="Q3075" s="9" t="str">
        <f>HYPERLINK("https://ceds.ed.gov/elementComment.aspx?elementName=Address Apartment Room or Suite Number &amp;elementID=13019", "Click here to submit comment")</f>
        <v>Click here to submit comment</v>
      </c>
    </row>
    <row r="3076" spans="1:17" ht="225" x14ac:dyDescent="0.25">
      <c r="A3076" s="9" t="s">
        <v>6882</v>
      </c>
      <c r="B3076" s="9" t="s">
        <v>6883</v>
      </c>
      <c r="C3076" s="9" t="s">
        <v>6745</v>
      </c>
      <c r="D3076" s="9" t="s">
        <v>6742</v>
      </c>
      <c r="E3076" s="9" t="s">
        <v>153</v>
      </c>
      <c r="F3076" s="9" t="s">
        <v>154</v>
      </c>
      <c r="G3076" s="9" t="s">
        <v>12</v>
      </c>
      <c r="H3076" s="9" t="s">
        <v>6113</v>
      </c>
      <c r="I3076" s="9"/>
      <c r="J3076" s="9" t="s">
        <v>87</v>
      </c>
      <c r="K3076" s="9"/>
      <c r="L3076" s="9"/>
      <c r="M3076" s="9" t="s">
        <v>155</v>
      </c>
      <c r="N3076" s="9"/>
      <c r="O3076" s="9" t="s">
        <v>156</v>
      </c>
      <c r="P3076" s="9" t="str">
        <f>HYPERLINK("https://ceds.ed.gov/cedselementdetails.aspx?termid=13040")</f>
        <v>https://ceds.ed.gov/cedselementdetails.aspx?termid=13040</v>
      </c>
      <c r="Q3076" s="9" t="str">
        <f>HYPERLINK("https://ceds.ed.gov/elementComment.aspx?elementName=Address City &amp;elementID=13040", "Click here to submit comment")</f>
        <v>Click here to submit comment</v>
      </c>
    </row>
    <row r="3077" spans="1:17" ht="409.5" x14ac:dyDescent="0.25">
      <c r="A3077" s="9" t="s">
        <v>6882</v>
      </c>
      <c r="B3077" s="9" t="s">
        <v>6883</v>
      </c>
      <c r="C3077" s="9" t="s">
        <v>6745</v>
      </c>
      <c r="D3077" s="9" t="s">
        <v>6742</v>
      </c>
      <c r="E3077" s="9" t="s">
        <v>5647</v>
      </c>
      <c r="F3077" s="9" t="s">
        <v>5648</v>
      </c>
      <c r="G3077" s="10" t="s">
        <v>6702</v>
      </c>
      <c r="H3077" s="9" t="s">
        <v>6285</v>
      </c>
      <c r="I3077" s="9"/>
      <c r="J3077" s="9"/>
      <c r="K3077" s="9"/>
      <c r="L3077" s="9"/>
      <c r="M3077" s="9" t="s">
        <v>5649</v>
      </c>
      <c r="N3077" s="9"/>
      <c r="O3077" s="9" t="s">
        <v>5650</v>
      </c>
      <c r="P3077" s="9" t="str">
        <f>HYPERLINK("https://ceds.ed.gov/cedselementdetails.aspx?termid=13267")</f>
        <v>https://ceds.ed.gov/cedselementdetails.aspx?termid=13267</v>
      </c>
      <c r="Q3077" s="9" t="str">
        <f>HYPERLINK("https://ceds.ed.gov/elementComment.aspx?elementName=State Abbreviation &amp;elementID=13267", "Click here to submit comment")</f>
        <v>Click here to submit comment</v>
      </c>
    </row>
    <row r="3078" spans="1:17" ht="225" x14ac:dyDescent="0.25">
      <c r="A3078" s="9" t="s">
        <v>6882</v>
      </c>
      <c r="B3078" s="9" t="s">
        <v>6883</v>
      </c>
      <c r="C3078" s="9" t="s">
        <v>6745</v>
      </c>
      <c r="D3078" s="9" t="s">
        <v>6742</v>
      </c>
      <c r="E3078" s="9" t="s">
        <v>161</v>
      </c>
      <c r="F3078" s="9" t="s">
        <v>162</v>
      </c>
      <c r="G3078" s="9" t="s">
        <v>12</v>
      </c>
      <c r="H3078" s="9" t="s">
        <v>6113</v>
      </c>
      <c r="I3078" s="9"/>
      <c r="J3078" s="9" t="s">
        <v>163</v>
      </c>
      <c r="K3078" s="9"/>
      <c r="L3078" s="9"/>
      <c r="M3078" s="9" t="s">
        <v>164</v>
      </c>
      <c r="N3078" s="9"/>
      <c r="O3078" s="9" t="s">
        <v>165</v>
      </c>
      <c r="P3078" s="9" t="str">
        <f>HYPERLINK("https://ceds.ed.gov/cedselementdetails.aspx?termid=13214")</f>
        <v>https://ceds.ed.gov/cedselementdetails.aspx?termid=13214</v>
      </c>
      <c r="Q3078" s="9" t="str">
        <f>HYPERLINK("https://ceds.ed.gov/elementComment.aspx?elementName=Address Postal Code &amp;elementID=13214", "Click here to submit comment")</f>
        <v>Click here to submit comment</v>
      </c>
    </row>
    <row r="3079" spans="1:17" ht="225" x14ac:dyDescent="0.25">
      <c r="A3079" s="9" t="s">
        <v>6882</v>
      </c>
      <c r="B3079" s="9" t="s">
        <v>6883</v>
      </c>
      <c r="C3079" s="9" t="s">
        <v>6745</v>
      </c>
      <c r="D3079" s="9" t="s">
        <v>6742</v>
      </c>
      <c r="E3079" s="9" t="s">
        <v>157</v>
      </c>
      <c r="F3079" s="9" t="s">
        <v>158</v>
      </c>
      <c r="G3079" s="9" t="s">
        <v>12</v>
      </c>
      <c r="H3079" s="9" t="s">
        <v>6113</v>
      </c>
      <c r="I3079" s="9"/>
      <c r="J3079" s="9" t="s">
        <v>87</v>
      </c>
      <c r="K3079" s="9"/>
      <c r="L3079" s="9"/>
      <c r="M3079" s="9" t="s">
        <v>159</v>
      </c>
      <c r="N3079" s="9"/>
      <c r="O3079" s="9" t="s">
        <v>160</v>
      </c>
      <c r="P3079" s="9" t="str">
        <f>HYPERLINK("https://ceds.ed.gov/cedselementdetails.aspx?termid=13190")</f>
        <v>https://ceds.ed.gov/cedselementdetails.aspx?termid=13190</v>
      </c>
      <c r="Q3079" s="9" t="str">
        <f>HYPERLINK("https://ceds.ed.gov/elementComment.aspx?elementName=Address County Name &amp;elementID=13190", "Click here to submit comment")</f>
        <v>Click here to submit comment</v>
      </c>
    </row>
    <row r="3080" spans="1:17" ht="409.5" x14ac:dyDescent="0.25">
      <c r="A3080" s="9" t="s">
        <v>6882</v>
      </c>
      <c r="B3080" s="9" t="s">
        <v>6883</v>
      </c>
      <c r="C3080" s="9" t="s">
        <v>6745</v>
      </c>
      <c r="D3080" s="9" t="s">
        <v>6742</v>
      </c>
      <c r="E3080" s="9" t="s">
        <v>1885</v>
      </c>
      <c r="F3080" s="9" t="s">
        <v>1886</v>
      </c>
      <c r="G3080" s="10" t="s">
        <v>11839</v>
      </c>
      <c r="H3080" s="9" t="s">
        <v>6174</v>
      </c>
      <c r="I3080" s="9"/>
      <c r="J3080" s="9"/>
      <c r="K3080" s="9"/>
      <c r="L3080" s="11" t="s">
        <v>1887</v>
      </c>
      <c r="M3080" s="9" t="s">
        <v>1888</v>
      </c>
      <c r="N3080" s="9"/>
      <c r="O3080" s="9" t="s">
        <v>1889</v>
      </c>
      <c r="P3080" s="9" t="str">
        <f>HYPERLINK("https://ceds.ed.gov/cedselementdetails.aspx?termid=13050")</f>
        <v>https://ceds.ed.gov/cedselementdetails.aspx?termid=13050</v>
      </c>
      <c r="Q3080" s="9" t="str">
        <f>HYPERLINK("https://ceds.ed.gov/elementComment.aspx?elementName=Country Code &amp;elementID=13050", "Click here to submit comment")</f>
        <v>Click here to submit comment</v>
      </c>
    </row>
    <row r="3081" spans="1:17" ht="75" x14ac:dyDescent="0.25">
      <c r="A3081" s="9" t="s">
        <v>6882</v>
      </c>
      <c r="B3081" s="9" t="s">
        <v>6883</v>
      </c>
      <c r="C3081" s="9" t="s">
        <v>6745</v>
      </c>
      <c r="D3081" s="9" t="s">
        <v>6742</v>
      </c>
      <c r="E3081" s="9" t="s">
        <v>3606</v>
      </c>
      <c r="F3081" s="9" t="s">
        <v>3607</v>
      </c>
      <c r="G3081" s="9" t="s">
        <v>12</v>
      </c>
      <c r="H3081" s="9"/>
      <c r="I3081" s="9"/>
      <c r="J3081" s="9" t="s">
        <v>1165</v>
      </c>
      <c r="K3081" s="9"/>
      <c r="L3081" s="9"/>
      <c r="M3081" s="9" t="s">
        <v>3608</v>
      </c>
      <c r="N3081" s="9"/>
      <c r="O3081" s="9" t="s">
        <v>3606</v>
      </c>
      <c r="P3081" s="9" t="str">
        <f>HYPERLINK("https://ceds.ed.gov/cedselementdetails.aspx?termid=13599")</f>
        <v>https://ceds.ed.gov/cedselementdetails.aspx?termid=13599</v>
      </c>
      <c r="Q3081" s="9" t="str">
        <f>HYPERLINK("https://ceds.ed.gov/elementComment.aspx?elementName=Latitude &amp;elementID=13599", "Click here to submit comment")</f>
        <v>Click here to submit comment</v>
      </c>
    </row>
    <row r="3082" spans="1:17" ht="75" x14ac:dyDescent="0.25">
      <c r="A3082" s="9" t="s">
        <v>6882</v>
      </c>
      <c r="B3082" s="9" t="s">
        <v>6883</v>
      </c>
      <c r="C3082" s="9" t="s">
        <v>6745</v>
      </c>
      <c r="D3082" s="9" t="s">
        <v>6742</v>
      </c>
      <c r="E3082" s="9" t="s">
        <v>4139</v>
      </c>
      <c r="F3082" s="9" t="s">
        <v>4140</v>
      </c>
      <c r="G3082" s="9" t="s">
        <v>12</v>
      </c>
      <c r="H3082" s="9"/>
      <c r="I3082" s="9"/>
      <c r="J3082" s="9" t="s">
        <v>1165</v>
      </c>
      <c r="K3082" s="9"/>
      <c r="L3082" s="9"/>
      <c r="M3082" s="9" t="s">
        <v>4141</v>
      </c>
      <c r="N3082" s="9"/>
      <c r="O3082" s="9" t="s">
        <v>4139</v>
      </c>
      <c r="P3082" s="9" t="str">
        <f>HYPERLINK("https://ceds.ed.gov/cedselementdetails.aspx?termid=13600")</f>
        <v>https://ceds.ed.gov/cedselementdetails.aspx?termid=13600</v>
      </c>
      <c r="Q3082" s="9" t="str">
        <f>HYPERLINK("https://ceds.ed.gov/elementComment.aspx?elementName=Longitude &amp;elementID=13600", "Click here to submit comment")</f>
        <v>Click here to submit comment</v>
      </c>
    </row>
    <row r="3083" spans="1:17" ht="90" x14ac:dyDescent="0.25">
      <c r="A3083" s="9" t="s">
        <v>6882</v>
      </c>
      <c r="B3083" s="9" t="s">
        <v>6883</v>
      </c>
      <c r="C3083" s="9" t="s">
        <v>6747</v>
      </c>
      <c r="D3083" s="9" t="s">
        <v>6742</v>
      </c>
      <c r="E3083" s="9" t="s">
        <v>5854</v>
      </c>
      <c r="F3083" s="9" t="s">
        <v>5855</v>
      </c>
      <c r="G3083" s="10" t="s">
        <v>6717</v>
      </c>
      <c r="H3083" s="9" t="s">
        <v>6109</v>
      </c>
      <c r="I3083" s="9"/>
      <c r="J3083" s="9" t="s">
        <v>1900</v>
      </c>
      <c r="K3083" s="9"/>
      <c r="L3083" s="9"/>
      <c r="M3083" s="9" t="s">
        <v>5856</v>
      </c>
      <c r="N3083" s="9"/>
      <c r="O3083" s="9" t="s">
        <v>5857</v>
      </c>
      <c r="P3083" s="9" t="str">
        <f>HYPERLINK("https://ceds.ed.gov/cedselementdetails.aspx?termid=13280")</f>
        <v>https://ceds.ed.gov/cedselementdetails.aspx?termid=13280</v>
      </c>
      <c r="Q3083" s="9" t="str">
        <f>HYPERLINK("https://ceds.ed.gov/elementComment.aspx?elementName=Telephone Number Type &amp;elementID=13280", "Click here to submit comment")</f>
        <v>Click here to submit comment</v>
      </c>
    </row>
    <row r="3084" spans="1:17" ht="90" x14ac:dyDescent="0.25">
      <c r="A3084" s="9" t="s">
        <v>6882</v>
      </c>
      <c r="B3084" s="9" t="s">
        <v>6883</v>
      </c>
      <c r="C3084" s="9" t="s">
        <v>6747</v>
      </c>
      <c r="D3084" s="9" t="s">
        <v>6742</v>
      </c>
      <c r="E3084" s="9" t="s">
        <v>4709</v>
      </c>
      <c r="F3084" s="9" t="s">
        <v>4710</v>
      </c>
      <c r="G3084" s="9" t="s">
        <v>6106</v>
      </c>
      <c r="H3084" s="9" t="s">
        <v>6109</v>
      </c>
      <c r="I3084" s="9"/>
      <c r="J3084" s="9"/>
      <c r="K3084" s="9"/>
      <c r="L3084" s="9"/>
      <c r="M3084" s="9" t="s">
        <v>4711</v>
      </c>
      <c r="N3084" s="9"/>
      <c r="O3084" s="9" t="s">
        <v>4712</v>
      </c>
      <c r="P3084" s="9" t="str">
        <f>HYPERLINK("https://ceds.ed.gov/cedselementdetails.aspx?termid=13219")</f>
        <v>https://ceds.ed.gov/cedselementdetails.aspx?termid=13219</v>
      </c>
      <c r="Q3084" s="9" t="str">
        <f>HYPERLINK("https://ceds.ed.gov/elementComment.aspx?elementName=Primary Telephone Number Indicator &amp;elementID=13219", "Click here to submit comment")</f>
        <v>Click here to submit comment</v>
      </c>
    </row>
    <row r="3085" spans="1:17" ht="90" x14ac:dyDescent="0.25">
      <c r="A3085" s="9" t="s">
        <v>6882</v>
      </c>
      <c r="B3085" s="9" t="s">
        <v>6883</v>
      </c>
      <c r="C3085" s="9" t="s">
        <v>6747</v>
      </c>
      <c r="D3085" s="9" t="s">
        <v>6742</v>
      </c>
      <c r="E3085" s="9" t="s">
        <v>5849</v>
      </c>
      <c r="F3085" s="9" t="s">
        <v>5850</v>
      </c>
      <c r="G3085" s="9" t="s">
        <v>12</v>
      </c>
      <c r="H3085" s="9" t="s">
        <v>6109</v>
      </c>
      <c r="I3085" s="9"/>
      <c r="J3085" s="9" t="s">
        <v>5851</v>
      </c>
      <c r="K3085" s="9"/>
      <c r="L3085" s="9"/>
      <c r="M3085" s="9" t="s">
        <v>5852</v>
      </c>
      <c r="N3085" s="9"/>
      <c r="O3085" s="9" t="s">
        <v>5853</v>
      </c>
      <c r="P3085" s="9" t="str">
        <f>HYPERLINK("https://ceds.ed.gov/cedselementdetails.aspx?termid=13279")</f>
        <v>https://ceds.ed.gov/cedselementdetails.aspx?termid=13279</v>
      </c>
      <c r="Q3085" s="9" t="str">
        <f>HYPERLINK("https://ceds.ed.gov/elementComment.aspx?elementName=Telephone Number &amp;elementID=13279", "Click here to submit comment")</f>
        <v>Click here to submit comment</v>
      </c>
    </row>
    <row r="3086" spans="1:17" ht="90" x14ac:dyDescent="0.25">
      <c r="A3086" s="9" t="s">
        <v>6882</v>
      </c>
      <c r="B3086" s="9" t="s">
        <v>6883</v>
      </c>
      <c r="C3086" s="9" t="s">
        <v>6773</v>
      </c>
      <c r="D3086" s="9" t="s">
        <v>6742</v>
      </c>
      <c r="E3086" s="9" t="s">
        <v>2589</v>
      </c>
      <c r="F3086" s="9" t="s">
        <v>2590</v>
      </c>
      <c r="G3086" s="10" t="s">
        <v>6484</v>
      </c>
      <c r="H3086" s="9" t="s">
        <v>6109</v>
      </c>
      <c r="I3086" s="9"/>
      <c r="J3086" s="9"/>
      <c r="K3086" s="9"/>
      <c r="L3086" s="9"/>
      <c r="M3086" s="9" t="s">
        <v>2591</v>
      </c>
      <c r="N3086" s="9" t="s">
        <v>2592</v>
      </c>
      <c r="O3086" s="9" t="s">
        <v>2593</v>
      </c>
      <c r="P3086" s="9" t="str">
        <f>HYPERLINK("https://ceds.ed.gov/cedselementdetails.aspx?termid=13089")</f>
        <v>https://ceds.ed.gov/cedselementdetails.aspx?termid=13089</v>
      </c>
      <c r="Q3086" s="9" t="str">
        <f>HYPERLINK("https://ceds.ed.gov/elementComment.aspx?elementName=Electronic Mail Address Type &amp;elementID=13089", "Click here to submit comment")</f>
        <v>Click here to submit comment</v>
      </c>
    </row>
    <row r="3087" spans="1:17" ht="90" x14ac:dyDescent="0.25">
      <c r="A3087" s="9" t="s">
        <v>6882</v>
      </c>
      <c r="B3087" s="9" t="s">
        <v>6883</v>
      </c>
      <c r="C3087" s="9" t="s">
        <v>6773</v>
      </c>
      <c r="D3087" s="9" t="s">
        <v>6742</v>
      </c>
      <c r="E3087" s="9" t="s">
        <v>2584</v>
      </c>
      <c r="F3087" s="9" t="s">
        <v>2585</v>
      </c>
      <c r="G3087" s="9" t="s">
        <v>12</v>
      </c>
      <c r="H3087" s="9" t="s">
        <v>6109</v>
      </c>
      <c r="I3087" s="9"/>
      <c r="J3087" s="9" t="s">
        <v>11127</v>
      </c>
      <c r="K3087" s="9"/>
      <c r="L3087" s="9"/>
      <c r="M3087" s="9" t="s">
        <v>2586</v>
      </c>
      <c r="N3087" s="9" t="s">
        <v>2587</v>
      </c>
      <c r="O3087" s="9" t="s">
        <v>2588</v>
      </c>
      <c r="P3087" s="9" t="str">
        <f>HYPERLINK("https://ceds.ed.gov/cedselementdetails.aspx?termid=13088")</f>
        <v>https://ceds.ed.gov/cedselementdetails.aspx?termid=13088</v>
      </c>
      <c r="Q3087" s="9" t="str">
        <f>HYPERLINK("https://ceds.ed.gov/elementComment.aspx?elementName=Electronic Mail Address &amp;elementID=13088", "Click here to submit comment")</f>
        <v>Click here to submit comment</v>
      </c>
    </row>
    <row r="3088" spans="1:17" ht="240" x14ac:dyDescent="0.25">
      <c r="A3088" s="9" t="s">
        <v>6882</v>
      </c>
      <c r="B3088" s="9" t="s">
        <v>6883</v>
      </c>
      <c r="C3088" s="9" t="s">
        <v>6748</v>
      </c>
      <c r="D3088" s="9" t="s">
        <v>6742</v>
      </c>
      <c r="E3088" s="9" t="s">
        <v>1530</v>
      </c>
      <c r="F3088" s="9" t="s">
        <v>1531</v>
      </c>
      <c r="G3088" s="9" t="s">
        <v>12</v>
      </c>
      <c r="H3088" s="9" t="s">
        <v>6151</v>
      </c>
      <c r="I3088" s="9"/>
      <c r="J3088" s="9" t="s">
        <v>73</v>
      </c>
      <c r="K3088" s="9"/>
      <c r="L3088" s="9"/>
      <c r="M3088" s="9" t="s">
        <v>1532</v>
      </c>
      <c r="N3088" s="9"/>
      <c r="O3088" s="9" t="s">
        <v>1530</v>
      </c>
      <c r="P3088" s="9" t="str">
        <f>HYPERLINK("https://ceds.ed.gov/cedselementdetails.aspx?termid=13033")</f>
        <v>https://ceds.ed.gov/cedselementdetails.aspx?termid=13033</v>
      </c>
      <c r="Q3088" s="9" t="str">
        <f>HYPERLINK("https://ceds.ed.gov/elementComment.aspx?elementName=Birthdate &amp;elementID=13033", "Click here to submit comment")</f>
        <v>Click here to submit comment</v>
      </c>
    </row>
    <row r="3089" spans="1:17" ht="255" x14ac:dyDescent="0.25">
      <c r="A3089" s="9" t="s">
        <v>6882</v>
      </c>
      <c r="B3089" s="9" t="s">
        <v>6883</v>
      </c>
      <c r="C3089" s="9" t="s">
        <v>6748</v>
      </c>
      <c r="D3089" s="9" t="s">
        <v>6742</v>
      </c>
      <c r="E3089" s="9" t="s">
        <v>5468</v>
      </c>
      <c r="F3089" s="9" t="s">
        <v>5469</v>
      </c>
      <c r="G3089" s="10" t="s">
        <v>6694</v>
      </c>
      <c r="H3089" s="9" t="s">
        <v>6277</v>
      </c>
      <c r="I3089" s="9"/>
      <c r="J3089" s="9"/>
      <c r="K3089" s="9"/>
      <c r="L3089" s="9" t="s">
        <v>5470</v>
      </c>
      <c r="M3089" s="9" t="s">
        <v>5471</v>
      </c>
      <c r="N3089" s="9"/>
      <c r="O3089" s="9" t="s">
        <v>5468</v>
      </c>
      <c r="P3089" s="9" t="str">
        <f>HYPERLINK("https://ceds.ed.gov/cedselementdetails.aspx?termid=13255")</f>
        <v>https://ceds.ed.gov/cedselementdetails.aspx?termid=13255</v>
      </c>
      <c r="Q3089" s="9" t="str">
        <f>HYPERLINK("https://ceds.ed.gov/elementComment.aspx?elementName=Sex &amp;elementID=13255", "Click here to submit comment")</f>
        <v>Click here to submit comment</v>
      </c>
    </row>
    <row r="3090" spans="1:17" ht="165" customHeight="1" x14ac:dyDescent="0.25">
      <c r="A3090" s="18" t="s">
        <v>6882</v>
      </c>
      <c r="B3090" s="18" t="s">
        <v>6883</v>
      </c>
      <c r="C3090" s="18" t="s">
        <v>6748</v>
      </c>
      <c r="D3090" s="18" t="s">
        <v>6742</v>
      </c>
      <c r="E3090" s="18" t="s">
        <v>334</v>
      </c>
      <c r="F3090" s="18" t="s">
        <v>335</v>
      </c>
      <c r="G3090" s="19" t="s">
        <v>6342</v>
      </c>
      <c r="H3090" s="18" t="s">
        <v>6121</v>
      </c>
      <c r="I3090" s="18"/>
      <c r="J3090" s="18"/>
      <c r="K3090" s="18"/>
      <c r="L3090" s="9" t="s">
        <v>336</v>
      </c>
      <c r="M3090" s="18" t="s">
        <v>340</v>
      </c>
      <c r="N3090" s="18"/>
      <c r="O3090" s="18" t="s">
        <v>341</v>
      </c>
      <c r="P3090" s="18" t="str">
        <f>HYPERLINK("https://ceds.ed.gov/cedselementdetails.aspx?termid=13655")</f>
        <v>https://ceds.ed.gov/cedselementdetails.aspx?termid=13655</v>
      </c>
      <c r="Q3090" s="18" t="str">
        <f>HYPERLINK("https://ceds.ed.gov/elementComment.aspx?elementName=American Indian or Alaska Native &amp;elementID=13655", "Click here to submit comment")</f>
        <v>Click here to submit comment</v>
      </c>
    </row>
    <row r="3091" spans="1:17" x14ac:dyDescent="0.25">
      <c r="A3091" s="18"/>
      <c r="B3091" s="18"/>
      <c r="C3091" s="18"/>
      <c r="D3091" s="18"/>
      <c r="E3091" s="18"/>
      <c r="F3091" s="18"/>
      <c r="G3091" s="18"/>
      <c r="H3091" s="18"/>
      <c r="I3091" s="18"/>
      <c r="J3091" s="18"/>
      <c r="K3091" s="18"/>
      <c r="L3091" s="9"/>
      <c r="M3091" s="18"/>
      <c r="N3091" s="18"/>
      <c r="O3091" s="18"/>
      <c r="P3091" s="18"/>
      <c r="Q3091" s="18"/>
    </row>
    <row r="3092" spans="1:17" x14ac:dyDescent="0.25">
      <c r="A3092" s="18"/>
      <c r="B3092" s="18"/>
      <c r="C3092" s="18"/>
      <c r="D3092" s="18"/>
      <c r="E3092" s="18"/>
      <c r="F3092" s="18"/>
      <c r="G3092" s="18"/>
      <c r="H3092" s="18"/>
      <c r="I3092" s="18"/>
      <c r="J3092" s="18"/>
      <c r="K3092" s="18"/>
      <c r="L3092" s="9" t="s">
        <v>337</v>
      </c>
      <c r="M3092" s="18"/>
      <c r="N3092" s="18"/>
      <c r="O3092" s="18"/>
      <c r="P3092" s="18"/>
      <c r="Q3092" s="18"/>
    </row>
    <row r="3093" spans="1:17" ht="30" x14ac:dyDescent="0.25">
      <c r="A3093" s="18"/>
      <c r="B3093" s="18"/>
      <c r="C3093" s="18"/>
      <c r="D3093" s="18"/>
      <c r="E3093" s="18"/>
      <c r="F3093" s="18"/>
      <c r="G3093" s="18"/>
      <c r="H3093" s="18"/>
      <c r="I3093" s="18"/>
      <c r="J3093" s="18"/>
      <c r="K3093" s="18"/>
      <c r="L3093" s="9" t="s">
        <v>338</v>
      </c>
      <c r="M3093" s="18"/>
      <c r="N3093" s="18"/>
      <c r="O3093" s="18"/>
      <c r="P3093" s="18"/>
      <c r="Q3093" s="18"/>
    </row>
    <row r="3094" spans="1:17" x14ac:dyDescent="0.25">
      <c r="A3094" s="18"/>
      <c r="B3094" s="18"/>
      <c r="C3094" s="18"/>
      <c r="D3094" s="18"/>
      <c r="E3094" s="18"/>
      <c r="F3094" s="18"/>
      <c r="G3094" s="18"/>
      <c r="H3094" s="18"/>
      <c r="I3094" s="18"/>
      <c r="J3094" s="18"/>
      <c r="K3094" s="18"/>
      <c r="L3094" s="9" t="s">
        <v>339</v>
      </c>
      <c r="M3094" s="18"/>
      <c r="N3094" s="18"/>
      <c r="O3094" s="18"/>
      <c r="P3094" s="18"/>
      <c r="Q3094" s="18"/>
    </row>
    <row r="3095" spans="1:17" ht="165" customHeight="1" x14ac:dyDescent="0.25">
      <c r="A3095" s="18" t="s">
        <v>6882</v>
      </c>
      <c r="B3095" s="18" t="s">
        <v>6883</v>
      </c>
      <c r="C3095" s="18" t="s">
        <v>6748</v>
      </c>
      <c r="D3095" s="18" t="s">
        <v>6742</v>
      </c>
      <c r="E3095" s="18" t="s">
        <v>376</v>
      </c>
      <c r="F3095" s="18" t="s">
        <v>377</v>
      </c>
      <c r="G3095" s="19" t="s">
        <v>6342</v>
      </c>
      <c r="H3095" s="18" t="s">
        <v>6121</v>
      </c>
      <c r="I3095" s="18"/>
      <c r="J3095" s="18"/>
      <c r="K3095" s="18"/>
      <c r="L3095" s="9" t="s">
        <v>336</v>
      </c>
      <c r="M3095" s="18" t="s">
        <v>378</v>
      </c>
      <c r="N3095" s="18"/>
      <c r="O3095" s="18" t="s">
        <v>376</v>
      </c>
      <c r="P3095" s="18" t="str">
        <f>HYPERLINK("https://ceds.ed.gov/cedselementdetails.aspx?termid=13656")</f>
        <v>https://ceds.ed.gov/cedselementdetails.aspx?termid=13656</v>
      </c>
      <c r="Q3095" s="18" t="str">
        <f>HYPERLINK("https://ceds.ed.gov/elementComment.aspx?elementName=Asian &amp;elementID=13656", "Click here to submit comment")</f>
        <v>Click here to submit comment</v>
      </c>
    </row>
    <row r="3096" spans="1:17" x14ac:dyDescent="0.25">
      <c r="A3096" s="18"/>
      <c r="B3096" s="18"/>
      <c r="C3096" s="18"/>
      <c r="D3096" s="18"/>
      <c r="E3096" s="18"/>
      <c r="F3096" s="18"/>
      <c r="G3096" s="18"/>
      <c r="H3096" s="18"/>
      <c r="I3096" s="18"/>
      <c r="J3096" s="18"/>
      <c r="K3096" s="18"/>
      <c r="L3096" s="9"/>
      <c r="M3096" s="18"/>
      <c r="N3096" s="18"/>
      <c r="O3096" s="18"/>
      <c r="P3096" s="18"/>
      <c r="Q3096" s="18"/>
    </row>
    <row r="3097" spans="1:17" x14ac:dyDescent="0.25">
      <c r="A3097" s="18"/>
      <c r="B3097" s="18"/>
      <c r="C3097" s="18"/>
      <c r="D3097" s="18"/>
      <c r="E3097" s="18"/>
      <c r="F3097" s="18"/>
      <c r="G3097" s="18"/>
      <c r="H3097" s="18"/>
      <c r="I3097" s="18"/>
      <c r="J3097" s="18"/>
      <c r="K3097" s="18"/>
      <c r="L3097" s="9" t="s">
        <v>337</v>
      </c>
      <c r="M3097" s="18"/>
      <c r="N3097" s="18"/>
      <c r="O3097" s="18"/>
      <c r="P3097" s="18"/>
      <c r="Q3097" s="18"/>
    </row>
    <row r="3098" spans="1:17" ht="30" x14ac:dyDescent="0.25">
      <c r="A3098" s="18"/>
      <c r="B3098" s="18"/>
      <c r="C3098" s="18"/>
      <c r="D3098" s="18"/>
      <c r="E3098" s="18"/>
      <c r="F3098" s="18"/>
      <c r="G3098" s="18"/>
      <c r="H3098" s="18"/>
      <c r="I3098" s="18"/>
      <c r="J3098" s="18"/>
      <c r="K3098" s="18"/>
      <c r="L3098" s="9" t="s">
        <v>338</v>
      </c>
      <c r="M3098" s="18"/>
      <c r="N3098" s="18"/>
      <c r="O3098" s="18"/>
      <c r="P3098" s="18"/>
      <c r="Q3098" s="18"/>
    </row>
    <row r="3099" spans="1:17" x14ac:dyDescent="0.25">
      <c r="A3099" s="18"/>
      <c r="B3099" s="18"/>
      <c r="C3099" s="18"/>
      <c r="D3099" s="18"/>
      <c r="E3099" s="18"/>
      <c r="F3099" s="18"/>
      <c r="G3099" s="18"/>
      <c r="H3099" s="18"/>
      <c r="I3099" s="18"/>
      <c r="J3099" s="18"/>
      <c r="K3099" s="18"/>
      <c r="L3099" s="9" t="s">
        <v>339</v>
      </c>
      <c r="M3099" s="18"/>
      <c r="N3099" s="18"/>
      <c r="O3099" s="18"/>
      <c r="P3099" s="18"/>
      <c r="Q3099" s="18"/>
    </row>
    <row r="3100" spans="1:17" ht="165" customHeight="1" x14ac:dyDescent="0.25">
      <c r="A3100" s="18" t="s">
        <v>6882</v>
      </c>
      <c r="B3100" s="18" t="s">
        <v>6883</v>
      </c>
      <c r="C3100" s="18" t="s">
        <v>6748</v>
      </c>
      <c r="D3100" s="18" t="s">
        <v>6742</v>
      </c>
      <c r="E3100" s="18" t="s">
        <v>1538</v>
      </c>
      <c r="F3100" s="18" t="s">
        <v>1539</v>
      </c>
      <c r="G3100" s="19" t="s">
        <v>6342</v>
      </c>
      <c r="H3100" s="18" t="s">
        <v>6121</v>
      </c>
      <c r="I3100" s="18"/>
      <c r="J3100" s="18"/>
      <c r="K3100" s="18"/>
      <c r="L3100" s="9" t="s">
        <v>336</v>
      </c>
      <c r="M3100" s="18" t="s">
        <v>1540</v>
      </c>
      <c r="N3100" s="18"/>
      <c r="O3100" s="18" t="s">
        <v>1541</v>
      </c>
      <c r="P3100" s="18" t="str">
        <f>HYPERLINK("https://ceds.ed.gov/cedselementdetails.aspx?termid=13657")</f>
        <v>https://ceds.ed.gov/cedselementdetails.aspx?termid=13657</v>
      </c>
      <c r="Q3100" s="18" t="str">
        <f>HYPERLINK("https://ceds.ed.gov/elementComment.aspx?elementName=Black or African American &amp;elementID=13657", "Click here to submit comment")</f>
        <v>Click here to submit comment</v>
      </c>
    </row>
    <row r="3101" spans="1:17" x14ac:dyDescent="0.25">
      <c r="A3101" s="18"/>
      <c r="B3101" s="18"/>
      <c r="C3101" s="18"/>
      <c r="D3101" s="18"/>
      <c r="E3101" s="18"/>
      <c r="F3101" s="18"/>
      <c r="G3101" s="18"/>
      <c r="H3101" s="18"/>
      <c r="I3101" s="18"/>
      <c r="J3101" s="18"/>
      <c r="K3101" s="18"/>
      <c r="L3101" s="9"/>
      <c r="M3101" s="18"/>
      <c r="N3101" s="18"/>
      <c r="O3101" s="18"/>
      <c r="P3101" s="18"/>
      <c r="Q3101" s="18"/>
    </row>
    <row r="3102" spans="1:17" x14ac:dyDescent="0.25">
      <c r="A3102" s="18"/>
      <c r="B3102" s="18"/>
      <c r="C3102" s="18"/>
      <c r="D3102" s="18"/>
      <c r="E3102" s="18"/>
      <c r="F3102" s="18"/>
      <c r="G3102" s="18"/>
      <c r="H3102" s="18"/>
      <c r="I3102" s="18"/>
      <c r="J3102" s="18"/>
      <c r="K3102" s="18"/>
      <c r="L3102" s="9" t="s">
        <v>337</v>
      </c>
      <c r="M3102" s="18"/>
      <c r="N3102" s="18"/>
      <c r="O3102" s="18"/>
      <c r="P3102" s="18"/>
      <c r="Q3102" s="18"/>
    </row>
    <row r="3103" spans="1:17" ht="30" x14ac:dyDescent="0.25">
      <c r="A3103" s="18"/>
      <c r="B3103" s="18"/>
      <c r="C3103" s="18"/>
      <c r="D3103" s="18"/>
      <c r="E3103" s="18"/>
      <c r="F3103" s="18"/>
      <c r="G3103" s="18"/>
      <c r="H3103" s="18"/>
      <c r="I3103" s="18"/>
      <c r="J3103" s="18"/>
      <c r="K3103" s="18"/>
      <c r="L3103" s="9" t="s">
        <v>338</v>
      </c>
      <c r="M3103" s="18"/>
      <c r="N3103" s="18"/>
      <c r="O3103" s="18"/>
      <c r="P3103" s="18"/>
      <c r="Q3103" s="18"/>
    </row>
    <row r="3104" spans="1:17" x14ac:dyDescent="0.25">
      <c r="A3104" s="18"/>
      <c r="B3104" s="18"/>
      <c r="C3104" s="18"/>
      <c r="D3104" s="18"/>
      <c r="E3104" s="18"/>
      <c r="F3104" s="18"/>
      <c r="G3104" s="18"/>
      <c r="H3104" s="18"/>
      <c r="I3104" s="18"/>
      <c r="J3104" s="18"/>
      <c r="K3104" s="18"/>
      <c r="L3104" s="9" t="s">
        <v>339</v>
      </c>
      <c r="M3104" s="18"/>
      <c r="N3104" s="18"/>
      <c r="O3104" s="18"/>
      <c r="P3104" s="18"/>
      <c r="Q3104" s="18"/>
    </row>
    <row r="3105" spans="1:17" ht="165" customHeight="1" x14ac:dyDescent="0.25">
      <c r="A3105" s="18" t="s">
        <v>6882</v>
      </c>
      <c r="B3105" s="18" t="s">
        <v>6883</v>
      </c>
      <c r="C3105" s="18" t="s">
        <v>6748</v>
      </c>
      <c r="D3105" s="18" t="s">
        <v>6742</v>
      </c>
      <c r="E3105" s="18" t="s">
        <v>4314</v>
      </c>
      <c r="F3105" s="18" t="s">
        <v>4315</v>
      </c>
      <c r="G3105" s="19" t="s">
        <v>6342</v>
      </c>
      <c r="H3105" s="18" t="s">
        <v>6121</v>
      </c>
      <c r="I3105" s="18"/>
      <c r="J3105" s="18"/>
      <c r="K3105" s="18"/>
      <c r="L3105" s="9" t="s">
        <v>336</v>
      </c>
      <c r="M3105" s="18" t="s">
        <v>4316</v>
      </c>
      <c r="N3105" s="18"/>
      <c r="O3105" s="18" t="s">
        <v>4317</v>
      </c>
      <c r="P3105" s="18" t="str">
        <f>HYPERLINK("https://ceds.ed.gov/cedselementdetails.aspx?termid=13658")</f>
        <v>https://ceds.ed.gov/cedselementdetails.aspx?termid=13658</v>
      </c>
      <c r="Q3105" s="18" t="str">
        <f>HYPERLINK("https://ceds.ed.gov/elementComment.aspx?elementName=Native Hawaiian or Other Pacific Islander &amp;elementID=13658", "Click here to submit comment")</f>
        <v>Click here to submit comment</v>
      </c>
    </row>
    <row r="3106" spans="1:17" x14ac:dyDescent="0.25">
      <c r="A3106" s="18"/>
      <c r="B3106" s="18"/>
      <c r="C3106" s="18"/>
      <c r="D3106" s="18"/>
      <c r="E3106" s="18"/>
      <c r="F3106" s="18"/>
      <c r="G3106" s="18"/>
      <c r="H3106" s="18"/>
      <c r="I3106" s="18"/>
      <c r="J3106" s="18"/>
      <c r="K3106" s="18"/>
      <c r="L3106" s="9"/>
      <c r="M3106" s="18"/>
      <c r="N3106" s="18"/>
      <c r="O3106" s="18"/>
      <c r="P3106" s="18"/>
      <c r="Q3106" s="18"/>
    </row>
    <row r="3107" spans="1:17" x14ac:dyDescent="0.25">
      <c r="A3107" s="18"/>
      <c r="B3107" s="18"/>
      <c r="C3107" s="18"/>
      <c r="D3107" s="18"/>
      <c r="E3107" s="18"/>
      <c r="F3107" s="18"/>
      <c r="G3107" s="18"/>
      <c r="H3107" s="18"/>
      <c r="I3107" s="18"/>
      <c r="J3107" s="18"/>
      <c r="K3107" s="18"/>
      <c r="L3107" s="9" t="s">
        <v>337</v>
      </c>
      <c r="M3107" s="18"/>
      <c r="N3107" s="18"/>
      <c r="O3107" s="18"/>
      <c r="P3107" s="18"/>
      <c r="Q3107" s="18"/>
    </row>
    <row r="3108" spans="1:17" ht="30" x14ac:dyDescent="0.25">
      <c r="A3108" s="18"/>
      <c r="B3108" s="18"/>
      <c r="C3108" s="18"/>
      <c r="D3108" s="18"/>
      <c r="E3108" s="18"/>
      <c r="F3108" s="18"/>
      <c r="G3108" s="18"/>
      <c r="H3108" s="18"/>
      <c r="I3108" s="18"/>
      <c r="J3108" s="18"/>
      <c r="K3108" s="18"/>
      <c r="L3108" s="9" t="s">
        <v>338</v>
      </c>
      <c r="M3108" s="18"/>
      <c r="N3108" s="18"/>
      <c r="O3108" s="18"/>
      <c r="P3108" s="18"/>
      <c r="Q3108" s="18"/>
    </row>
    <row r="3109" spans="1:17" x14ac:dyDescent="0.25">
      <c r="A3109" s="18"/>
      <c r="B3109" s="18"/>
      <c r="C3109" s="18"/>
      <c r="D3109" s="18"/>
      <c r="E3109" s="18"/>
      <c r="F3109" s="18"/>
      <c r="G3109" s="18"/>
      <c r="H3109" s="18"/>
      <c r="I3109" s="18"/>
      <c r="J3109" s="18"/>
      <c r="K3109" s="18"/>
      <c r="L3109" s="9" t="s">
        <v>339</v>
      </c>
      <c r="M3109" s="18"/>
      <c r="N3109" s="18"/>
      <c r="O3109" s="18"/>
      <c r="P3109" s="18"/>
      <c r="Q3109" s="18"/>
    </row>
    <row r="3110" spans="1:17" ht="165" customHeight="1" x14ac:dyDescent="0.25">
      <c r="A3110" s="18" t="s">
        <v>6882</v>
      </c>
      <c r="B3110" s="18" t="s">
        <v>6883</v>
      </c>
      <c r="C3110" s="18" t="s">
        <v>6748</v>
      </c>
      <c r="D3110" s="18" t="s">
        <v>6742</v>
      </c>
      <c r="E3110" s="18" t="s">
        <v>6077</v>
      </c>
      <c r="F3110" s="18" t="s">
        <v>6078</v>
      </c>
      <c r="G3110" s="19" t="s">
        <v>6342</v>
      </c>
      <c r="H3110" s="18" t="s">
        <v>6121</v>
      </c>
      <c r="I3110" s="18"/>
      <c r="J3110" s="18"/>
      <c r="K3110" s="18"/>
      <c r="L3110" s="9" t="s">
        <v>336</v>
      </c>
      <c r="M3110" s="18" t="s">
        <v>6079</v>
      </c>
      <c r="N3110" s="18"/>
      <c r="O3110" s="18" t="s">
        <v>6077</v>
      </c>
      <c r="P3110" s="18" t="str">
        <f>HYPERLINK("https://ceds.ed.gov/cedselementdetails.aspx?termid=13659")</f>
        <v>https://ceds.ed.gov/cedselementdetails.aspx?termid=13659</v>
      </c>
      <c r="Q3110" s="18" t="str">
        <f>HYPERLINK("https://ceds.ed.gov/elementComment.aspx?elementName=White &amp;elementID=13659", "Click here to submit comment")</f>
        <v>Click here to submit comment</v>
      </c>
    </row>
    <row r="3111" spans="1:17" x14ac:dyDescent="0.25">
      <c r="A3111" s="18"/>
      <c r="B3111" s="18"/>
      <c r="C3111" s="18"/>
      <c r="D3111" s="18"/>
      <c r="E3111" s="18"/>
      <c r="F3111" s="18"/>
      <c r="G3111" s="18"/>
      <c r="H3111" s="18"/>
      <c r="I3111" s="18"/>
      <c r="J3111" s="18"/>
      <c r="K3111" s="18"/>
      <c r="L3111" s="9"/>
      <c r="M3111" s="18"/>
      <c r="N3111" s="18"/>
      <c r="O3111" s="18"/>
      <c r="P3111" s="18"/>
      <c r="Q3111" s="18"/>
    </row>
    <row r="3112" spans="1:17" x14ac:dyDescent="0.25">
      <c r="A3112" s="18"/>
      <c r="B3112" s="18"/>
      <c r="C3112" s="18"/>
      <c r="D3112" s="18"/>
      <c r="E3112" s="18"/>
      <c r="F3112" s="18"/>
      <c r="G3112" s="18"/>
      <c r="H3112" s="18"/>
      <c r="I3112" s="18"/>
      <c r="J3112" s="18"/>
      <c r="K3112" s="18"/>
      <c r="L3112" s="9" t="s">
        <v>337</v>
      </c>
      <c r="M3112" s="18"/>
      <c r="N3112" s="18"/>
      <c r="O3112" s="18"/>
      <c r="P3112" s="18"/>
      <c r="Q3112" s="18"/>
    </row>
    <row r="3113" spans="1:17" ht="30" x14ac:dyDescent="0.25">
      <c r="A3113" s="18"/>
      <c r="B3113" s="18"/>
      <c r="C3113" s="18"/>
      <c r="D3113" s="18"/>
      <c r="E3113" s="18"/>
      <c r="F3113" s="18"/>
      <c r="G3113" s="18"/>
      <c r="H3113" s="18"/>
      <c r="I3113" s="18"/>
      <c r="J3113" s="18"/>
      <c r="K3113" s="18"/>
      <c r="L3113" s="9" t="s">
        <v>338</v>
      </c>
      <c r="M3113" s="18"/>
      <c r="N3113" s="18"/>
      <c r="O3113" s="18"/>
      <c r="P3113" s="18"/>
      <c r="Q3113" s="18"/>
    </row>
    <row r="3114" spans="1:17" x14ac:dyDescent="0.25">
      <c r="A3114" s="18"/>
      <c r="B3114" s="18"/>
      <c r="C3114" s="18"/>
      <c r="D3114" s="18"/>
      <c r="E3114" s="18"/>
      <c r="F3114" s="18"/>
      <c r="G3114" s="18"/>
      <c r="H3114" s="18"/>
      <c r="I3114" s="18"/>
      <c r="J3114" s="18"/>
      <c r="K3114" s="18"/>
      <c r="L3114" s="9" t="s">
        <v>339</v>
      </c>
      <c r="M3114" s="18"/>
      <c r="N3114" s="18"/>
      <c r="O3114" s="18"/>
      <c r="P3114" s="18"/>
      <c r="Q3114" s="18"/>
    </row>
    <row r="3115" spans="1:17" ht="165" customHeight="1" x14ac:dyDescent="0.25">
      <c r="A3115" s="18" t="s">
        <v>6882</v>
      </c>
      <c r="B3115" s="18" t="s">
        <v>6883</v>
      </c>
      <c r="C3115" s="18" t="s">
        <v>6748</v>
      </c>
      <c r="D3115" s="18" t="s">
        <v>6742</v>
      </c>
      <c r="E3115" s="18" t="s">
        <v>3145</v>
      </c>
      <c r="F3115" s="18" t="s">
        <v>3146</v>
      </c>
      <c r="G3115" s="19" t="s">
        <v>6342</v>
      </c>
      <c r="H3115" s="18" t="s">
        <v>6121</v>
      </c>
      <c r="I3115" s="18"/>
      <c r="J3115" s="18"/>
      <c r="K3115" s="18"/>
      <c r="L3115" s="9" t="s">
        <v>336</v>
      </c>
      <c r="M3115" s="18" t="s">
        <v>3147</v>
      </c>
      <c r="N3115" s="18"/>
      <c r="O3115" s="18" t="s">
        <v>3148</v>
      </c>
      <c r="P3115" s="18" t="str">
        <f>HYPERLINK("https://ceds.ed.gov/cedselementdetails.aspx?termid=13144")</f>
        <v>https://ceds.ed.gov/cedselementdetails.aspx?termid=13144</v>
      </c>
      <c r="Q3115" s="18" t="str">
        <f>HYPERLINK("https://ceds.ed.gov/elementComment.aspx?elementName=Hispanic or Latino Ethnicity &amp;elementID=13144", "Click here to submit comment")</f>
        <v>Click here to submit comment</v>
      </c>
    </row>
    <row r="3116" spans="1:17" x14ac:dyDescent="0.25">
      <c r="A3116" s="18"/>
      <c r="B3116" s="18"/>
      <c r="C3116" s="18"/>
      <c r="D3116" s="18"/>
      <c r="E3116" s="18"/>
      <c r="F3116" s="18"/>
      <c r="G3116" s="18"/>
      <c r="H3116" s="18"/>
      <c r="I3116" s="18"/>
      <c r="J3116" s="18"/>
      <c r="K3116" s="18"/>
      <c r="L3116" s="9"/>
      <c r="M3116" s="18"/>
      <c r="N3116" s="18"/>
      <c r="O3116" s="18"/>
      <c r="P3116" s="18"/>
      <c r="Q3116" s="18"/>
    </row>
    <row r="3117" spans="1:17" x14ac:dyDescent="0.25">
      <c r="A3117" s="18"/>
      <c r="B3117" s="18"/>
      <c r="C3117" s="18"/>
      <c r="D3117" s="18"/>
      <c r="E3117" s="18"/>
      <c r="F3117" s="18"/>
      <c r="G3117" s="18"/>
      <c r="H3117" s="18"/>
      <c r="I3117" s="18"/>
      <c r="J3117" s="18"/>
      <c r="K3117" s="18"/>
      <c r="L3117" s="9" t="s">
        <v>337</v>
      </c>
      <c r="M3117" s="18"/>
      <c r="N3117" s="18"/>
      <c r="O3117" s="18"/>
      <c r="P3117" s="18"/>
      <c r="Q3117" s="18"/>
    </row>
    <row r="3118" spans="1:17" ht="30" x14ac:dyDescent="0.25">
      <c r="A3118" s="18"/>
      <c r="B3118" s="18"/>
      <c r="C3118" s="18"/>
      <c r="D3118" s="18"/>
      <c r="E3118" s="18"/>
      <c r="F3118" s="18"/>
      <c r="G3118" s="18"/>
      <c r="H3118" s="18"/>
      <c r="I3118" s="18"/>
      <c r="J3118" s="18"/>
      <c r="K3118" s="18"/>
      <c r="L3118" s="9" t="s">
        <v>338</v>
      </c>
      <c r="M3118" s="18"/>
      <c r="N3118" s="18"/>
      <c r="O3118" s="18"/>
      <c r="P3118" s="18"/>
      <c r="Q3118" s="18"/>
    </row>
    <row r="3119" spans="1:17" x14ac:dyDescent="0.25">
      <c r="A3119" s="18"/>
      <c r="B3119" s="18"/>
      <c r="C3119" s="18"/>
      <c r="D3119" s="18"/>
      <c r="E3119" s="18"/>
      <c r="F3119" s="18"/>
      <c r="G3119" s="18"/>
      <c r="H3119" s="18"/>
      <c r="I3119" s="18"/>
      <c r="J3119" s="18"/>
      <c r="K3119" s="18"/>
      <c r="L3119" s="9" t="s">
        <v>339</v>
      </c>
      <c r="M3119" s="18"/>
      <c r="N3119" s="18"/>
      <c r="O3119" s="18"/>
      <c r="P3119" s="18"/>
      <c r="Q3119" s="18"/>
    </row>
    <row r="3120" spans="1:17" ht="105" x14ac:dyDescent="0.25">
      <c r="A3120" s="9" t="s">
        <v>6882</v>
      </c>
      <c r="B3120" s="9" t="s">
        <v>6883</v>
      </c>
      <c r="C3120" s="9" t="s">
        <v>6748</v>
      </c>
      <c r="D3120" s="9" t="s">
        <v>6742</v>
      </c>
      <c r="E3120" s="9" t="s">
        <v>4254</v>
      </c>
      <c r="F3120" s="9" t="s">
        <v>4255</v>
      </c>
      <c r="G3120" s="10" t="s">
        <v>6620</v>
      </c>
      <c r="H3120" s="9"/>
      <c r="I3120" s="9"/>
      <c r="J3120" s="9"/>
      <c r="K3120" s="9"/>
      <c r="L3120" s="9"/>
      <c r="M3120" s="9" t="s">
        <v>4256</v>
      </c>
      <c r="N3120" s="9"/>
      <c r="O3120" s="9" t="s">
        <v>4257</v>
      </c>
      <c r="P3120" s="9" t="str">
        <f>HYPERLINK("https://ceds.ed.gov/cedselementdetails.aspx?termid=14621")</f>
        <v>https://ceds.ed.gov/cedselementdetails.aspx?termid=14621</v>
      </c>
      <c r="Q3120" s="9" t="str">
        <f>HYPERLINK("https://ceds.ed.gov/elementComment.aspx?elementName=Military Branch &amp;elementID=14621", "Click here to submit comment")</f>
        <v>Click here to submit comment</v>
      </c>
    </row>
    <row r="3121" spans="1:17" ht="75" x14ac:dyDescent="0.25">
      <c r="A3121" s="9" t="s">
        <v>6882</v>
      </c>
      <c r="B3121" s="9" t="s">
        <v>6883</v>
      </c>
      <c r="C3121" s="9" t="s">
        <v>6748</v>
      </c>
      <c r="D3121" s="9" t="s">
        <v>6742</v>
      </c>
      <c r="E3121" s="9" t="s">
        <v>4250</v>
      </c>
      <c r="F3121" s="9" t="s">
        <v>4251</v>
      </c>
      <c r="G3121" s="10" t="s">
        <v>6619</v>
      </c>
      <c r="H3121" s="9"/>
      <c r="I3121" s="9"/>
      <c r="J3121" s="9"/>
      <c r="K3121" s="9"/>
      <c r="L3121" s="9"/>
      <c r="M3121" s="9" t="s">
        <v>4252</v>
      </c>
      <c r="N3121" s="9"/>
      <c r="O3121" s="9" t="s">
        <v>4253</v>
      </c>
      <c r="P3121" s="9" t="str">
        <f>HYPERLINK("https://ceds.ed.gov/cedselementdetails.aspx?termid=14556")</f>
        <v>https://ceds.ed.gov/cedselementdetails.aspx?termid=14556</v>
      </c>
      <c r="Q3121" s="9" t="str">
        <f>HYPERLINK("https://ceds.ed.gov/elementComment.aspx?elementName=Military Active Student Indicator &amp;elementID=14556", "Click here to submit comment")</f>
        <v>Click here to submit comment</v>
      </c>
    </row>
    <row r="3122" spans="1:17" ht="75" x14ac:dyDescent="0.25">
      <c r="A3122" s="9" t="s">
        <v>6882</v>
      </c>
      <c r="B3122" s="9" t="s">
        <v>6883</v>
      </c>
      <c r="C3122" s="9" t="s">
        <v>6748</v>
      </c>
      <c r="D3122" s="9" t="s">
        <v>6742</v>
      </c>
      <c r="E3122" s="9" t="s">
        <v>4267</v>
      </c>
      <c r="F3122" s="9" t="s">
        <v>4268</v>
      </c>
      <c r="G3122" s="10" t="s">
        <v>6622</v>
      </c>
      <c r="H3122" s="9"/>
      <c r="I3122" s="9"/>
      <c r="J3122" s="9"/>
      <c r="K3122" s="9"/>
      <c r="L3122" s="9"/>
      <c r="M3122" s="9" t="s">
        <v>4269</v>
      </c>
      <c r="N3122" s="9"/>
      <c r="O3122" s="9" t="s">
        <v>4270</v>
      </c>
      <c r="P3122" s="9" t="str">
        <f>HYPERLINK("https://ceds.ed.gov/cedselementdetails.aspx?termid=14557")</f>
        <v>https://ceds.ed.gov/cedselementdetails.aspx?termid=14557</v>
      </c>
      <c r="Q3122" s="9" t="str">
        <f>HYPERLINK("https://ceds.ed.gov/elementComment.aspx?elementName=Military Veteran Student Indicator &amp;elementID=14557", "Click here to submit comment")</f>
        <v>Click here to submit comment</v>
      </c>
    </row>
    <row r="3123" spans="1:17" ht="120" x14ac:dyDescent="0.25">
      <c r="A3123" s="9" t="s">
        <v>6882</v>
      </c>
      <c r="B3123" s="9" t="s">
        <v>6883</v>
      </c>
      <c r="C3123" s="9" t="s">
        <v>6827</v>
      </c>
      <c r="D3123" s="9" t="s">
        <v>6742</v>
      </c>
      <c r="E3123" s="9" t="s">
        <v>4365</v>
      </c>
      <c r="F3123" s="9" t="s">
        <v>4366</v>
      </c>
      <c r="G3123" s="9" t="s">
        <v>12</v>
      </c>
      <c r="H3123" s="9" t="s">
        <v>6241</v>
      </c>
      <c r="I3123" s="9"/>
      <c r="J3123" s="9" t="s">
        <v>1513</v>
      </c>
      <c r="K3123" s="9"/>
      <c r="L3123" s="9"/>
      <c r="M3123" s="9" t="s">
        <v>4367</v>
      </c>
      <c r="N3123" s="9"/>
      <c r="O3123" s="9" t="s">
        <v>4368</v>
      </c>
      <c r="P3123" s="9" t="str">
        <f>HYPERLINK("https://ceds.ed.gov/cedselementdetails.aspx?termid=13200")</f>
        <v>https://ceds.ed.gov/cedselementdetails.aspx?termid=13200</v>
      </c>
      <c r="Q3123" s="9" t="str">
        <f>HYPERLINK("https://ceds.ed.gov/elementComment.aspx?elementName=Number of Credits Earned &amp;elementID=13200", "Click here to submit comment")</f>
        <v>Click here to submit comment</v>
      </c>
    </row>
    <row r="3124" spans="1:17" ht="409.5" x14ac:dyDescent="0.25">
      <c r="A3124" s="9" t="s">
        <v>6882</v>
      </c>
      <c r="B3124" s="9" t="s">
        <v>6883</v>
      </c>
      <c r="C3124" s="9" t="s">
        <v>6827</v>
      </c>
      <c r="D3124" s="9" t="s">
        <v>6742</v>
      </c>
      <c r="E3124" s="9" t="s">
        <v>3131</v>
      </c>
      <c r="F3124" s="9" t="s">
        <v>3132</v>
      </c>
      <c r="G3124" s="10" t="s">
        <v>6377</v>
      </c>
      <c r="H3124" s="9" t="s">
        <v>6223</v>
      </c>
      <c r="I3124" s="9"/>
      <c r="J3124" s="9"/>
      <c r="K3124" s="9"/>
      <c r="L3124" s="9"/>
      <c r="M3124" s="9" t="s">
        <v>3133</v>
      </c>
      <c r="N3124" s="9"/>
      <c r="O3124" s="9" t="s">
        <v>3134</v>
      </c>
      <c r="P3124" s="9" t="str">
        <f>HYPERLINK("https://ceds.ed.gov/cedselementdetails.aspx?termid=13141")</f>
        <v>https://ceds.ed.gov/cedselementdetails.aspx?termid=13141</v>
      </c>
      <c r="Q3124" s="9" t="str">
        <f>HYPERLINK("https://ceds.ed.gov/elementComment.aspx?elementName=Highest Level of Education Completed &amp;elementID=13141", "Click here to submit comment")</f>
        <v>Click here to submit comment</v>
      </c>
    </row>
    <row r="3125" spans="1:17" ht="135" x14ac:dyDescent="0.25">
      <c r="A3125" s="9" t="s">
        <v>6882</v>
      </c>
      <c r="B3125" s="9" t="s">
        <v>6883</v>
      </c>
      <c r="C3125" s="9" t="s">
        <v>6829</v>
      </c>
      <c r="D3125" s="9" t="s">
        <v>6742</v>
      </c>
      <c r="E3125" s="9" t="s">
        <v>2268</v>
      </c>
      <c r="F3125" s="9" t="s">
        <v>2269</v>
      </c>
      <c r="G3125" s="9" t="s">
        <v>12</v>
      </c>
      <c r="H3125" s="9" t="s">
        <v>6186</v>
      </c>
      <c r="I3125" s="9"/>
      <c r="J3125" s="9" t="s">
        <v>2270</v>
      </c>
      <c r="K3125" s="9"/>
      <c r="L3125" s="9"/>
      <c r="M3125" s="9" t="s">
        <v>2271</v>
      </c>
      <c r="N3125" s="9"/>
      <c r="O3125" s="9" t="s">
        <v>2272</v>
      </c>
      <c r="P3125" s="9" t="str">
        <f>HYPERLINK("https://ceds.ed.gov/cedselementdetails.aspx?termid=13081")</f>
        <v>https://ceds.ed.gov/cedselementdetails.aspx?termid=13081</v>
      </c>
      <c r="Q3125" s="9" t="str">
        <f>HYPERLINK("https://ceds.ed.gov/elementComment.aspx?elementName=Diploma or Credential Award Date &amp;elementID=13081", "Click here to submit comment")</f>
        <v>Click here to submit comment</v>
      </c>
    </row>
    <row r="3126" spans="1:17" ht="285" x14ac:dyDescent="0.25">
      <c r="A3126" s="9" t="s">
        <v>6882</v>
      </c>
      <c r="B3126" s="9" t="s">
        <v>6883</v>
      </c>
      <c r="C3126" s="9" t="s">
        <v>6829</v>
      </c>
      <c r="D3126" s="9" t="s">
        <v>6742</v>
      </c>
      <c r="E3126" s="9" t="s">
        <v>3109</v>
      </c>
      <c r="F3126" s="9" t="s">
        <v>3110</v>
      </c>
      <c r="G3126" s="10" t="s">
        <v>6532</v>
      </c>
      <c r="H3126" s="9" t="s">
        <v>6220</v>
      </c>
      <c r="I3126" s="9"/>
      <c r="J3126" s="9"/>
      <c r="K3126" s="9"/>
      <c r="L3126" s="9"/>
      <c r="M3126" s="9" t="s">
        <v>3111</v>
      </c>
      <c r="N3126" s="9"/>
      <c r="O3126" s="9" t="s">
        <v>3112</v>
      </c>
      <c r="P3126" s="9" t="str">
        <f>HYPERLINK("https://ceds.ed.gov/cedselementdetails.aspx?termid=13138")</f>
        <v>https://ceds.ed.gov/cedselementdetails.aspx?termid=13138</v>
      </c>
      <c r="Q3126" s="9" t="str">
        <f>HYPERLINK("https://ceds.ed.gov/elementComment.aspx?elementName=High School Diploma Type &amp;elementID=13138", "Click here to submit comment")</f>
        <v>Click here to submit comment</v>
      </c>
    </row>
    <row r="3127" spans="1:17" ht="105" x14ac:dyDescent="0.25">
      <c r="A3127" s="9" t="s">
        <v>6882</v>
      </c>
      <c r="B3127" s="9" t="s">
        <v>6883</v>
      </c>
      <c r="C3127" s="9" t="s">
        <v>6829</v>
      </c>
      <c r="D3127" s="9" t="s">
        <v>6742</v>
      </c>
      <c r="E3127" s="9" t="s">
        <v>3105</v>
      </c>
      <c r="F3127" s="9" t="s">
        <v>3106</v>
      </c>
      <c r="G3127" s="10" t="s">
        <v>6531</v>
      </c>
      <c r="H3127" s="9"/>
      <c r="I3127" s="9"/>
      <c r="J3127" s="9"/>
      <c r="K3127" s="9"/>
      <c r="L3127" s="9"/>
      <c r="M3127" s="9" t="s">
        <v>3107</v>
      </c>
      <c r="N3127" s="9"/>
      <c r="O3127" s="9" t="s">
        <v>3108</v>
      </c>
      <c r="P3127" s="9" t="str">
        <f>HYPERLINK("https://ceds.ed.gov/cedselementdetails.aspx?termid=13689")</f>
        <v>https://ceds.ed.gov/cedselementdetails.aspx?termid=13689</v>
      </c>
      <c r="Q3127" s="9" t="str">
        <f>HYPERLINK("https://ceds.ed.gov/elementComment.aspx?elementName=High School Diploma Distinction Type &amp;elementID=13689", "Click here to submit comment")</f>
        <v>Click here to submit comment</v>
      </c>
    </row>
    <row r="3128" spans="1:17" ht="60" x14ac:dyDescent="0.25">
      <c r="A3128" s="9" t="s">
        <v>6882</v>
      </c>
      <c r="B3128" s="9" t="s">
        <v>6883</v>
      </c>
      <c r="C3128" s="9" t="s">
        <v>6829</v>
      </c>
      <c r="D3128" s="9" t="s">
        <v>6742</v>
      </c>
      <c r="E3128" s="9" t="s">
        <v>10</v>
      </c>
      <c r="F3128" s="9" t="s">
        <v>11</v>
      </c>
      <c r="G3128" s="9" t="s">
        <v>12</v>
      </c>
      <c r="H3128" s="9" t="s">
        <v>6107</v>
      </c>
      <c r="I3128" s="9"/>
      <c r="J3128" s="9" t="s">
        <v>13</v>
      </c>
      <c r="K3128" s="9"/>
      <c r="L3128" s="9"/>
      <c r="M3128" s="9" t="s">
        <v>14</v>
      </c>
      <c r="N3128" s="9"/>
      <c r="O3128" s="9" t="s">
        <v>15</v>
      </c>
      <c r="P3128" s="9" t="str">
        <f>HYPERLINK("https://ceds.ed.gov/cedselementdetails.aspx?termid=13001")</f>
        <v>https://ceds.ed.gov/cedselementdetails.aspx?termid=13001</v>
      </c>
      <c r="Q3128" s="9" t="str">
        <f>HYPERLINK("https://ceds.ed.gov/elementComment.aspx?elementName=Academic Award Date &amp;elementID=13001", "Click here to submit comment")</f>
        <v>Click here to submit comment</v>
      </c>
    </row>
    <row r="3129" spans="1:17" ht="285" x14ac:dyDescent="0.25">
      <c r="A3129" s="9" t="s">
        <v>6882</v>
      </c>
      <c r="B3129" s="9" t="s">
        <v>6883</v>
      </c>
      <c r="C3129" s="9" t="s">
        <v>6829</v>
      </c>
      <c r="D3129" s="9" t="s">
        <v>6742</v>
      </c>
      <c r="E3129" s="9" t="s">
        <v>16</v>
      </c>
      <c r="F3129" s="9" t="s">
        <v>17</v>
      </c>
      <c r="G3129" s="10" t="s">
        <v>6311</v>
      </c>
      <c r="H3129" s="9" t="s">
        <v>6108</v>
      </c>
      <c r="I3129" s="9"/>
      <c r="J3129" s="9"/>
      <c r="K3129" s="9"/>
      <c r="L3129" s="9"/>
      <c r="M3129" s="9" t="s">
        <v>18</v>
      </c>
      <c r="N3129" s="9"/>
      <c r="O3129" s="9" t="s">
        <v>19</v>
      </c>
      <c r="P3129" s="9" t="str">
        <f>HYPERLINK("https://ceds.ed.gov/cedselementdetails.aspx?termid=13002")</f>
        <v>https://ceds.ed.gov/cedselementdetails.aspx?termid=13002</v>
      </c>
      <c r="Q3129" s="9" t="str">
        <f>HYPERLINK("https://ceds.ed.gov/elementComment.aspx?elementName=Academic Award Level Conferred &amp;elementID=13002", "Click here to submit comment")</f>
        <v>Click here to submit comment</v>
      </c>
    </row>
    <row r="3130" spans="1:17" ht="45" x14ac:dyDescent="0.25">
      <c r="A3130" s="9" t="s">
        <v>6882</v>
      </c>
      <c r="B3130" s="9" t="s">
        <v>6883</v>
      </c>
      <c r="C3130" s="9" t="s">
        <v>6829</v>
      </c>
      <c r="D3130" s="9" t="s">
        <v>6742</v>
      </c>
      <c r="E3130" s="9" t="s">
        <v>20</v>
      </c>
      <c r="F3130" s="9" t="s">
        <v>21</v>
      </c>
      <c r="G3130" s="9" t="s">
        <v>12</v>
      </c>
      <c r="H3130" s="9" t="s">
        <v>25</v>
      </c>
      <c r="I3130" s="9"/>
      <c r="J3130" s="9" t="s">
        <v>22</v>
      </c>
      <c r="K3130" s="9"/>
      <c r="L3130" s="9"/>
      <c r="M3130" s="9" t="s">
        <v>23</v>
      </c>
      <c r="N3130" s="9"/>
      <c r="O3130" s="9" t="s">
        <v>24</v>
      </c>
      <c r="P3130" s="9" t="str">
        <f>HYPERLINK("https://ceds.ed.gov/cedselementdetails.aspx?termid=13003")</f>
        <v>https://ceds.ed.gov/cedselementdetails.aspx?termid=13003</v>
      </c>
      <c r="Q3130" s="9" t="str">
        <f>HYPERLINK("https://ceds.ed.gov/elementComment.aspx?elementName=Academic Award Title &amp;elementID=13003", "Click here to submit comment")</f>
        <v>Click here to submit comment</v>
      </c>
    </row>
    <row r="3131" spans="1:17" ht="270" x14ac:dyDescent="0.25">
      <c r="A3131" s="9" t="s">
        <v>6882</v>
      </c>
      <c r="B3131" s="9" t="s">
        <v>6883</v>
      </c>
      <c r="C3131" s="9" t="s">
        <v>6829</v>
      </c>
      <c r="D3131" s="9" t="s">
        <v>6742</v>
      </c>
      <c r="E3131" s="9" t="s">
        <v>2115</v>
      </c>
      <c r="F3131" s="9" t="s">
        <v>2116</v>
      </c>
      <c r="G3131" s="10" t="s">
        <v>6437</v>
      </c>
      <c r="H3131" s="9"/>
      <c r="I3131" s="9"/>
      <c r="J3131" s="9"/>
      <c r="K3131" s="9"/>
      <c r="L3131" s="9"/>
      <c r="M3131" s="9" t="s">
        <v>2117</v>
      </c>
      <c r="N3131" s="9"/>
      <c r="O3131" s="9" t="s">
        <v>2118</v>
      </c>
      <c r="P3131" s="9" t="str">
        <f>HYPERLINK("https://ceds.ed.gov/cedselementdetails.aspx?termid=14283")</f>
        <v>https://ceds.ed.gov/cedselementdetails.aspx?termid=14283</v>
      </c>
      <c r="Q3131" s="9" t="str">
        <f>HYPERLINK("https://ceds.ed.gov/elementComment.aspx?elementName=Credit Hours Applied Other Program &amp;elementID=14283", "Click here to submit comment")</f>
        <v>Click here to submit comment</v>
      </c>
    </row>
    <row r="3132" spans="1:17" ht="195" x14ac:dyDescent="0.25">
      <c r="A3132" s="9" t="s">
        <v>6882</v>
      </c>
      <c r="B3132" s="9" t="s">
        <v>6883</v>
      </c>
      <c r="C3132" s="9" t="s">
        <v>6829</v>
      </c>
      <c r="D3132" s="9" t="s">
        <v>6742</v>
      </c>
      <c r="E3132" s="9" t="s">
        <v>4880</v>
      </c>
      <c r="F3132" s="9" t="s">
        <v>4881</v>
      </c>
      <c r="G3132" s="10" t="s">
        <v>6660</v>
      </c>
      <c r="H3132" s="9"/>
      <c r="I3132" s="9"/>
      <c r="J3132" s="9"/>
      <c r="K3132" s="9"/>
      <c r="L3132" s="9"/>
      <c r="M3132" s="9" t="s">
        <v>4882</v>
      </c>
      <c r="N3132" s="9"/>
      <c r="O3132" s="9" t="s">
        <v>4883</v>
      </c>
      <c r="P3132" s="9" t="str">
        <f>HYPERLINK("https://ceds.ed.gov/cedselementdetails.aspx?termid=13780")</f>
        <v>https://ceds.ed.gov/cedselementdetails.aspx?termid=13780</v>
      </c>
      <c r="Q3132" s="9" t="str">
        <f>HYPERLINK("https://ceds.ed.gov/elementComment.aspx?elementName=Professional or Technical Credential Conferred &amp;elementID=13780", "Click here to submit comment")</f>
        <v>Click here to submit comment</v>
      </c>
    </row>
    <row r="3133" spans="1:17" ht="105" x14ac:dyDescent="0.25">
      <c r="A3133" s="18" t="s">
        <v>6882</v>
      </c>
      <c r="B3133" s="18" t="s">
        <v>6883</v>
      </c>
      <c r="C3133" s="18" t="s">
        <v>6829</v>
      </c>
      <c r="D3133" s="18" t="s">
        <v>6742</v>
      </c>
      <c r="E3133" s="18" t="s">
        <v>4913</v>
      </c>
      <c r="F3133" s="18" t="s">
        <v>4914</v>
      </c>
      <c r="G3133" s="18" t="s">
        <v>12</v>
      </c>
      <c r="H3133" s="18" t="s">
        <v>1963</v>
      </c>
      <c r="I3133" s="18"/>
      <c r="J3133" s="18" t="s">
        <v>119</v>
      </c>
      <c r="K3133" s="18"/>
      <c r="L3133" s="9" t="s">
        <v>120</v>
      </c>
      <c r="M3133" s="18" t="s">
        <v>4915</v>
      </c>
      <c r="N3133" s="18"/>
      <c r="O3133" s="18" t="s">
        <v>4916</v>
      </c>
      <c r="P3133" s="18" t="str">
        <f>HYPERLINK("https://ceds.ed.gov/cedselementdetails.aspx?termid=13618")</f>
        <v>https://ceds.ed.gov/cedselementdetails.aspx?termid=13618</v>
      </c>
      <c r="Q3133" s="18" t="str">
        <f>HYPERLINK("https://ceds.ed.gov/elementComment.aspx?elementName=Program Identifier &amp;elementID=13618", "Click here to submit comment")</f>
        <v>Click here to submit comment</v>
      </c>
    </row>
    <row r="3134" spans="1:17" x14ac:dyDescent="0.25">
      <c r="A3134" s="18"/>
      <c r="B3134" s="18"/>
      <c r="C3134" s="18"/>
      <c r="D3134" s="18"/>
      <c r="E3134" s="18"/>
      <c r="F3134" s="18"/>
      <c r="G3134" s="18"/>
      <c r="H3134" s="18"/>
      <c r="I3134" s="18"/>
      <c r="J3134" s="18"/>
      <c r="K3134" s="18"/>
      <c r="L3134" s="9"/>
      <c r="M3134" s="18"/>
      <c r="N3134" s="18"/>
      <c r="O3134" s="18"/>
      <c r="P3134" s="18"/>
      <c r="Q3134" s="18"/>
    </row>
    <row r="3135" spans="1:17" ht="90" x14ac:dyDescent="0.25">
      <c r="A3135" s="18"/>
      <c r="B3135" s="18"/>
      <c r="C3135" s="18"/>
      <c r="D3135" s="18"/>
      <c r="E3135" s="18"/>
      <c r="F3135" s="18"/>
      <c r="G3135" s="18"/>
      <c r="H3135" s="18"/>
      <c r="I3135" s="18"/>
      <c r="J3135" s="18"/>
      <c r="K3135" s="18"/>
      <c r="L3135" s="9" t="s">
        <v>121</v>
      </c>
      <c r="M3135" s="18"/>
      <c r="N3135" s="18"/>
      <c r="O3135" s="18"/>
      <c r="P3135" s="18"/>
      <c r="Q3135" s="18"/>
    </row>
    <row r="3136" spans="1:17" ht="150" x14ac:dyDescent="0.25">
      <c r="A3136" s="9" t="s">
        <v>6882</v>
      </c>
      <c r="B3136" s="9" t="s">
        <v>6883</v>
      </c>
      <c r="C3136" s="9" t="s">
        <v>6829</v>
      </c>
      <c r="D3136" s="9" t="s">
        <v>6742</v>
      </c>
      <c r="E3136" s="9" t="s">
        <v>2366</v>
      </c>
      <c r="F3136" s="9" t="s">
        <v>2367</v>
      </c>
      <c r="G3136" s="10" t="s">
        <v>6459</v>
      </c>
      <c r="H3136" s="9"/>
      <c r="I3136" s="9"/>
      <c r="J3136" s="9"/>
      <c r="K3136" s="9"/>
      <c r="L3136" s="11" t="s">
        <v>2368</v>
      </c>
      <c r="M3136" s="9" t="s">
        <v>2369</v>
      </c>
      <c r="N3136" s="9"/>
      <c r="O3136" s="9" t="s">
        <v>2370</v>
      </c>
      <c r="P3136" s="9" t="str">
        <f>HYPERLINK("https://ceds.ed.gov/cedselementdetails.aspx?termid=14622")</f>
        <v>https://ceds.ed.gov/cedselementdetails.aspx?termid=14622</v>
      </c>
      <c r="Q3136" s="9" t="str">
        <f>HYPERLINK("https://ceds.ed.gov/elementComment.aspx?elementName=DQP Categories of Learning &amp;elementID=14622", "Click here to submit comment")</f>
        <v>Click here to submit comment</v>
      </c>
    </row>
    <row r="3137" spans="1:17" ht="75" x14ac:dyDescent="0.25">
      <c r="A3137" s="9" t="s">
        <v>6882</v>
      </c>
      <c r="B3137" s="9" t="s">
        <v>6883</v>
      </c>
      <c r="C3137" s="9" t="s">
        <v>6829</v>
      </c>
      <c r="D3137" s="9" t="s">
        <v>6742</v>
      </c>
      <c r="E3137" s="9" t="s">
        <v>4655</v>
      </c>
      <c r="F3137" s="9" t="s">
        <v>4656</v>
      </c>
      <c r="G3137" s="10" t="s">
        <v>6642</v>
      </c>
      <c r="H3137" s="9" t="s">
        <v>6257</v>
      </c>
      <c r="I3137" s="9"/>
      <c r="J3137" s="9"/>
      <c r="K3137" s="9"/>
      <c r="L3137" s="9"/>
      <c r="M3137" s="9" t="s">
        <v>4657</v>
      </c>
      <c r="N3137" s="9"/>
      <c r="O3137" s="9" t="s">
        <v>4658</v>
      </c>
      <c r="P3137" s="9" t="str">
        <f>HYPERLINK("https://ceds.ed.gov/cedselementdetails.aspx?termid=14595")</f>
        <v>https://ceds.ed.gov/cedselementdetails.aspx?termid=14595</v>
      </c>
      <c r="Q3137" s="9" t="str">
        <f>HYPERLINK("https://ceds.ed.gov/elementComment.aspx?elementName=Postsecondary Program Level &amp;elementID=14595", "Click here to submit comment")</f>
        <v>Click here to submit comment</v>
      </c>
    </row>
    <row r="3138" spans="1:17" ht="75" x14ac:dyDescent="0.25">
      <c r="A3138" s="9" t="s">
        <v>6882</v>
      </c>
      <c r="B3138" s="9" t="s">
        <v>6883</v>
      </c>
      <c r="C3138" s="9" t="s">
        <v>6829</v>
      </c>
      <c r="D3138" s="9" t="s">
        <v>6742</v>
      </c>
      <c r="E3138" s="9" t="s">
        <v>1778</v>
      </c>
      <c r="F3138" s="9" t="s">
        <v>1779</v>
      </c>
      <c r="G3138" s="11" t="s">
        <v>1780</v>
      </c>
      <c r="H3138" s="9" t="s">
        <v>6108</v>
      </c>
      <c r="I3138" s="9"/>
      <c r="J3138" s="9"/>
      <c r="K3138" s="9"/>
      <c r="L3138" s="9"/>
      <c r="M3138" s="9" t="s">
        <v>1781</v>
      </c>
      <c r="N3138" s="9" t="s">
        <v>1782</v>
      </c>
      <c r="O3138" s="9" t="s">
        <v>1783</v>
      </c>
      <c r="P3138" s="9" t="str">
        <f>HYPERLINK("https://ceds.ed.gov/cedselementdetails.aspx?termid=13043")</f>
        <v>https://ceds.ed.gov/cedselementdetails.aspx?termid=13043</v>
      </c>
      <c r="Q3138" s="9" t="str">
        <f>HYPERLINK("https://ceds.ed.gov/elementComment.aspx?elementName=Classification of Instructional Program Code &amp;elementID=13043", "Click here to submit comment")</f>
        <v>Click here to submit comment</v>
      </c>
    </row>
    <row r="3139" spans="1:17" ht="135" x14ac:dyDescent="0.25">
      <c r="A3139" s="9" t="s">
        <v>6882</v>
      </c>
      <c r="B3139" s="9" t="s">
        <v>6883</v>
      </c>
      <c r="C3139" s="9" t="s">
        <v>6829</v>
      </c>
      <c r="D3139" s="9" t="s">
        <v>6742</v>
      </c>
      <c r="E3139" s="9" t="s">
        <v>1784</v>
      </c>
      <c r="F3139" s="9" t="s">
        <v>1785</v>
      </c>
      <c r="G3139" s="10" t="s">
        <v>6407</v>
      </c>
      <c r="H3139" s="9" t="s">
        <v>6115</v>
      </c>
      <c r="I3139" s="9"/>
      <c r="J3139" s="9"/>
      <c r="K3139" s="9"/>
      <c r="L3139" s="9"/>
      <c r="M3139" s="9" t="s">
        <v>1786</v>
      </c>
      <c r="N3139" s="9" t="s">
        <v>1787</v>
      </c>
      <c r="O3139" s="9" t="s">
        <v>1788</v>
      </c>
      <c r="P3139" s="9" t="str">
        <f>HYPERLINK("https://ceds.ed.gov/cedselementdetails.aspx?termid=13044")</f>
        <v>https://ceds.ed.gov/cedselementdetails.aspx?termid=13044</v>
      </c>
      <c r="Q3139" s="9" t="str">
        <f>HYPERLINK("https://ceds.ed.gov/elementComment.aspx?elementName=Classification of Instructional Program Use &amp;elementID=13044", "Click here to submit comment")</f>
        <v>Click here to submit comment</v>
      </c>
    </row>
    <row r="3140" spans="1:17" ht="90" x14ac:dyDescent="0.25">
      <c r="A3140" s="9" t="s">
        <v>6882</v>
      </c>
      <c r="B3140" s="9" t="s">
        <v>6883</v>
      </c>
      <c r="C3140" s="9" t="s">
        <v>6829</v>
      </c>
      <c r="D3140" s="9" t="s">
        <v>6742</v>
      </c>
      <c r="E3140" s="9" t="s">
        <v>1789</v>
      </c>
      <c r="F3140" s="9" t="s">
        <v>1790</v>
      </c>
      <c r="G3140" s="10" t="s">
        <v>6408</v>
      </c>
      <c r="H3140" s="9" t="s">
        <v>6115</v>
      </c>
      <c r="I3140" s="9"/>
      <c r="J3140" s="9"/>
      <c r="K3140" s="9"/>
      <c r="L3140" s="9"/>
      <c r="M3140" s="9" t="s">
        <v>1791</v>
      </c>
      <c r="N3140" s="9" t="s">
        <v>1792</v>
      </c>
      <c r="O3140" s="9" t="s">
        <v>1793</v>
      </c>
      <c r="P3140" s="9" t="str">
        <f>HYPERLINK("https://ceds.ed.gov/cedselementdetails.aspx?termid=13045")</f>
        <v>https://ceds.ed.gov/cedselementdetails.aspx?termid=13045</v>
      </c>
      <c r="Q3140" s="9" t="str">
        <f>HYPERLINK("https://ceds.ed.gov/elementComment.aspx?elementName=Classification of Instructional Program Version &amp;elementID=13045", "Click here to submit comment")</f>
        <v>Click here to submit comment</v>
      </c>
    </row>
    <row r="3141" spans="1:17" ht="90" x14ac:dyDescent="0.25">
      <c r="A3141" s="9" t="s">
        <v>6882</v>
      </c>
      <c r="B3141" s="9" t="s">
        <v>6883</v>
      </c>
      <c r="C3141" s="9" t="s">
        <v>6848</v>
      </c>
      <c r="D3141" s="9" t="s">
        <v>6742</v>
      </c>
      <c r="E3141" s="9" t="s">
        <v>2015</v>
      </c>
      <c r="F3141" s="9" t="s">
        <v>2016</v>
      </c>
      <c r="G3141" s="9" t="s">
        <v>12</v>
      </c>
      <c r="H3141" s="9"/>
      <c r="I3141" s="9"/>
      <c r="J3141" s="9" t="s">
        <v>87</v>
      </c>
      <c r="K3141" s="9"/>
      <c r="L3141" s="9"/>
      <c r="M3141" s="9" t="s">
        <v>2017</v>
      </c>
      <c r="N3141" s="9"/>
      <c r="O3141" s="9" t="s">
        <v>2018</v>
      </c>
      <c r="P3141" s="9" t="str">
        <f>HYPERLINK("https://ceds.ed.gov/cedselementdetails.aspx?termid=14280")</f>
        <v>https://ceds.ed.gov/cedselementdetails.aspx?termid=14280</v>
      </c>
      <c r="Q3141" s="9" t="str">
        <f>HYPERLINK("https://ceds.ed.gov/elementComment.aspx?elementName=Course Number &amp;elementID=14280", "Click here to submit comment")</f>
        <v>Click here to submit comment</v>
      </c>
    </row>
    <row r="3142" spans="1:17" ht="285" x14ac:dyDescent="0.25">
      <c r="A3142" s="9" t="s">
        <v>6882</v>
      </c>
      <c r="B3142" s="9" t="s">
        <v>6883</v>
      </c>
      <c r="C3142" s="9" t="s">
        <v>6770</v>
      </c>
      <c r="D3142" s="9" t="s">
        <v>6742</v>
      </c>
      <c r="E3142" s="9" t="s">
        <v>3199</v>
      </c>
      <c r="F3142" s="9" t="s">
        <v>3200</v>
      </c>
      <c r="G3142" s="9" t="s">
        <v>6106</v>
      </c>
      <c r="H3142" s="9" t="s">
        <v>6228</v>
      </c>
      <c r="I3142" s="9"/>
      <c r="J3142" s="9"/>
      <c r="K3142" s="9"/>
      <c r="L3142" s="9"/>
      <c r="M3142" s="9" t="s">
        <v>3201</v>
      </c>
      <c r="N3142" s="9"/>
      <c r="O3142" s="9" t="s">
        <v>3202</v>
      </c>
      <c r="P3142" s="9" t="str">
        <f>HYPERLINK("https://ceds.ed.gov/cedselementdetails.aspx?termid=13151")</f>
        <v>https://ceds.ed.gov/cedselementdetails.aspx?termid=13151</v>
      </c>
      <c r="Q3142" s="9" t="str">
        <f>HYPERLINK("https://ceds.ed.gov/elementComment.aspx?elementName=IDEA Indicator &amp;elementID=13151", "Click here to submit comment")</f>
        <v>Click here to submit comment</v>
      </c>
    </row>
    <row r="3143" spans="1:17" ht="45" x14ac:dyDescent="0.25">
      <c r="A3143" s="9" t="s">
        <v>6882</v>
      </c>
      <c r="B3143" s="9" t="s">
        <v>6883</v>
      </c>
      <c r="C3143" s="9" t="s">
        <v>6770</v>
      </c>
      <c r="D3143" s="9" t="s">
        <v>6742</v>
      </c>
      <c r="E3143" s="9" t="s">
        <v>2291</v>
      </c>
      <c r="F3143" s="9" t="s">
        <v>2292</v>
      </c>
      <c r="G3143" s="9" t="s">
        <v>6106</v>
      </c>
      <c r="H3143" s="9" t="s">
        <v>199</v>
      </c>
      <c r="I3143" s="9"/>
      <c r="J3143" s="9"/>
      <c r="K3143" s="9"/>
      <c r="L3143" s="9"/>
      <c r="M3143" s="9" t="s">
        <v>2293</v>
      </c>
      <c r="N3143" s="9"/>
      <c r="O3143" s="9" t="s">
        <v>2294</v>
      </c>
      <c r="P3143" s="9" t="str">
        <f>HYPERLINK("https://ceds.ed.gov/cedselementdetails.aspx?termid=13569")</f>
        <v>https://ceds.ed.gov/cedselementdetails.aspx?termid=13569</v>
      </c>
      <c r="Q3143" s="9" t="str">
        <f>HYPERLINK("https://ceds.ed.gov/elementComment.aspx?elementName=Disability Status &amp;elementID=13569", "Click here to submit comment")</f>
        <v>Click here to submit comment</v>
      </c>
    </row>
    <row r="3144" spans="1:17" ht="180" x14ac:dyDescent="0.25">
      <c r="A3144" s="9" t="s">
        <v>6882</v>
      </c>
      <c r="B3144" s="9" t="s">
        <v>6883</v>
      </c>
      <c r="C3144" s="9" t="s">
        <v>6770</v>
      </c>
      <c r="D3144" s="9" t="s">
        <v>6742</v>
      </c>
      <c r="E3144" s="9" t="s">
        <v>2287</v>
      </c>
      <c r="F3144" s="9" t="s">
        <v>2288</v>
      </c>
      <c r="G3144" s="10" t="s">
        <v>6450</v>
      </c>
      <c r="H3144" s="9"/>
      <c r="I3144" s="9"/>
      <c r="J3144" s="9"/>
      <c r="K3144" s="9"/>
      <c r="L3144" s="9" t="s">
        <v>2284</v>
      </c>
      <c r="M3144" s="9" t="s">
        <v>2289</v>
      </c>
      <c r="N3144" s="9"/>
      <c r="O3144" s="9" t="s">
        <v>2290</v>
      </c>
      <c r="P3144" s="9" t="str">
        <f>HYPERLINK("https://ceds.ed.gov/cedselementdetails.aspx?termid=14287")</f>
        <v>https://ceds.ed.gov/cedselementdetails.aspx?termid=14287</v>
      </c>
      <c r="Q3144" s="9" t="str">
        <f>HYPERLINK("https://ceds.ed.gov/elementComment.aspx?elementName=Disability Determination Source Type &amp;elementID=14287", "Click here to submit comment")</f>
        <v>Click here to submit comment</v>
      </c>
    </row>
    <row r="3145" spans="1:17" ht="180" x14ac:dyDescent="0.25">
      <c r="A3145" s="9" t="s">
        <v>6882</v>
      </c>
      <c r="B3145" s="9" t="s">
        <v>6883</v>
      </c>
      <c r="C3145" s="9" t="s">
        <v>6301</v>
      </c>
      <c r="D3145" s="9" t="s">
        <v>6742</v>
      </c>
      <c r="E3145" s="9" t="s">
        <v>4142</v>
      </c>
      <c r="F3145" s="9" t="s">
        <v>4143</v>
      </c>
      <c r="G3145" s="9" t="s">
        <v>6106</v>
      </c>
      <c r="H3145" s="9"/>
      <c r="I3145" s="9"/>
      <c r="J3145" s="9"/>
      <c r="K3145" s="9"/>
      <c r="L3145" s="9"/>
      <c r="M3145" s="9" t="s">
        <v>4144</v>
      </c>
      <c r="N3145" s="9"/>
      <c r="O3145" s="9" t="s">
        <v>4145</v>
      </c>
      <c r="P3145" s="9" t="str">
        <f>HYPERLINK("https://ceds.ed.gov/cedselementdetails.aspx?termid=13758")</f>
        <v>https://ceds.ed.gov/cedselementdetails.aspx?termid=13758</v>
      </c>
      <c r="Q3145" s="9" t="str">
        <f>HYPERLINK("https://ceds.ed.gov/elementComment.aspx?elementName=Low-income Status &amp;elementID=13758", "Click here to submit comment")</f>
        <v>Click here to submit comment</v>
      </c>
    </row>
    <row r="3146" spans="1:17" ht="135" x14ac:dyDescent="0.25">
      <c r="A3146" s="9" t="s">
        <v>6882</v>
      </c>
      <c r="B3146" s="9" t="s">
        <v>6883</v>
      </c>
      <c r="C3146" s="9" t="s">
        <v>6301</v>
      </c>
      <c r="D3146" s="9" t="s">
        <v>6742</v>
      </c>
      <c r="E3146" s="9" t="s">
        <v>2328</v>
      </c>
      <c r="F3146" s="9" t="s">
        <v>2329</v>
      </c>
      <c r="G3146" s="9" t="s">
        <v>6106</v>
      </c>
      <c r="H3146" s="9"/>
      <c r="I3146" s="9"/>
      <c r="J3146" s="9"/>
      <c r="K3146" s="9"/>
      <c r="L3146" s="9"/>
      <c r="M3146" s="9" t="s">
        <v>2331</v>
      </c>
      <c r="N3146" s="9"/>
      <c r="O3146" s="9" t="s">
        <v>2332</v>
      </c>
      <c r="P3146" s="9" t="str">
        <f>HYPERLINK("https://ceds.ed.gov/cedselementdetails.aspx?termid=13759")</f>
        <v>https://ceds.ed.gov/cedselementdetails.aspx?termid=13759</v>
      </c>
      <c r="Q3146" s="9" t="str">
        <f>HYPERLINK("https://ceds.ed.gov/elementComment.aspx?elementName=Dislocated Worker Status &amp;elementID=13759", "Click here to submit comment")</f>
        <v>Click here to submit comment</v>
      </c>
    </row>
    <row r="3147" spans="1:17" ht="75" x14ac:dyDescent="0.25">
      <c r="A3147" s="9" t="s">
        <v>6882</v>
      </c>
      <c r="B3147" s="9" t="s">
        <v>6883</v>
      </c>
      <c r="C3147" s="9" t="s">
        <v>6301</v>
      </c>
      <c r="D3147" s="9" t="s">
        <v>6742</v>
      </c>
      <c r="E3147" s="9" t="s">
        <v>4994</v>
      </c>
      <c r="F3147" s="9" t="s">
        <v>4995</v>
      </c>
      <c r="G3147" s="9" t="s">
        <v>6106</v>
      </c>
      <c r="H3147" s="9"/>
      <c r="I3147" s="9"/>
      <c r="J3147" s="9"/>
      <c r="K3147" s="9"/>
      <c r="L3147" s="9"/>
      <c r="M3147" s="9" t="s">
        <v>4996</v>
      </c>
      <c r="N3147" s="9"/>
      <c r="O3147" s="9" t="s">
        <v>4997</v>
      </c>
      <c r="P3147" s="9" t="str">
        <f>HYPERLINK("https://ceds.ed.gov/cedselementdetails.aspx?termid=13760")</f>
        <v>https://ceds.ed.gov/cedselementdetails.aspx?termid=13760</v>
      </c>
      <c r="Q3147" s="9" t="str">
        <f>HYPERLINK("https://ceds.ed.gov/elementComment.aspx?elementName=Public Assistance Status &amp;elementID=13760", "Click here to submit comment")</f>
        <v>Click here to submit comment</v>
      </c>
    </row>
    <row r="3148" spans="1:17" ht="90" x14ac:dyDescent="0.25">
      <c r="A3148" s="9" t="s">
        <v>6882</v>
      </c>
      <c r="B3148" s="9" t="s">
        <v>6883</v>
      </c>
      <c r="C3148" s="9" t="s">
        <v>6301</v>
      </c>
      <c r="D3148" s="9" t="s">
        <v>6742</v>
      </c>
      <c r="E3148" s="9" t="s">
        <v>5249</v>
      </c>
      <c r="F3148" s="9" t="s">
        <v>5250</v>
      </c>
      <c r="G3148" s="9" t="s">
        <v>6106</v>
      </c>
      <c r="H3148" s="9"/>
      <c r="I3148" s="9"/>
      <c r="J3148" s="9"/>
      <c r="K3148" s="9"/>
      <c r="L3148" s="9"/>
      <c r="M3148" s="9" t="s">
        <v>5251</v>
      </c>
      <c r="N3148" s="9"/>
      <c r="O3148" s="9" t="s">
        <v>5252</v>
      </c>
      <c r="P3148" s="9" t="str">
        <f>HYPERLINK("https://ceds.ed.gov/cedselementdetails.aspx?termid=13761")</f>
        <v>https://ceds.ed.gov/cedselementdetails.aspx?termid=13761</v>
      </c>
      <c r="Q3148" s="9" t="str">
        <f>HYPERLINK("https://ceds.ed.gov/elementComment.aspx?elementName=Rural Residency Status &amp;elementID=13761", "Click here to submit comment")</f>
        <v>Click here to submit comment</v>
      </c>
    </row>
    <row r="3149" spans="1:17" ht="105" x14ac:dyDescent="0.25">
      <c r="A3149" s="9" t="s">
        <v>6882</v>
      </c>
      <c r="B3149" s="9" t="s">
        <v>6883</v>
      </c>
      <c r="C3149" s="9" t="s">
        <v>6301</v>
      </c>
      <c r="D3149" s="9" t="s">
        <v>6742</v>
      </c>
      <c r="E3149" s="9" t="s">
        <v>12220</v>
      </c>
      <c r="F3149" s="9" t="s">
        <v>5485</v>
      </c>
      <c r="G3149" s="9" t="s">
        <v>6106</v>
      </c>
      <c r="H3149" s="9" t="s">
        <v>6169</v>
      </c>
      <c r="I3149" s="9"/>
      <c r="J3149" s="9"/>
      <c r="K3149" s="9"/>
      <c r="L3149" s="9"/>
      <c r="M3149" s="9" t="s">
        <v>5486</v>
      </c>
      <c r="N3149" s="9"/>
      <c r="O3149" s="9" t="s">
        <v>5487</v>
      </c>
      <c r="P3149" s="9" t="str">
        <f>HYPERLINK("https://ceds.ed.gov/cedselementdetails.aspx?termid=13573")</f>
        <v>https://ceds.ed.gov/cedselementdetails.aspx?termid=13573</v>
      </c>
      <c r="Q3149" s="9" t="str">
        <f>HYPERLINK("https://ceds.ed.gov/elementComment.aspx?elementName=Single Parent or Single Pregnant Woman Status &amp;elementID=13573", "Click here to submit comment")</f>
        <v>Click here to submit comment</v>
      </c>
    </row>
    <row r="3150" spans="1:17" ht="270" x14ac:dyDescent="0.25">
      <c r="A3150" s="9" t="s">
        <v>6882</v>
      </c>
      <c r="B3150" s="9" t="s">
        <v>6883</v>
      </c>
      <c r="C3150" s="9" t="s">
        <v>6301</v>
      </c>
      <c r="D3150" s="9" t="s">
        <v>6742</v>
      </c>
      <c r="E3150" s="9" t="s">
        <v>1657</v>
      </c>
      <c r="F3150" s="9" t="s">
        <v>1658</v>
      </c>
      <c r="G3150" s="9" t="s">
        <v>6106</v>
      </c>
      <c r="H3150" s="9" t="s">
        <v>199</v>
      </c>
      <c r="I3150" s="9"/>
      <c r="J3150" s="9"/>
      <c r="K3150" s="9"/>
      <c r="L3150" s="9"/>
      <c r="M3150" s="9" t="s">
        <v>1659</v>
      </c>
      <c r="N3150" s="9" t="s">
        <v>1660</v>
      </c>
      <c r="O3150" s="9" t="s">
        <v>1661</v>
      </c>
      <c r="P3150" s="9" t="str">
        <f>HYPERLINK("https://ceds.ed.gov/cedselementdetails.aspx?termid=13084")</f>
        <v>https://ceds.ed.gov/cedselementdetails.aspx?termid=13084</v>
      </c>
      <c r="Q3150" s="9" t="str">
        <f>HYPERLINK("https://ceds.ed.gov/elementComment.aspx?elementName=Career-Technical-Adult Education Displaced Homemaker Indicator &amp;elementID=13084", "Click here to submit comment")</f>
        <v>Click here to submit comment</v>
      </c>
    </row>
    <row r="3151" spans="1:17" ht="60" x14ac:dyDescent="0.25">
      <c r="A3151" s="9" t="s">
        <v>6882</v>
      </c>
      <c r="B3151" s="9" t="s">
        <v>6883</v>
      </c>
      <c r="C3151" s="9" t="s">
        <v>6803</v>
      </c>
      <c r="D3151" s="9" t="s">
        <v>6742</v>
      </c>
      <c r="E3151" s="9" t="s">
        <v>2636</v>
      </c>
      <c r="F3151" s="9" t="s">
        <v>2637</v>
      </c>
      <c r="G3151" s="9" t="s">
        <v>2638</v>
      </c>
      <c r="H3151" s="9"/>
      <c r="I3151" s="9"/>
      <c r="J3151" s="9" t="s">
        <v>11051</v>
      </c>
      <c r="K3151" s="9"/>
      <c r="L3151" s="9"/>
      <c r="M3151" s="9" t="s">
        <v>2639</v>
      </c>
      <c r="N3151" s="9"/>
      <c r="O3151" s="9" t="s">
        <v>2640</v>
      </c>
      <c r="P3151" s="9" t="str">
        <f>HYPERLINK("https://ceds.ed.gov/cedselementdetails.aspx?termid=14070")</f>
        <v>https://ceds.ed.gov/cedselementdetails.aspx?termid=14070</v>
      </c>
      <c r="Q3151" s="9" t="str">
        <f>HYPERLINK("https://ceds.ed.gov/elementComment.aspx?elementName=Employment NAICS Code &amp;elementID=14070", "Click here to submit comment")</f>
        <v>Click here to submit comment</v>
      </c>
    </row>
    <row r="3152" spans="1:17" ht="225" x14ac:dyDescent="0.25">
      <c r="A3152" s="9" t="s">
        <v>6882</v>
      </c>
      <c r="B3152" s="9" t="s">
        <v>6883</v>
      </c>
      <c r="C3152" s="9" t="s">
        <v>6803</v>
      </c>
      <c r="D3152" s="9" t="s">
        <v>6742</v>
      </c>
      <c r="E3152" s="9" t="s">
        <v>2622</v>
      </c>
      <c r="F3152" s="9" t="s">
        <v>2623</v>
      </c>
      <c r="G3152" s="9" t="s">
        <v>6195</v>
      </c>
      <c r="H3152" s="9" t="s">
        <v>2615</v>
      </c>
      <c r="I3152" s="9"/>
      <c r="J3152" s="9"/>
      <c r="K3152" s="9"/>
      <c r="L3152" s="9" t="s">
        <v>2624</v>
      </c>
      <c r="M3152" s="9" t="s">
        <v>2625</v>
      </c>
      <c r="N3152" s="9"/>
      <c r="O3152" s="9" t="s">
        <v>2626</v>
      </c>
      <c r="P3152" s="9" t="str">
        <f>HYPERLINK("https://ceds.ed.gov/cedselementdetails.aspx?termid=13989")</f>
        <v>https://ceds.ed.gov/cedselementdetails.aspx?termid=13989</v>
      </c>
      <c r="Q3152" s="9" t="str">
        <f>HYPERLINK("https://ceds.ed.gov/elementComment.aspx?elementName=Employed While Enrolled &amp;elementID=13989", "Click here to submit comment")</f>
        <v>Click here to submit comment</v>
      </c>
    </row>
    <row r="3153" spans="1:17" ht="270" x14ac:dyDescent="0.25">
      <c r="A3153" s="9" t="s">
        <v>6882</v>
      </c>
      <c r="B3153" s="9" t="s">
        <v>6883</v>
      </c>
      <c r="C3153" s="9" t="s">
        <v>6803</v>
      </c>
      <c r="D3153" s="9" t="s">
        <v>6742</v>
      </c>
      <c r="E3153" s="9" t="s">
        <v>2610</v>
      </c>
      <c r="F3153" s="9" t="s">
        <v>2611</v>
      </c>
      <c r="G3153" s="9" t="s">
        <v>6195</v>
      </c>
      <c r="H3153" s="9" t="s">
        <v>2615</v>
      </c>
      <c r="I3153" s="9"/>
      <c r="J3153" s="9"/>
      <c r="K3153" s="9"/>
      <c r="L3153" s="9" t="s">
        <v>2612</v>
      </c>
      <c r="M3153" s="9" t="s">
        <v>2613</v>
      </c>
      <c r="N3153" s="9"/>
      <c r="O3153" s="9" t="s">
        <v>2614</v>
      </c>
      <c r="P3153" s="9" t="str">
        <f>HYPERLINK("https://ceds.ed.gov/cedselementdetails.aspx?termid=13990")</f>
        <v>https://ceds.ed.gov/cedselementdetails.aspx?termid=13990</v>
      </c>
      <c r="Q3153" s="9" t="str">
        <f>HYPERLINK("https://ceds.ed.gov/elementComment.aspx?elementName=Employed After Exit &amp;elementID=13990", "Click here to submit comment")</f>
        <v>Click here to submit comment</v>
      </c>
    </row>
    <row r="3154" spans="1:17" ht="60" x14ac:dyDescent="0.25">
      <c r="A3154" s="9" t="s">
        <v>6882</v>
      </c>
      <c r="B3154" s="9" t="s">
        <v>6883</v>
      </c>
      <c r="C3154" s="9" t="s">
        <v>6803</v>
      </c>
      <c r="D3154" s="9" t="s">
        <v>6742</v>
      </c>
      <c r="E3154" s="9" t="s">
        <v>2662</v>
      </c>
      <c r="F3154" s="9" t="s">
        <v>2663</v>
      </c>
      <c r="G3154" s="9" t="s">
        <v>12</v>
      </c>
      <c r="H3154" s="9" t="s">
        <v>6199</v>
      </c>
      <c r="I3154" s="9"/>
      <c r="J3154" s="9" t="s">
        <v>73</v>
      </c>
      <c r="K3154" s="9"/>
      <c r="L3154" s="9"/>
      <c r="M3154" s="9" t="s">
        <v>2664</v>
      </c>
      <c r="N3154" s="9"/>
      <c r="O3154" s="9" t="s">
        <v>2665</v>
      </c>
      <c r="P3154" s="9" t="str">
        <f>HYPERLINK("https://ceds.ed.gov/cedselementdetails.aspx?termid=13345")</f>
        <v>https://ceds.ed.gov/cedselementdetails.aspx?termid=13345</v>
      </c>
      <c r="Q3154" s="9" t="str">
        <f>HYPERLINK("https://ceds.ed.gov/elementComment.aspx?elementName=Employment Start Date &amp;elementID=13345", "Click here to submit comment")</f>
        <v>Click here to submit comment</v>
      </c>
    </row>
    <row r="3155" spans="1:17" ht="60" x14ac:dyDescent="0.25">
      <c r="A3155" s="9" t="s">
        <v>6882</v>
      </c>
      <c r="B3155" s="9" t="s">
        <v>6883</v>
      </c>
      <c r="C3155" s="9" t="s">
        <v>6803</v>
      </c>
      <c r="D3155" s="9" t="s">
        <v>6742</v>
      </c>
      <c r="E3155" s="9" t="s">
        <v>2627</v>
      </c>
      <c r="F3155" s="9" t="s">
        <v>2628</v>
      </c>
      <c r="G3155" s="9" t="s">
        <v>12</v>
      </c>
      <c r="H3155" s="9" t="s">
        <v>182</v>
      </c>
      <c r="I3155" s="9"/>
      <c r="J3155" s="9" t="s">
        <v>73</v>
      </c>
      <c r="K3155" s="9"/>
      <c r="L3155" s="9"/>
      <c r="M3155" s="9" t="s">
        <v>2629</v>
      </c>
      <c r="N3155" s="9"/>
      <c r="O3155" s="9" t="s">
        <v>2630</v>
      </c>
      <c r="P3155" s="9" t="str">
        <f>HYPERLINK("https://ceds.ed.gov/cedselementdetails.aspx?termid=13794")</f>
        <v>https://ceds.ed.gov/cedselementdetails.aspx?termid=13794</v>
      </c>
      <c r="Q3155" s="9" t="str">
        <f>HYPERLINK("https://ceds.ed.gov/elementComment.aspx?elementName=Employment End Date &amp;elementID=13794", "Click here to submit comment")</f>
        <v>Click here to submit comment</v>
      </c>
    </row>
    <row r="3156" spans="1:17" ht="75" x14ac:dyDescent="0.25">
      <c r="A3156" s="9" t="s">
        <v>6882</v>
      </c>
      <c r="B3156" s="9" t="s">
        <v>6883</v>
      </c>
      <c r="C3156" s="9" t="s">
        <v>6875</v>
      </c>
      <c r="D3156" s="9" t="s">
        <v>6742</v>
      </c>
      <c r="E3156" s="9" t="s">
        <v>233</v>
      </c>
      <c r="F3156" s="9" t="s">
        <v>234</v>
      </c>
      <c r="G3156" s="10" t="s">
        <v>6329</v>
      </c>
      <c r="H3156" s="9"/>
      <c r="I3156" s="9"/>
      <c r="J3156" s="9"/>
      <c r="K3156" s="9"/>
      <c r="L3156" s="9"/>
      <c r="M3156" s="9" t="s">
        <v>236</v>
      </c>
      <c r="N3156" s="9"/>
      <c r="O3156" s="9" t="s">
        <v>237</v>
      </c>
      <c r="P3156" s="9" t="str">
        <f>HYPERLINK("https://ceds.ed.gov/cedselementdetails.aspx?termid=13765")</f>
        <v>https://ceds.ed.gov/cedselementdetails.aspx?termid=13765</v>
      </c>
      <c r="Q3156" s="9" t="str">
        <f>HYPERLINK("https://ceds.ed.gov/elementComment.aspx?elementName=Adult Education Instructional Program Type &amp;elementID=13765", "Click here to submit comment")</f>
        <v>Click here to submit comment</v>
      </c>
    </row>
    <row r="3157" spans="1:17" ht="165" x14ac:dyDescent="0.25">
      <c r="A3157" s="9" t="s">
        <v>6882</v>
      </c>
      <c r="B3157" s="9" t="s">
        <v>6883</v>
      </c>
      <c r="C3157" s="9" t="s">
        <v>6875</v>
      </c>
      <c r="D3157" s="9" t="s">
        <v>6742</v>
      </c>
      <c r="E3157" s="9" t="s">
        <v>259</v>
      </c>
      <c r="F3157" s="9" t="s">
        <v>260</v>
      </c>
      <c r="G3157" s="10" t="s">
        <v>6333</v>
      </c>
      <c r="H3157" s="9"/>
      <c r="I3157" s="9"/>
      <c r="J3157" s="9"/>
      <c r="K3157" s="9"/>
      <c r="L3157" s="9" t="s">
        <v>261</v>
      </c>
      <c r="M3157" s="9" t="s">
        <v>262</v>
      </c>
      <c r="N3157" s="9"/>
      <c r="O3157" s="9" t="s">
        <v>263</v>
      </c>
      <c r="P3157" s="9" t="str">
        <f>HYPERLINK("https://ceds.ed.gov/cedselementdetails.aspx?termid=13766")</f>
        <v>https://ceds.ed.gov/cedselementdetails.aspx?termid=13766</v>
      </c>
      <c r="Q3157" s="9" t="str">
        <f>HYPERLINK("https://ceds.ed.gov/elementComment.aspx?elementName=Adult Education Special Program Type &amp;elementID=13766", "Click here to submit comment")</f>
        <v>Click here to submit comment</v>
      </c>
    </row>
    <row r="3158" spans="1:17" ht="270" x14ac:dyDescent="0.25">
      <c r="A3158" s="9" t="s">
        <v>6882</v>
      </c>
      <c r="B3158" s="9" t="s">
        <v>6883</v>
      </c>
      <c r="C3158" s="9" t="s">
        <v>6875</v>
      </c>
      <c r="D3158" s="9" t="s">
        <v>6742</v>
      </c>
      <c r="E3158" s="9" t="s">
        <v>273</v>
      </c>
      <c r="F3158" s="9" t="s">
        <v>274</v>
      </c>
      <c r="G3158" s="10" t="s">
        <v>6336</v>
      </c>
      <c r="H3158" s="9"/>
      <c r="I3158" s="9"/>
      <c r="J3158" s="9"/>
      <c r="K3158" s="9"/>
      <c r="L3158" s="9"/>
      <c r="M3158" s="9" t="s">
        <v>275</v>
      </c>
      <c r="N3158" s="9"/>
      <c r="O3158" s="9" t="s">
        <v>276</v>
      </c>
      <c r="P3158" s="9" t="str">
        <f>HYPERLINK("https://ceds.ed.gov/cedselementdetails.aspx?termid=13763")</f>
        <v>https://ceds.ed.gov/cedselementdetails.aspx?termid=13763</v>
      </c>
      <c r="Q3158" s="9" t="str">
        <f>HYPERLINK("https://ceds.ed.gov/elementComment.aspx?elementName=Adult Educational Functioning Level at Intake &amp;elementID=13763", "Click here to submit comment")</f>
        <v>Click here to submit comment</v>
      </c>
    </row>
    <row r="3159" spans="1:17" ht="270" x14ac:dyDescent="0.25">
      <c r="A3159" s="9" t="s">
        <v>6882</v>
      </c>
      <c r="B3159" s="9" t="s">
        <v>6883</v>
      </c>
      <c r="C3159" s="9" t="s">
        <v>6875</v>
      </c>
      <c r="D3159" s="9" t="s">
        <v>6742</v>
      </c>
      <c r="E3159" s="9" t="s">
        <v>277</v>
      </c>
      <c r="F3159" s="9" t="s">
        <v>278</v>
      </c>
      <c r="G3159" s="10" t="s">
        <v>6336</v>
      </c>
      <c r="H3159" s="9"/>
      <c r="I3159" s="9"/>
      <c r="J3159" s="9"/>
      <c r="K3159" s="9"/>
      <c r="L3159" s="9"/>
      <c r="M3159" s="9" t="s">
        <v>279</v>
      </c>
      <c r="N3159" s="9"/>
      <c r="O3159" s="9" t="s">
        <v>280</v>
      </c>
      <c r="P3159" s="9" t="str">
        <f>HYPERLINK("https://ceds.ed.gov/cedselementdetails.aspx?termid=13764")</f>
        <v>https://ceds.ed.gov/cedselementdetails.aspx?termid=13764</v>
      </c>
      <c r="Q3159" s="9" t="str">
        <f>HYPERLINK("https://ceds.ed.gov/elementComment.aspx?elementName=Adult Educational Functioning Level at Posttest &amp;elementID=13764", "Click here to submit comment")</f>
        <v>Click here to submit comment</v>
      </c>
    </row>
    <row r="3160" spans="1:17" ht="120" x14ac:dyDescent="0.25">
      <c r="A3160" s="9" t="s">
        <v>6882</v>
      </c>
      <c r="B3160" s="9" t="s">
        <v>6883</v>
      </c>
      <c r="C3160" s="9" t="s">
        <v>6875</v>
      </c>
      <c r="D3160" s="9" t="s">
        <v>6742</v>
      </c>
      <c r="E3160" s="9" t="s">
        <v>238</v>
      </c>
      <c r="F3160" s="9" t="s">
        <v>239</v>
      </c>
      <c r="G3160" s="10" t="s">
        <v>6330</v>
      </c>
      <c r="H3160" s="9"/>
      <c r="I3160" s="9"/>
      <c r="J3160" s="9"/>
      <c r="K3160" s="9"/>
      <c r="L3160" s="9"/>
      <c r="M3160" s="9" t="s">
        <v>240</v>
      </c>
      <c r="N3160" s="9"/>
      <c r="O3160" s="9" t="s">
        <v>241</v>
      </c>
      <c r="P3160" s="9" t="str">
        <f>HYPERLINK("https://ceds.ed.gov/cedselementdetails.aspx?termid=13768")</f>
        <v>https://ceds.ed.gov/cedselementdetails.aspx?termid=13768</v>
      </c>
      <c r="Q3160" s="9" t="str">
        <f>HYPERLINK("https://ceds.ed.gov/elementComment.aspx?elementName=Adult Education Postsecondary Transition Action &amp;elementID=13768", "Click here to submit comment")</f>
        <v>Click here to submit comment</v>
      </c>
    </row>
    <row r="3161" spans="1:17" ht="75" x14ac:dyDescent="0.25">
      <c r="A3161" s="9" t="s">
        <v>6882</v>
      </c>
      <c r="B3161" s="9" t="s">
        <v>6883</v>
      </c>
      <c r="C3161" s="9" t="s">
        <v>6875</v>
      </c>
      <c r="D3161" s="9" t="s">
        <v>6742</v>
      </c>
      <c r="E3161" s="9" t="s">
        <v>242</v>
      </c>
      <c r="F3161" s="9" t="s">
        <v>243</v>
      </c>
      <c r="G3161" s="9" t="s">
        <v>12</v>
      </c>
      <c r="H3161" s="9"/>
      <c r="I3161" s="9"/>
      <c r="J3161" s="9" t="s">
        <v>73</v>
      </c>
      <c r="K3161" s="9"/>
      <c r="L3161" s="9"/>
      <c r="M3161" s="9" t="s">
        <v>244</v>
      </c>
      <c r="N3161" s="9"/>
      <c r="O3161" s="9" t="s">
        <v>245</v>
      </c>
      <c r="P3161" s="9" t="str">
        <f>HYPERLINK("https://ceds.ed.gov/cedselementdetails.aspx?termid=13769")</f>
        <v>https://ceds.ed.gov/cedselementdetails.aspx?termid=13769</v>
      </c>
      <c r="Q3161" s="9" t="str">
        <f>HYPERLINK("https://ceds.ed.gov/elementComment.aspx?elementName=Adult Education Postsecondary Transition Date &amp;elementID=13769", "Click here to submit comment")</f>
        <v>Click here to submit comment</v>
      </c>
    </row>
    <row r="3162" spans="1:17" ht="45" x14ac:dyDescent="0.25">
      <c r="A3162" s="9" t="s">
        <v>6882</v>
      </c>
      <c r="B3162" s="9" t="s">
        <v>6883</v>
      </c>
      <c r="C3162" s="9" t="s">
        <v>6875</v>
      </c>
      <c r="D3162" s="9" t="s">
        <v>6742</v>
      </c>
      <c r="E3162" s="9" t="s">
        <v>2678</v>
      </c>
      <c r="F3162" s="9" t="s">
        <v>2679</v>
      </c>
      <c r="G3162" s="9" t="s">
        <v>12</v>
      </c>
      <c r="H3162" s="9" t="s">
        <v>6124</v>
      </c>
      <c r="I3162" s="9"/>
      <c r="J3162" s="9" t="s">
        <v>73</v>
      </c>
      <c r="K3162" s="9"/>
      <c r="L3162" s="9"/>
      <c r="M3162" s="9" t="s">
        <v>2680</v>
      </c>
      <c r="N3162" s="9"/>
      <c r="O3162" s="9" t="s">
        <v>2681</v>
      </c>
      <c r="P3162" s="9" t="str">
        <f>HYPERLINK("https://ceds.ed.gov/cedselementdetails.aspx?termid=13324")</f>
        <v>https://ceds.ed.gov/cedselementdetails.aspx?termid=13324</v>
      </c>
      <c r="Q3162" s="9" t="str">
        <f>HYPERLINK("https://ceds.ed.gov/elementComment.aspx?elementName=Enrollment Date &amp;elementID=13324", "Click here to submit comment")</f>
        <v>Click here to submit comment</v>
      </c>
    </row>
    <row r="3163" spans="1:17" ht="60" x14ac:dyDescent="0.25">
      <c r="A3163" s="9" t="s">
        <v>6882</v>
      </c>
      <c r="B3163" s="9" t="s">
        <v>6883</v>
      </c>
      <c r="C3163" s="9" t="s">
        <v>6875</v>
      </c>
      <c r="D3163" s="9" t="s">
        <v>6742</v>
      </c>
      <c r="E3163" s="9" t="s">
        <v>2686</v>
      </c>
      <c r="F3163" s="9" t="s">
        <v>2687</v>
      </c>
      <c r="G3163" s="9" t="s">
        <v>12</v>
      </c>
      <c r="H3163" s="9" t="s">
        <v>25</v>
      </c>
      <c r="I3163" s="9"/>
      <c r="J3163" s="9" t="s">
        <v>73</v>
      </c>
      <c r="K3163" s="9"/>
      <c r="L3163" s="9"/>
      <c r="M3163" s="9" t="s">
        <v>2688</v>
      </c>
      <c r="N3163" s="9"/>
      <c r="O3163" s="9" t="s">
        <v>2689</v>
      </c>
      <c r="P3163" s="9" t="str">
        <f>HYPERLINK("https://ceds.ed.gov/cedselementdetails.aspx?termid=13107")</f>
        <v>https://ceds.ed.gov/cedselementdetails.aspx?termid=13107</v>
      </c>
      <c r="Q3163" s="9" t="str">
        <f>HYPERLINK("https://ceds.ed.gov/elementComment.aspx?elementName=Enrollment Exit Date &amp;elementID=13107", "Click here to submit comment")</f>
        <v>Click here to submit comment</v>
      </c>
    </row>
    <row r="3164" spans="1:17" ht="195" x14ac:dyDescent="0.25">
      <c r="A3164" s="9" t="s">
        <v>6882</v>
      </c>
      <c r="B3164" s="9" t="s">
        <v>6883</v>
      </c>
      <c r="C3164" s="9" t="s">
        <v>6875</v>
      </c>
      <c r="D3164" s="9" t="s">
        <v>6742</v>
      </c>
      <c r="E3164" s="9" t="s">
        <v>3004</v>
      </c>
      <c r="F3164" s="9" t="s">
        <v>3005</v>
      </c>
      <c r="G3164" s="10" t="s">
        <v>6522</v>
      </c>
      <c r="H3164" s="9"/>
      <c r="I3164" s="9"/>
      <c r="J3164" s="9"/>
      <c r="K3164" s="9"/>
      <c r="L3164" s="9"/>
      <c r="M3164" s="9" t="s">
        <v>3006</v>
      </c>
      <c r="N3164" s="9"/>
      <c r="O3164" s="9" t="s">
        <v>3007</v>
      </c>
      <c r="P3164" s="9" t="str">
        <f>HYPERLINK("https://ceds.ed.gov/cedselementdetails.aspx?termid=13767")</f>
        <v>https://ceds.ed.gov/cedselementdetails.aspx?termid=13767</v>
      </c>
      <c r="Q3164" s="9" t="str">
        <f>HYPERLINK("https://ceds.ed.gov/elementComment.aspx?elementName=Goals for Attending Adult Education &amp;elementID=13767", "Click here to submit comment")</f>
        <v>Click here to submit comment</v>
      </c>
    </row>
    <row r="3165" spans="1:17" ht="45" x14ac:dyDescent="0.25">
      <c r="A3165" s="9" t="s">
        <v>6882</v>
      </c>
      <c r="B3165" s="9" t="s">
        <v>6883</v>
      </c>
      <c r="C3165" s="9" t="s">
        <v>6875</v>
      </c>
      <c r="D3165" s="9" t="s">
        <v>6742</v>
      </c>
      <c r="E3165" s="9" t="s">
        <v>4989</v>
      </c>
      <c r="F3165" s="9" t="s">
        <v>4990</v>
      </c>
      <c r="G3165" s="9" t="s">
        <v>12</v>
      </c>
      <c r="H3165" s="9"/>
      <c r="I3165" s="9"/>
      <c r="J3165" s="9" t="s">
        <v>4991</v>
      </c>
      <c r="K3165" s="9"/>
      <c r="L3165" s="9"/>
      <c r="M3165" s="9" t="s">
        <v>4992</v>
      </c>
      <c r="N3165" s="9"/>
      <c r="O3165" s="9" t="s">
        <v>4993</v>
      </c>
      <c r="P3165" s="9" t="str">
        <f>HYPERLINK("https://ceds.ed.gov/cedselementdetails.aspx?termid=13776")</f>
        <v>https://ceds.ed.gov/cedselementdetails.aspx?termid=13776</v>
      </c>
      <c r="Q3165" s="9" t="str">
        <f>HYPERLINK("https://ceds.ed.gov/elementComment.aspx?elementName=Proxy Contact Hours &amp;elementID=13776", "Click here to submit comment")</f>
        <v>Click here to submit comment</v>
      </c>
    </row>
    <row r="3166" spans="1:17" ht="360" x14ac:dyDescent="0.25">
      <c r="A3166" s="9" t="s">
        <v>6882</v>
      </c>
      <c r="B3166" s="9" t="s">
        <v>6883</v>
      </c>
      <c r="C3166" s="9" t="s">
        <v>6875</v>
      </c>
      <c r="D3166" s="9" t="s">
        <v>6742</v>
      </c>
      <c r="E3166" s="9" t="s">
        <v>1627</v>
      </c>
      <c r="F3166" s="9" t="s">
        <v>1628</v>
      </c>
      <c r="G3166" s="10" t="s">
        <v>6396</v>
      </c>
      <c r="H3166" s="9"/>
      <c r="I3166" s="9"/>
      <c r="J3166" s="9"/>
      <c r="K3166" s="9"/>
      <c r="L3166" s="9" t="s">
        <v>1629</v>
      </c>
      <c r="M3166" s="9" t="s">
        <v>1630</v>
      </c>
      <c r="N3166" s="9"/>
      <c r="O3166" s="9" t="s">
        <v>1631</v>
      </c>
      <c r="P3166" s="9" t="str">
        <f>HYPERLINK("https://ceds.ed.gov/cedselementdetails.aspx?termid=14254")</f>
        <v>https://ceds.ed.gov/cedselementdetails.aspx?termid=14254</v>
      </c>
      <c r="Q3166" s="9" t="str">
        <f>HYPERLINK("https://ceds.ed.gov/elementComment.aspx?elementName=Career Cluster &amp;elementID=14254", "Click here to submit comment")</f>
        <v>Click here to submit comment</v>
      </c>
    </row>
    <row r="3167" spans="1:17" ht="75" x14ac:dyDescent="0.25">
      <c r="A3167" s="9" t="s">
        <v>6882</v>
      </c>
      <c r="B3167" s="9" t="s">
        <v>6883</v>
      </c>
      <c r="C3167" s="9" t="s">
        <v>6875</v>
      </c>
      <c r="D3167" s="9" t="s">
        <v>6742</v>
      </c>
      <c r="E3167" s="9" t="s">
        <v>1644</v>
      </c>
      <c r="F3167" s="9" t="s">
        <v>1645</v>
      </c>
      <c r="G3167" s="9" t="s">
        <v>6106</v>
      </c>
      <c r="H3167" s="9"/>
      <c r="I3167" s="9"/>
      <c r="J3167" s="9"/>
      <c r="K3167" s="9"/>
      <c r="L3167" s="9"/>
      <c r="M3167" s="9" t="s">
        <v>1646</v>
      </c>
      <c r="N3167" s="9"/>
      <c r="O3167" s="9" t="s">
        <v>1647</v>
      </c>
      <c r="P3167" s="9" t="str">
        <f>HYPERLINK("https://ceds.ed.gov/cedselementdetails.aspx?termid=14257")</f>
        <v>https://ceds.ed.gov/cedselementdetails.aspx?termid=14257</v>
      </c>
      <c r="Q3167" s="9" t="str">
        <f>HYPERLINK("https://ceds.ed.gov/elementComment.aspx?elementName=Career Pathways Program Participation Indicator &amp;elementID=14257", "Click here to submit comment")</f>
        <v>Click here to submit comment</v>
      </c>
    </row>
    <row r="3168" spans="1:17" ht="45" x14ac:dyDescent="0.25">
      <c r="A3168" s="9" t="s">
        <v>6882</v>
      </c>
      <c r="B3168" s="9" t="s">
        <v>6883</v>
      </c>
      <c r="C3168" s="9" t="s">
        <v>6875</v>
      </c>
      <c r="D3168" s="9" t="s">
        <v>6742</v>
      </c>
      <c r="E3168" s="9" t="s">
        <v>1648</v>
      </c>
      <c r="F3168" s="9" t="s">
        <v>1649</v>
      </c>
      <c r="G3168" s="9" t="s">
        <v>12</v>
      </c>
      <c r="H3168" s="9"/>
      <c r="I3168" s="9"/>
      <c r="J3168" s="9" t="s">
        <v>73</v>
      </c>
      <c r="K3168" s="9"/>
      <c r="L3168" s="9"/>
      <c r="M3168" s="9" t="s">
        <v>1650</v>
      </c>
      <c r="N3168" s="9"/>
      <c r="O3168" s="9" t="s">
        <v>1651</v>
      </c>
      <c r="P3168" s="9" t="str">
        <f>HYPERLINK("https://ceds.ed.gov/cedselementdetails.aspx?termid=14563")</f>
        <v>https://ceds.ed.gov/cedselementdetails.aspx?termid=14563</v>
      </c>
      <c r="Q3168" s="9" t="str">
        <f>HYPERLINK("https://ceds.ed.gov/elementComment.aspx?elementName=Career Pathways Program Participation Start Date &amp;elementID=14563", "Click here to submit comment")</f>
        <v>Click here to submit comment</v>
      </c>
    </row>
    <row r="3169" spans="1:17" ht="45" x14ac:dyDescent="0.25">
      <c r="A3169" s="9" t="s">
        <v>6882</v>
      </c>
      <c r="B3169" s="9" t="s">
        <v>6883</v>
      </c>
      <c r="C3169" s="9" t="s">
        <v>6875</v>
      </c>
      <c r="D3169" s="9" t="s">
        <v>6742</v>
      </c>
      <c r="E3169" s="9" t="s">
        <v>1640</v>
      </c>
      <c r="F3169" s="9" t="s">
        <v>1641</v>
      </c>
      <c r="G3169" s="9" t="s">
        <v>12</v>
      </c>
      <c r="H3169" s="9"/>
      <c r="I3169" s="9"/>
      <c r="J3169" s="9" t="s">
        <v>73</v>
      </c>
      <c r="K3169" s="9"/>
      <c r="L3169" s="9"/>
      <c r="M3169" s="9" t="s">
        <v>1642</v>
      </c>
      <c r="N3169" s="9"/>
      <c r="O3169" s="9" t="s">
        <v>1643</v>
      </c>
      <c r="P3169" s="9" t="str">
        <f>HYPERLINK("https://ceds.ed.gov/cedselementdetails.aspx?termid=14562")</f>
        <v>https://ceds.ed.gov/cedselementdetails.aspx?termid=14562</v>
      </c>
      <c r="Q3169" s="9" t="str">
        <f>HYPERLINK("https://ceds.ed.gov/elementComment.aspx?elementName=Career Pathways Program Participation Exit Date &amp;elementID=14562", "Click here to submit comment")</f>
        <v>Click here to submit comment</v>
      </c>
    </row>
    <row r="3170" spans="1:17" ht="75" x14ac:dyDescent="0.25">
      <c r="A3170" s="9" t="s">
        <v>6882</v>
      </c>
      <c r="B3170" s="9" t="s">
        <v>6883</v>
      </c>
      <c r="C3170" s="9" t="s">
        <v>6875</v>
      </c>
      <c r="D3170" s="9" t="s">
        <v>6742</v>
      </c>
      <c r="E3170" s="9" t="s">
        <v>1876</v>
      </c>
      <c r="F3170" s="9" t="s">
        <v>1877</v>
      </c>
      <c r="G3170" s="9" t="s">
        <v>6106</v>
      </c>
      <c r="H3170" s="9"/>
      <c r="I3170" s="9"/>
      <c r="J3170" s="9"/>
      <c r="K3170" s="9"/>
      <c r="L3170" s="9"/>
      <c r="M3170" s="9" t="s">
        <v>1878</v>
      </c>
      <c r="N3170" s="9"/>
      <c r="O3170" s="9" t="s">
        <v>1879</v>
      </c>
      <c r="P3170" s="9" t="str">
        <f>HYPERLINK("https://ceds.ed.gov/cedselementdetails.aspx?termid=14263")</f>
        <v>https://ceds.ed.gov/cedselementdetails.aspx?termid=14263</v>
      </c>
      <c r="Q3170" s="9" t="str">
        <f>HYPERLINK("https://ceds.ed.gov/elementComment.aspx?elementName=Correctional Education Reentry Services Participation Indicator &amp;elementID=14263", "Click here to submit comment")</f>
        <v>Click here to submit comment</v>
      </c>
    </row>
    <row r="3171" spans="1:17" ht="120" x14ac:dyDescent="0.25">
      <c r="A3171" s="9" t="s">
        <v>6882</v>
      </c>
      <c r="B3171" s="9" t="s">
        <v>6883</v>
      </c>
      <c r="C3171" s="9" t="s">
        <v>6875</v>
      </c>
      <c r="D3171" s="9" t="s">
        <v>6742</v>
      </c>
      <c r="E3171" s="9" t="s">
        <v>1872</v>
      </c>
      <c r="F3171" s="9" t="s">
        <v>1873</v>
      </c>
      <c r="G3171" s="10" t="s">
        <v>6416</v>
      </c>
      <c r="H3171" s="9"/>
      <c r="I3171" s="9"/>
      <c r="J3171" s="9"/>
      <c r="K3171" s="9"/>
      <c r="L3171" s="9"/>
      <c r="M3171" s="9" t="s">
        <v>1874</v>
      </c>
      <c r="N3171" s="9"/>
      <c r="O3171" s="9" t="s">
        <v>1875</v>
      </c>
      <c r="P3171" s="9" t="str">
        <f>HYPERLINK("https://ceds.ed.gov/cedselementdetails.aspx?termid=14262")</f>
        <v>https://ceds.ed.gov/cedselementdetails.aspx?termid=14262</v>
      </c>
      <c r="Q3171" s="9" t="str">
        <f>HYPERLINK("https://ceds.ed.gov/elementComment.aspx?elementName=Correctional Education Facility Type &amp;elementID=14262", "Click here to submit comment")</f>
        <v>Click here to submit comment</v>
      </c>
    </row>
    <row r="3172" spans="1:17" ht="330" x14ac:dyDescent="0.25">
      <c r="A3172" s="9" t="s">
        <v>6882</v>
      </c>
      <c r="B3172" s="9" t="s">
        <v>6883</v>
      </c>
      <c r="C3172" s="9" t="s">
        <v>6875</v>
      </c>
      <c r="D3172" s="9" t="s">
        <v>6742</v>
      </c>
      <c r="E3172" s="9" t="s">
        <v>2703</v>
      </c>
      <c r="F3172" s="9" t="s">
        <v>2704</v>
      </c>
      <c r="G3172" s="10" t="s">
        <v>6494</v>
      </c>
      <c r="H3172" s="9" t="s">
        <v>6155</v>
      </c>
      <c r="I3172" s="9"/>
      <c r="J3172" s="9"/>
      <c r="K3172" s="9"/>
      <c r="L3172" s="9"/>
      <c r="M3172" s="9" t="s">
        <v>2705</v>
      </c>
      <c r="N3172" s="9"/>
      <c r="O3172" s="9" t="s">
        <v>2706</v>
      </c>
      <c r="P3172" s="9" t="str">
        <f>HYPERLINK("https://ceds.ed.gov/cedselementdetails.aspx?termid=13100")</f>
        <v>https://ceds.ed.gov/cedselementdetails.aspx?termid=13100</v>
      </c>
      <c r="Q3172" s="9" t="str">
        <f>HYPERLINK("https://ceds.ed.gov/elementComment.aspx?elementName=Entry Grade Level &amp;elementID=13100", "Click here to submit comment")</f>
        <v>Click here to submit comment</v>
      </c>
    </row>
    <row r="3173" spans="1:17" ht="330" x14ac:dyDescent="0.25">
      <c r="A3173" s="9" t="s">
        <v>6882</v>
      </c>
      <c r="B3173" s="9" t="s">
        <v>6883</v>
      </c>
      <c r="C3173" s="9" t="s">
        <v>6875</v>
      </c>
      <c r="D3173" s="9" t="s">
        <v>6742</v>
      </c>
      <c r="E3173" s="9" t="s">
        <v>2711</v>
      </c>
      <c r="F3173" s="9" t="s">
        <v>2712</v>
      </c>
      <c r="G3173" s="10" t="s">
        <v>6494</v>
      </c>
      <c r="H3173" s="9"/>
      <c r="I3173" s="9"/>
      <c r="J3173" s="9"/>
      <c r="K3173" s="9"/>
      <c r="L3173" s="9"/>
      <c r="M3173" s="9" t="s">
        <v>2713</v>
      </c>
      <c r="N3173" s="9"/>
      <c r="O3173" s="9" t="s">
        <v>2714</v>
      </c>
      <c r="P3173" s="9" t="str">
        <f>HYPERLINK("https://ceds.ed.gov/cedselementdetails.aspx?termid=14177")</f>
        <v>https://ceds.ed.gov/cedselementdetails.aspx?termid=14177</v>
      </c>
      <c r="Q3173" s="9" t="str">
        <f>HYPERLINK("https://ceds.ed.gov/elementComment.aspx?elementName=Exit Grade Level &amp;elementID=14177", "Click here to submit comment")</f>
        <v>Click here to submit comment</v>
      </c>
    </row>
    <row r="3174" spans="1:17" ht="45" x14ac:dyDescent="0.25">
      <c r="A3174" s="9" t="s">
        <v>6882</v>
      </c>
      <c r="B3174" s="9" t="s">
        <v>6883</v>
      </c>
      <c r="C3174" s="9" t="s">
        <v>6875</v>
      </c>
      <c r="D3174" s="9" t="s">
        <v>6742</v>
      </c>
      <c r="E3174" s="9" t="s">
        <v>3466</v>
      </c>
      <c r="F3174" s="9" t="s">
        <v>3467</v>
      </c>
      <c r="G3174" s="9" t="s">
        <v>12</v>
      </c>
      <c r="H3174" s="9" t="s">
        <v>3470</v>
      </c>
      <c r="I3174" s="9"/>
      <c r="J3174" s="9" t="s">
        <v>1513</v>
      </c>
      <c r="K3174" s="9"/>
      <c r="L3174" s="9"/>
      <c r="M3174" s="9" t="s">
        <v>3468</v>
      </c>
      <c r="N3174" s="9"/>
      <c r="O3174" s="9" t="s">
        <v>3469</v>
      </c>
      <c r="P3174" s="9" t="str">
        <f>HYPERLINK("https://ceds.ed.gov/cedselementdetails.aspx?termid=13361")</f>
        <v>https://ceds.ed.gov/cedselementdetails.aspx?termid=13361</v>
      </c>
      <c r="Q3174" s="9" t="str">
        <f>HYPERLINK("https://ceds.ed.gov/elementComment.aspx?elementName=Instructional Activity Hours Completed &amp;elementID=13361", "Click here to submit comment")</f>
        <v>Click here to submit comment</v>
      </c>
    </row>
    <row r="3175" spans="1:17" ht="195" x14ac:dyDescent="0.25">
      <c r="A3175" s="9" t="s">
        <v>6882</v>
      </c>
      <c r="B3175" s="9" t="s">
        <v>6884</v>
      </c>
      <c r="C3175" s="9" t="s">
        <v>6741</v>
      </c>
      <c r="D3175" s="9" t="s">
        <v>6742</v>
      </c>
      <c r="E3175" s="9" t="s">
        <v>2935</v>
      </c>
      <c r="F3175" s="9" t="s">
        <v>2936</v>
      </c>
      <c r="G3175" s="9" t="s">
        <v>12</v>
      </c>
      <c r="H3175" s="9" t="s">
        <v>6211</v>
      </c>
      <c r="I3175" s="9"/>
      <c r="J3175" s="9" t="s">
        <v>1310</v>
      </c>
      <c r="K3175" s="9"/>
      <c r="L3175" s="9" t="s">
        <v>2937</v>
      </c>
      <c r="M3175" s="9" t="s">
        <v>2938</v>
      </c>
      <c r="N3175" s="9"/>
      <c r="O3175" s="9" t="s">
        <v>2939</v>
      </c>
      <c r="P3175" s="9" t="str">
        <f>HYPERLINK("https://ceds.ed.gov/cedselementdetails.aspx?termid=13115")</f>
        <v>https://ceds.ed.gov/cedselementdetails.aspx?termid=13115</v>
      </c>
      <c r="Q3175" s="9" t="str">
        <f>HYPERLINK("https://ceds.ed.gov/elementComment.aspx?elementName=First Name &amp;elementID=13115", "Click here to submit comment")</f>
        <v>Click here to submit comment</v>
      </c>
    </row>
    <row r="3176" spans="1:17" ht="90" customHeight="1" x14ac:dyDescent="0.25">
      <c r="A3176" s="18" t="s">
        <v>6882</v>
      </c>
      <c r="B3176" s="18" t="s">
        <v>6884</v>
      </c>
      <c r="C3176" s="18" t="s">
        <v>6741</v>
      </c>
      <c r="D3176" s="18" t="s">
        <v>6742</v>
      </c>
      <c r="E3176" s="18" t="s">
        <v>4183</v>
      </c>
      <c r="F3176" s="18" t="s">
        <v>4184</v>
      </c>
      <c r="G3176" s="18" t="s">
        <v>12</v>
      </c>
      <c r="H3176" s="18" t="s">
        <v>6211</v>
      </c>
      <c r="I3176" s="18"/>
      <c r="J3176" s="18" t="s">
        <v>1310</v>
      </c>
      <c r="K3176" s="18"/>
      <c r="L3176" s="9" t="s">
        <v>2996</v>
      </c>
      <c r="M3176" s="18" t="s">
        <v>4185</v>
      </c>
      <c r="N3176" s="18"/>
      <c r="O3176" s="18" t="s">
        <v>4186</v>
      </c>
      <c r="P3176" s="18" t="str">
        <f>HYPERLINK("https://ceds.ed.gov/cedselementdetails.aspx?termid=13184")</f>
        <v>https://ceds.ed.gov/cedselementdetails.aspx?termid=13184</v>
      </c>
      <c r="Q3176" s="18" t="str">
        <f>HYPERLINK("https://ceds.ed.gov/elementComment.aspx?elementName=Middle Name &amp;elementID=13184", "Click here to submit comment")</f>
        <v>Click here to submit comment</v>
      </c>
    </row>
    <row r="3177" spans="1:17" ht="90" x14ac:dyDescent="0.25">
      <c r="A3177" s="18"/>
      <c r="B3177" s="18"/>
      <c r="C3177" s="18"/>
      <c r="D3177" s="18"/>
      <c r="E3177" s="18"/>
      <c r="F3177" s="18"/>
      <c r="G3177" s="18"/>
      <c r="H3177" s="18"/>
      <c r="I3177" s="18"/>
      <c r="J3177" s="18"/>
      <c r="K3177" s="18"/>
      <c r="L3177" s="9" t="s">
        <v>2997</v>
      </c>
      <c r="M3177" s="18"/>
      <c r="N3177" s="18"/>
      <c r="O3177" s="18"/>
      <c r="P3177" s="18"/>
      <c r="Q3177" s="18"/>
    </row>
    <row r="3178" spans="1:17" ht="90" customHeight="1" x14ac:dyDescent="0.25">
      <c r="A3178" s="18" t="s">
        <v>6882</v>
      </c>
      <c r="B3178" s="18" t="s">
        <v>6884</v>
      </c>
      <c r="C3178" s="18" t="s">
        <v>6741</v>
      </c>
      <c r="D3178" s="18" t="s">
        <v>6742</v>
      </c>
      <c r="E3178" s="18" t="s">
        <v>3597</v>
      </c>
      <c r="F3178" s="18" t="s">
        <v>3598</v>
      </c>
      <c r="G3178" s="18" t="s">
        <v>12</v>
      </c>
      <c r="H3178" s="18" t="s">
        <v>6211</v>
      </c>
      <c r="I3178" s="18"/>
      <c r="J3178" s="18" t="s">
        <v>1310</v>
      </c>
      <c r="K3178" s="18"/>
      <c r="L3178" s="9" t="s">
        <v>2996</v>
      </c>
      <c r="M3178" s="18" t="s">
        <v>3599</v>
      </c>
      <c r="N3178" s="18" t="s">
        <v>3600</v>
      </c>
      <c r="O3178" s="18" t="s">
        <v>3601</v>
      </c>
      <c r="P3178" s="18" t="str">
        <f>HYPERLINK("https://ceds.ed.gov/cedselementdetails.aspx?termid=13172")</f>
        <v>https://ceds.ed.gov/cedselementdetails.aspx?termid=13172</v>
      </c>
      <c r="Q3178" s="18" t="str">
        <f>HYPERLINK("https://ceds.ed.gov/elementComment.aspx?elementName=Last or Surname &amp;elementID=13172", "Click here to submit comment")</f>
        <v>Click here to submit comment</v>
      </c>
    </row>
    <row r="3179" spans="1:17" ht="90" x14ac:dyDescent="0.25">
      <c r="A3179" s="18"/>
      <c r="B3179" s="18"/>
      <c r="C3179" s="18"/>
      <c r="D3179" s="18"/>
      <c r="E3179" s="18"/>
      <c r="F3179" s="18"/>
      <c r="G3179" s="18"/>
      <c r="H3179" s="18"/>
      <c r="I3179" s="18"/>
      <c r="J3179" s="18"/>
      <c r="K3179" s="18"/>
      <c r="L3179" s="9" t="s">
        <v>2997</v>
      </c>
      <c r="M3179" s="18"/>
      <c r="N3179" s="18"/>
      <c r="O3179" s="18"/>
      <c r="P3179" s="18"/>
      <c r="Q3179" s="18"/>
    </row>
    <row r="3180" spans="1:17" ht="45" customHeight="1" x14ac:dyDescent="0.25">
      <c r="A3180" s="18" t="s">
        <v>6882</v>
      </c>
      <c r="B3180" s="18" t="s">
        <v>6884</v>
      </c>
      <c r="C3180" s="18" t="s">
        <v>6741</v>
      </c>
      <c r="D3180" s="18" t="s">
        <v>6742</v>
      </c>
      <c r="E3180" s="18" t="s">
        <v>2994</v>
      </c>
      <c r="F3180" s="18" t="s">
        <v>2995</v>
      </c>
      <c r="G3180" s="18" t="s">
        <v>12</v>
      </c>
      <c r="H3180" s="18" t="s">
        <v>6212</v>
      </c>
      <c r="I3180" s="18"/>
      <c r="J3180" s="18" t="s">
        <v>2088</v>
      </c>
      <c r="K3180" s="18"/>
      <c r="L3180" s="9" t="s">
        <v>2996</v>
      </c>
      <c r="M3180" s="18" t="s">
        <v>2998</v>
      </c>
      <c r="N3180" s="18"/>
      <c r="O3180" s="18" t="s">
        <v>2999</v>
      </c>
      <c r="P3180" s="18" t="str">
        <f>HYPERLINK("https://ceds.ed.gov/cedselementdetails.aspx?termid=13121")</f>
        <v>https://ceds.ed.gov/cedselementdetails.aspx?termid=13121</v>
      </c>
      <c r="Q3180" s="18" t="str">
        <f>HYPERLINK("https://ceds.ed.gov/elementComment.aspx?elementName=Generation Code or Suffix &amp;elementID=13121", "Click here to submit comment")</f>
        <v>Click here to submit comment</v>
      </c>
    </row>
    <row r="3181" spans="1:17" ht="90" x14ac:dyDescent="0.25">
      <c r="A3181" s="18"/>
      <c r="B3181" s="18"/>
      <c r="C3181" s="18"/>
      <c r="D3181" s="18"/>
      <c r="E3181" s="18"/>
      <c r="F3181" s="18"/>
      <c r="G3181" s="18"/>
      <c r="H3181" s="18"/>
      <c r="I3181" s="18"/>
      <c r="J3181" s="18"/>
      <c r="K3181" s="18"/>
      <c r="L3181" s="9" t="s">
        <v>2997</v>
      </c>
      <c r="M3181" s="18"/>
      <c r="N3181" s="18"/>
      <c r="O3181" s="18"/>
      <c r="P3181" s="18"/>
      <c r="Q3181" s="18"/>
    </row>
    <row r="3182" spans="1:17" ht="105" x14ac:dyDescent="0.25">
      <c r="A3182" s="9" t="s">
        <v>6882</v>
      </c>
      <c r="B3182" s="9" t="s">
        <v>6884</v>
      </c>
      <c r="C3182" s="9" t="s">
        <v>6741</v>
      </c>
      <c r="D3182" s="9" t="s">
        <v>6742</v>
      </c>
      <c r="E3182" s="9" t="s">
        <v>4610</v>
      </c>
      <c r="F3182" s="9" t="s">
        <v>4611</v>
      </c>
      <c r="G3182" s="9" t="s">
        <v>12</v>
      </c>
      <c r="H3182" s="9" t="s">
        <v>6255</v>
      </c>
      <c r="I3182" s="9"/>
      <c r="J3182" s="9" t="s">
        <v>87</v>
      </c>
      <c r="K3182" s="9"/>
      <c r="L3182" s="9"/>
      <c r="M3182" s="9" t="s">
        <v>4612</v>
      </c>
      <c r="N3182" s="9" t="s">
        <v>4613</v>
      </c>
      <c r="O3182" s="9" t="s">
        <v>4614</v>
      </c>
      <c r="P3182" s="9" t="str">
        <f>HYPERLINK("https://ceds.ed.gov/cedselementdetails.aspx?termid=13212")</f>
        <v>https://ceds.ed.gov/cedselementdetails.aspx?termid=13212</v>
      </c>
      <c r="Q3182" s="9" t="str">
        <f>HYPERLINK("https://ceds.ed.gov/elementComment.aspx?elementName=Personal Title or Prefix &amp;elementID=13212", "Click here to submit comment")</f>
        <v>Click here to submit comment</v>
      </c>
    </row>
    <row r="3183" spans="1:17" ht="45" x14ac:dyDescent="0.25">
      <c r="A3183" s="9" t="s">
        <v>6882</v>
      </c>
      <c r="B3183" s="9" t="s">
        <v>6884</v>
      </c>
      <c r="C3183" s="9" t="s">
        <v>6743</v>
      </c>
      <c r="D3183" s="9" t="s">
        <v>6742</v>
      </c>
      <c r="E3183" s="9" t="s">
        <v>4481</v>
      </c>
      <c r="F3183" s="9" t="s">
        <v>4482</v>
      </c>
      <c r="G3183" s="9" t="s">
        <v>12</v>
      </c>
      <c r="H3183" s="9"/>
      <c r="I3183" s="9"/>
      <c r="J3183" s="9" t="s">
        <v>1310</v>
      </c>
      <c r="K3183" s="9"/>
      <c r="L3183" s="9" t="s">
        <v>4483</v>
      </c>
      <c r="M3183" s="9" t="s">
        <v>4484</v>
      </c>
      <c r="N3183" s="9"/>
      <c r="O3183" s="9" t="s">
        <v>4485</v>
      </c>
      <c r="P3183" s="9" t="str">
        <f>HYPERLINK("https://ceds.ed.gov/cedselementdetails.aspx?termid=14486")</f>
        <v>https://ceds.ed.gov/cedselementdetails.aspx?termid=14486</v>
      </c>
      <c r="Q3183" s="9" t="str">
        <f>HYPERLINK("https://ceds.ed.gov/elementComment.aspx?elementName=Other First Name &amp;elementID=14486", "Click here to submit comment")</f>
        <v>Click here to submit comment</v>
      </c>
    </row>
    <row r="3184" spans="1:17" ht="45" x14ac:dyDescent="0.25">
      <c r="A3184" s="9" t="s">
        <v>6882</v>
      </c>
      <c r="B3184" s="9" t="s">
        <v>6884</v>
      </c>
      <c r="C3184" s="9" t="s">
        <v>6743</v>
      </c>
      <c r="D3184" s="9" t="s">
        <v>6742</v>
      </c>
      <c r="E3184" s="9" t="s">
        <v>4491</v>
      </c>
      <c r="F3184" s="9" t="s">
        <v>4492</v>
      </c>
      <c r="G3184" s="9" t="s">
        <v>12</v>
      </c>
      <c r="H3184" s="9"/>
      <c r="I3184" s="9"/>
      <c r="J3184" s="9" t="s">
        <v>1310</v>
      </c>
      <c r="K3184" s="9"/>
      <c r="L3184" s="9" t="s">
        <v>4493</v>
      </c>
      <c r="M3184" s="9" t="s">
        <v>4494</v>
      </c>
      <c r="N3184" s="9"/>
      <c r="O3184" s="9" t="s">
        <v>4495</v>
      </c>
      <c r="P3184" s="9" t="str">
        <f>HYPERLINK("https://ceds.ed.gov/cedselementdetails.aspx?termid=14487")</f>
        <v>https://ceds.ed.gov/cedselementdetails.aspx?termid=14487</v>
      </c>
      <c r="Q3184" s="9" t="str">
        <f>HYPERLINK("https://ceds.ed.gov/elementComment.aspx?elementName=Other Middle Name &amp;elementID=14487", "Click here to submit comment")</f>
        <v>Click here to submit comment</v>
      </c>
    </row>
    <row r="3185" spans="1:17" ht="45" x14ac:dyDescent="0.25">
      <c r="A3185" s="9" t="s">
        <v>6882</v>
      </c>
      <c r="B3185" s="9" t="s">
        <v>6884</v>
      </c>
      <c r="C3185" s="9" t="s">
        <v>6743</v>
      </c>
      <c r="D3185" s="9" t="s">
        <v>6742</v>
      </c>
      <c r="E3185" s="9" t="s">
        <v>4486</v>
      </c>
      <c r="F3185" s="9" t="s">
        <v>4487</v>
      </c>
      <c r="G3185" s="9" t="s">
        <v>12</v>
      </c>
      <c r="H3185" s="9"/>
      <c r="I3185" s="9"/>
      <c r="J3185" s="9" t="s">
        <v>1310</v>
      </c>
      <c r="K3185" s="9"/>
      <c r="L3185" s="9" t="s">
        <v>4488</v>
      </c>
      <c r="M3185" s="9" t="s">
        <v>4489</v>
      </c>
      <c r="N3185" s="9"/>
      <c r="O3185" s="9" t="s">
        <v>4490</v>
      </c>
      <c r="P3185" s="9" t="str">
        <f>HYPERLINK("https://ceds.ed.gov/cedselementdetails.aspx?termid=14485")</f>
        <v>https://ceds.ed.gov/cedselementdetails.aspx?termid=14485</v>
      </c>
      <c r="Q3185" s="9" t="str">
        <f>HYPERLINK("https://ceds.ed.gov/elementComment.aspx?elementName=Other Last Name &amp;elementID=14485", "Click here to submit comment")</f>
        <v>Click here to submit comment</v>
      </c>
    </row>
    <row r="3186" spans="1:17" ht="150" x14ac:dyDescent="0.25">
      <c r="A3186" s="9" t="s">
        <v>6882</v>
      </c>
      <c r="B3186" s="9" t="s">
        <v>6884</v>
      </c>
      <c r="C3186" s="9" t="s">
        <v>6743</v>
      </c>
      <c r="D3186" s="9" t="s">
        <v>6742</v>
      </c>
      <c r="E3186" s="9" t="s">
        <v>4496</v>
      </c>
      <c r="F3186" s="9" t="s">
        <v>4497</v>
      </c>
      <c r="G3186" s="9" t="s">
        <v>12</v>
      </c>
      <c r="H3186" s="9" t="s">
        <v>6212</v>
      </c>
      <c r="I3186" s="9"/>
      <c r="J3186" s="9" t="s">
        <v>119</v>
      </c>
      <c r="K3186" s="9"/>
      <c r="L3186" s="9"/>
      <c r="M3186" s="9" t="s">
        <v>4498</v>
      </c>
      <c r="N3186" s="9"/>
      <c r="O3186" s="9" t="s">
        <v>4499</v>
      </c>
      <c r="P3186" s="9" t="str">
        <f>HYPERLINK("https://ceds.ed.gov/cedselementdetails.aspx?termid=13206")</f>
        <v>https://ceds.ed.gov/cedselementdetails.aspx?termid=13206</v>
      </c>
      <c r="Q3186" s="9" t="str">
        <f>HYPERLINK("https://ceds.ed.gov/elementComment.aspx?elementName=Other Name &amp;elementID=13206", "Click here to submit comment")</f>
        <v>Click here to submit comment</v>
      </c>
    </row>
    <row r="3187" spans="1:17" ht="165" x14ac:dyDescent="0.25">
      <c r="A3187" s="9" t="s">
        <v>6882</v>
      </c>
      <c r="B3187" s="9" t="s">
        <v>6884</v>
      </c>
      <c r="C3187" s="9" t="s">
        <v>6743</v>
      </c>
      <c r="D3187" s="9" t="s">
        <v>6742</v>
      </c>
      <c r="E3187" s="9" t="s">
        <v>4500</v>
      </c>
      <c r="F3187" s="9" t="s">
        <v>4501</v>
      </c>
      <c r="G3187" s="10" t="s">
        <v>6630</v>
      </c>
      <c r="H3187" s="9" t="s">
        <v>6251</v>
      </c>
      <c r="I3187" s="9"/>
      <c r="J3187" s="9" t="s">
        <v>87</v>
      </c>
      <c r="K3187" s="9"/>
      <c r="L3187" s="9"/>
      <c r="M3187" s="9" t="s">
        <v>4502</v>
      </c>
      <c r="N3187" s="9"/>
      <c r="O3187" s="9" t="s">
        <v>4503</v>
      </c>
      <c r="P3187" s="9" t="str">
        <f>HYPERLINK("https://ceds.ed.gov/cedselementdetails.aspx?termid=13627")</f>
        <v>https://ceds.ed.gov/cedselementdetails.aspx?termid=13627</v>
      </c>
      <c r="Q3187" s="9" t="str">
        <f>HYPERLINK("https://ceds.ed.gov/elementComment.aspx?elementName=Other Name Type &amp;elementID=13627", "Click here to submit comment")</f>
        <v>Click here to submit comment</v>
      </c>
    </row>
    <row r="3188" spans="1:17" ht="105" x14ac:dyDescent="0.25">
      <c r="A3188" s="18" t="s">
        <v>6882</v>
      </c>
      <c r="B3188" s="18" t="s">
        <v>6884</v>
      </c>
      <c r="C3188" s="18" t="s">
        <v>6744</v>
      </c>
      <c r="D3188" s="18" t="s">
        <v>6742</v>
      </c>
      <c r="E3188" s="18" t="s">
        <v>5621</v>
      </c>
      <c r="F3188" s="18" t="s">
        <v>5622</v>
      </c>
      <c r="G3188" s="18" t="s">
        <v>12</v>
      </c>
      <c r="H3188" s="18" t="s">
        <v>6284</v>
      </c>
      <c r="I3188" s="18"/>
      <c r="J3188" s="18" t="s">
        <v>119</v>
      </c>
      <c r="K3188" s="18"/>
      <c r="L3188" s="9" t="s">
        <v>120</v>
      </c>
      <c r="M3188" s="18" t="s">
        <v>5623</v>
      </c>
      <c r="N3188" s="18"/>
      <c r="O3188" s="18" t="s">
        <v>5624</v>
      </c>
      <c r="P3188" s="18" t="str">
        <f>HYPERLINK("https://ceds.ed.gov/cedselementdetails.aspx?termid=13156")</f>
        <v>https://ceds.ed.gov/cedselementdetails.aspx?termid=13156</v>
      </c>
      <c r="Q3188" s="18" t="str">
        <f>HYPERLINK("https://ceds.ed.gov/elementComment.aspx?elementName=Staff Member Identifier &amp;elementID=13156", "Click here to submit comment")</f>
        <v>Click here to submit comment</v>
      </c>
    </row>
    <row r="3189" spans="1:17" x14ac:dyDescent="0.25">
      <c r="A3189" s="18"/>
      <c r="B3189" s="18"/>
      <c r="C3189" s="18"/>
      <c r="D3189" s="18"/>
      <c r="E3189" s="18"/>
      <c r="F3189" s="18"/>
      <c r="G3189" s="18"/>
      <c r="H3189" s="18"/>
      <c r="I3189" s="18"/>
      <c r="J3189" s="18"/>
      <c r="K3189" s="18"/>
      <c r="L3189" s="9"/>
      <c r="M3189" s="18"/>
      <c r="N3189" s="18"/>
      <c r="O3189" s="18"/>
      <c r="P3189" s="18"/>
      <c r="Q3189" s="18"/>
    </row>
    <row r="3190" spans="1:17" ht="90" x14ac:dyDescent="0.25">
      <c r="A3190" s="18"/>
      <c r="B3190" s="18"/>
      <c r="C3190" s="18"/>
      <c r="D3190" s="18"/>
      <c r="E3190" s="18"/>
      <c r="F3190" s="18"/>
      <c r="G3190" s="18"/>
      <c r="H3190" s="18"/>
      <c r="I3190" s="18"/>
      <c r="J3190" s="18"/>
      <c r="K3190" s="18"/>
      <c r="L3190" s="9" t="s">
        <v>121</v>
      </c>
      <c r="M3190" s="18"/>
      <c r="N3190" s="18"/>
      <c r="O3190" s="18"/>
      <c r="P3190" s="18"/>
      <c r="Q3190" s="18"/>
    </row>
    <row r="3191" spans="1:17" ht="345" x14ac:dyDescent="0.25">
      <c r="A3191" s="9" t="s">
        <v>6882</v>
      </c>
      <c r="B3191" s="9" t="s">
        <v>6884</v>
      </c>
      <c r="C3191" s="9" t="s">
        <v>6744</v>
      </c>
      <c r="D3191" s="9" t="s">
        <v>6742</v>
      </c>
      <c r="E3191" s="9" t="s">
        <v>5617</v>
      </c>
      <c r="F3191" s="9" t="s">
        <v>5618</v>
      </c>
      <c r="G3191" s="10" t="s">
        <v>6700</v>
      </c>
      <c r="H3191" s="9" t="s">
        <v>6283</v>
      </c>
      <c r="I3191" s="9"/>
      <c r="J3191" s="9"/>
      <c r="K3191" s="9"/>
      <c r="L3191" s="9"/>
      <c r="M3191" s="9" t="s">
        <v>5619</v>
      </c>
      <c r="N3191" s="9"/>
      <c r="O3191" s="9" t="s">
        <v>5620</v>
      </c>
      <c r="P3191" s="9" t="str">
        <f>HYPERLINK("https://ceds.ed.gov/cedselementdetails.aspx?termid=13162")</f>
        <v>https://ceds.ed.gov/cedselementdetails.aspx?termid=13162</v>
      </c>
      <c r="Q3191" s="9" t="str">
        <f>HYPERLINK("https://ceds.ed.gov/elementComment.aspx?elementName=Staff Member Identification System &amp;elementID=13162", "Click here to submit comment")</f>
        <v>Click here to submit comment</v>
      </c>
    </row>
    <row r="3192" spans="1:17" ht="255" x14ac:dyDescent="0.25">
      <c r="A3192" s="9" t="s">
        <v>6882</v>
      </c>
      <c r="B3192" s="9" t="s">
        <v>6884</v>
      </c>
      <c r="C3192" s="9" t="s">
        <v>6744</v>
      </c>
      <c r="D3192" s="9" t="s">
        <v>6742</v>
      </c>
      <c r="E3192" s="9" t="s">
        <v>4606</v>
      </c>
      <c r="F3192" s="9" t="s">
        <v>4607</v>
      </c>
      <c r="G3192" s="10" t="s">
        <v>6637</v>
      </c>
      <c r="H3192" s="9"/>
      <c r="I3192" s="9"/>
      <c r="J3192" s="9"/>
      <c r="K3192" s="9"/>
      <c r="L3192" s="9"/>
      <c r="M3192" s="9" t="s">
        <v>4608</v>
      </c>
      <c r="N3192" s="9"/>
      <c r="O3192" s="9" t="s">
        <v>4609</v>
      </c>
      <c r="P3192" s="9" t="str">
        <f>HYPERLINK("https://ceds.ed.gov/cedselementdetails.aspx?termid=13611")</f>
        <v>https://ceds.ed.gov/cedselementdetails.aspx?termid=13611</v>
      </c>
      <c r="Q3192" s="9" t="str">
        <f>HYPERLINK("https://ceds.ed.gov/elementComment.aspx?elementName=Personal Information Verification &amp;elementID=13611", "Click here to submit comment")</f>
        <v>Click here to submit comment</v>
      </c>
    </row>
    <row r="3193" spans="1:17" ht="105" x14ac:dyDescent="0.25">
      <c r="A3193" s="9" t="s">
        <v>6882</v>
      </c>
      <c r="B3193" s="9" t="s">
        <v>6884</v>
      </c>
      <c r="C3193" s="9" t="s">
        <v>6745</v>
      </c>
      <c r="D3193" s="9" t="s">
        <v>6742</v>
      </c>
      <c r="E3193" s="9" t="s">
        <v>178</v>
      </c>
      <c r="F3193" s="9" t="s">
        <v>179</v>
      </c>
      <c r="G3193" s="10" t="s">
        <v>6321</v>
      </c>
      <c r="H3193" s="9" t="s">
        <v>182</v>
      </c>
      <c r="I3193" s="9"/>
      <c r="J3193" s="9" t="s">
        <v>87</v>
      </c>
      <c r="K3193" s="9"/>
      <c r="L3193" s="9"/>
      <c r="M3193" s="9" t="s">
        <v>180</v>
      </c>
      <c r="N3193" s="9"/>
      <c r="O3193" s="9" t="s">
        <v>181</v>
      </c>
      <c r="P3193" s="9" t="str">
        <f>HYPERLINK("https://ceds.ed.gov/cedselementdetails.aspx?termid=13698")</f>
        <v>https://ceds.ed.gov/cedselementdetails.aspx?termid=13698</v>
      </c>
      <c r="Q3193" s="9" t="str">
        <f>HYPERLINK("https://ceds.ed.gov/elementComment.aspx?elementName=Address Type for Staff &amp;elementID=13698", "Click here to submit comment")</f>
        <v>Click here to submit comment</v>
      </c>
    </row>
    <row r="3194" spans="1:17" ht="225" x14ac:dyDescent="0.25">
      <c r="A3194" s="9" t="s">
        <v>6882</v>
      </c>
      <c r="B3194" s="9" t="s">
        <v>6884</v>
      </c>
      <c r="C3194" s="9" t="s">
        <v>6745</v>
      </c>
      <c r="D3194" s="9" t="s">
        <v>6742</v>
      </c>
      <c r="E3194" s="9" t="s">
        <v>166</v>
      </c>
      <c r="F3194" s="9" t="s">
        <v>167</v>
      </c>
      <c r="G3194" s="9" t="s">
        <v>12</v>
      </c>
      <c r="H3194" s="9" t="s">
        <v>6113</v>
      </c>
      <c r="I3194" s="9"/>
      <c r="J3194" s="9" t="s">
        <v>119</v>
      </c>
      <c r="K3194" s="9"/>
      <c r="L3194" s="9"/>
      <c r="M3194" s="9" t="s">
        <v>168</v>
      </c>
      <c r="N3194" s="9"/>
      <c r="O3194" s="9" t="s">
        <v>169</v>
      </c>
      <c r="P3194" s="9" t="str">
        <f>HYPERLINK("https://ceds.ed.gov/cedselementdetails.aspx?termid=13269")</f>
        <v>https://ceds.ed.gov/cedselementdetails.aspx?termid=13269</v>
      </c>
      <c r="Q3194" s="9" t="str">
        <f>HYPERLINK("https://ceds.ed.gov/elementComment.aspx?elementName=Address Street Number and Name &amp;elementID=13269", "Click here to submit comment")</f>
        <v>Click here to submit comment</v>
      </c>
    </row>
    <row r="3195" spans="1:17" ht="225" x14ac:dyDescent="0.25">
      <c r="A3195" s="9" t="s">
        <v>6882</v>
      </c>
      <c r="B3195" s="9" t="s">
        <v>6884</v>
      </c>
      <c r="C3195" s="9" t="s">
        <v>6745</v>
      </c>
      <c r="D3195" s="9" t="s">
        <v>6742</v>
      </c>
      <c r="E3195" s="9" t="s">
        <v>149</v>
      </c>
      <c r="F3195" s="9" t="s">
        <v>150</v>
      </c>
      <c r="G3195" s="9" t="s">
        <v>12</v>
      </c>
      <c r="H3195" s="9" t="s">
        <v>6113</v>
      </c>
      <c r="I3195" s="9"/>
      <c r="J3195" s="9" t="s">
        <v>87</v>
      </c>
      <c r="K3195" s="9"/>
      <c r="L3195" s="9"/>
      <c r="M3195" s="9" t="s">
        <v>151</v>
      </c>
      <c r="N3195" s="9"/>
      <c r="O3195" s="9" t="s">
        <v>152</v>
      </c>
      <c r="P3195" s="9" t="str">
        <f>HYPERLINK("https://ceds.ed.gov/cedselementdetails.aspx?termid=13019")</f>
        <v>https://ceds.ed.gov/cedselementdetails.aspx?termid=13019</v>
      </c>
      <c r="Q3195" s="9" t="str">
        <f>HYPERLINK("https://ceds.ed.gov/elementComment.aspx?elementName=Address Apartment Room or Suite Number &amp;elementID=13019", "Click here to submit comment")</f>
        <v>Click here to submit comment</v>
      </c>
    </row>
    <row r="3196" spans="1:17" ht="225" x14ac:dyDescent="0.25">
      <c r="A3196" s="9" t="s">
        <v>6882</v>
      </c>
      <c r="B3196" s="9" t="s">
        <v>6884</v>
      </c>
      <c r="C3196" s="9" t="s">
        <v>6745</v>
      </c>
      <c r="D3196" s="9" t="s">
        <v>6742</v>
      </c>
      <c r="E3196" s="9" t="s">
        <v>153</v>
      </c>
      <c r="F3196" s="9" t="s">
        <v>154</v>
      </c>
      <c r="G3196" s="9" t="s">
        <v>12</v>
      </c>
      <c r="H3196" s="9" t="s">
        <v>6113</v>
      </c>
      <c r="I3196" s="9"/>
      <c r="J3196" s="9" t="s">
        <v>87</v>
      </c>
      <c r="K3196" s="9"/>
      <c r="L3196" s="9"/>
      <c r="M3196" s="9" t="s">
        <v>155</v>
      </c>
      <c r="N3196" s="9"/>
      <c r="O3196" s="9" t="s">
        <v>156</v>
      </c>
      <c r="P3196" s="9" t="str">
        <f>HYPERLINK("https://ceds.ed.gov/cedselementdetails.aspx?termid=13040")</f>
        <v>https://ceds.ed.gov/cedselementdetails.aspx?termid=13040</v>
      </c>
      <c r="Q3196" s="9" t="str">
        <f>HYPERLINK("https://ceds.ed.gov/elementComment.aspx?elementName=Address City &amp;elementID=13040", "Click here to submit comment")</f>
        <v>Click here to submit comment</v>
      </c>
    </row>
    <row r="3197" spans="1:17" ht="409.5" x14ac:dyDescent="0.25">
      <c r="A3197" s="9" t="s">
        <v>6882</v>
      </c>
      <c r="B3197" s="9" t="s">
        <v>6884</v>
      </c>
      <c r="C3197" s="9" t="s">
        <v>6745</v>
      </c>
      <c r="D3197" s="9" t="s">
        <v>6742</v>
      </c>
      <c r="E3197" s="9" t="s">
        <v>5647</v>
      </c>
      <c r="F3197" s="9" t="s">
        <v>5648</v>
      </c>
      <c r="G3197" s="10" t="s">
        <v>6702</v>
      </c>
      <c r="H3197" s="9" t="s">
        <v>6285</v>
      </c>
      <c r="I3197" s="9"/>
      <c r="J3197" s="9"/>
      <c r="K3197" s="9"/>
      <c r="L3197" s="9"/>
      <c r="M3197" s="9" t="s">
        <v>5649</v>
      </c>
      <c r="N3197" s="9"/>
      <c r="O3197" s="9" t="s">
        <v>5650</v>
      </c>
      <c r="P3197" s="9" t="str">
        <f>HYPERLINK("https://ceds.ed.gov/cedselementdetails.aspx?termid=13267")</f>
        <v>https://ceds.ed.gov/cedselementdetails.aspx?termid=13267</v>
      </c>
      <c r="Q3197" s="9" t="str">
        <f>HYPERLINK("https://ceds.ed.gov/elementComment.aspx?elementName=State Abbreviation &amp;elementID=13267", "Click here to submit comment")</f>
        <v>Click here to submit comment</v>
      </c>
    </row>
    <row r="3198" spans="1:17" ht="225" x14ac:dyDescent="0.25">
      <c r="A3198" s="9" t="s">
        <v>6882</v>
      </c>
      <c r="B3198" s="9" t="s">
        <v>6884</v>
      </c>
      <c r="C3198" s="9" t="s">
        <v>6745</v>
      </c>
      <c r="D3198" s="9" t="s">
        <v>6742</v>
      </c>
      <c r="E3198" s="9" t="s">
        <v>161</v>
      </c>
      <c r="F3198" s="9" t="s">
        <v>162</v>
      </c>
      <c r="G3198" s="9" t="s">
        <v>12</v>
      </c>
      <c r="H3198" s="9" t="s">
        <v>6113</v>
      </c>
      <c r="I3198" s="9"/>
      <c r="J3198" s="9" t="s">
        <v>163</v>
      </c>
      <c r="K3198" s="9"/>
      <c r="L3198" s="9"/>
      <c r="M3198" s="9" t="s">
        <v>164</v>
      </c>
      <c r="N3198" s="9"/>
      <c r="O3198" s="9" t="s">
        <v>165</v>
      </c>
      <c r="P3198" s="9" t="str">
        <f>HYPERLINK("https://ceds.ed.gov/cedselementdetails.aspx?termid=13214")</f>
        <v>https://ceds.ed.gov/cedselementdetails.aspx?termid=13214</v>
      </c>
      <c r="Q3198" s="9" t="str">
        <f>HYPERLINK("https://ceds.ed.gov/elementComment.aspx?elementName=Address Postal Code &amp;elementID=13214", "Click here to submit comment")</f>
        <v>Click here to submit comment</v>
      </c>
    </row>
    <row r="3199" spans="1:17" ht="225" x14ac:dyDescent="0.25">
      <c r="A3199" s="9" t="s">
        <v>6882</v>
      </c>
      <c r="B3199" s="9" t="s">
        <v>6884</v>
      </c>
      <c r="C3199" s="9" t="s">
        <v>6745</v>
      </c>
      <c r="D3199" s="9" t="s">
        <v>6742</v>
      </c>
      <c r="E3199" s="9" t="s">
        <v>157</v>
      </c>
      <c r="F3199" s="9" t="s">
        <v>158</v>
      </c>
      <c r="G3199" s="9" t="s">
        <v>12</v>
      </c>
      <c r="H3199" s="9" t="s">
        <v>6113</v>
      </c>
      <c r="I3199" s="9"/>
      <c r="J3199" s="9" t="s">
        <v>87</v>
      </c>
      <c r="K3199" s="9"/>
      <c r="L3199" s="9"/>
      <c r="M3199" s="9" t="s">
        <v>159</v>
      </c>
      <c r="N3199" s="9"/>
      <c r="O3199" s="9" t="s">
        <v>160</v>
      </c>
      <c r="P3199" s="9" t="str">
        <f>HYPERLINK("https://ceds.ed.gov/cedselementdetails.aspx?termid=13190")</f>
        <v>https://ceds.ed.gov/cedselementdetails.aspx?termid=13190</v>
      </c>
      <c r="Q3199" s="9" t="str">
        <f>HYPERLINK("https://ceds.ed.gov/elementComment.aspx?elementName=Address County Name &amp;elementID=13190", "Click here to submit comment")</f>
        <v>Click here to submit comment</v>
      </c>
    </row>
    <row r="3200" spans="1:17" ht="409.5" x14ac:dyDescent="0.25">
      <c r="A3200" s="9" t="s">
        <v>6882</v>
      </c>
      <c r="B3200" s="9" t="s">
        <v>6884</v>
      </c>
      <c r="C3200" s="9" t="s">
        <v>6745</v>
      </c>
      <c r="D3200" s="9" t="s">
        <v>6742</v>
      </c>
      <c r="E3200" s="9" t="s">
        <v>1885</v>
      </c>
      <c r="F3200" s="9" t="s">
        <v>1886</v>
      </c>
      <c r="G3200" s="10" t="s">
        <v>11839</v>
      </c>
      <c r="H3200" s="9" t="s">
        <v>6174</v>
      </c>
      <c r="I3200" s="9"/>
      <c r="J3200" s="9"/>
      <c r="K3200" s="9"/>
      <c r="L3200" s="11" t="s">
        <v>1887</v>
      </c>
      <c r="M3200" s="9" t="s">
        <v>1888</v>
      </c>
      <c r="N3200" s="9"/>
      <c r="O3200" s="9" t="s">
        <v>1889</v>
      </c>
      <c r="P3200" s="9" t="str">
        <f>HYPERLINK("https://ceds.ed.gov/cedselementdetails.aspx?termid=13050")</f>
        <v>https://ceds.ed.gov/cedselementdetails.aspx?termid=13050</v>
      </c>
      <c r="Q3200" s="9" t="str">
        <f>HYPERLINK("https://ceds.ed.gov/elementComment.aspx?elementName=Country Code &amp;elementID=13050", "Click here to submit comment")</f>
        <v>Click here to submit comment</v>
      </c>
    </row>
    <row r="3201" spans="1:17" ht="75" x14ac:dyDescent="0.25">
      <c r="A3201" s="9" t="s">
        <v>6882</v>
      </c>
      <c r="B3201" s="9" t="s">
        <v>6884</v>
      </c>
      <c r="C3201" s="9" t="s">
        <v>6745</v>
      </c>
      <c r="D3201" s="9" t="s">
        <v>6742</v>
      </c>
      <c r="E3201" s="9" t="s">
        <v>3606</v>
      </c>
      <c r="F3201" s="9" t="s">
        <v>3607</v>
      </c>
      <c r="G3201" s="9" t="s">
        <v>12</v>
      </c>
      <c r="H3201" s="9"/>
      <c r="I3201" s="9"/>
      <c r="J3201" s="9" t="s">
        <v>1165</v>
      </c>
      <c r="K3201" s="9"/>
      <c r="L3201" s="9"/>
      <c r="M3201" s="9" t="s">
        <v>3608</v>
      </c>
      <c r="N3201" s="9"/>
      <c r="O3201" s="9" t="s">
        <v>3606</v>
      </c>
      <c r="P3201" s="9" t="str">
        <f>HYPERLINK("https://ceds.ed.gov/cedselementdetails.aspx?termid=13599")</f>
        <v>https://ceds.ed.gov/cedselementdetails.aspx?termid=13599</v>
      </c>
      <c r="Q3201" s="9" t="str">
        <f>HYPERLINK("https://ceds.ed.gov/elementComment.aspx?elementName=Latitude &amp;elementID=13599", "Click here to submit comment")</f>
        <v>Click here to submit comment</v>
      </c>
    </row>
    <row r="3202" spans="1:17" ht="75" x14ac:dyDescent="0.25">
      <c r="A3202" s="9" t="s">
        <v>6882</v>
      </c>
      <c r="B3202" s="9" t="s">
        <v>6884</v>
      </c>
      <c r="C3202" s="9" t="s">
        <v>6745</v>
      </c>
      <c r="D3202" s="9" t="s">
        <v>6742</v>
      </c>
      <c r="E3202" s="9" t="s">
        <v>4139</v>
      </c>
      <c r="F3202" s="9" t="s">
        <v>4140</v>
      </c>
      <c r="G3202" s="9" t="s">
        <v>12</v>
      </c>
      <c r="H3202" s="9"/>
      <c r="I3202" s="9"/>
      <c r="J3202" s="9" t="s">
        <v>1165</v>
      </c>
      <c r="K3202" s="9"/>
      <c r="L3202" s="9"/>
      <c r="M3202" s="9" t="s">
        <v>4141</v>
      </c>
      <c r="N3202" s="9"/>
      <c r="O3202" s="9" t="s">
        <v>4139</v>
      </c>
      <c r="P3202" s="9" t="str">
        <f>HYPERLINK("https://ceds.ed.gov/cedselementdetails.aspx?termid=13600")</f>
        <v>https://ceds.ed.gov/cedselementdetails.aspx?termid=13600</v>
      </c>
      <c r="Q3202" s="9" t="str">
        <f>HYPERLINK("https://ceds.ed.gov/elementComment.aspx?elementName=Longitude &amp;elementID=13600", "Click here to submit comment")</f>
        <v>Click here to submit comment</v>
      </c>
    </row>
    <row r="3203" spans="1:17" ht="90" x14ac:dyDescent="0.25">
      <c r="A3203" s="9" t="s">
        <v>6882</v>
      </c>
      <c r="B3203" s="9" t="s">
        <v>6884</v>
      </c>
      <c r="C3203" s="9" t="s">
        <v>6747</v>
      </c>
      <c r="D3203" s="9" t="s">
        <v>6742</v>
      </c>
      <c r="E3203" s="9" t="s">
        <v>5854</v>
      </c>
      <c r="F3203" s="9" t="s">
        <v>5855</v>
      </c>
      <c r="G3203" s="10" t="s">
        <v>6717</v>
      </c>
      <c r="H3203" s="9" t="s">
        <v>6109</v>
      </c>
      <c r="I3203" s="9"/>
      <c r="J3203" s="9" t="s">
        <v>1900</v>
      </c>
      <c r="K3203" s="9"/>
      <c r="L3203" s="9"/>
      <c r="M3203" s="9" t="s">
        <v>5856</v>
      </c>
      <c r="N3203" s="9"/>
      <c r="O3203" s="9" t="s">
        <v>5857</v>
      </c>
      <c r="P3203" s="9" t="str">
        <f>HYPERLINK("https://ceds.ed.gov/cedselementdetails.aspx?termid=13280")</f>
        <v>https://ceds.ed.gov/cedselementdetails.aspx?termid=13280</v>
      </c>
      <c r="Q3203" s="9" t="str">
        <f>HYPERLINK("https://ceds.ed.gov/elementComment.aspx?elementName=Telephone Number Type &amp;elementID=13280", "Click here to submit comment")</f>
        <v>Click here to submit comment</v>
      </c>
    </row>
    <row r="3204" spans="1:17" ht="90" x14ac:dyDescent="0.25">
      <c r="A3204" s="9" t="s">
        <v>6882</v>
      </c>
      <c r="B3204" s="9" t="s">
        <v>6884</v>
      </c>
      <c r="C3204" s="9" t="s">
        <v>6747</v>
      </c>
      <c r="D3204" s="9" t="s">
        <v>6742</v>
      </c>
      <c r="E3204" s="9" t="s">
        <v>4709</v>
      </c>
      <c r="F3204" s="9" t="s">
        <v>4710</v>
      </c>
      <c r="G3204" s="9" t="s">
        <v>6106</v>
      </c>
      <c r="H3204" s="9" t="s">
        <v>6109</v>
      </c>
      <c r="I3204" s="9"/>
      <c r="J3204" s="9"/>
      <c r="K3204" s="9"/>
      <c r="L3204" s="9"/>
      <c r="M3204" s="9" t="s">
        <v>4711</v>
      </c>
      <c r="N3204" s="9"/>
      <c r="O3204" s="9" t="s">
        <v>4712</v>
      </c>
      <c r="P3204" s="9" t="str">
        <f>HYPERLINK("https://ceds.ed.gov/cedselementdetails.aspx?termid=13219")</f>
        <v>https://ceds.ed.gov/cedselementdetails.aspx?termid=13219</v>
      </c>
      <c r="Q3204" s="9" t="str">
        <f>HYPERLINK("https://ceds.ed.gov/elementComment.aspx?elementName=Primary Telephone Number Indicator &amp;elementID=13219", "Click here to submit comment")</f>
        <v>Click here to submit comment</v>
      </c>
    </row>
    <row r="3205" spans="1:17" ht="90" x14ac:dyDescent="0.25">
      <c r="A3205" s="9" t="s">
        <v>6882</v>
      </c>
      <c r="B3205" s="9" t="s">
        <v>6884</v>
      </c>
      <c r="C3205" s="9" t="s">
        <v>6747</v>
      </c>
      <c r="D3205" s="9" t="s">
        <v>6742</v>
      </c>
      <c r="E3205" s="9" t="s">
        <v>5849</v>
      </c>
      <c r="F3205" s="9" t="s">
        <v>5850</v>
      </c>
      <c r="G3205" s="9" t="s">
        <v>12</v>
      </c>
      <c r="H3205" s="9" t="s">
        <v>6109</v>
      </c>
      <c r="I3205" s="9"/>
      <c r="J3205" s="9" t="s">
        <v>5851</v>
      </c>
      <c r="K3205" s="9"/>
      <c r="L3205" s="9"/>
      <c r="M3205" s="9" t="s">
        <v>5852</v>
      </c>
      <c r="N3205" s="9"/>
      <c r="O3205" s="9" t="s">
        <v>5853</v>
      </c>
      <c r="P3205" s="9" t="str">
        <f>HYPERLINK("https://ceds.ed.gov/cedselementdetails.aspx?termid=13279")</f>
        <v>https://ceds.ed.gov/cedselementdetails.aspx?termid=13279</v>
      </c>
      <c r="Q3205" s="9" t="str">
        <f>HYPERLINK("https://ceds.ed.gov/elementComment.aspx?elementName=Telephone Number &amp;elementID=13279", "Click here to submit comment")</f>
        <v>Click here to submit comment</v>
      </c>
    </row>
    <row r="3206" spans="1:17" ht="90" x14ac:dyDescent="0.25">
      <c r="A3206" s="9" t="s">
        <v>6882</v>
      </c>
      <c r="B3206" s="9" t="s">
        <v>6884</v>
      </c>
      <c r="C3206" s="9" t="s">
        <v>6773</v>
      </c>
      <c r="D3206" s="9" t="s">
        <v>6742</v>
      </c>
      <c r="E3206" s="9" t="s">
        <v>2589</v>
      </c>
      <c r="F3206" s="9" t="s">
        <v>2590</v>
      </c>
      <c r="G3206" s="10" t="s">
        <v>6484</v>
      </c>
      <c r="H3206" s="9" t="s">
        <v>6109</v>
      </c>
      <c r="I3206" s="9"/>
      <c r="J3206" s="9"/>
      <c r="K3206" s="9"/>
      <c r="L3206" s="9"/>
      <c r="M3206" s="9" t="s">
        <v>2591</v>
      </c>
      <c r="N3206" s="9" t="s">
        <v>2592</v>
      </c>
      <c r="O3206" s="9" t="s">
        <v>2593</v>
      </c>
      <c r="P3206" s="9" t="str">
        <f>HYPERLINK("https://ceds.ed.gov/cedselementdetails.aspx?termid=13089")</f>
        <v>https://ceds.ed.gov/cedselementdetails.aspx?termid=13089</v>
      </c>
      <c r="Q3206" s="9" t="str">
        <f>HYPERLINK("https://ceds.ed.gov/elementComment.aspx?elementName=Electronic Mail Address Type &amp;elementID=13089", "Click here to submit comment")</f>
        <v>Click here to submit comment</v>
      </c>
    </row>
    <row r="3207" spans="1:17" ht="90" x14ac:dyDescent="0.25">
      <c r="A3207" s="9" t="s">
        <v>6882</v>
      </c>
      <c r="B3207" s="9" t="s">
        <v>6884</v>
      </c>
      <c r="C3207" s="9" t="s">
        <v>6773</v>
      </c>
      <c r="D3207" s="9" t="s">
        <v>6742</v>
      </c>
      <c r="E3207" s="9" t="s">
        <v>2584</v>
      </c>
      <c r="F3207" s="9" t="s">
        <v>2585</v>
      </c>
      <c r="G3207" s="9" t="s">
        <v>12</v>
      </c>
      <c r="H3207" s="9" t="s">
        <v>6109</v>
      </c>
      <c r="I3207" s="9"/>
      <c r="J3207" s="9" t="s">
        <v>11127</v>
      </c>
      <c r="K3207" s="9"/>
      <c r="L3207" s="9"/>
      <c r="M3207" s="9" t="s">
        <v>2586</v>
      </c>
      <c r="N3207" s="9" t="s">
        <v>2587</v>
      </c>
      <c r="O3207" s="9" t="s">
        <v>2588</v>
      </c>
      <c r="P3207" s="9" t="str">
        <f>HYPERLINK("https://ceds.ed.gov/cedselementdetails.aspx?termid=13088")</f>
        <v>https://ceds.ed.gov/cedselementdetails.aspx?termid=13088</v>
      </c>
      <c r="Q3207" s="9" t="str">
        <f>HYPERLINK("https://ceds.ed.gov/elementComment.aspx?elementName=Electronic Mail Address &amp;elementID=13088", "Click here to submit comment")</f>
        <v>Click here to submit comment</v>
      </c>
    </row>
    <row r="3208" spans="1:17" ht="150" x14ac:dyDescent="0.25">
      <c r="A3208" s="9" t="s">
        <v>6882</v>
      </c>
      <c r="B3208" s="9" t="s">
        <v>6884</v>
      </c>
      <c r="C3208" s="9" t="s">
        <v>6885</v>
      </c>
      <c r="D3208" s="9" t="s">
        <v>6742</v>
      </c>
      <c r="E3208" s="9" t="s">
        <v>228</v>
      </c>
      <c r="F3208" s="9" t="s">
        <v>229</v>
      </c>
      <c r="G3208" s="10" t="s">
        <v>6328</v>
      </c>
      <c r="H3208" s="9"/>
      <c r="I3208" s="9"/>
      <c r="J3208" s="9"/>
      <c r="K3208" s="9"/>
      <c r="L3208" s="9"/>
      <c r="M3208" s="9" t="s">
        <v>231</v>
      </c>
      <c r="N3208" s="9"/>
      <c r="O3208" s="9" t="s">
        <v>232</v>
      </c>
      <c r="P3208" s="9" t="str">
        <f>HYPERLINK("https://ceds.ed.gov/cedselementdetails.aspx?termid=13775")</f>
        <v>https://ceds.ed.gov/cedselementdetails.aspx?termid=13775</v>
      </c>
      <c r="Q3208" s="9" t="str">
        <f>HYPERLINK("https://ceds.ed.gov/elementComment.aspx?elementName=Adult Education Certification Type &amp;elementID=13775", "Click here to submit comment")</f>
        <v>Click here to submit comment</v>
      </c>
    </row>
    <row r="3209" spans="1:17" ht="409.5" x14ac:dyDescent="0.25">
      <c r="A3209" s="9" t="s">
        <v>6882</v>
      </c>
      <c r="B3209" s="9" t="s">
        <v>6884</v>
      </c>
      <c r="C3209" s="9" t="s">
        <v>6886</v>
      </c>
      <c r="D3209" s="9" t="s">
        <v>6742</v>
      </c>
      <c r="E3209" s="9" t="s">
        <v>3131</v>
      </c>
      <c r="F3209" s="9" t="s">
        <v>3132</v>
      </c>
      <c r="G3209" s="10" t="s">
        <v>6377</v>
      </c>
      <c r="H3209" s="9" t="s">
        <v>6223</v>
      </c>
      <c r="I3209" s="9"/>
      <c r="J3209" s="9"/>
      <c r="K3209" s="9"/>
      <c r="L3209" s="9"/>
      <c r="M3209" s="9" t="s">
        <v>3133</v>
      </c>
      <c r="N3209" s="9"/>
      <c r="O3209" s="9" t="s">
        <v>3134</v>
      </c>
      <c r="P3209" s="9" t="str">
        <f>HYPERLINK("https://ceds.ed.gov/cedselementdetails.aspx?termid=13141")</f>
        <v>https://ceds.ed.gov/cedselementdetails.aspx?termid=13141</v>
      </c>
      <c r="Q3209" s="9" t="str">
        <f>HYPERLINK("https://ceds.ed.gov/elementComment.aspx?elementName=Highest Level of Education Completed &amp;elementID=13141", "Click here to submit comment")</f>
        <v>Click here to submit comment</v>
      </c>
    </row>
    <row r="3210" spans="1:17" ht="60" x14ac:dyDescent="0.25">
      <c r="A3210" s="9" t="s">
        <v>6882</v>
      </c>
      <c r="B3210" s="9" t="s">
        <v>6884</v>
      </c>
      <c r="C3210" s="9" t="s">
        <v>6887</v>
      </c>
      <c r="D3210" s="9" t="s">
        <v>6742</v>
      </c>
      <c r="E3210" s="9" t="s">
        <v>6097</v>
      </c>
      <c r="F3210" s="9" t="s">
        <v>6098</v>
      </c>
      <c r="G3210" s="9" t="s">
        <v>12</v>
      </c>
      <c r="H3210" s="9"/>
      <c r="I3210" s="9"/>
      <c r="J3210" s="9" t="s">
        <v>1513</v>
      </c>
      <c r="K3210" s="9"/>
      <c r="L3210" s="9"/>
      <c r="M3210" s="9" t="s">
        <v>6100</v>
      </c>
      <c r="N3210" s="9"/>
      <c r="O3210" s="9" t="s">
        <v>6101</v>
      </c>
      <c r="P3210" s="9" t="str">
        <f>HYPERLINK("https://ceds.ed.gov/cedselementdetails.aspx?termid=13774")</f>
        <v>https://ceds.ed.gov/cedselementdetails.aspx?termid=13774</v>
      </c>
      <c r="Q3210" s="9" t="str">
        <f>HYPERLINK("https://ceds.ed.gov/elementComment.aspx?elementName=Years of Prior Adult Education Teaching Experience &amp;elementID=13774", "Click here to submit comment")</f>
        <v>Click here to submit comment</v>
      </c>
    </row>
    <row r="3211" spans="1:17" ht="240" x14ac:dyDescent="0.25">
      <c r="A3211" s="9" t="s">
        <v>6882</v>
      </c>
      <c r="B3211" s="9" t="s">
        <v>6884</v>
      </c>
      <c r="C3211" s="9" t="s">
        <v>6803</v>
      </c>
      <c r="D3211" s="9" t="s">
        <v>6742</v>
      </c>
      <c r="E3211" s="9" t="s">
        <v>264</v>
      </c>
      <c r="F3211" s="9" t="s">
        <v>265</v>
      </c>
      <c r="G3211" s="10" t="s">
        <v>6334</v>
      </c>
      <c r="H3211" s="9"/>
      <c r="I3211" s="9"/>
      <c r="J3211" s="9"/>
      <c r="K3211" s="9"/>
      <c r="L3211" s="9"/>
      <c r="M3211" s="9" t="s">
        <v>267</v>
      </c>
      <c r="N3211" s="9"/>
      <c r="O3211" s="9" t="s">
        <v>268</v>
      </c>
      <c r="P3211" s="9" t="str">
        <f>HYPERLINK("https://ceds.ed.gov/cedselementdetails.aspx?termid=13770")</f>
        <v>https://ceds.ed.gov/cedselementdetails.aspx?termid=13770</v>
      </c>
      <c r="Q3211" s="9" t="str">
        <f>HYPERLINK("https://ceds.ed.gov/elementComment.aspx?elementName=Adult Education Staff Classification &amp;elementID=13770", "Click here to submit comment")</f>
        <v>Click here to submit comment</v>
      </c>
    </row>
    <row r="3212" spans="1:17" ht="105" x14ac:dyDescent="0.25">
      <c r="A3212" s="9" t="s">
        <v>6882</v>
      </c>
      <c r="B3212" s="9" t="s">
        <v>6884</v>
      </c>
      <c r="C3212" s="9" t="s">
        <v>6803</v>
      </c>
      <c r="D3212" s="9" t="s">
        <v>6742</v>
      </c>
      <c r="E3212" s="9" t="s">
        <v>269</v>
      </c>
      <c r="F3212" s="9" t="s">
        <v>270</v>
      </c>
      <c r="G3212" s="10" t="s">
        <v>6335</v>
      </c>
      <c r="H3212" s="9"/>
      <c r="I3212" s="9"/>
      <c r="J3212" s="9"/>
      <c r="K3212" s="9"/>
      <c r="L3212" s="9"/>
      <c r="M3212" s="9" t="s">
        <v>271</v>
      </c>
      <c r="N3212" s="9"/>
      <c r="O3212" s="9" t="s">
        <v>272</v>
      </c>
      <c r="P3212" s="9" t="str">
        <f>HYPERLINK("https://ceds.ed.gov/cedselementdetails.aspx?termid=13771")</f>
        <v>https://ceds.ed.gov/cedselementdetails.aspx?termid=13771</v>
      </c>
      <c r="Q3212" s="9" t="str">
        <f>HYPERLINK("https://ceds.ed.gov/elementComment.aspx?elementName=Adult Education Staff Employment Status &amp;elementID=13771", "Click here to submit comment")</f>
        <v>Click here to submit comment</v>
      </c>
    </row>
    <row r="3213" spans="1:17" ht="60" x14ac:dyDescent="0.25">
      <c r="A3213" s="9" t="s">
        <v>6882</v>
      </c>
      <c r="B3213" s="9" t="s">
        <v>6884</v>
      </c>
      <c r="C3213" s="9" t="s">
        <v>6803</v>
      </c>
      <c r="D3213" s="9" t="s">
        <v>6742</v>
      </c>
      <c r="E3213" s="9" t="s">
        <v>2662</v>
      </c>
      <c r="F3213" s="9" t="s">
        <v>2663</v>
      </c>
      <c r="G3213" s="9" t="s">
        <v>12</v>
      </c>
      <c r="H3213" s="9" t="s">
        <v>6199</v>
      </c>
      <c r="I3213" s="9"/>
      <c r="J3213" s="9" t="s">
        <v>73</v>
      </c>
      <c r="K3213" s="9"/>
      <c r="L3213" s="9"/>
      <c r="M3213" s="9" t="s">
        <v>2664</v>
      </c>
      <c r="N3213" s="9"/>
      <c r="O3213" s="9" t="s">
        <v>2665</v>
      </c>
      <c r="P3213" s="9" t="str">
        <f>HYPERLINK("https://ceds.ed.gov/cedselementdetails.aspx?termid=13345")</f>
        <v>https://ceds.ed.gov/cedselementdetails.aspx?termid=13345</v>
      </c>
      <c r="Q3213" s="9" t="str">
        <f>HYPERLINK("https://ceds.ed.gov/elementComment.aspx?elementName=Employment Start Date &amp;elementID=13345", "Click here to submit comment")</f>
        <v>Click here to submit comment</v>
      </c>
    </row>
    <row r="3214" spans="1:17" ht="60" x14ac:dyDescent="0.25">
      <c r="A3214" s="9" t="s">
        <v>6882</v>
      </c>
      <c r="B3214" s="9" t="s">
        <v>6884</v>
      </c>
      <c r="C3214" s="9" t="s">
        <v>6803</v>
      </c>
      <c r="D3214" s="9" t="s">
        <v>6742</v>
      </c>
      <c r="E3214" s="9" t="s">
        <v>2627</v>
      </c>
      <c r="F3214" s="9" t="s">
        <v>2628</v>
      </c>
      <c r="G3214" s="9" t="s">
        <v>12</v>
      </c>
      <c r="H3214" s="9" t="s">
        <v>182</v>
      </c>
      <c r="I3214" s="9"/>
      <c r="J3214" s="9" t="s">
        <v>73</v>
      </c>
      <c r="K3214" s="9"/>
      <c r="L3214" s="9"/>
      <c r="M3214" s="9" t="s">
        <v>2629</v>
      </c>
      <c r="N3214" s="9"/>
      <c r="O3214" s="9" t="s">
        <v>2630</v>
      </c>
      <c r="P3214" s="9" t="str">
        <f>HYPERLINK("https://ceds.ed.gov/cedselementdetails.aspx?termid=13794")</f>
        <v>https://ceds.ed.gov/cedselementdetails.aspx?termid=13794</v>
      </c>
      <c r="Q3214" s="9" t="str">
        <f>HYPERLINK("https://ceds.ed.gov/elementComment.aspx?elementName=Employment End Date &amp;elementID=13794", "Click here to submit comment")</f>
        <v>Click here to submit comment</v>
      </c>
    </row>
    <row r="3215" spans="1:17" ht="210" x14ac:dyDescent="0.25">
      <c r="A3215" s="9" t="s">
        <v>6882</v>
      </c>
      <c r="B3215" s="9" t="s">
        <v>6884</v>
      </c>
      <c r="C3215" s="9" t="s">
        <v>6803</v>
      </c>
      <c r="D3215" s="9" t="s">
        <v>6742</v>
      </c>
      <c r="E3215" s="9" t="s">
        <v>3140</v>
      </c>
      <c r="F3215" s="9" t="s">
        <v>3141</v>
      </c>
      <c r="G3215" s="9" t="s">
        <v>12</v>
      </c>
      <c r="H3215" s="9" t="s">
        <v>6225</v>
      </c>
      <c r="I3215" s="9"/>
      <c r="J3215" s="9" t="s">
        <v>73</v>
      </c>
      <c r="K3215" s="9"/>
      <c r="L3215" s="9" t="s">
        <v>3142</v>
      </c>
      <c r="M3215" s="9" t="s">
        <v>3143</v>
      </c>
      <c r="N3215" s="9"/>
      <c r="O3215" s="9" t="s">
        <v>3144</v>
      </c>
      <c r="P3215" s="9" t="str">
        <f>HYPERLINK("https://ceds.ed.gov/cedselementdetails.aspx?termid=13143")</f>
        <v>https://ceds.ed.gov/cedselementdetails.aspx?termid=13143</v>
      </c>
      <c r="Q3215" s="9" t="str">
        <f>HYPERLINK("https://ceds.ed.gov/elementComment.aspx?elementName=Hire Date &amp;elementID=13143", "Click here to submit comment")</f>
        <v>Click here to submit comment</v>
      </c>
    </row>
    <row r="3216" spans="1:17" ht="105" x14ac:dyDescent="0.25">
      <c r="A3216" s="18" t="s">
        <v>6882</v>
      </c>
      <c r="B3216" s="18" t="s">
        <v>6884</v>
      </c>
      <c r="C3216" s="18" t="s">
        <v>6845</v>
      </c>
      <c r="D3216" s="18" t="s">
        <v>6742</v>
      </c>
      <c r="E3216" s="18" t="s">
        <v>255</v>
      </c>
      <c r="F3216" s="18" t="s">
        <v>256</v>
      </c>
      <c r="G3216" s="18" t="s">
        <v>12</v>
      </c>
      <c r="H3216" s="18"/>
      <c r="I3216" s="18"/>
      <c r="J3216" s="18" t="s">
        <v>119</v>
      </c>
      <c r="K3216" s="18"/>
      <c r="L3216" s="9" t="s">
        <v>120</v>
      </c>
      <c r="M3216" s="18" t="s">
        <v>257</v>
      </c>
      <c r="N3216" s="18"/>
      <c r="O3216" s="18" t="s">
        <v>258</v>
      </c>
      <c r="P3216" s="18" t="str">
        <f>HYPERLINK("https://ceds.ed.gov/cedselementdetails.aspx?termid=13777")</f>
        <v>https://ceds.ed.gov/cedselementdetails.aspx?termid=13777</v>
      </c>
      <c r="Q3216" s="18" t="str">
        <f>HYPERLINK("https://ceds.ed.gov/elementComment.aspx?elementName=Adult Education Service Provider Identifier &amp;elementID=13777", "Click here to submit comment")</f>
        <v>Click here to submit comment</v>
      </c>
    </row>
    <row r="3217" spans="1:17" x14ac:dyDescent="0.25">
      <c r="A3217" s="18"/>
      <c r="B3217" s="18"/>
      <c r="C3217" s="18"/>
      <c r="D3217" s="18"/>
      <c r="E3217" s="18"/>
      <c r="F3217" s="18"/>
      <c r="G3217" s="18"/>
      <c r="H3217" s="18"/>
      <c r="I3217" s="18"/>
      <c r="J3217" s="18"/>
      <c r="K3217" s="18"/>
      <c r="L3217" s="9"/>
      <c r="M3217" s="18"/>
      <c r="N3217" s="18"/>
      <c r="O3217" s="18"/>
      <c r="P3217" s="18"/>
      <c r="Q3217" s="18"/>
    </row>
    <row r="3218" spans="1:17" ht="90" x14ac:dyDescent="0.25">
      <c r="A3218" s="18"/>
      <c r="B3218" s="18"/>
      <c r="C3218" s="18"/>
      <c r="D3218" s="18"/>
      <c r="E3218" s="18"/>
      <c r="F3218" s="18"/>
      <c r="G3218" s="18"/>
      <c r="H3218" s="18"/>
      <c r="I3218" s="18"/>
      <c r="J3218" s="18"/>
      <c r="K3218" s="18"/>
      <c r="L3218" s="9" t="s">
        <v>121</v>
      </c>
      <c r="M3218" s="18"/>
      <c r="N3218" s="18"/>
      <c r="O3218" s="18"/>
      <c r="P3218" s="18"/>
      <c r="Q3218" s="18"/>
    </row>
    <row r="3219" spans="1:17" ht="240" x14ac:dyDescent="0.25">
      <c r="A3219" s="9" t="s">
        <v>6882</v>
      </c>
      <c r="B3219" s="9" t="s">
        <v>6884</v>
      </c>
      <c r="C3219" s="9" t="s">
        <v>6845</v>
      </c>
      <c r="D3219" s="9" t="s">
        <v>6742</v>
      </c>
      <c r="E3219" s="9" t="s">
        <v>251</v>
      </c>
      <c r="F3219" s="9" t="s">
        <v>252</v>
      </c>
      <c r="G3219" s="10" t="s">
        <v>6332</v>
      </c>
      <c r="H3219" s="9"/>
      <c r="I3219" s="9"/>
      <c r="J3219" s="9"/>
      <c r="K3219" s="9"/>
      <c r="L3219" s="9"/>
      <c r="M3219" s="9" t="s">
        <v>253</v>
      </c>
      <c r="N3219" s="9"/>
      <c r="O3219" s="9" t="s">
        <v>254</v>
      </c>
      <c r="P3219" s="9" t="str">
        <f>HYPERLINK("https://ceds.ed.gov/cedselementdetails.aspx?termid=13778")</f>
        <v>https://ceds.ed.gov/cedselementdetails.aspx?termid=13778</v>
      </c>
      <c r="Q3219" s="9" t="str">
        <f>HYPERLINK("https://ceds.ed.gov/elementComment.aspx?elementName=Adult Education Service Provider Identification System &amp;elementID=13778", "Click here to submit comment")</f>
        <v>Click here to submit comment</v>
      </c>
    </row>
    <row r="3220" spans="1:17" ht="409.5" x14ac:dyDescent="0.25">
      <c r="A3220" s="9" t="s">
        <v>6882</v>
      </c>
      <c r="B3220" s="9" t="s">
        <v>6884</v>
      </c>
      <c r="C3220" s="9" t="s">
        <v>6774</v>
      </c>
      <c r="D3220" s="9" t="s">
        <v>6742</v>
      </c>
      <c r="E3220" s="9" t="s">
        <v>3131</v>
      </c>
      <c r="F3220" s="9" t="s">
        <v>3132</v>
      </c>
      <c r="G3220" s="10" t="s">
        <v>6377</v>
      </c>
      <c r="H3220" s="9" t="s">
        <v>6223</v>
      </c>
      <c r="I3220" s="9"/>
      <c r="J3220" s="9"/>
      <c r="K3220" s="9"/>
      <c r="L3220" s="9"/>
      <c r="M3220" s="9" t="s">
        <v>3133</v>
      </c>
      <c r="N3220" s="9"/>
      <c r="O3220" s="9" t="s">
        <v>3134</v>
      </c>
      <c r="P3220" s="9" t="str">
        <f>HYPERLINK("https://ceds.ed.gov/cedselementdetails.aspx?termid=13141")</f>
        <v>https://ceds.ed.gov/cedselementdetails.aspx?termid=13141</v>
      </c>
      <c r="Q3220" s="9" t="str">
        <f>HYPERLINK("https://ceds.ed.gov/elementComment.aspx?elementName=Highest Level of Education Completed &amp;elementID=13141", "Click here to submit comment")</f>
        <v>Click here to submit comment</v>
      </c>
    </row>
    <row r="3221" spans="1:17" ht="225" x14ac:dyDescent="0.25">
      <c r="A3221" s="9" t="s">
        <v>6882</v>
      </c>
      <c r="B3221" s="9" t="s">
        <v>6884</v>
      </c>
      <c r="C3221" s="9" t="s">
        <v>6774</v>
      </c>
      <c r="D3221" s="9" t="s">
        <v>6742</v>
      </c>
      <c r="E3221" s="9" t="s">
        <v>4296</v>
      </c>
      <c r="F3221" s="9" t="s">
        <v>4297</v>
      </c>
      <c r="G3221" s="9" t="s">
        <v>12</v>
      </c>
      <c r="H3221" s="9" t="s">
        <v>6245</v>
      </c>
      <c r="I3221" s="9"/>
      <c r="J3221" s="9" t="s">
        <v>92</v>
      </c>
      <c r="K3221" s="9"/>
      <c r="L3221" s="9"/>
      <c r="M3221" s="9" t="s">
        <v>4298</v>
      </c>
      <c r="N3221" s="9"/>
      <c r="O3221" s="9" t="s">
        <v>4299</v>
      </c>
      <c r="P3221" s="9" t="str">
        <f>HYPERLINK("https://ceds.ed.gov/cedselementdetails.aspx?termid=13191")</f>
        <v>https://ceds.ed.gov/cedselementdetails.aspx?termid=13191</v>
      </c>
      <c r="Q3221" s="9" t="str">
        <f>HYPERLINK("https://ceds.ed.gov/elementComment.aspx?elementName=Name of Institution &amp;elementID=13191", "Click here to submit comment")</f>
        <v>Click here to submit comment</v>
      </c>
    </row>
    <row r="3222" spans="1:17" ht="90" x14ac:dyDescent="0.25">
      <c r="A3222" s="9" t="s">
        <v>6882</v>
      </c>
      <c r="B3222" s="9" t="s">
        <v>6884</v>
      </c>
      <c r="C3222" s="9" t="s">
        <v>6774</v>
      </c>
      <c r="D3222" s="9" t="s">
        <v>6742</v>
      </c>
      <c r="E3222" s="9" t="s">
        <v>5476</v>
      </c>
      <c r="F3222" s="9" t="s">
        <v>5477</v>
      </c>
      <c r="G3222" s="9" t="s">
        <v>12</v>
      </c>
      <c r="H3222" s="9"/>
      <c r="I3222" s="9"/>
      <c r="J3222" s="9" t="s">
        <v>87</v>
      </c>
      <c r="K3222" s="9"/>
      <c r="L3222" s="9" t="s">
        <v>5478</v>
      </c>
      <c r="M3222" s="9" t="s">
        <v>5479</v>
      </c>
      <c r="N3222" s="9"/>
      <c r="O3222" s="9" t="s">
        <v>5480</v>
      </c>
      <c r="P3222" s="9" t="str">
        <f>HYPERLINK("https://ceds.ed.gov/cedselementdetails.aspx?termid=14459")</f>
        <v>https://ceds.ed.gov/cedselementdetails.aspx?termid=14459</v>
      </c>
      <c r="Q3222" s="9" t="str">
        <f>HYPERLINK("https://ceds.ed.gov/elementComment.aspx?elementName=Short Name of Institution &amp;elementID=14459", "Click here to submit comment")</f>
        <v>Click here to submit comment</v>
      </c>
    </row>
    <row r="3223" spans="1:17" ht="120" x14ac:dyDescent="0.25">
      <c r="A3223" s="9" t="s">
        <v>6882</v>
      </c>
      <c r="B3223" s="9" t="s">
        <v>6884</v>
      </c>
      <c r="C3223" s="9" t="s">
        <v>6774</v>
      </c>
      <c r="D3223" s="9" t="s">
        <v>6742</v>
      </c>
      <c r="E3223" s="9" t="s">
        <v>3127</v>
      </c>
      <c r="F3223" s="9" t="s">
        <v>3128</v>
      </c>
      <c r="G3223" s="10" t="s">
        <v>6534</v>
      </c>
      <c r="H3223" s="9" t="s">
        <v>182</v>
      </c>
      <c r="I3223" s="9"/>
      <c r="J3223" s="9"/>
      <c r="K3223" s="9"/>
      <c r="L3223" s="9"/>
      <c r="M3223" s="9" t="s">
        <v>3129</v>
      </c>
      <c r="N3223" s="9"/>
      <c r="O3223" s="9" t="s">
        <v>3130</v>
      </c>
      <c r="P3223" s="9" t="str">
        <f>HYPERLINK("https://ceds.ed.gov/cedselementdetails.aspx?termid=13817")</f>
        <v>https://ceds.ed.gov/cedselementdetails.aspx?termid=13817</v>
      </c>
      <c r="Q3223" s="9" t="str">
        <f>HYPERLINK("https://ceds.ed.gov/elementComment.aspx?elementName=Higher Education Institution Accreditation Status &amp;elementID=13817", "Click here to submit comment")</f>
        <v>Click here to submit comment</v>
      </c>
    </row>
    <row r="3224" spans="1:17" ht="60" x14ac:dyDescent="0.25">
      <c r="A3224" s="9" t="s">
        <v>6882</v>
      </c>
      <c r="B3224" s="9" t="s">
        <v>6884</v>
      </c>
      <c r="C3224" s="9" t="s">
        <v>6774</v>
      </c>
      <c r="D3224" s="9" t="s">
        <v>6742</v>
      </c>
      <c r="E3224" s="9" t="s">
        <v>2207</v>
      </c>
      <c r="F3224" s="9" t="s">
        <v>2208</v>
      </c>
      <c r="G3224" s="9" t="s">
        <v>12</v>
      </c>
      <c r="H3224" s="9" t="s">
        <v>6183</v>
      </c>
      <c r="I3224" s="9"/>
      <c r="J3224" s="9" t="s">
        <v>1347</v>
      </c>
      <c r="K3224" s="9"/>
      <c r="L3224" s="9"/>
      <c r="M3224" s="9" t="s">
        <v>2209</v>
      </c>
      <c r="N3224" s="9"/>
      <c r="O3224" s="9" t="s">
        <v>2210</v>
      </c>
      <c r="P3224" s="9" t="str">
        <f>HYPERLINK("https://ceds.ed.gov/cedselementdetails.aspx?termid=13341")</f>
        <v>https://ceds.ed.gov/cedselementdetails.aspx?termid=13341</v>
      </c>
      <c r="Q3224" s="9" t="str">
        <f>HYPERLINK("https://ceds.ed.gov/elementComment.aspx?elementName=Degree or Certificate Title or Subject &amp;elementID=13341", "Click here to submit comment")</f>
        <v>Click here to submit comment</v>
      </c>
    </row>
    <row r="3225" spans="1:17" ht="405" x14ac:dyDescent="0.25">
      <c r="A3225" s="9" t="s">
        <v>6882</v>
      </c>
      <c r="B3225" s="9" t="s">
        <v>6884</v>
      </c>
      <c r="C3225" s="9" t="s">
        <v>6774</v>
      </c>
      <c r="D3225" s="9" t="s">
        <v>6742</v>
      </c>
      <c r="E3225" s="9" t="s">
        <v>2211</v>
      </c>
      <c r="F3225" s="9" t="s">
        <v>2212</v>
      </c>
      <c r="G3225" s="10" t="s">
        <v>6440</v>
      </c>
      <c r="H3225" s="9" t="s">
        <v>6183</v>
      </c>
      <c r="I3225" s="9"/>
      <c r="J3225" s="9"/>
      <c r="K3225" s="9"/>
      <c r="L3225" s="9"/>
      <c r="M3225" s="9" t="s">
        <v>2213</v>
      </c>
      <c r="N3225" s="9"/>
      <c r="O3225" s="9" t="s">
        <v>2214</v>
      </c>
      <c r="P3225" s="9" t="str">
        <f>HYPERLINK("https://ceds.ed.gov/cedselementdetails.aspx?termid=13342")</f>
        <v>https://ceds.ed.gov/cedselementdetails.aspx?termid=13342</v>
      </c>
      <c r="Q3225" s="9" t="str">
        <f>HYPERLINK("https://ceds.ed.gov/elementComment.aspx?elementName=Degree or Certificate Type &amp;elementID=13342", "Click here to submit comment")</f>
        <v>Click here to submit comment</v>
      </c>
    </row>
    <row r="3226" spans="1:17" ht="60" x14ac:dyDescent="0.25">
      <c r="A3226" s="9" t="s">
        <v>6882</v>
      </c>
      <c r="B3226" s="9" t="s">
        <v>6884</v>
      </c>
      <c r="C3226" s="9" t="s">
        <v>6774</v>
      </c>
      <c r="D3226" s="9" t="s">
        <v>6742</v>
      </c>
      <c r="E3226" s="9" t="s">
        <v>2199</v>
      </c>
      <c r="F3226" s="9" t="s">
        <v>2200</v>
      </c>
      <c r="G3226" s="9" t="s">
        <v>12</v>
      </c>
      <c r="H3226" s="9" t="s">
        <v>6183</v>
      </c>
      <c r="I3226" s="9"/>
      <c r="J3226" s="9" t="s">
        <v>73</v>
      </c>
      <c r="K3226" s="9"/>
      <c r="L3226" s="9"/>
      <c r="M3226" s="9" t="s">
        <v>2201</v>
      </c>
      <c r="N3226" s="9"/>
      <c r="O3226" s="9" t="s">
        <v>2202</v>
      </c>
      <c r="P3226" s="9" t="str">
        <f>HYPERLINK("https://ceds.ed.gov/cedselementdetails.aspx?termid=13343")</f>
        <v>https://ceds.ed.gov/cedselementdetails.aspx?termid=13343</v>
      </c>
      <c r="Q3226" s="9" t="str">
        <f>HYPERLINK("https://ceds.ed.gov/elementComment.aspx?elementName=Degree or Certificate Conferring Date &amp;elementID=13343", "Click here to submit comment")</f>
        <v>Click here to submit comment</v>
      </c>
    </row>
    <row r="3227" spans="1:17" ht="75" x14ac:dyDescent="0.25">
      <c r="A3227" s="9" t="s">
        <v>6882</v>
      </c>
      <c r="B3227" s="9" t="s">
        <v>6884</v>
      </c>
      <c r="C3227" s="9" t="s">
        <v>6774</v>
      </c>
      <c r="D3227" s="9" t="s">
        <v>6742</v>
      </c>
      <c r="E3227" s="9" t="s">
        <v>4416</v>
      </c>
      <c r="F3227" s="9" t="s">
        <v>4417</v>
      </c>
      <c r="G3227" s="9" t="s">
        <v>12</v>
      </c>
      <c r="H3227" s="9" t="s">
        <v>182</v>
      </c>
      <c r="I3227" s="9"/>
      <c r="J3227" s="9" t="s">
        <v>1513</v>
      </c>
      <c r="K3227" s="9"/>
      <c r="L3227" s="9"/>
      <c r="M3227" s="9" t="s">
        <v>4418</v>
      </c>
      <c r="N3227" s="9"/>
      <c r="O3227" s="9" t="s">
        <v>4419</v>
      </c>
      <c r="P3227" s="9" t="str">
        <f>HYPERLINK("https://ceds.ed.gov/cedselementdetails.aspx?termid=13815")</f>
        <v>https://ceds.ed.gov/cedselementdetails.aspx?termid=13815</v>
      </c>
      <c r="Q3227" s="9" t="str">
        <f>HYPERLINK("https://ceds.ed.gov/elementComment.aspx?elementName=Number of School-age Education Postsecondary Credit Hours &amp;elementID=13815", "Click here to submit comment")</f>
        <v>Click here to submit comment</v>
      </c>
    </row>
    <row r="3228" spans="1:17" ht="75" x14ac:dyDescent="0.25">
      <c r="A3228" s="9" t="s">
        <v>6882</v>
      </c>
      <c r="B3228" s="9" t="s">
        <v>6884</v>
      </c>
      <c r="C3228" s="9" t="s">
        <v>6774</v>
      </c>
      <c r="D3228" s="9" t="s">
        <v>6742</v>
      </c>
      <c r="E3228" s="9" t="s">
        <v>5588</v>
      </c>
      <c r="F3228" s="9" t="s">
        <v>5589</v>
      </c>
      <c r="G3228" s="9" t="s">
        <v>12</v>
      </c>
      <c r="H3228" s="9" t="s">
        <v>182</v>
      </c>
      <c r="I3228" s="9"/>
      <c r="J3228" s="9" t="s">
        <v>73</v>
      </c>
      <c r="K3228" s="9"/>
      <c r="L3228" s="9"/>
      <c r="M3228" s="9" t="s">
        <v>5590</v>
      </c>
      <c r="N3228" s="9"/>
      <c r="O3228" s="9" t="s">
        <v>5591</v>
      </c>
      <c r="P3228" s="9" t="str">
        <f>HYPERLINK("https://ceds.ed.gov/cedselementdetails.aspx?termid=13792")</f>
        <v>https://ceds.ed.gov/cedselementdetails.aspx?termid=13792</v>
      </c>
      <c r="Q3228" s="9" t="str">
        <f>HYPERLINK("https://ceds.ed.gov/elementComment.aspx?elementName=Staff Education Entry Date &amp;elementID=13792", "Click here to submit comment")</f>
        <v>Click here to submit comment</v>
      </c>
    </row>
    <row r="3229" spans="1:17" ht="75" x14ac:dyDescent="0.25">
      <c r="A3229" s="9" t="s">
        <v>6882</v>
      </c>
      <c r="B3229" s="9" t="s">
        <v>6884</v>
      </c>
      <c r="C3229" s="9" t="s">
        <v>6774</v>
      </c>
      <c r="D3229" s="9" t="s">
        <v>6742</v>
      </c>
      <c r="E3229" s="9" t="s">
        <v>5592</v>
      </c>
      <c r="F3229" s="9" t="s">
        <v>5593</v>
      </c>
      <c r="G3229" s="9" t="s">
        <v>12</v>
      </c>
      <c r="H3229" s="9" t="s">
        <v>182</v>
      </c>
      <c r="I3229" s="9"/>
      <c r="J3229" s="9" t="s">
        <v>73</v>
      </c>
      <c r="K3229" s="9"/>
      <c r="L3229" s="9"/>
      <c r="M3229" s="9" t="s">
        <v>5594</v>
      </c>
      <c r="N3229" s="9"/>
      <c r="O3229" s="9" t="s">
        <v>5595</v>
      </c>
      <c r="P3229" s="9" t="str">
        <f>HYPERLINK("https://ceds.ed.gov/cedselementdetails.aspx?termid=13793")</f>
        <v>https://ceds.ed.gov/cedselementdetails.aspx?termid=13793</v>
      </c>
      <c r="Q3229" s="9" t="str">
        <f>HYPERLINK("https://ceds.ed.gov/elementComment.aspx?elementName=Staff Education Withdrawal Date &amp;elementID=13793", "Click here to submit comment")</f>
        <v>Click here to submit comment</v>
      </c>
    </row>
    <row r="3230" spans="1:17" ht="90" x14ac:dyDescent="0.25">
      <c r="A3230" s="9" t="s">
        <v>6882</v>
      </c>
      <c r="B3230" s="9" t="s">
        <v>6884</v>
      </c>
      <c r="C3230" s="9" t="s">
        <v>6774</v>
      </c>
      <c r="D3230" s="9" t="s">
        <v>6742</v>
      </c>
      <c r="E3230" s="9" t="s">
        <v>2576</v>
      </c>
      <c r="F3230" s="9" t="s">
        <v>2577</v>
      </c>
      <c r="G3230" s="10" t="s">
        <v>6483</v>
      </c>
      <c r="H3230" s="9"/>
      <c r="I3230" s="9"/>
      <c r="J3230" s="9"/>
      <c r="K3230" s="9"/>
      <c r="L3230" s="9"/>
      <c r="M3230" s="9" t="s">
        <v>2578</v>
      </c>
      <c r="N3230" s="9"/>
      <c r="O3230" s="9" t="s">
        <v>2579</v>
      </c>
      <c r="P3230" s="9" t="str">
        <f>HYPERLINK("https://ceds.ed.gov/cedselementdetails.aspx?termid=14586")</f>
        <v>https://ceds.ed.gov/cedselementdetails.aspx?termid=14586</v>
      </c>
      <c r="Q3230" s="9" t="str">
        <f>HYPERLINK("https://ceds.ed.gov/elementComment.aspx?elementName=Education Verification Method &amp;elementID=14586", "Click here to submit comment")</f>
        <v>Click here to submit comment</v>
      </c>
    </row>
    <row r="3231" spans="1:17" ht="105" x14ac:dyDescent="0.25">
      <c r="A3231" s="18" t="s">
        <v>6882</v>
      </c>
      <c r="B3231" s="18" t="s">
        <v>6847</v>
      </c>
      <c r="C3231" s="18"/>
      <c r="D3231" s="18" t="s">
        <v>6742</v>
      </c>
      <c r="E3231" s="18" t="s">
        <v>2062</v>
      </c>
      <c r="F3231" s="18" t="s">
        <v>2063</v>
      </c>
      <c r="G3231" s="18" t="s">
        <v>12</v>
      </c>
      <c r="H3231" s="18"/>
      <c r="I3231" s="18"/>
      <c r="J3231" s="18" t="s">
        <v>119</v>
      </c>
      <c r="K3231" s="18"/>
      <c r="L3231" s="9" t="s">
        <v>120</v>
      </c>
      <c r="M3231" s="18" t="s">
        <v>2064</v>
      </c>
      <c r="N3231" s="18"/>
      <c r="O3231" s="18" t="s">
        <v>2065</v>
      </c>
      <c r="P3231" s="18" t="str">
        <f>HYPERLINK("https://ceds.ed.gov/cedselementdetails.aspx?termid=13979")</f>
        <v>https://ceds.ed.gov/cedselementdetails.aspx?termid=13979</v>
      </c>
      <c r="Q3231" s="18" t="str">
        <f>HYPERLINK("https://ceds.ed.gov/elementComment.aspx?elementName=Course Section Identifier &amp;elementID=13979", "Click here to submit comment")</f>
        <v>Click here to submit comment</v>
      </c>
    </row>
    <row r="3232" spans="1:17" x14ac:dyDescent="0.25">
      <c r="A3232" s="18"/>
      <c r="B3232" s="18"/>
      <c r="C3232" s="18"/>
      <c r="D3232" s="18"/>
      <c r="E3232" s="18"/>
      <c r="F3232" s="18"/>
      <c r="G3232" s="18"/>
      <c r="H3232" s="18"/>
      <c r="I3232" s="18"/>
      <c r="J3232" s="18"/>
      <c r="K3232" s="18"/>
      <c r="L3232" s="9"/>
      <c r="M3232" s="18"/>
      <c r="N3232" s="18"/>
      <c r="O3232" s="18"/>
      <c r="P3232" s="18"/>
      <c r="Q3232" s="18"/>
    </row>
    <row r="3233" spans="1:17" ht="90" x14ac:dyDescent="0.25">
      <c r="A3233" s="18"/>
      <c r="B3233" s="18"/>
      <c r="C3233" s="18"/>
      <c r="D3233" s="18"/>
      <c r="E3233" s="18"/>
      <c r="F3233" s="18"/>
      <c r="G3233" s="18"/>
      <c r="H3233" s="18"/>
      <c r="I3233" s="18"/>
      <c r="J3233" s="18"/>
      <c r="K3233" s="18"/>
      <c r="L3233" s="9" t="s">
        <v>121</v>
      </c>
      <c r="M3233" s="18"/>
      <c r="N3233" s="18"/>
      <c r="O3233" s="18"/>
      <c r="P3233" s="18"/>
      <c r="Q3233" s="18"/>
    </row>
    <row r="3234" spans="1:17" ht="120" x14ac:dyDescent="0.25">
      <c r="A3234" s="9" t="s">
        <v>6882</v>
      </c>
      <c r="B3234" s="9" t="s">
        <v>6847</v>
      </c>
      <c r="C3234" s="9"/>
      <c r="D3234" s="9" t="s">
        <v>6742</v>
      </c>
      <c r="E3234" s="9" t="s">
        <v>5428</v>
      </c>
      <c r="F3234" s="9" t="s">
        <v>5429</v>
      </c>
      <c r="G3234" s="9" t="s">
        <v>12</v>
      </c>
      <c r="H3234" s="9" t="s">
        <v>6150</v>
      </c>
      <c r="I3234" s="9"/>
      <c r="J3234" s="9" t="s">
        <v>73</v>
      </c>
      <c r="K3234" s="9"/>
      <c r="L3234" s="9"/>
      <c r="M3234" s="9" t="s">
        <v>5430</v>
      </c>
      <c r="N3234" s="9"/>
      <c r="O3234" s="9" t="s">
        <v>5431</v>
      </c>
      <c r="P3234" s="9" t="str">
        <f>HYPERLINK("https://ceds.ed.gov/cedselementdetails.aspx?termid=13251")</f>
        <v>https://ceds.ed.gov/cedselementdetails.aspx?termid=13251</v>
      </c>
      <c r="Q3234" s="9" t="str">
        <f>HYPERLINK("https://ceds.ed.gov/elementComment.aspx?elementName=Session Begin Date &amp;elementID=13251", "Click here to submit comment")</f>
        <v>Click here to submit comment</v>
      </c>
    </row>
    <row r="3235" spans="1:17" ht="120" x14ac:dyDescent="0.25">
      <c r="A3235" s="9" t="s">
        <v>6882</v>
      </c>
      <c r="B3235" s="9" t="s">
        <v>6847</v>
      </c>
      <c r="C3235" s="9"/>
      <c r="D3235" s="9" t="s">
        <v>6742</v>
      </c>
      <c r="E3235" s="9" t="s">
        <v>5444</v>
      </c>
      <c r="F3235" s="9" t="s">
        <v>5445</v>
      </c>
      <c r="G3235" s="9" t="s">
        <v>12</v>
      </c>
      <c r="H3235" s="9" t="s">
        <v>6150</v>
      </c>
      <c r="I3235" s="9"/>
      <c r="J3235" s="9" t="s">
        <v>73</v>
      </c>
      <c r="K3235" s="9"/>
      <c r="L3235" s="9"/>
      <c r="M3235" s="9" t="s">
        <v>5446</v>
      </c>
      <c r="N3235" s="9"/>
      <c r="O3235" s="9" t="s">
        <v>5447</v>
      </c>
      <c r="P3235" s="9" t="str">
        <f>HYPERLINK("https://ceds.ed.gov/cedselementdetails.aspx?termid=13253")</f>
        <v>https://ceds.ed.gov/cedselementdetails.aspx?termid=13253</v>
      </c>
      <c r="Q3235" s="9" t="str">
        <f>HYPERLINK("https://ceds.ed.gov/elementComment.aspx?elementName=Session End Date &amp;elementID=13253", "Click here to submit comment")</f>
        <v>Click here to submit comment</v>
      </c>
    </row>
    <row r="3236" spans="1:17" ht="45" x14ac:dyDescent="0.25">
      <c r="A3236" s="9" t="s">
        <v>6882</v>
      </c>
      <c r="B3236" s="9" t="s">
        <v>6847</v>
      </c>
      <c r="C3236" s="9"/>
      <c r="D3236" s="9" t="s">
        <v>6742</v>
      </c>
      <c r="E3236" s="9" t="s">
        <v>5440</v>
      </c>
      <c r="F3236" s="9" t="s">
        <v>5441</v>
      </c>
      <c r="G3236" s="9" t="s">
        <v>12</v>
      </c>
      <c r="H3236" s="9" t="s">
        <v>6161</v>
      </c>
      <c r="I3236" s="9"/>
      <c r="J3236" s="9" t="s">
        <v>2270</v>
      </c>
      <c r="K3236" s="9"/>
      <c r="L3236" s="9"/>
      <c r="M3236" s="9" t="s">
        <v>5442</v>
      </c>
      <c r="N3236" s="9"/>
      <c r="O3236" s="9" t="s">
        <v>5443</v>
      </c>
      <c r="P3236" s="9" t="str">
        <f>HYPERLINK("https://ceds.ed.gov/cedselementdetails.aspx?termid=13252")</f>
        <v>https://ceds.ed.gov/cedselementdetails.aspx?termid=13252</v>
      </c>
      <c r="Q3236" s="9" t="str">
        <f>HYPERLINK("https://ceds.ed.gov/elementComment.aspx?elementName=Session Designator &amp;elementID=13252", "Click here to submit comment")</f>
        <v>Click here to submit comment</v>
      </c>
    </row>
    <row r="3237" spans="1:17" ht="60" x14ac:dyDescent="0.25">
      <c r="A3237" s="9" t="s">
        <v>6882</v>
      </c>
      <c r="B3237" s="9" t="s">
        <v>6847</v>
      </c>
      <c r="C3237" s="9"/>
      <c r="D3237" s="9" t="s">
        <v>6742</v>
      </c>
      <c r="E3237" s="9" t="s">
        <v>5432</v>
      </c>
      <c r="F3237" s="9" t="s">
        <v>5433</v>
      </c>
      <c r="G3237" s="9" t="s">
        <v>12</v>
      </c>
      <c r="H3237" s="9"/>
      <c r="I3237" s="9"/>
      <c r="J3237" s="9" t="s">
        <v>87</v>
      </c>
      <c r="K3237" s="9"/>
      <c r="L3237" s="9"/>
      <c r="M3237" s="9" t="s">
        <v>5434</v>
      </c>
      <c r="N3237" s="9"/>
      <c r="O3237" s="9" t="s">
        <v>5435</v>
      </c>
      <c r="P3237" s="9" t="str">
        <f>HYPERLINK("https://ceds.ed.gov/cedselementdetails.aspx?termid=14236")</f>
        <v>https://ceds.ed.gov/cedselementdetails.aspx?termid=14236</v>
      </c>
      <c r="Q3237" s="9" t="str">
        <f>HYPERLINK("https://ceds.ed.gov/elementComment.aspx?elementName=Session Code &amp;elementID=14236", "Click here to submit comment")</f>
        <v>Click here to submit comment</v>
      </c>
    </row>
    <row r="3238" spans="1:17" ht="180" x14ac:dyDescent="0.25">
      <c r="A3238" s="9" t="s">
        <v>6882</v>
      </c>
      <c r="B3238" s="9" t="s">
        <v>6847</v>
      </c>
      <c r="C3238" s="9"/>
      <c r="D3238" s="9" t="s">
        <v>6742</v>
      </c>
      <c r="E3238" s="9" t="s">
        <v>5464</v>
      </c>
      <c r="F3238" s="9" t="s">
        <v>5465</v>
      </c>
      <c r="G3238" s="10" t="s">
        <v>6693</v>
      </c>
      <c r="H3238" s="9" t="s">
        <v>6150</v>
      </c>
      <c r="I3238" s="9"/>
      <c r="J3238" s="9"/>
      <c r="K3238" s="9"/>
      <c r="L3238" s="9"/>
      <c r="M3238" s="9" t="s">
        <v>5466</v>
      </c>
      <c r="N3238" s="9"/>
      <c r="O3238" s="9" t="s">
        <v>5467</v>
      </c>
      <c r="P3238" s="9" t="str">
        <f>HYPERLINK("https://ceds.ed.gov/cedselementdetails.aspx?termid=13254")</f>
        <v>https://ceds.ed.gov/cedselementdetails.aspx?termid=13254</v>
      </c>
      <c r="Q3238" s="9" t="str">
        <f>HYPERLINK("https://ceds.ed.gov/elementComment.aspx?elementName=Session Type &amp;elementID=13254", "Click here to submit comment")</f>
        <v>Click here to submit comment</v>
      </c>
    </row>
    <row r="3239" spans="1:17" ht="45" x14ac:dyDescent="0.25">
      <c r="A3239" s="9" t="s">
        <v>6882</v>
      </c>
      <c r="B3239" s="9" t="s">
        <v>6847</v>
      </c>
      <c r="C3239" s="9"/>
      <c r="D3239" s="9" t="s">
        <v>6742</v>
      </c>
      <c r="E3239" s="9" t="s">
        <v>5436</v>
      </c>
      <c r="F3239" s="9" t="s">
        <v>5437</v>
      </c>
      <c r="G3239" s="9" t="s">
        <v>12</v>
      </c>
      <c r="H3239" s="9"/>
      <c r="I3239" s="9"/>
      <c r="J3239" s="9" t="s">
        <v>303</v>
      </c>
      <c r="K3239" s="9"/>
      <c r="L3239" s="9"/>
      <c r="M3239" s="9" t="s">
        <v>5438</v>
      </c>
      <c r="N3239" s="9"/>
      <c r="O3239" s="9" t="s">
        <v>5439</v>
      </c>
      <c r="P3239" s="9" t="str">
        <f>HYPERLINK("https://ceds.ed.gov/cedselementdetails.aspx?termid=14237")</f>
        <v>https://ceds.ed.gov/cedselementdetails.aspx?termid=14237</v>
      </c>
      <c r="Q3239" s="9" t="str">
        <f>HYPERLINK("https://ceds.ed.gov/elementComment.aspx?elementName=Session Description &amp;elementID=14237", "Click here to submit comment")</f>
        <v>Click here to submit comment</v>
      </c>
    </row>
    <row r="3240" spans="1:17" ht="409.5" x14ac:dyDescent="0.25">
      <c r="A3240" s="9" t="s">
        <v>6882</v>
      </c>
      <c r="B3240" s="9" t="s">
        <v>6847</v>
      </c>
      <c r="C3240" s="9"/>
      <c r="D3240" s="9" t="s">
        <v>6742</v>
      </c>
      <c r="E3240" s="9" t="s">
        <v>281</v>
      </c>
      <c r="F3240" s="9" t="s">
        <v>282</v>
      </c>
      <c r="G3240" s="10" t="s">
        <v>6337</v>
      </c>
      <c r="H3240" s="9"/>
      <c r="I3240" s="9"/>
      <c r="J3240" s="9" t="s">
        <v>92</v>
      </c>
      <c r="K3240" s="9"/>
      <c r="L3240" s="9"/>
      <c r="M3240" s="9" t="s">
        <v>283</v>
      </c>
      <c r="N3240" s="9" t="s">
        <v>284</v>
      </c>
      <c r="O3240" s="9" t="s">
        <v>285</v>
      </c>
      <c r="P3240" s="9" t="str">
        <f>HYPERLINK("https://ceds.ed.gov/cedselementdetails.aspx?termid=14244")</f>
        <v>https://ceds.ed.gov/cedselementdetails.aspx?termid=14244</v>
      </c>
      <c r="Q3240" s="9" t="str">
        <f>HYPERLINK("https://ceds.ed.gov/elementComment.aspx?elementName=Advanced Placement Course Code &amp;elementID=14244", "Click here to submit comment")</f>
        <v>Click here to submit comment</v>
      </c>
    </row>
    <row r="3241" spans="1:17" ht="45" x14ac:dyDescent="0.25">
      <c r="A3241" s="9" t="s">
        <v>6882</v>
      </c>
      <c r="B3241" s="9" t="s">
        <v>6847</v>
      </c>
      <c r="C3241" s="9"/>
      <c r="D3241" s="9" t="s">
        <v>6742</v>
      </c>
      <c r="E3241" s="9" t="s">
        <v>1955</v>
      </c>
      <c r="F3241" s="9" t="s">
        <v>1956</v>
      </c>
      <c r="G3241" s="9" t="s">
        <v>12</v>
      </c>
      <c r="H3241" s="9"/>
      <c r="I3241" s="9"/>
      <c r="J3241" s="9" t="s">
        <v>92</v>
      </c>
      <c r="K3241" s="9"/>
      <c r="L3241" s="9"/>
      <c r="M3241" s="9" t="s">
        <v>1957</v>
      </c>
      <c r="N3241" s="9"/>
      <c r="O3241" s="9" t="s">
        <v>1958</v>
      </c>
      <c r="P3241" s="9" t="str">
        <f>HYPERLINK("https://ceds.ed.gov/cedselementdetails.aspx?termid=13508")</f>
        <v>https://ceds.ed.gov/cedselementdetails.aspx?termid=13508</v>
      </c>
      <c r="Q3241" s="9" t="str">
        <f>HYPERLINK("https://ceds.ed.gov/elementComment.aspx?elementName=Course Description &amp;elementID=13508", "Click here to submit comment")</f>
        <v>Click here to submit comment</v>
      </c>
    </row>
    <row r="3242" spans="1:17" ht="409.5" x14ac:dyDescent="0.25">
      <c r="A3242" s="9" t="s">
        <v>6882</v>
      </c>
      <c r="B3242" s="9" t="s">
        <v>6847</v>
      </c>
      <c r="C3242" s="9"/>
      <c r="D3242" s="9" t="s">
        <v>6742</v>
      </c>
      <c r="E3242" s="9" t="s">
        <v>1920</v>
      </c>
      <c r="F3242" s="9" t="s">
        <v>1921</v>
      </c>
      <c r="G3242" s="10" t="s">
        <v>6420</v>
      </c>
      <c r="H3242" s="9"/>
      <c r="I3242" s="9"/>
      <c r="J3242" s="9"/>
      <c r="K3242" s="9"/>
      <c r="L3242" s="9" t="s">
        <v>1922</v>
      </c>
      <c r="M3242" s="9" t="s">
        <v>1923</v>
      </c>
      <c r="N3242" s="9"/>
      <c r="O3242" s="9" t="s">
        <v>1924</v>
      </c>
      <c r="P3242" s="9" t="str">
        <f>HYPERLINK("https://ceds.ed.gov/cedselementdetails.aspx?termid=14267")</f>
        <v>https://ceds.ed.gov/cedselementdetails.aspx?termid=14267</v>
      </c>
      <c r="Q3242" s="9" t="str">
        <f>HYPERLINK("https://ceds.ed.gov/elementComment.aspx?elementName=Course Applicable Education Level &amp;elementID=14267", "Click here to submit comment")</f>
        <v>Click here to submit comment</v>
      </c>
    </row>
    <row r="3243" spans="1:17" ht="360" x14ac:dyDescent="0.25">
      <c r="A3243" s="9" t="s">
        <v>6882</v>
      </c>
      <c r="B3243" s="9" t="s">
        <v>6847</v>
      </c>
      <c r="C3243" s="9"/>
      <c r="D3243" s="9" t="s">
        <v>6742</v>
      </c>
      <c r="E3243" s="9" t="s">
        <v>1627</v>
      </c>
      <c r="F3243" s="9" t="s">
        <v>1628</v>
      </c>
      <c r="G3243" s="10" t="s">
        <v>6396</v>
      </c>
      <c r="H3243" s="9"/>
      <c r="I3243" s="9"/>
      <c r="J3243" s="9"/>
      <c r="K3243" s="9"/>
      <c r="L3243" s="9" t="s">
        <v>1629</v>
      </c>
      <c r="M3243" s="9" t="s">
        <v>1630</v>
      </c>
      <c r="N3243" s="9"/>
      <c r="O3243" s="9" t="s">
        <v>1631</v>
      </c>
      <c r="P3243" s="9" t="str">
        <f>HYPERLINK("https://ceds.ed.gov/cedselementdetails.aspx?termid=14254")</f>
        <v>https://ceds.ed.gov/cedselementdetails.aspx?termid=14254</v>
      </c>
      <c r="Q3243" s="9" t="str">
        <f>HYPERLINK("https://ceds.ed.gov/elementComment.aspx?elementName=Career Cluster &amp;elementID=14254", "Click here to submit comment")</f>
        <v>Click here to submit comment</v>
      </c>
    </row>
    <row r="3244" spans="1:17" ht="45" x14ac:dyDescent="0.25">
      <c r="A3244" s="9" t="s">
        <v>6882</v>
      </c>
      <c r="B3244" s="9" t="s">
        <v>6847</v>
      </c>
      <c r="C3244" s="9"/>
      <c r="D3244" s="9" t="s">
        <v>6742</v>
      </c>
      <c r="E3244" s="9" t="s">
        <v>1916</v>
      </c>
      <c r="F3244" s="9" t="s">
        <v>1917</v>
      </c>
      <c r="G3244" s="9" t="s">
        <v>6106</v>
      </c>
      <c r="H3244" s="9"/>
      <c r="I3244" s="9"/>
      <c r="J3244" s="9"/>
      <c r="K3244" s="9"/>
      <c r="L3244" s="9"/>
      <c r="M3244" s="9" t="s">
        <v>1918</v>
      </c>
      <c r="N3244" s="9"/>
      <c r="O3244" s="9" t="s">
        <v>1919</v>
      </c>
      <c r="P3244" s="9" t="str">
        <f>HYPERLINK("https://ceds.ed.gov/cedselementdetails.aspx?termid=13013")</f>
        <v>https://ceds.ed.gov/cedselementdetails.aspx?termid=13013</v>
      </c>
      <c r="Q3244" s="9" t="str">
        <f>HYPERLINK("https://ceds.ed.gov/elementComment.aspx?elementName=Course Aligned with Standards &amp;elementID=13013", "Click here to submit comment")</f>
        <v>Click here to submit comment</v>
      </c>
    </row>
    <row r="3245" spans="1:17" ht="45" x14ac:dyDescent="0.25">
      <c r="A3245" s="9" t="s">
        <v>6882</v>
      </c>
      <c r="B3245" s="9" t="s">
        <v>6847</v>
      </c>
      <c r="C3245" s="9"/>
      <c r="D3245" s="9" t="s">
        <v>6742</v>
      </c>
      <c r="E3245" s="9" t="s">
        <v>5452</v>
      </c>
      <c r="F3245" s="9" t="s">
        <v>5453</v>
      </c>
      <c r="G3245" s="9" t="s">
        <v>6106</v>
      </c>
      <c r="H3245" s="9"/>
      <c r="I3245" s="9"/>
      <c r="J3245" s="9"/>
      <c r="K3245" s="9"/>
      <c r="L3245" s="9"/>
      <c r="M3245" s="9" t="s">
        <v>5454</v>
      </c>
      <c r="N3245" s="9"/>
      <c r="O3245" s="9" t="s">
        <v>5455</v>
      </c>
      <c r="P3245" s="9" t="str">
        <f>HYPERLINK("https://ceds.ed.gov/cedselementdetails.aspx?termid=14238")</f>
        <v>https://ceds.ed.gov/cedselementdetails.aspx?termid=14238</v>
      </c>
      <c r="Q3245" s="9" t="str">
        <f>HYPERLINK("https://ceds.ed.gov/elementComment.aspx?elementName=Session Marking Term Indicator &amp;elementID=14238", "Click here to submit comment")</f>
        <v>Click here to submit comment</v>
      </c>
    </row>
    <row r="3246" spans="1:17" ht="45" x14ac:dyDescent="0.25">
      <c r="A3246" s="9" t="s">
        <v>6882</v>
      </c>
      <c r="B3246" s="9" t="s">
        <v>6847</v>
      </c>
      <c r="C3246" s="9"/>
      <c r="D3246" s="9" t="s">
        <v>6742</v>
      </c>
      <c r="E3246" s="9" t="s">
        <v>5456</v>
      </c>
      <c r="F3246" s="9" t="s">
        <v>5457</v>
      </c>
      <c r="G3246" s="9" t="s">
        <v>6106</v>
      </c>
      <c r="H3246" s="9"/>
      <c r="I3246" s="9"/>
      <c r="J3246" s="9"/>
      <c r="K3246" s="9"/>
      <c r="L3246" s="9"/>
      <c r="M3246" s="9" t="s">
        <v>5458</v>
      </c>
      <c r="N3246" s="9"/>
      <c r="O3246" s="9" t="s">
        <v>5459</v>
      </c>
      <c r="P3246" s="9" t="str">
        <f>HYPERLINK("https://ceds.ed.gov/cedselementdetails.aspx?termid=14239")</f>
        <v>https://ceds.ed.gov/cedselementdetails.aspx?termid=14239</v>
      </c>
      <c r="Q3246" s="9" t="str">
        <f>HYPERLINK("https://ceds.ed.gov/elementComment.aspx?elementName=Session Scheduling Term Indicator &amp;elementID=14239", "Click here to submit comment")</f>
        <v>Click here to submit comment</v>
      </c>
    </row>
    <row r="3247" spans="1:17" ht="45" x14ac:dyDescent="0.25">
      <c r="A3247" s="9" t="s">
        <v>6882</v>
      </c>
      <c r="B3247" s="9" t="s">
        <v>6847</v>
      </c>
      <c r="C3247" s="9"/>
      <c r="D3247" s="9" t="s">
        <v>6742</v>
      </c>
      <c r="E3247" s="9" t="s">
        <v>5424</v>
      </c>
      <c r="F3247" s="9" t="s">
        <v>5425</v>
      </c>
      <c r="G3247" s="9" t="s">
        <v>6106</v>
      </c>
      <c r="H3247" s="9"/>
      <c r="I3247" s="9"/>
      <c r="J3247" s="9"/>
      <c r="K3247" s="9"/>
      <c r="L3247" s="9"/>
      <c r="M3247" s="9" t="s">
        <v>5426</v>
      </c>
      <c r="N3247" s="9"/>
      <c r="O3247" s="9" t="s">
        <v>5427</v>
      </c>
      <c r="P3247" s="9" t="str">
        <f>HYPERLINK("https://ceds.ed.gov/cedselementdetails.aspx?termid=14240")</f>
        <v>https://ceds.ed.gov/cedselementdetails.aspx?termid=14240</v>
      </c>
      <c r="Q3247" s="9" t="str">
        <f>HYPERLINK("https://ceds.ed.gov/elementComment.aspx?elementName=Session Attendance Term Indicator &amp;elementID=14240", "Click here to submit comment")</f>
        <v>Click here to submit comment</v>
      </c>
    </row>
    <row r="3248" spans="1:17" ht="150" x14ac:dyDescent="0.25">
      <c r="A3248" s="9" t="s">
        <v>6882</v>
      </c>
      <c r="B3248" s="9" t="s">
        <v>6847</v>
      </c>
      <c r="C3248" s="9"/>
      <c r="D3248" s="9" t="s">
        <v>6742</v>
      </c>
      <c r="E3248" s="9" t="s">
        <v>1903</v>
      </c>
      <c r="F3248" s="9" t="s">
        <v>1904</v>
      </c>
      <c r="G3248" s="9" t="s">
        <v>12</v>
      </c>
      <c r="H3248" s="9"/>
      <c r="I3248" s="9"/>
      <c r="J3248" s="9" t="s">
        <v>10936</v>
      </c>
      <c r="K3248" s="9"/>
      <c r="L3248" s="9" t="s">
        <v>1905</v>
      </c>
      <c r="M3248" s="9" t="s">
        <v>1906</v>
      </c>
      <c r="N3248" s="9"/>
      <c r="O3248" s="9" t="s">
        <v>1907</v>
      </c>
      <c r="P3248" s="9" t="str">
        <f>HYPERLINK("https://ceds.ed.gov/cedselementdetails.aspx?termid=14264")</f>
        <v>https://ceds.ed.gov/cedselementdetails.aspx?termid=14264</v>
      </c>
      <c r="Q3248" s="9" t="str">
        <f>HYPERLINK("https://ceds.ed.gov/elementComment.aspx?elementName=Course Academic Grade Scale Code &amp;elementID=14264", "Click here to submit comment")</f>
        <v>Click here to submit comment</v>
      </c>
    </row>
    <row r="3249" spans="1:17" ht="75" x14ac:dyDescent="0.25">
      <c r="A3249" s="9" t="s">
        <v>6882</v>
      </c>
      <c r="B3249" s="9" t="s">
        <v>6847</v>
      </c>
      <c r="C3249" s="9"/>
      <c r="D3249" s="9" t="s">
        <v>6742</v>
      </c>
      <c r="E3249" s="9" t="s">
        <v>2074</v>
      </c>
      <c r="F3249" s="9" t="s">
        <v>2075</v>
      </c>
      <c r="G3249" s="9" t="s">
        <v>12</v>
      </c>
      <c r="H3249" s="9"/>
      <c r="I3249" s="9"/>
      <c r="J3249" s="9" t="s">
        <v>87</v>
      </c>
      <c r="K3249" s="9"/>
      <c r="L3249" s="9"/>
      <c r="M3249" s="9" t="s">
        <v>2076</v>
      </c>
      <c r="N3249" s="9"/>
      <c r="O3249" s="9" t="s">
        <v>2077</v>
      </c>
      <c r="P3249" s="9" t="str">
        <f>HYPERLINK("https://ceds.ed.gov/cedselementdetails.aspx?termid=14281")</f>
        <v>https://ceds.ed.gov/cedselementdetails.aspx?termid=14281</v>
      </c>
      <c r="Q3249" s="9" t="str">
        <f>HYPERLINK("https://ceds.ed.gov/elementComment.aspx?elementName=Course Section Number &amp;elementID=14281", "Click here to submit comment")</f>
        <v>Click here to submit comment</v>
      </c>
    </row>
    <row r="3250" spans="1:17" ht="165" x14ac:dyDescent="0.25">
      <c r="A3250" s="9" t="s">
        <v>6882</v>
      </c>
      <c r="B3250" s="9" t="s">
        <v>6847</v>
      </c>
      <c r="C3250" s="9"/>
      <c r="D3250" s="9" t="s">
        <v>6742</v>
      </c>
      <c r="E3250" s="9" t="s">
        <v>12212</v>
      </c>
      <c r="F3250" s="9" t="s">
        <v>2082</v>
      </c>
      <c r="G3250" s="9" t="s">
        <v>12</v>
      </c>
      <c r="H3250" s="9" t="s">
        <v>2085</v>
      </c>
      <c r="I3250" s="9"/>
      <c r="J3250" s="9" t="s">
        <v>10489</v>
      </c>
      <c r="K3250" s="9"/>
      <c r="L3250" s="9"/>
      <c r="M3250" s="9" t="s">
        <v>2083</v>
      </c>
      <c r="N3250" s="9"/>
      <c r="O3250" s="9" t="s">
        <v>2084</v>
      </c>
      <c r="P3250" s="9" t="str">
        <f>HYPERLINK("https://ceds.ed.gov/cedselementdetails.aspx?termid=13101")</f>
        <v>https://ceds.ed.gov/cedselementdetails.aspx?termid=13101</v>
      </c>
      <c r="Q3250" s="9" t="str">
        <f>HYPERLINK("https://ceds.ed.gov/elementComment.aspx?elementName=Course Section Time Required for Completion &amp;elementID=13101", "Click here to submit comment")</f>
        <v>Click here to submit comment</v>
      </c>
    </row>
    <row r="3251" spans="1:17" ht="45" x14ac:dyDescent="0.25">
      <c r="A3251" s="9" t="s">
        <v>6882</v>
      </c>
      <c r="B3251" s="9" t="s">
        <v>6847</v>
      </c>
      <c r="C3251" s="9"/>
      <c r="D3251" s="9" t="s">
        <v>6742</v>
      </c>
      <c r="E3251" s="9" t="s">
        <v>1757</v>
      </c>
      <c r="F3251" s="9" t="s">
        <v>1758</v>
      </c>
      <c r="G3251" s="9" t="s">
        <v>12</v>
      </c>
      <c r="H3251" s="9" t="s">
        <v>6167</v>
      </c>
      <c r="I3251" s="9"/>
      <c r="J3251" s="9" t="s">
        <v>406</v>
      </c>
      <c r="K3251" s="9"/>
      <c r="L3251" s="9"/>
      <c r="M3251" s="9" t="s">
        <v>1759</v>
      </c>
      <c r="N3251" s="9"/>
      <c r="O3251" s="9" t="s">
        <v>1760</v>
      </c>
      <c r="P3251" s="9" t="str">
        <f>HYPERLINK("https://ceds.ed.gov/cedselementdetails.aspx?termid=13510")</f>
        <v>https://ceds.ed.gov/cedselementdetails.aspx?termid=13510</v>
      </c>
      <c r="Q3251" s="9" t="str">
        <f>HYPERLINK("https://ceds.ed.gov/elementComment.aspx?elementName=Class Beginning Time &amp;elementID=13510", "Click here to submit comment")</f>
        <v>Click here to submit comment</v>
      </c>
    </row>
    <row r="3252" spans="1:17" ht="45" x14ac:dyDescent="0.25">
      <c r="A3252" s="9" t="s">
        <v>6882</v>
      </c>
      <c r="B3252" s="9" t="s">
        <v>6847</v>
      </c>
      <c r="C3252" s="9"/>
      <c r="D3252" s="9" t="s">
        <v>6742</v>
      </c>
      <c r="E3252" s="9" t="s">
        <v>1761</v>
      </c>
      <c r="F3252" s="9" t="s">
        <v>1762</v>
      </c>
      <c r="G3252" s="9" t="s">
        <v>12</v>
      </c>
      <c r="H3252" s="9" t="s">
        <v>6167</v>
      </c>
      <c r="I3252" s="9"/>
      <c r="J3252" s="9" t="s">
        <v>406</v>
      </c>
      <c r="K3252" s="9"/>
      <c r="L3252" s="9"/>
      <c r="M3252" s="9" t="s">
        <v>1763</v>
      </c>
      <c r="N3252" s="9"/>
      <c r="O3252" s="9" t="s">
        <v>1764</v>
      </c>
      <c r="P3252" s="9" t="str">
        <f>HYPERLINK("https://ceds.ed.gov/cedselementdetails.aspx?termid=13511")</f>
        <v>https://ceds.ed.gov/cedselementdetails.aspx?termid=13511</v>
      </c>
      <c r="Q3252" s="9" t="str">
        <f>HYPERLINK("https://ceds.ed.gov/elementComment.aspx?elementName=Class Ending Time &amp;elementID=13511", "Click here to submit comment")</f>
        <v>Click here to submit comment</v>
      </c>
    </row>
    <row r="3253" spans="1:17" ht="60" x14ac:dyDescent="0.25">
      <c r="A3253" s="9" t="s">
        <v>6882</v>
      </c>
      <c r="B3253" s="9" t="s">
        <v>6847</v>
      </c>
      <c r="C3253" s="9"/>
      <c r="D3253" s="9" t="s">
        <v>6742</v>
      </c>
      <c r="E3253" s="9" t="s">
        <v>1765</v>
      </c>
      <c r="F3253" s="9" t="s">
        <v>1766</v>
      </c>
      <c r="G3253" s="9" t="s">
        <v>12</v>
      </c>
      <c r="H3253" s="9"/>
      <c r="I3253" s="9"/>
      <c r="J3253" s="9" t="s">
        <v>92</v>
      </c>
      <c r="K3253" s="9"/>
      <c r="L3253" s="9"/>
      <c r="M3253" s="9" t="s">
        <v>1767</v>
      </c>
      <c r="N3253" s="9"/>
      <c r="O3253" s="9" t="s">
        <v>1768</v>
      </c>
      <c r="P3253" s="9" t="str">
        <f>HYPERLINK("https://ceds.ed.gov/cedselementdetails.aspx?termid=13512")</f>
        <v>https://ceds.ed.gov/cedselementdetails.aspx?termid=13512</v>
      </c>
      <c r="Q3253" s="9" t="str">
        <f>HYPERLINK("https://ceds.ed.gov/elementComment.aspx?elementName=Class Meeting Days &amp;elementID=13512", "Click here to submit comment")</f>
        <v>Click here to submit comment</v>
      </c>
    </row>
    <row r="3254" spans="1:17" ht="75" x14ac:dyDescent="0.25">
      <c r="A3254" s="9" t="s">
        <v>6882</v>
      </c>
      <c r="B3254" s="9" t="s">
        <v>6847</v>
      </c>
      <c r="C3254" s="9"/>
      <c r="D3254" s="9" t="s">
        <v>6742</v>
      </c>
      <c r="E3254" s="9" t="s">
        <v>1769</v>
      </c>
      <c r="F3254" s="9" t="s">
        <v>1770</v>
      </c>
      <c r="G3254" s="9" t="s">
        <v>12</v>
      </c>
      <c r="H3254" s="9"/>
      <c r="I3254" s="9"/>
      <c r="J3254" s="9" t="s">
        <v>87</v>
      </c>
      <c r="K3254" s="9"/>
      <c r="L3254" s="9"/>
      <c r="M3254" s="9" t="s">
        <v>1771</v>
      </c>
      <c r="N3254" s="9"/>
      <c r="O3254" s="9" t="s">
        <v>1772</v>
      </c>
      <c r="P3254" s="9" t="str">
        <f>HYPERLINK("https://ceds.ed.gov/cedselementdetails.aspx?termid=13513")</f>
        <v>https://ceds.ed.gov/cedselementdetails.aspx?termid=13513</v>
      </c>
      <c r="Q3254" s="9" t="str">
        <f>HYPERLINK("https://ceds.ed.gov/elementComment.aspx?elementName=Class Period &amp;elementID=13513", "Click here to submit comment")</f>
        <v>Click here to submit comment</v>
      </c>
    </row>
    <row r="3255" spans="1:17" ht="105" x14ac:dyDescent="0.25">
      <c r="A3255" s="18" t="s">
        <v>6882</v>
      </c>
      <c r="B3255" s="18" t="s">
        <v>6847</v>
      </c>
      <c r="C3255" s="18"/>
      <c r="D3255" s="18" t="s">
        <v>6742</v>
      </c>
      <c r="E3255" s="18" t="s">
        <v>5870</v>
      </c>
      <c r="F3255" s="18" t="s">
        <v>5871</v>
      </c>
      <c r="G3255" s="18" t="s">
        <v>12</v>
      </c>
      <c r="H3255" s="18"/>
      <c r="I3255" s="18"/>
      <c r="J3255" s="18" t="s">
        <v>119</v>
      </c>
      <c r="K3255" s="18"/>
      <c r="L3255" s="9" t="s">
        <v>120</v>
      </c>
      <c r="M3255" s="18" t="s">
        <v>5872</v>
      </c>
      <c r="N3255" s="18"/>
      <c r="O3255" s="18" t="s">
        <v>5873</v>
      </c>
      <c r="P3255" s="18" t="str">
        <f>HYPERLINK("https://ceds.ed.gov/cedselementdetails.aspx?termid=13514")</f>
        <v>https://ceds.ed.gov/cedselementdetails.aspx?termid=13514</v>
      </c>
      <c r="Q3255" s="18" t="str">
        <f>HYPERLINK("https://ceds.ed.gov/elementComment.aspx?elementName=Timetable Day Identifier &amp;elementID=13514", "Click here to submit comment")</f>
        <v>Click here to submit comment</v>
      </c>
    </row>
    <row r="3256" spans="1:17" x14ac:dyDescent="0.25">
      <c r="A3256" s="18"/>
      <c r="B3256" s="18"/>
      <c r="C3256" s="18"/>
      <c r="D3256" s="18"/>
      <c r="E3256" s="18"/>
      <c r="F3256" s="18"/>
      <c r="G3256" s="18"/>
      <c r="H3256" s="18"/>
      <c r="I3256" s="18"/>
      <c r="J3256" s="18"/>
      <c r="K3256" s="18"/>
      <c r="L3256" s="9"/>
      <c r="M3256" s="18"/>
      <c r="N3256" s="18"/>
      <c r="O3256" s="18"/>
      <c r="P3256" s="18"/>
      <c r="Q3256" s="18"/>
    </row>
    <row r="3257" spans="1:17" ht="90" x14ac:dyDescent="0.25">
      <c r="A3257" s="18"/>
      <c r="B3257" s="18"/>
      <c r="C3257" s="18"/>
      <c r="D3257" s="18"/>
      <c r="E3257" s="18"/>
      <c r="F3257" s="18"/>
      <c r="G3257" s="18"/>
      <c r="H3257" s="18"/>
      <c r="I3257" s="18"/>
      <c r="J3257" s="18"/>
      <c r="K3257" s="18"/>
      <c r="L3257" s="9" t="s">
        <v>121</v>
      </c>
      <c r="M3257" s="18"/>
      <c r="N3257" s="18"/>
      <c r="O3257" s="18"/>
      <c r="P3257" s="18"/>
      <c r="Q3257" s="18"/>
    </row>
    <row r="3258" spans="1:17" ht="45" x14ac:dyDescent="0.25">
      <c r="A3258" s="9" t="s">
        <v>6882</v>
      </c>
      <c r="B3258" s="9" t="s">
        <v>6847</v>
      </c>
      <c r="C3258" s="9"/>
      <c r="D3258" s="9" t="s">
        <v>6742</v>
      </c>
      <c r="E3258" s="9" t="s">
        <v>2070</v>
      </c>
      <c r="F3258" s="9" t="s">
        <v>2071</v>
      </c>
      <c r="G3258" s="9" t="s">
        <v>12</v>
      </c>
      <c r="H3258" s="9"/>
      <c r="I3258" s="9"/>
      <c r="J3258" s="9" t="s">
        <v>10489</v>
      </c>
      <c r="K3258" s="9"/>
      <c r="L3258" s="9"/>
      <c r="M3258" s="9" t="s">
        <v>2072</v>
      </c>
      <c r="N3258" s="9"/>
      <c r="O3258" s="9" t="s">
        <v>2073</v>
      </c>
      <c r="P3258" s="9" t="str">
        <f>HYPERLINK("https://ceds.ed.gov/cedselementdetails.aspx?termid=14636")</f>
        <v>https://ceds.ed.gov/cedselementdetails.aspx?termid=14636</v>
      </c>
      <c r="Q3258" s="9" t="str">
        <f>HYPERLINK("https://ceds.ed.gov/elementComment.aspx?elementName=Course Section Maximum Capacity &amp;elementID=14636", "Click here to submit comment")</f>
        <v>Click here to submit comment</v>
      </c>
    </row>
    <row r="3259" spans="1:17" ht="90" x14ac:dyDescent="0.25">
      <c r="A3259" s="9" t="s">
        <v>6882</v>
      </c>
      <c r="B3259" s="9" t="s">
        <v>6847</v>
      </c>
      <c r="C3259" s="9"/>
      <c r="D3259" s="9" t="s">
        <v>6742</v>
      </c>
      <c r="E3259" s="9" t="s">
        <v>3458</v>
      </c>
      <c r="F3259" s="9" t="s">
        <v>3459</v>
      </c>
      <c r="G3259" s="11" t="s">
        <v>966</v>
      </c>
      <c r="H3259" s="9" t="s">
        <v>188</v>
      </c>
      <c r="I3259" s="9"/>
      <c r="J3259" s="9"/>
      <c r="K3259" s="9"/>
      <c r="L3259" s="11" t="s">
        <v>967</v>
      </c>
      <c r="M3259" s="9" t="s">
        <v>3460</v>
      </c>
      <c r="N3259" s="9"/>
      <c r="O3259" s="9" t="s">
        <v>3461</v>
      </c>
      <c r="P3259" s="9" t="str">
        <f>HYPERLINK("https://ceds.ed.gov/cedselementdetails.aspx?termid=13438")</f>
        <v>https://ceds.ed.gov/cedselementdetails.aspx?termid=13438</v>
      </c>
      <c r="Q3259" s="9" t="str">
        <f>HYPERLINK("https://ceds.ed.gov/elementComment.aspx?elementName=Instruction Language &amp;elementID=13438", "Click here to submit comment")</f>
        <v>Click here to submit comment</v>
      </c>
    </row>
    <row r="3260" spans="1:17" ht="105" x14ac:dyDescent="0.25">
      <c r="A3260" s="18" t="s">
        <v>6882</v>
      </c>
      <c r="B3260" s="18" t="s">
        <v>6847</v>
      </c>
      <c r="C3260" s="18"/>
      <c r="D3260" s="18" t="s">
        <v>6742</v>
      </c>
      <c r="E3260" s="18" t="s">
        <v>1794</v>
      </c>
      <c r="F3260" s="18" t="s">
        <v>1795</v>
      </c>
      <c r="G3260" s="18" t="s">
        <v>12</v>
      </c>
      <c r="H3260" s="18"/>
      <c r="I3260" s="18"/>
      <c r="J3260" s="18" t="s">
        <v>119</v>
      </c>
      <c r="K3260" s="18"/>
      <c r="L3260" s="9" t="s">
        <v>120</v>
      </c>
      <c r="M3260" s="18" t="s">
        <v>1796</v>
      </c>
      <c r="N3260" s="18"/>
      <c r="O3260" s="18" t="s">
        <v>1797</v>
      </c>
      <c r="P3260" s="18" t="str">
        <f>HYPERLINK("https://ceds.ed.gov/cedselementdetails.aspx?termid=13507")</f>
        <v>https://ceds.ed.gov/cedselementdetails.aspx?termid=13507</v>
      </c>
      <c r="Q3260" s="18" t="str">
        <f>HYPERLINK("https://ceds.ed.gov/elementComment.aspx?elementName=Classroom Identifier &amp;elementID=13507", "Click here to submit comment")</f>
        <v>Click here to submit comment</v>
      </c>
    </row>
    <row r="3261" spans="1:17" x14ac:dyDescent="0.25">
      <c r="A3261" s="18"/>
      <c r="B3261" s="18"/>
      <c r="C3261" s="18"/>
      <c r="D3261" s="18"/>
      <c r="E3261" s="18"/>
      <c r="F3261" s="18"/>
      <c r="G3261" s="18"/>
      <c r="H3261" s="18"/>
      <c r="I3261" s="18"/>
      <c r="J3261" s="18"/>
      <c r="K3261" s="18"/>
      <c r="L3261" s="9"/>
      <c r="M3261" s="18"/>
      <c r="N3261" s="18"/>
      <c r="O3261" s="18"/>
      <c r="P3261" s="18"/>
      <c r="Q3261" s="18"/>
    </row>
    <row r="3262" spans="1:17" ht="90" x14ac:dyDescent="0.25">
      <c r="A3262" s="18"/>
      <c r="B3262" s="18"/>
      <c r="C3262" s="18"/>
      <c r="D3262" s="18"/>
      <c r="E3262" s="18"/>
      <c r="F3262" s="18"/>
      <c r="G3262" s="18"/>
      <c r="H3262" s="18"/>
      <c r="I3262" s="18"/>
      <c r="J3262" s="18"/>
      <c r="K3262" s="18"/>
      <c r="L3262" s="9" t="s">
        <v>121</v>
      </c>
      <c r="M3262" s="18"/>
      <c r="N3262" s="18"/>
      <c r="O3262" s="18"/>
      <c r="P3262" s="18"/>
      <c r="Q3262" s="18"/>
    </row>
    <row r="3263" spans="1:17" ht="180" x14ac:dyDescent="0.25">
      <c r="A3263" s="9" t="s">
        <v>6882</v>
      </c>
      <c r="B3263" s="9" t="s">
        <v>6847</v>
      </c>
      <c r="C3263" s="9"/>
      <c r="D3263" s="9" t="s">
        <v>6742</v>
      </c>
      <c r="E3263" s="9" t="s">
        <v>5089</v>
      </c>
      <c r="F3263" s="9" t="s">
        <v>5090</v>
      </c>
      <c r="G3263" s="10" t="s">
        <v>6676</v>
      </c>
      <c r="H3263" s="9"/>
      <c r="I3263" s="9"/>
      <c r="J3263" s="9"/>
      <c r="K3263" s="9"/>
      <c r="L3263" s="9"/>
      <c r="M3263" s="9" t="s">
        <v>5091</v>
      </c>
      <c r="N3263" s="9"/>
      <c r="O3263" s="9" t="s">
        <v>5092</v>
      </c>
      <c r="P3263" s="9" t="str">
        <f>HYPERLINK("https://ceds.ed.gov/cedselementdetails.aspx?termid=13515")</f>
        <v>https://ceds.ed.gov/cedselementdetails.aspx?termid=13515</v>
      </c>
      <c r="Q3263" s="9" t="str">
        <f>HYPERLINK("https://ceds.ed.gov/elementComment.aspx?elementName=Receiving Location of Instruction &amp;elementID=13515", "Click here to submit comment")</f>
        <v>Click here to submit comment</v>
      </c>
    </row>
    <row r="3264" spans="1:17" ht="270" x14ac:dyDescent="0.25">
      <c r="A3264" s="9" t="s">
        <v>6882</v>
      </c>
      <c r="B3264" s="9" t="s">
        <v>6847</v>
      </c>
      <c r="C3264" s="9"/>
      <c r="D3264" s="9" t="s">
        <v>6742</v>
      </c>
      <c r="E3264" s="9" t="s">
        <v>1798</v>
      </c>
      <c r="F3264" s="9" t="s">
        <v>1799</v>
      </c>
      <c r="G3264" s="10" t="s">
        <v>6409</v>
      </c>
      <c r="H3264" s="9"/>
      <c r="I3264" s="9"/>
      <c r="J3264" s="9"/>
      <c r="K3264" s="9"/>
      <c r="L3264" s="9"/>
      <c r="M3264" s="9" t="s">
        <v>1800</v>
      </c>
      <c r="N3264" s="9"/>
      <c r="O3264" s="9" t="s">
        <v>1801</v>
      </c>
      <c r="P3264" s="9" t="str">
        <f>HYPERLINK("https://ceds.ed.gov/cedselementdetails.aspx?termid=13615")</f>
        <v>https://ceds.ed.gov/cedselementdetails.aspx?termid=13615</v>
      </c>
      <c r="Q3264" s="9" t="str">
        <f>HYPERLINK("https://ceds.ed.gov/elementComment.aspx?elementName=Classroom Position Type &amp;elementID=13615", "Click here to submit comment")</f>
        <v>Click here to submit comment</v>
      </c>
    </row>
    <row r="3265" spans="1:17" ht="105" x14ac:dyDescent="0.25">
      <c r="A3265" s="9" t="s">
        <v>6882</v>
      </c>
      <c r="B3265" s="9" t="s">
        <v>6847</v>
      </c>
      <c r="C3265" s="9"/>
      <c r="D3265" s="9" t="s">
        <v>6742</v>
      </c>
      <c r="E3265" s="9" t="s">
        <v>6024</v>
      </c>
      <c r="F3265" s="9" t="s">
        <v>6025</v>
      </c>
      <c r="G3265" s="9" t="s">
        <v>6106</v>
      </c>
      <c r="H3265" s="9"/>
      <c r="I3265" s="9"/>
      <c r="J3265" s="9"/>
      <c r="K3265" s="9"/>
      <c r="L3265" s="9"/>
      <c r="M3265" s="9" t="s">
        <v>6026</v>
      </c>
      <c r="N3265" s="9"/>
      <c r="O3265" s="9" t="s">
        <v>6027</v>
      </c>
      <c r="P3265" s="9" t="str">
        <f>HYPERLINK("https://ceds.ed.gov/cedselementdetails.aspx?termid=14167")</f>
        <v>https://ceds.ed.gov/cedselementdetails.aspx?termid=14167</v>
      </c>
      <c r="Q3265" s="9" t="str">
        <f>HYPERLINK("https://ceds.ed.gov/elementComment.aspx?elementName=Virtual Indicator &amp;elementID=14167", "Click here to submit comment")</f>
        <v>Click here to submit comment</v>
      </c>
    </row>
    <row r="3266" spans="1:17" ht="150" x14ac:dyDescent="0.25">
      <c r="A3266" s="9" t="s">
        <v>6882</v>
      </c>
      <c r="B3266" s="9" t="s">
        <v>6847</v>
      </c>
      <c r="C3266" s="9"/>
      <c r="D3266" s="9" t="s">
        <v>6742</v>
      </c>
      <c r="E3266" s="9" t="s">
        <v>2066</v>
      </c>
      <c r="F3266" s="9" t="s">
        <v>2067</v>
      </c>
      <c r="G3266" s="10" t="s">
        <v>6434</v>
      </c>
      <c r="H3266" s="9"/>
      <c r="I3266" s="9"/>
      <c r="J3266" s="9"/>
      <c r="K3266" s="9"/>
      <c r="L3266" s="9"/>
      <c r="M3266" s="9" t="s">
        <v>2068</v>
      </c>
      <c r="N3266" s="9"/>
      <c r="O3266" s="9" t="s">
        <v>2069</v>
      </c>
      <c r="P3266" s="9" t="str">
        <f>HYPERLINK("https://ceds.ed.gov/cedselementdetails.aspx?termid=14168")</f>
        <v>https://ceds.ed.gov/cedselementdetails.aspx?termid=14168</v>
      </c>
      <c r="Q3266" s="9" t="str">
        <f>HYPERLINK("https://ceds.ed.gov/elementComment.aspx?elementName=Course Section Instructional Delivery Mode &amp;elementID=14168", "Click here to submit comment")</f>
        <v>Click here to submit comment</v>
      </c>
    </row>
    <row r="3267" spans="1:17" ht="105" customHeight="1" x14ac:dyDescent="0.25">
      <c r="A3267" s="18" t="s">
        <v>6882</v>
      </c>
      <c r="B3267" s="18" t="s">
        <v>6847</v>
      </c>
      <c r="C3267" s="18"/>
      <c r="D3267" s="18" t="s">
        <v>6742</v>
      </c>
      <c r="E3267" s="18" t="s">
        <v>1542</v>
      </c>
      <c r="F3267" s="18" t="s">
        <v>1543</v>
      </c>
      <c r="G3267" s="19" t="s">
        <v>6393</v>
      </c>
      <c r="H3267" s="18"/>
      <c r="I3267" s="18"/>
      <c r="J3267" s="18"/>
      <c r="K3267" s="18"/>
      <c r="L3267" s="9" t="s">
        <v>1544</v>
      </c>
      <c r="M3267" s="18" t="s">
        <v>1546</v>
      </c>
      <c r="N3267" s="18"/>
      <c r="O3267" s="18" t="s">
        <v>1547</v>
      </c>
      <c r="P3267" s="18" t="str">
        <f>HYPERLINK("https://ceds.ed.gov/cedselementdetails.aspx?termid=14253")</f>
        <v>https://ceds.ed.gov/cedselementdetails.aspx?termid=14253</v>
      </c>
      <c r="Q3267" s="18" t="str">
        <f>HYPERLINK("https://ceds.ed.gov/elementComment.aspx?elementName=Blended Learning Model Type &amp;elementID=14253", "Click here to submit comment")</f>
        <v>Click here to submit comment</v>
      </c>
    </row>
    <row r="3268" spans="1:17" x14ac:dyDescent="0.25">
      <c r="A3268" s="18"/>
      <c r="B3268" s="18"/>
      <c r="C3268" s="18"/>
      <c r="D3268" s="18"/>
      <c r="E3268" s="18"/>
      <c r="F3268" s="18"/>
      <c r="G3268" s="18"/>
      <c r="H3268" s="18"/>
      <c r="I3268" s="18"/>
      <c r="J3268" s="18"/>
      <c r="K3268" s="18"/>
      <c r="L3268" s="9"/>
      <c r="M3268" s="18"/>
      <c r="N3268" s="18"/>
      <c r="O3268" s="18"/>
      <c r="P3268" s="18"/>
      <c r="Q3268" s="18"/>
    </row>
    <row r="3269" spans="1:17" ht="45" x14ac:dyDescent="0.25">
      <c r="A3269" s="18"/>
      <c r="B3269" s="18"/>
      <c r="C3269" s="18"/>
      <c r="D3269" s="18"/>
      <c r="E3269" s="18"/>
      <c r="F3269" s="18"/>
      <c r="G3269" s="18"/>
      <c r="H3269" s="18"/>
      <c r="I3269" s="18"/>
      <c r="J3269" s="18"/>
      <c r="K3269" s="18"/>
      <c r="L3269" s="9" t="s">
        <v>1545</v>
      </c>
      <c r="M3269" s="18"/>
      <c r="N3269" s="18"/>
      <c r="O3269" s="18"/>
      <c r="P3269" s="18"/>
      <c r="Q3269" s="18"/>
    </row>
    <row r="3270" spans="1:17" ht="45" x14ac:dyDescent="0.25">
      <c r="A3270" s="9" t="s">
        <v>6882</v>
      </c>
      <c r="B3270" s="9" t="s">
        <v>6847</v>
      </c>
      <c r="C3270" s="9"/>
      <c r="D3270" s="9" t="s">
        <v>6742</v>
      </c>
      <c r="E3270" s="9" t="s">
        <v>1998</v>
      </c>
      <c r="F3270" s="9" t="s">
        <v>1999</v>
      </c>
      <c r="G3270" s="10" t="s">
        <v>6429</v>
      </c>
      <c r="H3270" s="9"/>
      <c r="I3270" s="9"/>
      <c r="J3270" s="9"/>
      <c r="K3270" s="9"/>
      <c r="L3270" s="9" t="s">
        <v>2000</v>
      </c>
      <c r="M3270" s="9" t="s">
        <v>2001</v>
      </c>
      <c r="N3270" s="9"/>
      <c r="O3270" s="9" t="s">
        <v>2002</v>
      </c>
      <c r="P3270" s="9" t="str">
        <f>HYPERLINK("https://ceds.ed.gov/cedselementdetails.aspx?termid=14277")</f>
        <v>https://ceds.ed.gov/cedselementdetails.aspx?termid=14277</v>
      </c>
      <c r="Q3270" s="9" t="str">
        <f>HYPERLINK("https://ceds.ed.gov/elementComment.aspx?elementName=Course Interaction Mode &amp;elementID=14277", "Click here to submit comment")</f>
        <v>Click here to submit comment</v>
      </c>
    </row>
    <row r="3271" spans="1:17" ht="60" x14ac:dyDescent="0.25">
      <c r="A3271" s="9" t="s">
        <v>6882</v>
      </c>
      <c r="B3271" s="9" t="s">
        <v>6847</v>
      </c>
      <c r="C3271" s="9"/>
      <c r="D3271" s="9" t="s">
        <v>6742</v>
      </c>
      <c r="E3271" s="9" t="s">
        <v>2078</v>
      </c>
      <c r="F3271" s="9" t="s">
        <v>2079</v>
      </c>
      <c r="G3271" s="10" t="s">
        <v>6435</v>
      </c>
      <c r="H3271" s="9" t="s">
        <v>6179</v>
      </c>
      <c r="I3271" s="9"/>
      <c r="J3271" s="9"/>
      <c r="K3271" s="9"/>
      <c r="L3271" s="9"/>
      <c r="M3271" s="9" t="s">
        <v>2080</v>
      </c>
      <c r="N3271" s="9"/>
      <c r="O3271" s="9" t="s">
        <v>2081</v>
      </c>
      <c r="P3271" s="9" t="str">
        <f>HYPERLINK("https://ceds.ed.gov/cedselementdetails.aspx?termid=13258")</f>
        <v>https://ceds.ed.gov/cedselementdetails.aspx?termid=13258</v>
      </c>
      <c r="Q3271" s="9" t="str">
        <f>HYPERLINK("https://ceds.ed.gov/elementComment.aspx?elementName=Course Section Single Sex Class Status &amp;elementID=13258", "Click here to submit comment")</f>
        <v>Click here to submit comment</v>
      </c>
    </row>
    <row r="3272" spans="1:17" ht="75" x14ac:dyDescent="0.25">
      <c r="A3272" s="9" t="s">
        <v>6882</v>
      </c>
      <c r="B3272" s="9" t="s">
        <v>6847</v>
      </c>
      <c r="C3272" s="9"/>
      <c r="D3272" s="9" t="s">
        <v>6742</v>
      </c>
      <c r="E3272" s="9" t="s">
        <v>0</v>
      </c>
      <c r="F3272" s="9" t="s">
        <v>1</v>
      </c>
      <c r="G3272" s="9" t="s">
        <v>6106</v>
      </c>
      <c r="H3272" s="9" t="s">
        <v>4</v>
      </c>
      <c r="I3272" s="9"/>
      <c r="J3272" s="9"/>
      <c r="K3272" s="9"/>
      <c r="L3272" s="9"/>
      <c r="M3272" s="9" t="s">
        <v>2</v>
      </c>
      <c r="N3272" s="9"/>
      <c r="O3272" s="9" t="s">
        <v>3</v>
      </c>
      <c r="P3272" s="9" t="str">
        <f>HYPERLINK("https://ceds.ed.gov/cedselementdetails.aspx?termid=13000")</f>
        <v>https://ceds.ed.gov/cedselementdetails.aspx?termid=13000</v>
      </c>
      <c r="Q3272" s="9" t="str">
        <f>HYPERLINK("https://ceds.ed.gov/elementComment.aspx?elementName=Ability Grouping Status &amp;elementID=13000", "Click here to submit comment")</f>
        <v>Click here to submit comment</v>
      </c>
    </row>
    <row r="3273" spans="1:17" ht="120" x14ac:dyDescent="0.25">
      <c r="A3273" s="9" t="s">
        <v>6882</v>
      </c>
      <c r="B3273" s="9" t="s">
        <v>6847</v>
      </c>
      <c r="C3273" s="9"/>
      <c r="D3273" s="9" t="s">
        <v>6742</v>
      </c>
      <c r="E3273" s="9" t="s">
        <v>1973</v>
      </c>
      <c r="F3273" s="9" t="s">
        <v>1974</v>
      </c>
      <c r="G3273" s="10" t="s">
        <v>6425</v>
      </c>
      <c r="H3273" s="9" t="s">
        <v>6150</v>
      </c>
      <c r="I3273" s="9"/>
      <c r="J3273" s="9"/>
      <c r="K3273" s="9"/>
      <c r="L3273" s="9"/>
      <c r="M3273" s="9" t="s">
        <v>1975</v>
      </c>
      <c r="N3273" s="9" t="s">
        <v>1976</v>
      </c>
      <c r="O3273" s="9" t="s">
        <v>1977</v>
      </c>
      <c r="P3273" s="9" t="str">
        <f>HYPERLINK("https://ceds.ed.gov/cedselementdetails.aspx?termid=13060")</f>
        <v>https://ceds.ed.gov/cedselementdetails.aspx?termid=13060</v>
      </c>
      <c r="Q3273" s="9" t="str">
        <f>HYPERLINK("https://ceds.ed.gov/elementComment.aspx?elementName=Course Grade Point Average Applicability &amp;elementID=13060", "Click here to submit comment")</f>
        <v>Click here to submit comment</v>
      </c>
    </row>
    <row r="3274" spans="1:17" ht="255" x14ac:dyDescent="0.25">
      <c r="A3274" s="9" t="s">
        <v>6882</v>
      </c>
      <c r="B3274" s="9" t="s">
        <v>6847</v>
      </c>
      <c r="C3274" s="9"/>
      <c r="D3274" s="9" t="s">
        <v>6742</v>
      </c>
      <c r="E3274" s="9" t="s">
        <v>145</v>
      </c>
      <c r="F3274" s="9" t="s">
        <v>146</v>
      </c>
      <c r="G3274" s="10" t="s">
        <v>6318</v>
      </c>
      <c r="H3274" s="9"/>
      <c r="I3274" s="9"/>
      <c r="J3274" s="9"/>
      <c r="K3274" s="9"/>
      <c r="L3274" s="9"/>
      <c r="M3274" s="9" t="s">
        <v>147</v>
      </c>
      <c r="N3274" s="9"/>
      <c r="O3274" s="9" t="s">
        <v>148</v>
      </c>
      <c r="P3274" s="9" t="str">
        <f>HYPERLINK("https://ceds.ed.gov/cedselementdetails.aspx?termid=13589")</f>
        <v>https://ceds.ed.gov/cedselementdetails.aspx?termid=13589</v>
      </c>
      <c r="Q3274" s="9" t="str">
        <f>HYPERLINK("https://ceds.ed.gov/elementComment.aspx?elementName=Additional Credit Type &amp;elementID=13589", "Click here to submit comment")</f>
        <v>Click here to submit comment</v>
      </c>
    </row>
    <row r="3275" spans="1:17" ht="45" x14ac:dyDescent="0.25">
      <c r="A3275" s="9" t="s">
        <v>6882</v>
      </c>
      <c r="B3275" s="9" t="s">
        <v>6847</v>
      </c>
      <c r="C3275" s="9"/>
      <c r="D3275" s="9" t="s">
        <v>6742</v>
      </c>
      <c r="E3275" s="9" t="s">
        <v>1929</v>
      </c>
      <c r="F3275" s="9" t="s">
        <v>1930</v>
      </c>
      <c r="G3275" s="9" t="s">
        <v>12</v>
      </c>
      <c r="H3275" s="9"/>
      <c r="I3275" s="9"/>
      <c r="J3275" s="9" t="s">
        <v>68</v>
      </c>
      <c r="K3275" s="9"/>
      <c r="L3275" s="9"/>
      <c r="M3275" s="9" t="s">
        <v>1931</v>
      </c>
      <c r="N3275" s="9"/>
      <c r="O3275" s="9" t="s">
        <v>1932</v>
      </c>
      <c r="P3275" s="9" t="str">
        <f>HYPERLINK("https://ceds.ed.gov/cedselementdetails.aspx?termid=14268")</f>
        <v>https://ceds.ed.gov/cedselementdetails.aspx?termid=14268</v>
      </c>
      <c r="Q3275" s="9" t="str">
        <f>HYPERLINK("https://ceds.ed.gov/elementComment.aspx?elementName=Course Certification Description &amp;elementID=14268", "Click here to submit comment")</f>
        <v>Click here to submit comment</v>
      </c>
    </row>
    <row r="3276" spans="1:17" ht="45" x14ac:dyDescent="0.25">
      <c r="A3276" s="9" t="s">
        <v>6882</v>
      </c>
      <c r="B3276" s="9" t="s">
        <v>6847</v>
      </c>
      <c r="C3276" s="9"/>
      <c r="D3276" s="9" t="s">
        <v>6742</v>
      </c>
      <c r="E3276" s="9" t="s">
        <v>2762</v>
      </c>
      <c r="F3276" s="9" t="s">
        <v>2763</v>
      </c>
      <c r="G3276" s="9" t="s">
        <v>6106</v>
      </c>
      <c r="H3276" s="9"/>
      <c r="I3276" s="9"/>
      <c r="J3276" s="9"/>
      <c r="K3276" s="9"/>
      <c r="L3276" s="9"/>
      <c r="M3276" s="9" t="s">
        <v>2764</v>
      </c>
      <c r="N3276" s="9"/>
      <c r="O3276" s="9" t="s">
        <v>2765</v>
      </c>
      <c r="P3276" s="9" t="str">
        <f>HYPERLINK("https://ceds.ed.gov/cedselementdetails.aspx?termid=14311")</f>
        <v>https://ceds.ed.gov/cedselementdetails.aspx?termid=14311</v>
      </c>
      <c r="Q3276" s="9" t="str">
        <f>HYPERLINK("https://ceds.ed.gov/elementComment.aspx?elementName=Family and Consumer Sciences Course Indicator &amp;elementID=14311", "Click here to submit comment")</f>
        <v>Click here to submit comment</v>
      </c>
    </row>
    <row r="3277" spans="1:17" ht="45" x14ac:dyDescent="0.25">
      <c r="A3277" s="9" t="s">
        <v>6882</v>
      </c>
      <c r="B3277" s="9" t="s">
        <v>6847</v>
      </c>
      <c r="C3277" s="9"/>
      <c r="D3277" s="9" t="s">
        <v>6742</v>
      </c>
      <c r="E3277" s="9" t="s">
        <v>4304</v>
      </c>
      <c r="F3277" s="9" t="s">
        <v>4305</v>
      </c>
      <c r="G3277" s="9" t="s">
        <v>6106</v>
      </c>
      <c r="H3277" s="9"/>
      <c r="I3277" s="9"/>
      <c r="J3277" s="9"/>
      <c r="K3277" s="9"/>
      <c r="L3277" s="9"/>
      <c r="M3277" s="9" t="s">
        <v>4306</v>
      </c>
      <c r="N3277" s="9" t="s">
        <v>4307</v>
      </c>
      <c r="O3277" s="9" t="s">
        <v>4308</v>
      </c>
      <c r="P3277" s="9" t="str">
        <f>HYPERLINK("https://ceds.ed.gov/cedselementdetails.aspx?termid=14382")</f>
        <v>https://ceds.ed.gov/cedselementdetails.aspx?termid=14382</v>
      </c>
      <c r="Q3277" s="9" t="str">
        <f>HYPERLINK("https://ceds.ed.gov/elementComment.aspx?elementName=National Collegiate Athletic Association Eligibility &amp;elementID=14382", "Click here to submit comment")</f>
        <v>Click here to submit comment</v>
      </c>
    </row>
    <row r="3278" spans="1:17" ht="240" x14ac:dyDescent="0.25">
      <c r="A3278" s="9" t="s">
        <v>6882</v>
      </c>
      <c r="B3278" s="9" t="s">
        <v>6847</v>
      </c>
      <c r="C3278" s="9"/>
      <c r="D3278" s="9" t="s">
        <v>6742</v>
      </c>
      <c r="E3278" s="9" t="s">
        <v>6080</v>
      </c>
      <c r="F3278" s="9" t="s">
        <v>6081</v>
      </c>
      <c r="G3278" s="10" t="s">
        <v>6737</v>
      </c>
      <c r="H3278" s="9"/>
      <c r="I3278" s="9"/>
      <c r="J3278" s="9"/>
      <c r="K3278" s="9"/>
      <c r="L3278" s="9"/>
      <c r="M3278" s="9" t="s">
        <v>6082</v>
      </c>
      <c r="N3278" s="9"/>
      <c r="O3278" s="9" t="s">
        <v>6083</v>
      </c>
      <c r="P3278" s="9" t="str">
        <f>HYPERLINK("https://ceds.ed.gov/cedselementdetails.aspx?termid=14471")</f>
        <v>https://ceds.ed.gov/cedselementdetails.aspx?termid=14471</v>
      </c>
      <c r="Q3278" s="9" t="str">
        <f>HYPERLINK("https://ceds.ed.gov/elementComment.aspx?elementName=Work-based Learning Opportunity Type &amp;elementID=14471", "Click here to submit comment")</f>
        <v>Click here to submit comment</v>
      </c>
    </row>
    <row r="3279" spans="1:17" ht="165" x14ac:dyDescent="0.25">
      <c r="A3279" s="9" t="s">
        <v>6882</v>
      </c>
      <c r="B3279" s="9" t="s">
        <v>6847</v>
      </c>
      <c r="C3279" s="9"/>
      <c r="D3279" s="9" t="s">
        <v>6742</v>
      </c>
      <c r="E3279" s="9" t="s">
        <v>2251</v>
      </c>
      <c r="F3279" s="9" t="s">
        <v>2252</v>
      </c>
      <c r="G3279" s="10" t="s">
        <v>6445</v>
      </c>
      <c r="H3279" s="9" t="s">
        <v>2250</v>
      </c>
      <c r="I3279" s="9"/>
      <c r="J3279" s="9"/>
      <c r="K3279" s="9"/>
      <c r="L3279" s="9"/>
      <c r="M3279" s="9" t="s">
        <v>2253</v>
      </c>
      <c r="N3279" s="9"/>
      <c r="O3279" s="9" t="s">
        <v>2254</v>
      </c>
      <c r="P3279" s="9" t="str">
        <f>HYPERLINK("https://ceds.ed.gov/cedselementdetails.aspx?termid=14568")</f>
        <v>https://ceds.ed.gov/cedselementdetails.aspx?termid=14568</v>
      </c>
      <c r="Q3279" s="9" t="str">
        <f>HYPERLINK("https://ceds.ed.gov/elementComment.aspx?elementName=Developmental Education Type &amp;elementID=14568", "Click here to submit comment")</f>
        <v>Click here to submit comment</v>
      </c>
    </row>
    <row r="3280" spans="1:17" ht="90" x14ac:dyDescent="0.25">
      <c r="A3280" s="9" t="s">
        <v>6882</v>
      </c>
      <c r="B3280" s="9" t="s">
        <v>6847</v>
      </c>
      <c r="C3280" s="9"/>
      <c r="D3280" s="9" t="s">
        <v>6742</v>
      </c>
      <c r="E3280" s="9" t="s">
        <v>1968</v>
      </c>
      <c r="F3280" s="9" t="s">
        <v>1969</v>
      </c>
      <c r="G3280" s="9" t="s">
        <v>12</v>
      </c>
      <c r="H3280" s="9"/>
      <c r="I3280" s="9"/>
      <c r="J3280" s="9" t="s">
        <v>87</v>
      </c>
      <c r="K3280" s="9"/>
      <c r="L3280" s="9" t="s">
        <v>1970</v>
      </c>
      <c r="M3280" s="9" t="s">
        <v>1971</v>
      </c>
      <c r="N3280" s="9"/>
      <c r="O3280" s="9" t="s">
        <v>1972</v>
      </c>
      <c r="P3280" s="9" t="str">
        <f>HYPERLINK("https://ceds.ed.gov/cedselementdetails.aspx?termid=14272")</f>
        <v>https://ceds.ed.gov/cedselementdetails.aspx?termid=14272</v>
      </c>
      <c r="Q3280" s="9" t="str">
        <f>HYPERLINK("https://ceds.ed.gov/elementComment.aspx?elementName=Course Funding Program &amp;elementID=14272", "Click here to submit comment")</f>
        <v>Click here to submit comment</v>
      </c>
    </row>
    <row r="3281" spans="1:17" ht="60" x14ac:dyDescent="0.25">
      <c r="A3281" s="9" t="s">
        <v>6882</v>
      </c>
      <c r="B3281" s="9" t="s">
        <v>6847</v>
      </c>
      <c r="C3281" s="9"/>
      <c r="D3281" s="9" t="s">
        <v>6742</v>
      </c>
      <c r="E3281" s="9" t="s">
        <v>5990</v>
      </c>
      <c r="F3281" s="9" t="s">
        <v>5991</v>
      </c>
      <c r="G3281" s="9" t="s">
        <v>6106</v>
      </c>
      <c r="H3281" s="9"/>
      <c r="I3281" s="9"/>
      <c r="J3281" s="9"/>
      <c r="K3281" s="9"/>
      <c r="L3281" s="9" t="s">
        <v>5992</v>
      </c>
      <c r="M3281" s="9" t="s">
        <v>5993</v>
      </c>
      <c r="N3281" s="9"/>
      <c r="O3281" s="9" t="s">
        <v>5994</v>
      </c>
      <c r="P3281" s="9" t="str">
        <f>HYPERLINK("https://ceds.ed.gov/cedselementdetails.aspx?termid=14554")</f>
        <v>https://ceds.ed.gov/cedselementdetails.aspx?termid=14554</v>
      </c>
      <c r="Q3281" s="9" t="str">
        <f>HYPERLINK("https://ceds.ed.gov/elementComment.aspx?elementName=Tuition Funded &amp;elementID=14554", "Click here to submit comment")</f>
        <v>Click here to submit comment</v>
      </c>
    </row>
    <row r="3282" spans="1:17" ht="90" x14ac:dyDescent="0.25">
      <c r="A3282" s="9" t="s">
        <v>6882</v>
      </c>
      <c r="B3282" s="9" t="s">
        <v>6847</v>
      </c>
      <c r="C3282" s="9"/>
      <c r="D3282" s="9" t="s">
        <v>6742</v>
      </c>
      <c r="E3282" s="9" t="s">
        <v>2015</v>
      </c>
      <c r="F3282" s="9" t="s">
        <v>2016</v>
      </c>
      <c r="G3282" s="9" t="s">
        <v>12</v>
      </c>
      <c r="H3282" s="9"/>
      <c r="I3282" s="9"/>
      <c r="J3282" s="9" t="s">
        <v>87</v>
      </c>
      <c r="K3282" s="9"/>
      <c r="L3282" s="9"/>
      <c r="M3282" s="9" t="s">
        <v>2017</v>
      </c>
      <c r="N3282" s="9"/>
      <c r="O3282" s="9" t="s">
        <v>2018</v>
      </c>
      <c r="P3282" s="9" t="str">
        <f>HYPERLINK("https://ceds.ed.gov/cedselementdetails.aspx?termid=14280")</f>
        <v>https://ceds.ed.gov/cedselementdetails.aspx?termid=14280</v>
      </c>
      <c r="Q3282" s="9" t="str">
        <f>HYPERLINK("https://ceds.ed.gov/elementComment.aspx?elementName=Course Number &amp;elementID=14280", "Click here to submit comment")</f>
        <v>Click here to submit comment</v>
      </c>
    </row>
    <row r="3283" spans="1:17" ht="390" x14ac:dyDescent="0.25">
      <c r="A3283" s="9" t="s">
        <v>6882</v>
      </c>
      <c r="B3283" s="9" t="s">
        <v>6847</v>
      </c>
      <c r="C3283" s="9"/>
      <c r="D3283" s="9" t="s">
        <v>6742</v>
      </c>
      <c r="E3283" s="9" t="s">
        <v>2007</v>
      </c>
      <c r="F3283" s="9" t="s">
        <v>2008</v>
      </c>
      <c r="G3283" s="10" t="s">
        <v>11841</v>
      </c>
      <c r="H3283" s="9"/>
      <c r="I3283" s="9" t="s">
        <v>91</v>
      </c>
      <c r="J3283" s="9"/>
      <c r="K3283" s="9"/>
      <c r="L3283" s="9"/>
      <c r="M3283" s="9" t="s">
        <v>2009</v>
      </c>
      <c r="N3283" s="9"/>
      <c r="O3283" s="9" t="s">
        <v>2010</v>
      </c>
      <c r="P3283" s="9" t="str">
        <f>HYPERLINK("https://ceds.ed.gov/cedselementdetails.aspx?termid=14278")</f>
        <v>https://ceds.ed.gov/cedselementdetails.aspx?termid=14278</v>
      </c>
      <c r="Q3283" s="9" t="str">
        <f>HYPERLINK("https://ceds.ed.gov/elementComment.aspx?elementName=Course Level Type &amp;elementID=14278", "Click here to submit comment")</f>
        <v>Click here to submit comment</v>
      </c>
    </row>
    <row r="3284" spans="1:17" ht="409.5" x14ac:dyDescent="0.25">
      <c r="A3284" s="9" t="s">
        <v>6882</v>
      </c>
      <c r="B3284" s="9" t="s">
        <v>6847</v>
      </c>
      <c r="C3284" s="9"/>
      <c r="D3284" s="9" t="s">
        <v>6742</v>
      </c>
      <c r="E3284" s="9" t="s">
        <v>1937</v>
      </c>
      <c r="F3284" s="9" t="s">
        <v>1938</v>
      </c>
      <c r="G3284" s="10" t="s">
        <v>6422</v>
      </c>
      <c r="H3284" s="9"/>
      <c r="I3284" s="9"/>
      <c r="J3284" s="9"/>
      <c r="K3284" s="9"/>
      <c r="L3284" s="9"/>
      <c r="M3284" s="9" t="s">
        <v>1939</v>
      </c>
      <c r="N3284" s="9"/>
      <c r="O3284" s="9" t="s">
        <v>1940</v>
      </c>
      <c r="P3284" s="9" t="str">
        <f>HYPERLINK("https://ceds.ed.gov/cedselementdetails.aspx?termid=14269")</f>
        <v>https://ceds.ed.gov/cedselementdetails.aspx?termid=14269</v>
      </c>
      <c r="Q3284" s="9" t="str">
        <f>HYPERLINK("https://ceds.ed.gov/elementComment.aspx?elementName=Course Credit Basis Type &amp;elementID=14269", "Click here to submit comment")</f>
        <v>Click here to submit comment</v>
      </c>
    </row>
    <row r="3285" spans="1:17" ht="255" x14ac:dyDescent="0.25">
      <c r="A3285" s="9" t="s">
        <v>6882</v>
      </c>
      <c r="B3285" s="9" t="s">
        <v>6847</v>
      </c>
      <c r="C3285" s="9"/>
      <c r="D3285" s="9" t="s">
        <v>6742</v>
      </c>
      <c r="E3285" s="9" t="s">
        <v>1941</v>
      </c>
      <c r="F3285" s="9" t="s">
        <v>1942</v>
      </c>
      <c r="G3285" s="10" t="s">
        <v>6423</v>
      </c>
      <c r="H3285" s="9"/>
      <c r="I3285" s="9"/>
      <c r="J3285" s="9"/>
      <c r="K3285" s="9"/>
      <c r="L3285" s="9"/>
      <c r="M3285" s="9" t="s">
        <v>1943</v>
      </c>
      <c r="N3285" s="9"/>
      <c r="O3285" s="9" t="s">
        <v>1944</v>
      </c>
      <c r="P3285" s="9" t="str">
        <f>HYPERLINK("https://ceds.ed.gov/cedselementdetails.aspx?termid=14270")</f>
        <v>https://ceds.ed.gov/cedselementdetails.aspx?termid=14270</v>
      </c>
      <c r="Q3285" s="9" t="str">
        <f>HYPERLINK("https://ceds.ed.gov/elementComment.aspx?elementName=Course Credit Level Type &amp;elementID=14270", "Click here to submit comment")</f>
        <v>Click here to submit comment</v>
      </c>
    </row>
    <row r="3286" spans="1:17" ht="45" x14ac:dyDescent="0.25">
      <c r="A3286" s="9" t="s">
        <v>6882</v>
      </c>
      <c r="B3286" s="9" t="s">
        <v>6847</v>
      </c>
      <c r="C3286" s="9"/>
      <c r="D3286" s="9" t="s">
        <v>6742</v>
      </c>
      <c r="E3286" s="9" t="s">
        <v>1978</v>
      </c>
      <c r="F3286" s="9" t="s">
        <v>1979</v>
      </c>
      <c r="G3286" s="10" t="s">
        <v>6426</v>
      </c>
      <c r="H3286" s="9"/>
      <c r="I3286" s="9"/>
      <c r="J3286" s="9"/>
      <c r="K3286" s="9"/>
      <c r="L3286" s="9"/>
      <c r="M3286" s="9" t="s">
        <v>1980</v>
      </c>
      <c r="N3286" s="9"/>
      <c r="O3286" s="9" t="s">
        <v>1981</v>
      </c>
      <c r="P3286" s="9" t="str">
        <f>HYPERLINK("https://ceds.ed.gov/cedselementdetails.aspx?termid=14273")</f>
        <v>https://ceds.ed.gov/cedselementdetails.aspx?termid=14273</v>
      </c>
      <c r="Q3286" s="9" t="str">
        <f>HYPERLINK("https://ceds.ed.gov/elementComment.aspx?elementName=Course Honors Type &amp;elementID=14273", "Click here to submit comment")</f>
        <v>Click here to submit comment</v>
      </c>
    </row>
    <row r="3287" spans="1:17" ht="90" x14ac:dyDescent="0.25">
      <c r="A3287" s="9" t="s">
        <v>6882</v>
      </c>
      <c r="B3287" s="9" t="s">
        <v>6847</v>
      </c>
      <c r="C3287" s="9"/>
      <c r="D3287" s="9" t="s">
        <v>6742</v>
      </c>
      <c r="E3287" s="9" t="s">
        <v>2011</v>
      </c>
      <c r="F3287" s="9" t="s">
        <v>2012</v>
      </c>
      <c r="G3287" s="9" t="s">
        <v>12</v>
      </c>
      <c r="H3287" s="9"/>
      <c r="I3287" s="9"/>
      <c r="J3287" s="9" t="s">
        <v>303</v>
      </c>
      <c r="K3287" s="9"/>
      <c r="L3287" s="9"/>
      <c r="M3287" s="9" t="s">
        <v>2013</v>
      </c>
      <c r="N3287" s="9"/>
      <c r="O3287" s="9" t="s">
        <v>2014</v>
      </c>
      <c r="P3287" s="9" t="str">
        <f>HYPERLINK("https://ceds.ed.gov/cedselementdetails.aspx?termid=14279")</f>
        <v>https://ceds.ed.gov/cedselementdetails.aspx?termid=14279</v>
      </c>
      <c r="Q3287" s="9" t="str">
        <f>HYPERLINK("https://ceds.ed.gov/elementComment.aspx?elementName=Course Narrative Explanation Grade &amp;elementID=14279", "Click here to submit comment")</f>
        <v>Click here to submit comment</v>
      </c>
    </row>
    <row r="3288" spans="1:17" ht="210" x14ac:dyDescent="0.25">
      <c r="A3288" s="9" t="s">
        <v>6882</v>
      </c>
      <c r="B3288" s="9" t="s">
        <v>6847</v>
      </c>
      <c r="C3288" s="9"/>
      <c r="D3288" s="9" t="s">
        <v>6742</v>
      </c>
      <c r="E3288" s="9" t="s">
        <v>2027</v>
      </c>
      <c r="F3288" s="9" t="s">
        <v>2028</v>
      </c>
      <c r="G3288" s="10" t="s">
        <v>6430</v>
      </c>
      <c r="H3288" s="9" t="s">
        <v>6109</v>
      </c>
      <c r="I3288" s="9"/>
      <c r="J3288" s="9"/>
      <c r="K3288" s="9"/>
      <c r="L3288" s="9"/>
      <c r="M3288" s="9" t="s">
        <v>2029</v>
      </c>
      <c r="N3288" s="9"/>
      <c r="O3288" s="9" t="s">
        <v>2030</v>
      </c>
      <c r="P3288" s="9" t="str">
        <f>HYPERLINK("https://ceds.ed.gov/cedselementdetails.aspx?termid=13065")</f>
        <v>https://ceds.ed.gov/cedselementdetails.aspx?termid=13065</v>
      </c>
      <c r="Q3288" s="9" t="str">
        <f>HYPERLINK("https://ceds.ed.gov/elementComment.aspx?elementName=Course Repeat Code &amp;elementID=13065", "Click here to submit comment")</f>
        <v>Click here to submit comment</v>
      </c>
    </row>
    <row r="3289" spans="1:17" ht="409.5" x14ac:dyDescent="0.25">
      <c r="A3289" s="9" t="s">
        <v>6882</v>
      </c>
      <c r="B3289" s="9" t="s">
        <v>6847</v>
      </c>
      <c r="C3289" s="9"/>
      <c r="D3289" s="9" t="s">
        <v>6742</v>
      </c>
      <c r="E3289" s="9" t="s">
        <v>1986</v>
      </c>
      <c r="F3289" s="9" t="s">
        <v>1987</v>
      </c>
      <c r="G3289" s="10" t="s">
        <v>6427</v>
      </c>
      <c r="H3289" s="9"/>
      <c r="I3289" s="9"/>
      <c r="J3289" s="9"/>
      <c r="K3289" s="9"/>
      <c r="L3289" s="9"/>
      <c r="M3289" s="9" t="s">
        <v>1988</v>
      </c>
      <c r="N3289" s="9"/>
      <c r="O3289" s="9" t="s">
        <v>1989</v>
      </c>
      <c r="P3289" s="9" t="str">
        <f>HYPERLINK("https://ceds.ed.gov/cedselementdetails.aspx?termid=14274")</f>
        <v>https://ceds.ed.gov/cedselementdetails.aspx?termid=14274</v>
      </c>
      <c r="Q3289" s="9" t="str">
        <f>HYPERLINK("https://ceds.ed.gov/elementComment.aspx?elementName=Course Instruction Method &amp;elementID=14274", "Click here to submit comment")</f>
        <v>Click here to submit comment</v>
      </c>
    </row>
    <row r="3290" spans="1:17" ht="45" x14ac:dyDescent="0.25">
      <c r="A3290" s="9" t="s">
        <v>6882</v>
      </c>
      <c r="B3290" s="9" t="s">
        <v>6847</v>
      </c>
      <c r="C3290" s="9"/>
      <c r="D3290" s="9" t="s">
        <v>6742</v>
      </c>
      <c r="E3290" s="9" t="s">
        <v>1990</v>
      </c>
      <c r="F3290" s="9" t="s">
        <v>1991</v>
      </c>
      <c r="G3290" s="9" t="s">
        <v>12</v>
      </c>
      <c r="H3290" s="9"/>
      <c r="I3290" s="9"/>
      <c r="J3290" s="9" t="s">
        <v>92</v>
      </c>
      <c r="K3290" s="9"/>
      <c r="L3290" s="9"/>
      <c r="M3290" s="9" t="s">
        <v>1992</v>
      </c>
      <c r="N3290" s="9"/>
      <c r="O3290" s="9" t="s">
        <v>1993</v>
      </c>
      <c r="P3290" s="9" t="str">
        <f>HYPERLINK("https://ceds.ed.gov/cedselementdetails.aspx?termid=14275")</f>
        <v>https://ceds.ed.gov/cedselementdetails.aspx?termid=14275</v>
      </c>
      <c r="Q3290" s="9" t="str">
        <f>HYPERLINK("https://ceds.ed.gov/elementComment.aspx?elementName=Course Instruction Site Name &amp;elementID=14275", "Click here to submit comment")</f>
        <v>Click here to submit comment</v>
      </c>
    </row>
    <row r="3291" spans="1:17" ht="180" x14ac:dyDescent="0.25">
      <c r="A3291" s="9" t="s">
        <v>6882</v>
      </c>
      <c r="B3291" s="9" t="s">
        <v>6847</v>
      </c>
      <c r="C3291" s="9"/>
      <c r="D3291" s="9" t="s">
        <v>6742</v>
      </c>
      <c r="E3291" s="9" t="s">
        <v>1994</v>
      </c>
      <c r="F3291" s="9" t="s">
        <v>1995</v>
      </c>
      <c r="G3291" s="10" t="s">
        <v>6428</v>
      </c>
      <c r="H3291" s="9"/>
      <c r="I3291" s="9"/>
      <c r="J3291" s="9"/>
      <c r="K3291" s="9"/>
      <c r="L3291" s="9"/>
      <c r="M3291" s="9" t="s">
        <v>1996</v>
      </c>
      <c r="N3291" s="9"/>
      <c r="O3291" s="9" t="s">
        <v>1997</v>
      </c>
      <c r="P3291" s="9" t="str">
        <f>HYPERLINK("https://ceds.ed.gov/cedselementdetails.aspx?termid=14276")</f>
        <v>https://ceds.ed.gov/cedselementdetails.aspx?termid=14276</v>
      </c>
      <c r="Q3291" s="9" t="str">
        <f>HYPERLINK("https://ceds.ed.gov/elementComment.aspx?elementName=Course Instruction Site Type &amp;elementID=14276", "Click here to submit comment")</f>
        <v>Click here to submit comment</v>
      </c>
    </row>
    <row r="3292" spans="1:17" ht="105" x14ac:dyDescent="0.25">
      <c r="A3292" s="18" t="s">
        <v>6882</v>
      </c>
      <c r="B3292" s="18" t="s">
        <v>6847</v>
      </c>
      <c r="C3292" s="18"/>
      <c r="D3292" s="18" t="s">
        <v>6742</v>
      </c>
      <c r="E3292" s="18" t="s">
        <v>4477</v>
      </c>
      <c r="F3292" s="18" t="s">
        <v>4478</v>
      </c>
      <c r="G3292" s="18" t="s">
        <v>12</v>
      </c>
      <c r="H3292" s="18"/>
      <c r="I3292" s="18"/>
      <c r="J3292" s="18" t="s">
        <v>119</v>
      </c>
      <c r="K3292" s="18"/>
      <c r="L3292" s="9" t="s">
        <v>120</v>
      </c>
      <c r="M3292" s="18" t="s">
        <v>4479</v>
      </c>
      <c r="N3292" s="18"/>
      <c r="O3292" s="18" t="s">
        <v>4480</v>
      </c>
      <c r="P3292" s="18" t="str">
        <f>HYPERLINK("https://ceds.ed.gov/cedselementdetails.aspx?termid=14389")</f>
        <v>https://ceds.ed.gov/cedselementdetails.aspx?termid=14389</v>
      </c>
      <c r="Q3292" s="18" t="str">
        <f>HYPERLINK("https://ceds.ed.gov/elementComment.aspx?elementName=Original Course Identifier &amp;elementID=14389", "Click here to submit comment")</f>
        <v>Click here to submit comment</v>
      </c>
    </row>
    <row r="3293" spans="1:17" x14ac:dyDescent="0.25">
      <c r="A3293" s="18"/>
      <c r="B3293" s="18"/>
      <c r="C3293" s="18"/>
      <c r="D3293" s="18"/>
      <c r="E3293" s="18"/>
      <c r="F3293" s="18"/>
      <c r="G3293" s="18"/>
      <c r="H3293" s="18"/>
      <c r="I3293" s="18"/>
      <c r="J3293" s="18"/>
      <c r="K3293" s="18"/>
      <c r="L3293" s="9"/>
      <c r="M3293" s="18"/>
      <c r="N3293" s="18"/>
      <c r="O3293" s="18"/>
      <c r="P3293" s="18"/>
      <c r="Q3293" s="18"/>
    </row>
    <row r="3294" spans="1:17" ht="90" x14ac:dyDescent="0.25">
      <c r="A3294" s="18"/>
      <c r="B3294" s="18"/>
      <c r="C3294" s="18"/>
      <c r="D3294" s="18"/>
      <c r="E3294" s="18"/>
      <c r="F3294" s="18"/>
      <c r="G3294" s="18"/>
      <c r="H3294" s="18"/>
      <c r="I3294" s="18"/>
      <c r="J3294" s="18"/>
      <c r="K3294" s="18"/>
      <c r="L3294" s="9" t="s">
        <v>121</v>
      </c>
      <c r="M3294" s="18"/>
      <c r="N3294" s="18"/>
      <c r="O3294" s="18"/>
      <c r="P3294" s="18"/>
      <c r="Q3294" s="18"/>
    </row>
    <row r="3295" spans="1:17" ht="45" x14ac:dyDescent="0.25">
      <c r="A3295" s="9" t="s">
        <v>6882</v>
      </c>
      <c r="B3295" s="9" t="s">
        <v>6847</v>
      </c>
      <c r="C3295" s="9"/>
      <c r="D3295" s="9" t="s">
        <v>6742</v>
      </c>
      <c r="E3295" s="9" t="s">
        <v>4513</v>
      </c>
      <c r="F3295" s="9" t="s">
        <v>4514</v>
      </c>
      <c r="G3295" s="9" t="s">
        <v>12</v>
      </c>
      <c r="H3295" s="9"/>
      <c r="I3295" s="9"/>
      <c r="J3295" s="9" t="s">
        <v>87</v>
      </c>
      <c r="K3295" s="9"/>
      <c r="L3295" s="9"/>
      <c r="M3295" s="9" t="s">
        <v>4515</v>
      </c>
      <c r="N3295" s="9"/>
      <c r="O3295" s="9" t="s">
        <v>4516</v>
      </c>
      <c r="P3295" s="9" t="str">
        <f>HYPERLINK("https://ceds.ed.gov/cedselementdetails.aspx?termid=14391")</f>
        <v>https://ceds.ed.gov/cedselementdetails.aspx?termid=14391</v>
      </c>
      <c r="Q3295" s="9" t="str">
        <f>HYPERLINK("https://ceds.ed.gov/elementComment.aspx?elementName=Override School Course Number &amp;elementID=14391", "Click here to submit comment")</f>
        <v>Click here to submit comment</v>
      </c>
    </row>
    <row r="3296" spans="1:17" ht="105" x14ac:dyDescent="0.25">
      <c r="A3296" s="18" t="s">
        <v>6882</v>
      </c>
      <c r="B3296" s="18" t="s">
        <v>6847</v>
      </c>
      <c r="C3296" s="18" t="s">
        <v>6848</v>
      </c>
      <c r="D3296" s="18" t="s">
        <v>6742</v>
      </c>
      <c r="E3296" s="18" t="s">
        <v>1982</v>
      </c>
      <c r="F3296" s="18" t="s">
        <v>1983</v>
      </c>
      <c r="G3296" s="18" t="s">
        <v>12</v>
      </c>
      <c r="H3296" s="18" t="s">
        <v>6176</v>
      </c>
      <c r="I3296" s="18"/>
      <c r="J3296" s="18" t="s">
        <v>119</v>
      </c>
      <c r="K3296" s="18"/>
      <c r="L3296" s="9" t="s">
        <v>120</v>
      </c>
      <c r="M3296" s="18" t="s">
        <v>1984</v>
      </c>
      <c r="N3296" s="18"/>
      <c r="O3296" s="18" t="s">
        <v>1985</v>
      </c>
      <c r="P3296" s="18" t="str">
        <f>HYPERLINK("https://ceds.ed.gov/cedselementdetails.aspx?termid=13055")</f>
        <v>https://ceds.ed.gov/cedselementdetails.aspx?termid=13055</v>
      </c>
      <c r="Q3296" s="18" t="str">
        <f>HYPERLINK("https://ceds.ed.gov/elementComment.aspx?elementName=Course Identifier &amp;elementID=13055", "Click here to submit comment")</f>
        <v>Click here to submit comment</v>
      </c>
    </row>
    <row r="3297" spans="1:17" x14ac:dyDescent="0.25">
      <c r="A3297" s="18"/>
      <c r="B3297" s="18"/>
      <c r="C3297" s="18"/>
      <c r="D3297" s="18"/>
      <c r="E3297" s="18"/>
      <c r="F3297" s="18"/>
      <c r="G3297" s="18"/>
      <c r="H3297" s="18"/>
      <c r="I3297" s="18"/>
      <c r="J3297" s="18"/>
      <c r="K3297" s="18"/>
      <c r="L3297" s="9"/>
      <c r="M3297" s="18"/>
      <c r="N3297" s="18"/>
      <c r="O3297" s="18"/>
      <c r="P3297" s="18"/>
      <c r="Q3297" s="18"/>
    </row>
    <row r="3298" spans="1:17" ht="90" x14ac:dyDescent="0.25">
      <c r="A3298" s="18"/>
      <c r="B3298" s="18"/>
      <c r="C3298" s="18"/>
      <c r="D3298" s="18"/>
      <c r="E3298" s="18"/>
      <c r="F3298" s="18"/>
      <c r="G3298" s="18"/>
      <c r="H3298" s="18"/>
      <c r="I3298" s="18"/>
      <c r="J3298" s="18"/>
      <c r="K3298" s="18"/>
      <c r="L3298" s="9" t="s">
        <v>121</v>
      </c>
      <c r="M3298" s="18"/>
      <c r="N3298" s="18"/>
      <c r="O3298" s="18"/>
      <c r="P3298" s="18"/>
      <c r="Q3298" s="18"/>
    </row>
    <row r="3299" spans="1:17" ht="195" x14ac:dyDescent="0.25">
      <c r="A3299" s="9" t="s">
        <v>6882</v>
      </c>
      <c r="B3299" s="9" t="s">
        <v>6847</v>
      </c>
      <c r="C3299" s="9" t="s">
        <v>6848</v>
      </c>
      <c r="D3299" s="9" t="s">
        <v>6742</v>
      </c>
      <c r="E3299" s="9" t="s">
        <v>1933</v>
      </c>
      <c r="F3299" s="9" t="s">
        <v>1934</v>
      </c>
      <c r="G3299" s="10" t="s">
        <v>6421</v>
      </c>
      <c r="H3299" s="9" t="s">
        <v>6150</v>
      </c>
      <c r="I3299" s="9"/>
      <c r="J3299" s="9"/>
      <c r="K3299" s="9"/>
      <c r="L3299" s="9"/>
      <c r="M3299" s="9" t="s">
        <v>1935</v>
      </c>
      <c r="N3299" s="9"/>
      <c r="O3299" s="9" t="s">
        <v>1936</v>
      </c>
      <c r="P3299" s="9" t="str">
        <f>HYPERLINK("https://ceds.ed.gov/cedselementdetails.aspx?termid=13056")</f>
        <v>https://ceds.ed.gov/cedselementdetails.aspx?termid=13056</v>
      </c>
      <c r="Q3299" s="9" t="str">
        <f>HYPERLINK("https://ceds.ed.gov/elementComment.aspx?elementName=Course Code System &amp;elementID=13056", "Click here to submit comment")</f>
        <v>Click here to submit comment</v>
      </c>
    </row>
    <row r="3300" spans="1:17" ht="225" x14ac:dyDescent="0.25">
      <c r="A3300" s="9" t="s">
        <v>6882</v>
      </c>
      <c r="B3300" s="9" t="s">
        <v>6847</v>
      </c>
      <c r="C3300" s="9" t="s">
        <v>6848</v>
      </c>
      <c r="D3300" s="9" t="s">
        <v>6742</v>
      </c>
      <c r="E3300" s="9" t="s">
        <v>2091</v>
      </c>
      <c r="F3300" s="9" t="s">
        <v>2092</v>
      </c>
      <c r="G3300" s="9" t="s">
        <v>12</v>
      </c>
      <c r="H3300" s="9" t="s">
        <v>6150</v>
      </c>
      <c r="I3300" s="9"/>
      <c r="J3300" s="9" t="s">
        <v>92</v>
      </c>
      <c r="K3300" s="9"/>
      <c r="L3300" s="9"/>
      <c r="M3300" s="9" t="s">
        <v>2093</v>
      </c>
      <c r="N3300" s="9"/>
      <c r="O3300" s="9" t="s">
        <v>2094</v>
      </c>
      <c r="P3300" s="9" t="str">
        <f>HYPERLINK("https://ceds.ed.gov/cedselementdetails.aspx?termid=13067")</f>
        <v>https://ceds.ed.gov/cedselementdetails.aspx?termid=13067</v>
      </c>
      <c r="Q3300" s="9" t="str">
        <f>HYPERLINK("https://ceds.ed.gov/elementComment.aspx?elementName=Course Title &amp;elementID=13067", "Click here to submit comment")</f>
        <v>Click here to submit comment</v>
      </c>
    </row>
    <row r="3301" spans="1:17" ht="45" x14ac:dyDescent="0.25">
      <c r="A3301" s="9" t="s">
        <v>6882</v>
      </c>
      <c r="B3301" s="9" t="s">
        <v>6847</v>
      </c>
      <c r="C3301" s="9" t="s">
        <v>6848</v>
      </c>
      <c r="D3301" s="9" t="s">
        <v>6742</v>
      </c>
      <c r="E3301" s="9" t="s">
        <v>1951</v>
      </c>
      <c r="F3301" s="9" t="s">
        <v>1952</v>
      </c>
      <c r="G3301" s="9" t="s">
        <v>12</v>
      </c>
      <c r="H3301" s="9"/>
      <c r="I3301" s="9"/>
      <c r="J3301" s="9" t="s">
        <v>92</v>
      </c>
      <c r="K3301" s="9"/>
      <c r="L3301" s="9"/>
      <c r="M3301" s="9" t="s">
        <v>1953</v>
      </c>
      <c r="N3301" s="9"/>
      <c r="O3301" s="9" t="s">
        <v>1954</v>
      </c>
      <c r="P3301" s="9" t="str">
        <f>HYPERLINK("https://ceds.ed.gov/cedselementdetails.aspx?termid=14525")</f>
        <v>https://ceds.ed.gov/cedselementdetails.aspx?termid=14525</v>
      </c>
      <c r="Q3301" s="9" t="str">
        <f>HYPERLINK("https://ceds.ed.gov/elementComment.aspx?elementName=Course Department Name &amp;elementID=14525", "Click here to submit comment")</f>
        <v>Click here to submit comment</v>
      </c>
    </row>
    <row r="3302" spans="1:17" ht="45" x14ac:dyDescent="0.25">
      <c r="A3302" s="9" t="s">
        <v>6882</v>
      </c>
      <c r="B3302" s="9" t="s">
        <v>6847</v>
      </c>
      <c r="C3302" s="9" t="s">
        <v>6848</v>
      </c>
      <c r="D3302" s="9" t="s">
        <v>6742</v>
      </c>
      <c r="E3302" s="9" t="s">
        <v>1925</v>
      </c>
      <c r="F3302" s="9" t="s">
        <v>1926</v>
      </c>
      <c r="G3302" s="9" t="s">
        <v>12</v>
      </c>
      <c r="H3302" s="9" t="s">
        <v>6161</v>
      </c>
      <c r="I3302" s="9"/>
      <c r="J3302" s="9" t="s">
        <v>73</v>
      </c>
      <c r="K3302" s="9"/>
      <c r="L3302" s="9"/>
      <c r="M3302" s="9" t="s">
        <v>1927</v>
      </c>
      <c r="N3302" s="9"/>
      <c r="O3302" s="9" t="s">
        <v>1928</v>
      </c>
      <c r="P3302" s="9" t="str">
        <f>HYPERLINK("https://ceds.ed.gov/cedselementdetails.aspx?termid=13054")</f>
        <v>https://ceds.ed.gov/cedselementdetails.aspx?termid=13054</v>
      </c>
      <c r="Q3302" s="9" t="str">
        <f>HYPERLINK("https://ceds.ed.gov/elementComment.aspx?elementName=Course Begin Date &amp;elementID=13054", "Click here to submit comment")</f>
        <v>Click here to submit comment</v>
      </c>
    </row>
    <row r="3303" spans="1:17" ht="45" x14ac:dyDescent="0.25">
      <c r="A3303" s="9" t="s">
        <v>6882</v>
      </c>
      <c r="B3303" s="9" t="s">
        <v>6847</v>
      </c>
      <c r="C3303" s="9" t="s">
        <v>6848</v>
      </c>
      <c r="D3303" s="9" t="s">
        <v>6742</v>
      </c>
      <c r="E3303" s="9" t="s">
        <v>1964</v>
      </c>
      <c r="F3303" s="9" t="s">
        <v>1965</v>
      </c>
      <c r="G3303" s="9" t="s">
        <v>12</v>
      </c>
      <c r="H3303" s="9" t="s">
        <v>6161</v>
      </c>
      <c r="I3303" s="9"/>
      <c r="J3303" s="9" t="s">
        <v>73</v>
      </c>
      <c r="K3303" s="9"/>
      <c r="L3303" s="9"/>
      <c r="M3303" s="9" t="s">
        <v>1966</v>
      </c>
      <c r="N3303" s="9"/>
      <c r="O3303" s="9" t="s">
        <v>1967</v>
      </c>
      <c r="P3303" s="9" t="str">
        <f>HYPERLINK("https://ceds.ed.gov/cedselementdetails.aspx?termid=13059")</f>
        <v>https://ceds.ed.gov/cedselementdetails.aspx?termid=13059</v>
      </c>
      <c r="Q3303" s="9" t="str">
        <f>HYPERLINK("https://ceds.ed.gov/elementComment.aspx?elementName=Course End Date &amp;elementID=13059", "Click here to submit comment")</f>
        <v>Click here to submit comment</v>
      </c>
    </row>
    <row r="3304" spans="1:17" ht="165" x14ac:dyDescent="0.25">
      <c r="A3304" s="9" t="s">
        <v>6882</v>
      </c>
      <c r="B3304" s="9" t="s">
        <v>6847</v>
      </c>
      <c r="C3304" s="9" t="s">
        <v>6848</v>
      </c>
      <c r="D3304" s="9" t="s">
        <v>6742</v>
      </c>
      <c r="E3304" s="9" t="s">
        <v>1945</v>
      </c>
      <c r="F3304" s="9" t="s">
        <v>1946</v>
      </c>
      <c r="G3304" s="10" t="s">
        <v>6424</v>
      </c>
      <c r="H3304" s="9" t="s">
        <v>25</v>
      </c>
      <c r="I3304" s="9"/>
      <c r="J3304" s="9"/>
      <c r="K3304" s="9"/>
      <c r="L3304" s="9"/>
      <c r="M3304" s="9" t="s">
        <v>1947</v>
      </c>
      <c r="N3304" s="9"/>
      <c r="O3304" s="9" t="s">
        <v>1948</v>
      </c>
      <c r="P3304" s="9" t="str">
        <f>HYPERLINK("https://ceds.ed.gov/cedselementdetails.aspx?termid=13057")</f>
        <v>https://ceds.ed.gov/cedselementdetails.aspx?termid=13057</v>
      </c>
      <c r="Q3304" s="9" t="str">
        <f>HYPERLINK("https://ceds.ed.gov/elementComment.aspx?elementName=Course Credit Units &amp;elementID=13057", "Click here to submit comment")</f>
        <v>Click here to submit comment</v>
      </c>
    </row>
    <row r="3305" spans="1:17" ht="105" x14ac:dyDescent="0.25">
      <c r="A3305" s="9" t="s">
        <v>6882</v>
      </c>
      <c r="B3305" s="9" t="s">
        <v>6847</v>
      </c>
      <c r="C3305" s="9" t="s">
        <v>6848</v>
      </c>
      <c r="D3305" s="9" t="s">
        <v>6742</v>
      </c>
      <c r="E3305" s="9" t="s">
        <v>11092</v>
      </c>
      <c r="F3305" s="9" t="s">
        <v>11093</v>
      </c>
      <c r="G3305" s="9" t="s">
        <v>12</v>
      </c>
      <c r="H3305" s="9" t="s">
        <v>25</v>
      </c>
      <c r="I3305" s="9"/>
      <c r="J3305" s="9" t="s">
        <v>1513</v>
      </c>
      <c r="K3305" s="9"/>
      <c r="L3305" s="9" t="s">
        <v>1949</v>
      </c>
      <c r="M3305" s="9" t="s">
        <v>1950</v>
      </c>
      <c r="N3305" s="9"/>
      <c r="O3305" s="9" t="s">
        <v>11095</v>
      </c>
      <c r="P3305" s="9" t="str">
        <f>HYPERLINK("https://ceds.ed.gov/cedselementdetails.aspx?termid=13058")</f>
        <v>https://ceds.ed.gov/cedselementdetails.aspx?termid=13058</v>
      </c>
      <c r="Q3305" s="9" t="str">
        <f>HYPERLINK("https://ceds.ed.gov/elementComment.aspx?elementName=Credit Value &amp;elementID=13058", "Click here to submit comment")</f>
        <v>Click here to submit comment</v>
      </c>
    </row>
    <row r="3306" spans="1:17" ht="360" x14ac:dyDescent="0.25">
      <c r="A3306" s="9" t="s">
        <v>6882</v>
      </c>
      <c r="B3306" s="9" t="s">
        <v>6847</v>
      </c>
      <c r="C3306" s="9" t="s">
        <v>6848</v>
      </c>
      <c r="D3306" s="9" t="s">
        <v>6742</v>
      </c>
      <c r="E3306" s="9" t="s">
        <v>11089</v>
      </c>
      <c r="F3306" s="9" t="s">
        <v>2119</v>
      </c>
      <c r="G3306" s="10" t="s">
        <v>11847</v>
      </c>
      <c r="H3306" s="9" t="s">
        <v>6109</v>
      </c>
      <c r="I3306" s="9"/>
      <c r="J3306" s="9"/>
      <c r="K3306" s="9"/>
      <c r="L3306" s="9"/>
      <c r="M3306" s="9" t="s">
        <v>2120</v>
      </c>
      <c r="N3306" s="9"/>
      <c r="O3306" s="9" t="s">
        <v>11091</v>
      </c>
      <c r="P3306" s="9" t="str">
        <f>HYPERLINK("https://ceds.ed.gov/cedselementdetails.aspx?termid=13072")</f>
        <v>https://ceds.ed.gov/cedselementdetails.aspx?termid=13072</v>
      </c>
      <c r="Q3306" s="9" t="str">
        <f>HYPERLINK("https://ceds.ed.gov/elementComment.aspx?elementName=Credit Unit Type &amp;elementID=13072", "Click here to submit comment")</f>
        <v>Click here to submit comment</v>
      </c>
    </row>
    <row r="3307" spans="1:17" ht="150" x14ac:dyDescent="0.25">
      <c r="A3307" s="9" t="s">
        <v>6882</v>
      </c>
      <c r="B3307" s="9" t="s">
        <v>6847</v>
      </c>
      <c r="C3307" s="9" t="s">
        <v>6848</v>
      </c>
      <c r="D3307" s="9" t="s">
        <v>6742</v>
      </c>
      <c r="E3307" s="9" t="s">
        <v>1511</v>
      </c>
      <c r="F3307" s="9" t="s">
        <v>1512</v>
      </c>
      <c r="G3307" s="9" t="s">
        <v>12</v>
      </c>
      <c r="H3307" s="9" t="s">
        <v>6150</v>
      </c>
      <c r="I3307" s="9"/>
      <c r="J3307" s="9" t="s">
        <v>1513</v>
      </c>
      <c r="K3307" s="9"/>
      <c r="L3307" s="9"/>
      <c r="M3307" s="9" t="s">
        <v>1514</v>
      </c>
      <c r="N3307" s="9"/>
      <c r="O3307" s="9" t="s">
        <v>1515</v>
      </c>
      <c r="P3307" s="9" t="str">
        <f>HYPERLINK("https://ceds.ed.gov/cedselementdetails.aspx?termid=13030")</f>
        <v>https://ceds.ed.gov/cedselementdetails.aspx?termid=13030</v>
      </c>
      <c r="Q3307" s="9" t="str">
        <f>HYPERLINK("https://ceds.ed.gov/elementComment.aspx?elementName=Available Carnegie Unit Credit &amp;elementID=13030", "Click here to submit comment")</f>
        <v>Click here to submit comment</v>
      </c>
    </row>
    <row r="3308" spans="1:17" ht="330" x14ac:dyDescent="0.25">
      <c r="A3308" s="9" t="s">
        <v>6882</v>
      </c>
      <c r="B3308" s="9" t="s">
        <v>6847</v>
      </c>
      <c r="C3308" s="9" t="s">
        <v>6848</v>
      </c>
      <c r="D3308" s="9" t="s">
        <v>6742</v>
      </c>
      <c r="E3308" s="9" t="s">
        <v>2003</v>
      </c>
      <c r="F3308" s="9" t="s">
        <v>2004</v>
      </c>
      <c r="G3308" s="10" t="s">
        <v>11840</v>
      </c>
      <c r="H3308" s="9" t="s">
        <v>6176</v>
      </c>
      <c r="I3308" s="9" t="s">
        <v>91</v>
      </c>
      <c r="J3308" s="9"/>
      <c r="K3308" s="9"/>
      <c r="L3308" s="9"/>
      <c r="M3308" s="9" t="s">
        <v>2005</v>
      </c>
      <c r="N3308" s="9"/>
      <c r="O3308" s="9" t="s">
        <v>2006</v>
      </c>
      <c r="P3308" s="9" t="str">
        <f>HYPERLINK("https://ceds.ed.gov/cedselementdetails.aspx?termid=13061")</f>
        <v>https://ceds.ed.gov/cedselementdetails.aspx?termid=13061</v>
      </c>
      <c r="Q3308" s="9" t="str">
        <f>HYPERLINK("https://ceds.ed.gov/elementComment.aspx?elementName=Course Level Characteristic &amp;elementID=13061", "Click here to submit comment")</f>
        <v>Click here to submit comment</v>
      </c>
    </row>
    <row r="3309" spans="1:17" ht="120" x14ac:dyDescent="0.25">
      <c r="A3309" s="9" t="s">
        <v>6882</v>
      </c>
      <c r="B3309" s="9" t="s">
        <v>6847</v>
      </c>
      <c r="C3309" s="9" t="s">
        <v>6848</v>
      </c>
      <c r="D3309" s="9" t="s">
        <v>6742</v>
      </c>
      <c r="E3309" s="9" t="s">
        <v>3101</v>
      </c>
      <c r="F3309" s="9" t="s">
        <v>3102</v>
      </c>
      <c r="G3309" s="9" t="s">
        <v>6106</v>
      </c>
      <c r="H3309" s="9" t="s">
        <v>6150</v>
      </c>
      <c r="I3309" s="9"/>
      <c r="J3309" s="9"/>
      <c r="K3309" s="9"/>
      <c r="L3309" s="9"/>
      <c r="M3309" s="9" t="s">
        <v>3103</v>
      </c>
      <c r="N3309" s="9"/>
      <c r="O3309" s="9" t="s">
        <v>3104</v>
      </c>
      <c r="P3309" s="9" t="str">
        <f>HYPERLINK("https://ceds.ed.gov/cedselementdetails.aspx?termid=13137")</f>
        <v>https://ceds.ed.gov/cedselementdetails.aspx?termid=13137</v>
      </c>
      <c r="Q3309" s="9" t="str">
        <f>HYPERLINK("https://ceds.ed.gov/elementComment.aspx?elementName=High School Course Requirement &amp;elementID=13137", "Click here to submit comment")</f>
        <v>Click here to submit comment</v>
      </c>
    </row>
    <row r="3310" spans="1:17" ht="45" x14ac:dyDescent="0.25">
      <c r="A3310" s="9" t="s">
        <v>6882</v>
      </c>
      <c r="B3310" s="9" t="s">
        <v>6847</v>
      </c>
      <c r="C3310" s="9" t="s">
        <v>6848</v>
      </c>
      <c r="D3310" s="9" t="s">
        <v>6742</v>
      </c>
      <c r="E3310" s="9" t="s">
        <v>10945</v>
      </c>
      <c r="F3310" s="9" t="s">
        <v>10946</v>
      </c>
      <c r="G3310" s="9" t="s">
        <v>12</v>
      </c>
      <c r="H3310" s="9"/>
      <c r="I3310" s="9"/>
      <c r="J3310" s="9" t="s">
        <v>589</v>
      </c>
      <c r="K3310" s="9"/>
      <c r="L3310" s="9"/>
      <c r="M3310" s="9" t="s">
        <v>10947</v>
      </c>
      <c r="N3310" s="9"/>
      <c r="O3310" s="9" t="s">
        <v>10948</v>
      </c>
      <c r="P3310" s="9" t="str">
        <f>HYPERLINK("https://ceds.ed.gov/cedselementdetails.aspx?termid=14648")</f>
        <v>https://ceds.ed.gov/cedselementdetails.aspx?termid=14648</v>
      </c>
      <c r="Q3310" s="9" t="str">
        <f>HYPERLINK("https://ceds.ed.gov/elementComment.aspx?elementName=Course Repeatability Maximum Number &amp;elementID=14648", "Click here to submit comment")</f>
        <v>Click here to submit comment</v>
      </c>
    </row>
    <row r="3311" spans="1:17" ht="105" x14ac:dyDescent="0.25">
      <c r="A3311" s="18" t="s">
        <v>6882</v>
      </c>
      <c r="B3311" s="18" t="s">
        <v>6847</v>
      </c>
      <c r="C3311" s="18" t="s">
        <v>6848</v>
      </c>
      <c r="D3311" s="18" t="s">
        <v>6742</v>
      </c>
      <c r="E3311" s="18" t="s">
        <v>297</v>
      </c>
      <c r="F3311" s="18" t="s">
        <v>298</v>
      </c>
      <c r="G3311" s="18" t="s">
        <v>12</v>
      </c>
      <c r="H3311" s="18"/>
      <c r="I3311" s="18"/>
      <c r="J3311" s="18" t="s">
        <v>119</v>
      </c>
      <c r="K3311" s="18"/>
      <c r="L3311" s="9" t="s">
        <v>120</v>
      </c>
      <c r="M3311" s="18" t="s">
        <v>299</v>
      </c>
      <c r="N3311" s="18"/>
      <c r="O3311" s="18" t="s">
        <v>300</v>
      </c>
      <c r="P3311" s="18" t="str">
        <f>HYPERLINK("https://ceds.ed.gov/cedselementdetails.aspx?termid=14246")</f>
        <v>https://ceds.ed.gov/cedselementdetails.aspx?termid=14246</v>
      </c>
      <c r="Q3311" s="18" t="str">
        <f>HYPERLINK("https://ceds.ed.gov/elementComment.aspx?elementName=Agency Course Identifier &amp;elementID=14246", "Click here to submit comment")</f>
        <v>Click here to submit comment</v>
      </c>
    </row>
    <row r="3312" spans="1:17" x14ac:dyDescent="0.25">
      <c r="A3312" s="18"/>
      <c r="B3312" s="18"/>
      <c r="C3312" s="18"/>
      <c r="D3312" s="18"/>
      <c r="E3312" s="18"/>
      <c r="F3312" s="18"/>
      <c r="G3312" s="18"/>
      <c r="H3312" s="18"/>
      <c r="I3312" s="18"/>
      <c r="J3312" s="18"/>
      <c r="K3312" s="18"/>
      <c r="L3312" s="9"/>
      <c r="M3312" s="18"/>
      <c r="N3312" s="18"/>
      <c r="O3312" s="18"/>
      <c r="P3312" s="18"/>
      <c r="Q3312" s="18"/>
    </row>
    <row r="3313" spans="1:17" ht="90" x14ac:dyDescent="0.25">
      <c r="A3313" s="18"/>
      <c r="B3313" s="18"/>
      <c r="C3313" s="18"/>
      <c r="D3313" s="18"/>
      <c r="E3313" s="18"/>
      <c r="F3313" s="18"/>
      <c r="G3313" s="18"/>
      <c r="H3313" s="18"/>
      <c r="I3313" s="18"/>
      <c r="J3313" s="18"/>
      <c r="K3313" s="18"/>
      <c r="L3313" s="9" t="s">
        <v>121</v>
      </c>
      <c r="M3313" s="18"/>
      <c r="N3313" s="18"/>
      <c r="O3313" s="18"/>
      <c r="P3313" s="18"/>
      <c r="Q3313" s="18"/>
    </row>
    <row r="3314" spans="1:17" ht="60" x14ac:dyDescent="0.25">
      <c r="A3314" s="9" t="s">
        <v>6882</v>
      </c>
      <c r="B3314" s="9" t="s">
        <v>6847</v>
      </c>
      <c r="C3314" s="9" t="s">
        <v>6848</v>
      </c>
      <c r="D3314" s="9" t="s">
        <v>6742</v>
      </c>
      <c r="E3314" s="9" t="s">
        <v>2086</v>
      </c>
      <c r="F3314" s="9" t="s">
        <v>2087</v>
      </c>
      <c r="G3314" s="9" t="s">
        <v>12</v>
      </c>
      <c r="H3314" s="9" t="s">
        <v>25</v>
      </c>
      <c r="I3314" s="9"/>
      <c r="J3314" s="9" t="s">
        <v>2088</v>
      </c>
      <c r="K3314" s="9"/>
      <c r="L3314" s="9"/>
      <c r="M3314" s="9" t="s">
        <v>2089</v>
      </c>
      <c r="N3314" s="9"/>
      <c r="O3314" s="9" t="s">
        <v>2090</v>
      </c>
      <c r="P3314" s="9" t="str">
        <f>HYPERLINK("https://ceds.ed.gov/cedselementdetails.aspx?termid=13066")</f>
        <v>https://ceds.ed.gov/cedselementdetails.aspx?termid=13066</v>
      </c>
      <c r="Q3314" s="9" t="str">
        <f>HYPERLINK("https://ceds.ed.gov/elementComment.aspx?elementName=Course Subject Abbreviation &amp;elementID=13066", "Click here to submit comment")</f>
        <v>Click here to submit comment</v>
      </c>
    </row>
    <row r="3315" spans="1:17" ht="120" x14ac:dyDescent="0.25">
      <c r="A3315" s="9" t="s">
        <v>6882</v>
      </c>
      <c r="B3315" s="9" t="s">
        <v>6847</v>
      </c>
      <c r="C3315" s="9" t="s">
        <v>6848</v>
      </c>
      <c r="D3315" s="9" t="s">
        <v>6742</v>
      </c>
      <c r="E3315" s="9" t="s">
        <v>5331</v>
      </c>
      <c r="F3315" s="9" t="s">
        <v>5332</v>
      </c>
      <c r="G3315" s="9" t="s">
        <v>12</v>
      </c>
      <c r="H3315" s="9" t="s">
        <v>6150</v>
      </c>
      <c r="I3315" s="9"/>
      <c r="J3315" s="9" t="s">
        <v>2088</v>
      </c>
      <c r="K3315" s="9"/>
      <c r="L3315" s="9" t="s">
        <v>5333</v>
      </c>
      <c r="M3315" s="9" t="s">
        <v>5334</v>
      </c>
      <c r="N3315" s="9" t="s">
        <v>5335</v>
      </c>
      <c r="O3315" s="9" t="s">
        <v>5336</v>
      </c>
      <c r="P3315" s="9" t="str">
        <f>HYPERLINK("https://ceds.ed.gov/cedselementdetails.aspx?termid=13250")</f>
        <v>https://ceds.ed.gov/cedselementdetails.aspx?termid=13250</v>
      </c>
      <c r="Q3315" s="9" t="str">
        <f>HYPERLINK("https://ceds.ed.gov/elementComment.aspx?elementName=School Courses for the Exchange of Data Sequence of Course &amp;elementID=13250", "Click here to submit comment")</f>
        <v>Click here to submit comment</v>
      </c>
    </row>
    <row r="3316" spans="1:17" ht="45" x14ac:dyDescent="0.25">
      <c r="A3316" s="9" t="s">
        <v>6882</v>
      </c>
      <c r="B3316" s="9" t="s">
        <v>6847</v>
      </c>
      <c r="C3316" s="9" t="s">
        <v>6848</v>
      </c>
      <c r="D3316" s="9" t="s">
        <v>6742</v>
      </c>
      <c r="E3316" s="9" t="s">
        <v>11699</v>
      </c>
      <c r="F3316" s="9" t="s">
        <v>11700</v>
      </c>
      <c r="G3316" s="9" t="s">
        <v>12</v>
      </c>
      <c r="H3316" s="9"/>
      <c r="I3316" s="9" t="s">
        <v>91</v>
      </c>
      <c r="J3316" s="9" t="s">
        <v>92</v>
      </c>
      <c r="K3316" s="9" t="s">
        <v>10738</v>
      </c>
      <c r="L3316" s="9"/>
      <c r="M3316" s="9" t="s">
        <v>5133</v>
      </c>
      <c r="N3316" s="9" t="s">
        <v>11701</v>
      </c>
      <c r="O3316" s="9" t="s">
        <v>11702</v>
      </c>
      <c r="P3316" s="9" t="str">
        <f>HYPERLINK("https://ceds.ed.gov/cedselementdetails.aspx?termid=13231")</f>
        <v>https://ceds.ed.gov/cedselementdetails.aspx?termid=13231</v>
      </c>
      <c r="Q3316" s="9" t="str">
        <f>HYPERLINK("https://ceds.ed.gov/elementComment.aspx?elementName=Related Competency Items &amp;elementID=13231", "Click here to submit comment")</f>
        <v>Click here to submit comment</v>
      </c>
    </row>
    <row r="3317" spans="1:17" ht="409.5" x14ac:dyDescent="0.25">
      <c r="A3317" s="9" t="s">
        <v>6882</v>
      </c>
      <c r="B3317" s="9" t="s">
        <v>6847</v>
      </c>
      <c r="C3317" s="9" t="s">
        <v>6848</v>
      </c>
      <c r="D3317" s="9" t="s">
        <v>6742</v>
      </c>
      <c r="E3317" s="9" t="s">
        <v>2031</v>
      </c>
      <c r="F3317" s="9" t="s">
        <v>2032</v>
      </c>
      <c r="G3317" s="10" t="s">
        <v>6374</v>
      </c>
      <c r="H3317" s="9" t="s">
        <v>6177</v>
      </c>
      <c r="I3317" s="9"/>
      <c r="J3317" s="9"/>
      <c r="K3317" s="9"/>
      <c r="L3317" s="9"/>
      <c r="M3317" s="9" t="s">
        <v>2033</v>
      </c>
      <c r="N3317" s="9"/>
      <c r="O3317" s="9" t="s">
        <v>2034</v>
      </c>
      <c r="P3317" s="9" t="str">
        <f>HYPERLINK("https://ceds.ed.gov/cedselementdetails.aspx?termid=13027")</f>
        <v>https://ceds.ed.gov/cedselementdetails.aspx?termid=13027</v>
      </c>
      <c r="Q3317" s="9" t="str">
        <f>HYPERLINK("https://ceds.ed.gov/elementComment.aspx?elementName=Course Section Assessment Reporting Method &amp;elementID=13027", "Click here to submit comment")</f>
        <v>Click here to submit comment</v>
      </c>
    </row>
    <row r="3318" spans="1:17" ht="75" x14ac:dyDescent="0.25">
      <c r="A3318" s="9" t="s">
        <v>6882</v>
      </c>
      <c r="B3318" s="9" t="s">
        <v>6847</v>
      </c>
      <c r="C3318" s="9" t="s">
        <v>6848</v>
      </c>
      <c r="D3318" s="9" t="s">
        <v>6742</v>
      </c>
      <c r="E3318" s="9" t="s">
        <v>1778</v>
      </c>
      <c r="F3318" s="9" t="s">
        <v>1779</v>
      </c>
      <c r="G3318" s="11" t="s">
        <v>1780</v>
      </c>
      <c r="H3318" s="9" t="s">
        <v>6108</v>
      </c>
      <c r="I3318" s="9"/>
      <c r="J3318" s="9"/>
      <c r="K3318" s="9"/>
      <c r="L3318" s="9"/>
      <c r="M3318" s="9" t="s">
        <v>1781</v>
      </c>
      <c r="N3318" s="9" t="s">
        <v>1782</v>
      </c>
      <c r="O3318" s="9" t="s">
        <v>1783</v>
      </c>
      <c r="P3318" s="9" t="str">
        <f>HYPERLINK("https://ceds.ed.gov/cedselementdetails.aspx?termid=13043")</f>
        <v>https://ceds.ed.gov/cedselementdetails.aspx?termid=13043</v>
      </c>
      <c r="Q3318" s="9" t="str">
        <f>HYPERLINK("https://ceds.ed.gov/elementComment.aspx?elementName=Classification of Instructional Program Code &amp;elementID=13043", "Click here to submit comment")</f>
        <v>Click here to submit comment</v>
      </c>
    </row>
    <row r="3319" spans="1:17" ht="90" x14ac:dyDescent="0.25">
      <c r="A3319" s="9" t="s">
        <v>6882</v>
      </c>
      <c r="B3319" s="9" t="s">
        <v>6847</v>
      </c>
      <c r="C3319" s="9" t="s">
        <v>6848</v>
      </c>
      <c r="D3319" s="9" t="s">
        <v>6742</v>
      </c>
      <c r="E3319" s="9" t="s">
        <v>1789</v>
      </c>
      <c r="F3319" s="9" t="s">
        <v>1790</v>
      </c>
      <c r="G3319" s="10" t="s">
        <v>6408</v>
      </c>
      <c r="H3319" s="9" t="s">
        <v>6115</v>
      </c>
      <c r="I3319" s="9"/>
      <c r="J3319" s="9"/>
      <c r="K3319" s="9"/>
      <c r="L3319" s="9"/>
      <c r="M3319" s="9" t="s">
        <v>1791</v>
      </c>
      <c r="N3319" s="9" t="s">
        <v>1792</v>
      </c>
      <c r="O3319" s="9" t="s">
        <v>1793</v>
      </c>
      <c r="P3319" s="9" t="str">
        <f>HYPERLINK("https://ceds.ed.gov/cedselementdetails.aspx?termid=13045")</f>
        <v>https://ceds.ed.gov/cedselementdetails.aspx?termid=13045</v>
      </c>
      <c r="Q3319" s="9" t="str">
        <f>HYPERLINK("https://ceds.ed.gov/elementComment.aspx?elementName=Classification of Instructional Program Version &amp;elementID=13045", "Click here to submit comment")</f>
        <v>Click here to submit comment</v>
      </c>
    </row>
    <row r="3320" spans="1:17" ht="45" x14ac:dyDescent="0.25">
      <c r="A3320" s="9" t="s">
        <v>6882</v>
      </c>
      <c r="B3320" s="9" t="s">
        <v>6847</v>
      </c>
      <c r="C3320" s="9" t="s">
        <v>6848</v>
      </c>
      <c r="D3320" s="9" t="s">
        <v>6742</v>
      </c>
      <c r="E3320" s="9" t="s">
        <v>4628</v>
      </c>
      <c r="F3320" s="9" t="s">
        <v>4629</v>
      </c>
      <c r="G3320" s="9" t="s">
        <v>12</v>
      </c>
      <c r="H3320" s="9" t="s">
        <v>25</v>
      </c>
      <c r="I3320" s="9"/>
      <c r="J3320" s="9" t="s">
        <v>92</v>
      </c>
      <c r="K3320" s="9"/>
      <c r="L3320" s="9"/>
      <c r="M3320" s="9" t="s">
        <v>4630</v>
      </c>
      <c r="N3320" s="9"/>
      <c r="O3320" s="9" t="s">
        <v>4631</v>
      </c>
      <c r="P3320" s="9" t="str">
        <f>HYPERLINK("https://ceds.ed.gov/cedselementdetails.aspx?termid=13068")</f>
        <v>https://ceds.ed.gov/cedselementdetails.aspx?termid=13068</v>
      </c>
      <c r="Q3320" s="9" t="str">
        <f>HYPERLINK("https://ceds.ed.gov/elementComment.aspx?elementName=Postsecondary Course Title &amp;elementID=13068", "Click here to submit comment")</f>
        <v>Click here to submit comment</v>
      </c>
    </row>
    <row r="3321" spans="1:17" ht="45" x14ac:dyDescent="0.25">
      <c r="A3321" s="9" t="s">
        <v>6882</v>
      </c>
      <c r="B3321" s="9" t="s">
        <v>6847</v>
      </c>
      <c r="C3321" s="9" t="s">
        <v>6848</v>
      </c>
      <c r="D3321" s="9" t="s">
        <v>6742</v>
      </c>
      <c r="E3321" s="9" t="s">
        <v>4318</v>
      </c>
      <c r="F3321" s="9" t="s">
        <v>4319</v>
      </c>
      <c r="G3321" s="9" t="s">
        <v>4320</v>
      </c>
      <c r="H3321" s="9"/>
      <c r="I3321" s="9"/>
      <c r="J3321" s="9"/>
      <c r="K3321" s="9"/>
      <c r="L3321" s="9"/>
      <c r="M3321" s="9" t="s">
        <v>4321</v>
      </c>
      <c r="N3321" s="9"/>
      <c r="O3321" s="9" t="s">
        <v>4322</v>
      </c>
      <c r="P3321" s="9" t="str">
        <f>HYPERLINK("https://ceds.ed.gov/cedselementdetails.aspx?termid=14383")</f>
        <v>https://ceds.ed.gov/cedselementdetails.aspx?termid=14383</v>
      </c>
      <c r="Q3321" s="9" t="str">
        <f>HYPERLINK("https://ceds.ed.gov/elementComment.aspx?elementName=NCES College Course Map Code &amp;elementID=14383", "Click here to submit comment")</f>
        <v>Click here to submit comment</v>
      </c>
    </row>
    <row r="3322" spans="1:17" ht="105" x14ac:dyDescent="0.25">
      <c r="A3322" s="18" t="s">
        <v>6882</v>
      </c>
      <c r="B3322" s="18" t="s">
        <v>6847</v>
      </c>
      <c r="C3322" s="18" t="s">
        <v>6761</v>
      </c>
      <c r="D3322" s="18" t="s">
        <v>6742</v>
      </c>
      <c r="E3322" s="18" t="s">
        <v>5732</v>
      </c>
      <c r="F3322" s="18" t="s">
        <v>5733</v>
      </c>
      <c r="G3322" s="18" t="s">
        <v>12</v>
      </c>
      <c r="H3322" s="18" t="s">
        <v>6290</v>
      </c>
      <c r="I3322" s="18"/>
      <c r="J3322" s="18" t="s">
        <v>119</v>
      </c>
      <c r="K3322" s="18"/>
      <c r="L3322" s="9" t="s">
        <v>120</v>
      </c>
      <c r="M3322" s="18" t="s">
        <v>5734</v>
      </c>
      <c r="N3322" s="18"/>
      <c r="O3322" s="18" t="s">
        <v>5735</v>
      </c>
      <c r="P3322" s="18" t="str">
        <f>HYPERLINK("https://ceds.ed.gov/cedselementdetails.aspx?termid=13157")</f>
        <v>https://ceds.ed.gov/cedselementdetails.aspx?termid=13157</v>
      </c>
      <c r="Q3322" s="18" t="str">
        <f>HYPERLINK("https://ceds.ed.gov/elementComment.aspx?elementName=Student Identifier &amp;elementID=13157", "Click here to submit comment")</f>
        <v>Click here to submit comment</v>
      </c>
    </row>
    <row r="3323" spans="1:17" x14ac:dyDescent="0.25">
      <c r="A3323" s="18"/>
      <c r="B3323" s="18"/>
      <c r="C3323" s="18"/>
      <c r="D3323" s="18"/>
      <c r="E3323" s="18"/>
      <c r="F3323" s="18"/>
      <c r="G3323" s="18"/>
      <c r="H3323" s="18"/>
      <c r="I3323" s="18"/>
      <c r="J3323" s="18"/>
      <c r="K3323" s="18"/>
      <c r="L3323" s="9"/>
      <c r="M3323" s="18"/>
      <c r="N3323" s="18"/>
      <c r="O3323" s="18"/>
      <c r="P3323" s="18"/>
      <c r="Q3323" s="18"/>
    </row>
    <row r="3324" spans="1:17" ht="90" x14ac:dyDescent="0.25">
      <c r="A3324" s="18"/>
      <c r="B3324" s="18"/>
      <c r="C3324" s="18"/>
      <c r="D3324" s="18"/>
      <c r="E3324" s="18"/>
      <c r="F3324" s="18"/>
      <c r="G3324" s="18"/>
      <c r="H3324" s="18"/>
      <c r="I3324" s="18"/>
      <c r="J3324" s="18"/>
      <c r="K3324" s="18"/>
      <c r="L3324" s="9" t="s">
        <v>121</v>
      </c>
      <c r="M3324" s="18"/>
      <c r="N3324" s="18"/>
      <c r="O3324" s="18"/>
      <c r="P3324" s="18"/>
      <c r="Q3324" s="18"/>
    </row>
    <row r="3325" spans="1:17" ht="210" x14ac:dyDescent="0.25">
      <c r="A3325" s="9" t="s">
        <v>6882</v>
      </c>
      <c r="B3325" s="9" t="s">
        <v>6847</v>
      </c>
      <c r="C3325" s="9" t="s">
        <v>6761</v>
      </c>
      <c r="D3325" s="9" t="s">
        <v>6742</v>
      </c>
      <c r="E3325" s="9" t="s">
        <v>5728</v>
      </c>
      <c r="F3325" s="9" t="s">
        <v>5729</v>
      </c>
      <c r="G3325" s="10" t="s">
        <v>6706</v>
      </c>
      <c r="H3325" s="9" t="s">
        <v>6290</v>
      </c>
      <c r="I3325" s="9"/>
      <c r="J3325" s="9"/>
      <c r="K3325" s="9"/>
      <c r="L3325" s="9"/>
      <c r="M3325" s="9" t="s">
        <v>5730</v>
      </c>
      <c r="N3325" s="9"/>
      <c r="O3325" s="9" t="s">
        <v>5731</v>
      </c>
      <c r="P3325" s="9" t="str">
        <f>HYPERLINK("https://ceds.ed.gov/cedselementdetails.aspx?termid=13163")</f>
        <v>https://ceds.ed.gov/cedselementdetails.aspx?termid=13163</v>
      </c>
      <c r="Q3325" s="9" t="str">
        <f>HYPERLINK("https://ceds.ed.gov/elementComment.aspx?elementName=Student Identification System &amp;elementID=13163", "Click here to submit comment")</f>
        <v>Click here to submit comment</v>
      </c>
    </row>
    <row r="3326" spans="1:17" ht="45" x14ac:dyDescent="0.25">
      <c r="A3326" s="9" t="s">
        <v>6882</v>
      </c>
      <c r="B3326" s="9" t="s">
        <v>6847</v>
      </c>
      <c r="C3326" s="9" t="s">
        <v>6761</v>
      </c>
      <c r="D3326" s="9" t="s">
        <v>6742</v>
      </c>
      <c r="E3326" s="9" t="s">
        <v>2019</v>
      </c>
      <c r="F3326" s="9" t="s">
        <v>2020</v>
      </c>
      <c r="G3326" s="9" t="s">
        <v>12</v>
      </c>
      <c r="H3326" s="9" t="s">
        <v>25</v>
      </c>
      <c r="I3326" s="9"/>
      <c r="J3326" s="9" t="s">
        <v>22</v>
      </c>
      <c r="K3326" s="9"/>
      <c r="L3326" s="9"/>
      <c r="M3326" s="9" t="s">
        <v>2021</v>
      </c>
      <c r="N3326" s="9"/>
      <c r="O3326" s="9" t="s">
        <v>2022</v>
      </c>
      <c r="P3326" s="9" t="str">
        <f>HYPERLINK("https://ceds.ed.gov/cedselementdetails.aspx?termid=13063")</f>
        <v>https://ceds.ed.gov/cedselementdetails.aspx?termid=13063</v>
      </c>
      <c r="Q3326" s="9" t="str">
        <f>HYPERLINK("https://ceds.ed.gov/elementComment.aspx?elementName=Course Override School &amp;elementID=13063", "Click here to submit comment")</f>
        <v>Click here to submit comment</v>
      </c>
    </row>
    <row r="3327" spans="1:17" ht="45" x14ac:dyDescent="0.25">
      <c r="A3327" s="9" t="s">
        <v>6882</v>
      </c>
      <c r="B3327" s="9" t="s">
        <v>6847</v>
      </c>
      <c r="C3327" s="9" t="s">
        <v>6761</v>
      </c>
      <c r="D3327" s="9" t="s">
        <v>6742</v>
      </c>
      <c r="E3327" s="9" t="s">
        <v>2195</v>
      </c>
      <c r="F3327" s="9" t="s">
        <v>2196</v>
      </c>
      <c r="G3327" s="9" t="s">
        <v>6106</v>
      </c>
      <c r="H3327" s="9" t="s">
        <v>25</v>
      </c>
      <c r="I3327" s="9"/>
      <c r="J3327" s="9"/>
      <c r="K3327" s="9"/>
      <c r="L3327" s="9"/>
      <c r="M3327" s="9" t="s">
        <v>2197</v>
      </c>
      <c r="N3327" s="9"/>
      <c r="O3327" s="9" t="s">
        <v>2198</v>
      </c>
      <c r="P3327" s="9" t="str">
        <f>HYPERLINK("https://ceds.ed.gov/cedselementdetails.aspx?termid=13077")</f>
        <v>https://ceds.ed.gov/cedselementdetails.aspx?termid=13077</v>
      </c>
      <c r="Q3327" s="9" t="str">
        <f>HYPERLINK("https://ceds.ed.gov/elementComment.aspx?elementName=Degree Applicability &amp;elementID=13077", "Click here to submit comment")</f>
        <v>Click here to submit comment</v>
      </c>
    </row>
    <row r="3328" spans="1:17" ht="45" x14ac:dyDescent="0.25">
      <c r="A3328" s="9" t="s">
        <v>6882</v>
      </c>
      <c r="B3328" s="9" t="s">
        <v>6847</v>
      </c>
      <c r="C3328" s="9" t="s">
        <v>6761</v>
      </c>
      <c r="D3328" s="9" t="s">
        <v>6742</v>
      </c>
      <c r="E3328" s="9" t="s">
        <v>1898</v>
      </c>
      <c r="F3328" s="9" t="s">
        <v>1899</v>
      </c>
      <c r="G3328" s="9" t="s">
        <v>12</v>
      </c>
      <c r="H3328" s="9" t="s">
        <v>6161</v>
      </c>
      <c r="I3328" s="9"/>
      <c r="J3328" s="9" t="s">
        <v>1900</v>
      </c>
      <c r="K3328" s="9"/>
      <c r="L3328" s="9"/>
      <c r="M3328" s="9" t="s">
        <v>1901</v>
      </c>
      <c r="N3328" s="9"/>
      <c r="O3328" s="9" t="s">
        <v>1902</v>
      </c>
      <c r="P3328" s="9" t="str">
        <f>HYPERLINK("https://ceds.ed.gov/cedselementdetails.aspx?termid=13053")</f>
        <v>https://ceds.ed.gov/cedselementdetails.aspx?termid=13053</v>
      </c>
      <c r="Q3328" s="9" t="str">
        <f>HYPERLINK("https://ceds.ed.gov/elementComment.aspx?elementName=Course Academic Grade &amp;elementID=13053", "Click here to submit comment")</f>
        <v>Click here to submit comment</v>
      </c>
    </row>
    <row r="3329" spans="1:17" ht="120" x14ac:dyDescent="0.25">
      <c r="A3329" s="9" t="s">
        <v>6882</v>
      </c>
      <c r="B3329" s="9" t="s">
        <v>6847</v>
      </c>
      <c r="C3329" s="9" t="s">
        <v>6761</v>
      </c>
      <c r="D3329" s="9" t="s">
        <v>6742</v>
      </c>
      <c r="E3329" s="9" t="s">
        <v>4365</v>
      </c>
      <c r="F3329" s="9" t="s">
        <v>4366</v>
      </c>
      <c r="G3329" s="9" t="s">
        <v>12</v>
      </c>
      <c r="H3329" s="9" t="s">
        <v>6241</v>
      </c>
      <c r="I3329" s="9"/>
      <c r="J3329" s="9" t="s">
        <v>1513</v>
      </c>
      <c r="K3329" s="9"/>
      <c r="L3329" s="9"/>
      <c r="M3329" s="9" t="s">
        <v>4367</v>
      </c>
      <c r="N3329" s="9"/>
      <c r="O3329" s="9" t="s">
        <v>4368</v>
      </c>
      <c r="P3329" s="9" t="str">
        <f>HYPERLINK("https://ceds.ed.gov/cedselementdetails.aspx?termid=13200")</f>
        <v>https://ceds.ed.gov/cedselementdetails.aspx?termid=13200</v>
      </c>
      <c r="Q3329" s="9" t="str">
        <f>HYPERLINK("https://ceds.ed.gov/elementComment.aspx?elementName=Number of Credits Earned &amp;elementID=13200", "Click here to submit comment")</f>
        <v>Click here to submit comment</v>
      </c>
    </row>
    <row r="3330" spans="1:17" ht="60" x14ac:dyDescent="0.25">
      <c r="A3330" s="9" t="s">
        <v>6882</v>
      </c>
      <c r="B3330" s="9" t="s">
        <v>6847</v>
      </c>
      <c r="C3330" s="9" t="s">
        <v>6761</v>
      </c>
      <c r="D3330" s="9" t="s">
        <v>6742</v>
      </c>
      <c r="E3330" s="9" t="s">
        <v>2023</v>
      </c>
      <c r="F3330" s="9" t="s">
        <v>2024</v>
      </c>
      <c r="G3330" s="9" t="s">
        <v>12</v>
      </c>
      <c r="H3330" s="9" t="s">
        <v>25</v>
      </c>
      <c r="I3330" s="9"/>
      <c r="J3330" s="9" t="s">
        <v>1513</v>
      </c>
      <c r="K3330" s="9"/>
      <c r="L3330" s="9"/>
      <c r="M3330" s="9" t="s">
        <v>2025</v>
      </c>
      <c r="N3330" s="9"/>
      <c r="O3330" s="9" t="s">
        <v>2026</v>
      </c>
      <c r="P3330" s="9" t="str">
        <f>HYPERLINK("https://ceds.ed.gov/cedselementdetails.aspx?termid=13064")</f>
        <v>https://ceds.ed.gov/cedselementdetails.aspx?termid=13064</v>
      </c>
      <c r="Q3330" s="9" t="str">
        <f>HYPERLINK("https://ceds.ed.gov/elementComment.aspx?elementName=Course Quality Points Earned &amp;elementID=13064", "Click here to submit comment")</f>
        <v>Click here to submit comment</v>
      </c>
    </row>
    <row r="3331" spans="1:17" ht="45" x14ac:dyDescent="0.25">
      <c r="A3331" s="9" t="s">
        <v>6882</v>
      </c>
      <c r="B3331" s="9" t="s">
        <v>6847</v>
      </c>
      <c r="C3331" s="9" t="s">
        <v>6761</v>
      </c>
      <c r="D3331" s="9" t="s">
        <v>6742</v>
      </c>
      <c r="E3331" s="9" t="s">
        <v>1912</v>
      </c>
      <c r="F3331" s="9" t="s">
        <v>1913</v>
      </c>
      <c r="G3331" s="9" t="s">
        <v>12</v>
      </c>
      <c r="H3331" s="9"/>
      <c r="I3331" s="9"/>
      <c r="J3331" s="9" t="s">
        <v>73</v>
      </c>
      <c r="K3331" s="9"/>
      <c r="L3331" s="9"/>
      <c r="M3331" s="9" t="s">
        <v>1914</v>
      </c>
      <c r="N3331" s="9"/>
      <c r="O3331" s="9" t="s">
        <v>1915</v>
      </c>
      <c r="P3331" s="9" t="str">
        <f>HYPERLINK("https://ceds.ed.gov/cedselementdetails.aspx?termid=14266")</f>
        <v>https://ceds.ed.gov/cedselementdetails.aspx?termid=14266</v>
      </c>
      <c r="Q3331" s="9" t="str">
        <f>HYPERLINK("https://ceds.ed.gov/elementComment.aspx?elementName=Course Add Date &amp;elementID=14266", "Click here to submit comment")</f>
        <v>Click here to submit comment</v>
      </c>
    </row>
    <row r="3332" spans="1:17" ht="45" x14ac:dyDescent="0.25">
      <c r="A3332" s="9" t="s">
        <v>6882</v>
      </c>
      <c r="B3332" s="9" t="s">
        <v>6847</v>
      </c>
      <c r="C3332" s="9" t="s">
        <v>6761</v>
      </c>
      <c r="D3332" s="9" t="s">
        <v>6742</v>
      </c>
      <c r="E3332" s="9" t="s">
        <v>1959</v>
      </c>
      <c r="F3332" s="9" t="s">
        <v>1960</v>
      </c>
      <c r="G3332" s="9" t="s">
        <v>12</v>
      </c>
      <c r="H3332" s="9" t="s">
        <v>1963</v>
      </c>
      <c r="I3332" s="9"/>
      <c r="J3332" s="9" t="s">
        <v>73</v>
      </c>
      <c r="K3332" s="9"/>
      <c r="L3332" s="9"/>
      <c r="M3332" s="9" t="s">
        <v>1961</v>
      </c>
      <c r="N3332" s="9"/>
      <c r="O3332" s="9" t="s">
        <v>1962</v>
      </c>
      <c r="P3332" s="9" t="str">
        <f>HYPERLINK("https://ceds.ed.gov/cedselementdetails.aspx?termid=14271")</f>
        <v>https://ceds.ed.gov/cedselementdetails.aspx?termid=14271</v>
      </c>
      <c r="Q3332" s="9" t="str">
        <f>HYPERLINK("https://ceds.ed.gov/elementComment.aspx?elementName=Course Drop Date &amp;elementID=14271", "Click here to submit comment")</f>
        <v>Click here to submit comment</v>
      </c>
    </row>
    <row r="3333" spans="1:17" ht="90" x14ac:dyDescent="0.25">
      <c r="A3333" s="9" t="s">
        <v>6882</v>
      </c>
      <c r="B3333" s="9" t="s">
        <v>6847</v>
      </c>
      <c r="C3333" s="9" t="s">
        <v>6761</v>
      </c>
      <c r="D3333" s="9" t="s">
        <v>6742</v>
      </c>
      <c r="E3333" s="9" t="s">
        <v>5716</v>
      </c>
      <c r="F3333" s="9" t="s">
        <v>5717</v>
      </c>
      <c r="G3333" s="9" t="s">
        <v>12</v>
      </c>
      <c r="H3333" s="9" t="s">
        <v>6109</v>
      </c>
      <c r="I3333" s="9"/>
      <c r="J3333" s="9" t="s">
        <v>1900</v>
      </c>
      <c r="K3333" s="9"/>
      <c r="L3333" s="9"/>
      <c r="M3333" s="9" t="s">
        <v>5718</v>
      </c>
      <c r="N3333" s="9"/>
      <c r="O3333" s="9" t="s">
        <v>5719</v>
      </c>
      <c r="P3333" s="9" t="str">
        <f>HYPERLINK("https://ceds.ed.gov/cedselementdetails.aspx?termid=13124")</f>
        <v>https://ceds.ed.gov/cedselementdetails.aspx?termid=13124</v>
      </c>
      <c r="Q3333" s="9" t="str">
        <f>HYPERLINK("https://ceds.ed.gov/elementComment.aspx?elementName=Student Course Section Grade Earned &amp;elementID=13124", "Click here to submit comment")</f>
        <v>Click here to submit comment</v>
      </c>
    </row>
    <row r="3334" spans="1:17" ht="45" x14ac:dyDescent="0.25">
      <c r="A3334" s="9" t="s">
        <v>6882</v>
      </c>
      <c r="B3334" s="9" t="s">
        <v>6847</v>
      </c>
      <c r="C3334" s="9" t="s">
        <v>6761</v>
      </c>
      <c r="D3334" s="9" t="s">
        <v>6742</v>
      </c>
      <c r="E3334" s="9" t="s">
        <v>5720</v>
      </c>
      <c r="F3334" s="9" t="s">
        <v>5721</v>
      </c>
      <c r="G3334" s="9" t="s">
        <v>12</v>
      </c>
      <c r="H3334" s="9"/>
      <c r="I3334" s="9"/>
      <c r="J3334" s="9" t="s">
        <v>68</v>
      </c>
      <c r="K3334" s="9"/>
      <c r="L3334" s="9"/>
      <c r="M3334" s="9" t="s">
        <v>5722</v>
      </c>
      <c r="N3334" s="9"/>
      <c r="O3334" s="9" t="s">
        <v>5723</v>
      </c>
      <c r="P3334" s="9" t="str">
        <f>HYPERLINK("https://ceds.ed.gov/cedselementdetails.aspx?termid=14552")</f>
        <v>https://ceds.ed.gov/cedselementdetails.aspx?termid=14552</v>
      </c>
      <c r="Q3334" s="9" t="str">
        <f>HYPERLINK("https://ceds.ed.gov/elementComment.aspx?elementName=Student Course Section Grade Narrative &amp;elementID=14552", "Click here to submit comment")</f>
        <v>Click here to submit comment</v>
      </c>
    </row>
    <row r="3335" spans="1:17" ht="90" x14ac:dyDescent="0.25">
      <c r="A3335" s="9" t="s">
        <v>6882</v>
      </c>
      <c r="B3335" s="9" t="s">
        <v>6847</v>
      </c>
      <c r="C3335" s="9" t="s">
        <v>6849</v>
      </c>
      <c r="D3335" s="9" t="s">
        <v>6742</v>
      </c>
      <c r="E3335" s="9" t="s">
        <v>4150</v>
      </c>
      <c r="F3335" s="9" t="s">
        <v>4151</v>
      </c>
      <c r="G3335" s="9" t="s">
        <v>12</v>
      </c>
      <c r="H3335" s="9" t="s">
        <v>6109</v>
      </c>
      <c r="I3335" s="9"/>
      <c r="J3335" s="9" t="s">
        <v>87</v>
      </c>
      <c r="K3335" s="9"/>
      <c r="L3335" s="9"/>
      <c r="M3335" s="9" t="s">
        <v>4152</v>
      </c>
      <c r="N3335" s="9"/>
      <c r="O3335" s="9" t="s">
        <v>4153</v>
      </c>
      <c r="P3335" s="9" t="str">
        <f>HYPERLINK("https://ceds.ed.gov/cedselementdetails.aspx?termid=13182")</f>
        <v>https://ceds.ed.gov/cedselementdetails.aspx?termid=13182</v>
      </c>
      <c r="Q3335" s="9" t="str">
        <f>HYPERLINK("https://ceds.ed.gov/elementComment.aspx?elementName=Marking Period Name &amp;elementID=13182", "Click here to submit comment")</f>
        <v>Click here to submit comment</v>
      </c>
    </row>
    <row r="3336" spans="1:17" ht="45" x14ac:dyDescent="0.25">
      <c r="A3336" s="9" t="s">
        <v>6882</v>
      </c>
      <c r="B3336" s="9" t="s">
        <v>6847</v>
      </c>
      <c r="C3336" s="9" t="s">
        <v>6849</v>
      </c>
      <c r="D3336" s="9" t="s">
        <v>6742</v>
      </c>
      <c r="E3336" s="9" t="s">
        <v>5724</v>
      </c>
      <c r="F3336" s="9" t="s">
        <v>5725</v>
      </c>
      <c r="G3336" s="9" t="s">
        <v>6106</v>
      </c>
      <c r="H3336" s="9"/>
      <c r="I3336" s="9"/>
      <c r="J3336" s="9"/>
      <c r="K3336" s="9"/>
      <c r="L3336" s="9"/>
      <c r="M3336" s="9" t="s">
        <v>5726</v>
      </c>
      <c r="N3336" s="9"/>
      <c r="O3336" s="9" t="s">
        <v>5727</v>
      </c>
      <c r="P3336" s="9" t="str">
        <f>HYPERLINK("https://ceds.ed.gov/cedselementdetails.aspx?termid=14191")</f>
        <v>https://ceds.ed.gov/cedselementdetails.aspx?termid=14191</v>
      </c>
      <c r="Q3336" s="9" t="str">
        <f>HYPERLINK("https://ceds.ed.gov/elementComment.aspx?elementName=Student Course Section Mark Final Indicator &amp;elementID=14191", "Click here to submit comment")</f>
        <v>Click here to submit comment</v>
      </c>
    </row>
    <row r="3337" spans="1:17" ht="90" x14ac:dyDescent="0.25">
      <c r="A3337" s="9" t="s">
        <v>6882</v>
      </c>
      <c r="B3337" s="9" t="s">
        <v>6847</v>
      </c>
      <c r="C3337" s="9" t="s">
        <v>6849</v>
      </c>
      <c r="D3337" s="9" t="s">
        <v>6742</v>
      </c>
      <c r="E3337" s="9" t="s">
        <v>4179</v>
      </c>
      <c r="F3337" s="9" t="s">
        <v>4180</v>
      </c>
      <c r="G3337" s="9" t="s">
        <v>12</v>
      </c>
      <c r="H3337" s="9" t="s">
        <v>6109</v>
      </c>
      <c r="I3337" s="9"/>
      <c r="J3337" s="9" t="s">
        <v>1900</v>
      </c>
      <c r="K3337" s="9"/>
      <c r="L3337" s="9"/>
      <c r="M3337" s="9" t="s">
        <v>4181</v>
      </c>
      <c r="N3337" s="9"/>
      <c r="O3337" s="9" t="s">
        <v>4182</v>
      </c>
      <c r="P3337" s="9" t="str">
        <f>HYPERLINK("https://ceds.ed.gov/cedselementdetails.aspx?termid=13183")</f>
        <v>https://ceds.ed.gov/cedselementdetails.aspx?termid=13183</v>
      </c>
      <c r="Q3337" s="9" t="str">
        <f>HYPERLINK("https://ceds.ed.gov/elementComment.aspx?elementName=Mid Term Mark &amp;elementID=13183", "Click here to submit comment")</f>
        <v>Click here to submit comment</v>
      </c>
    </row>
    <row r="3338" spans="1:17" ht="90" x14ac:dyDescent="0.25">
      <c r="A3338" s="9" t="s">
        <v>6882</v>
      </c>
      <c r="B3338" s="9" t="s">
        <v>6847</v>
      </c>
      <c r="C3338" s="9" t="s">
        <v>6849</v>
      </c>
      <c r="D3338" s="9" t="s">
        <v>6742</v>
      </c>
      <c r="E3338" s="9" t="s">
        <v>5716</v>
      </c>
      <c r="F3338" s="9" t="s">
        <v>5717</v>
      </c>
      <c r="G3338" s="9" t="s">
        <v>12</v>
      </c>
      <c r="H3338" s="9" t="s">
        <v>6109</v>
      </c>
      <c r="I3338" s="9"/>
      <c r="J3338" s="9" t="s">
        <v>1900</v>
      </c>
      <c r="K3338" s="9"/>
      <c r="L3338" s="9"/>
      <c r="M3338" s="9" t="s">
        <v>5718</v>
      </c>
      <c r="N3338" s="9"/>
      <c r="O3338" s="9" t="s">
        <v>5719</v>
      </c>
      <c r="P3338" s="9" t="str">
        <f>HYPERLINK("https://ceds.ed.gov/cedselementdetails.aspx?termid=13124")</f>
        <v>https://ceds.ed.gov/cedselementdetails.aspx?termid=13124</v>
      </c>
      <c r="Q3338" s="9" t="str">
        <f>HYPERLINK("https://ceds.ed.gov/elementComment.aspx?elementName=Student Course Section Grade Earned &amp;elementID=13124", "Click here to submit comment")</f>
        <v>Click here to submit comment</v>
      </c>
    </row>
    <row r="3339" spans="1:17" ht="135" x14ac:dyDescent="0.25">
      <c r="A3339" s="9" t="s">
        <v>6882</v>
      </c>
      <c r="B3339" s="9" t="s">
        <v>6847</v>
      </c>
      <c r="C3339" s="9" t="s">
        <v>6849</v>
      </c>
      <c r="D3339" s="9" t="s">
        <v>6742</v>
      </c>
      <c r="E3339" s="9" t="s">
        <v>3047</v>
      </c>
      <c r="F3339" s="9" t="s">
        <v>3048</v>
      </c>
      <c r="G3339" s="9" t="s">
        <v>12</v>
      </c>
      <c r="H3339" s="9"/>
      <c r="I3339" s="9"/>
      <c r="J3339" s="9" t="s">
        <v>762</v>
      </c>
      <c r="K3339" s="9"/>
      <c r="L3339" s="9" t="s">
        <v>3049</v>
      </c>
      <c r="M3339" s="9" t="s">
        <v>3050</v>
      </c>
      <c r="N3339" s="9"/>
      <c r="O3339" s="9" t="s">
        <v>3051</v>
      </c>
      <c r="P3339" s="9" t="str">
        <f>HYPERLINK("https://ceds.ed.gov/cedselementdetails.aspx?termid=13609")</f>
        <v>https://ceds.ed.gov/cedselementdetails.aspx?termid=13609</v>
      </c>
      <c r="Q3339" s="9" t="str">
        <f>HYPERLINK("https://ceds.ed.gov/elementComment.aspx?elementName=Grade Value Qualifier &amp;elementID=13609", "Click here to submit comment")</f>
        <v>Click here to submit comment</v>
      </c>
    </row>
    <row r="3340" spans="1:17" ht="285" x14ac:dyDescent="0.25">
      <c r="A3340" s="9" t="s">
        <v>6882</v>
      </c>
      <c r="B3340" s="9" t="s">
        <v>6847</v>
      </c>
      <c r="C3340" s="9" t="s">
        <v>6849</v>
      </c>
      <c r="D3340" s="9" t="s">
        <v>6742</v>
      </c>
      <c r="E3340" s="9" t="s">
        <v>1908</v>
      </c>
      <c r="F3340" s="9" t="s">
        <v>1909</v>
      </c>
      <c r="G3340" s="10" t="s">
        <v>6419</v>
      </c>
      <c r="H3340" s="9"/>
      <c r="I3340" s="9"/>
      <c r="J3340" s="9"/>
      <c r="K3340" s="9"/>
      <c r="L3340" s="9"/>
      <c r="M3340" s="9" t="s">
        <v>1910</v>
      </c>
      <c r="N3340" s="9"/>
      <c r="O3340" s="9" t="s">
        <v>1911</v>
      </c>
      <c r="P3340" s="9" t="str">
        <f>HYPERLINK("https://ceds.ed.gov/cedselementdetails.aspx?termid=14265")</f>
        <v>https://ceds.ed.gov/cedselementdetails.aspx?termid=14265</v>
      </c>
      <c r="Q3340" s="9" t="str">
        <f>HYPERLINK("https://ceds.ed.gov/elementComment.aspx?elementName=Course Academic Grade Status Code &amp;elementID=14265", "Click here to submit comment")</f>
        <v>Click here to submit comment</v>
      </c>
    </row>
    <row r="3341" spans="1:17" ht="105" x14ac:dyDescent="0.25">
      <c r="A3341" s="18" t="s">
        <v>6882</v>
      </c>
      <c r="B3341" s="18" t="s">
        <v>6847</v>
      </c>
      <c r="C3341" s="18" t="s">
        <v>6850</v>
      </c>
      <c r="D3341" s="18" t="s">
        <v>6742</v>
      </c>
      <c r="E3341" s="18" t="s">
        <v>5621</v>
      </c>
      <c r="F3341" s="18" t="s">
        <v>5622</v>
      </c>
      <c r="G3341" s="18" t="s">
        <v>12</v>
      </c>
      <c r="H3341" s="18" t="s">
        <v>6284</v>
      </c>
      <c r="I3341" s="18"/>
      <c r="J3341" s="18" t="s">
        <v>119</v>
      </c>
      <c r="K3341" s="18"/>
      <c r="L3341" s="9" t="s">
        <v>120</v>
      </c>
      <c r="M3341" s="18" t="s">
        <v>5623</v>
      </c>
      <c r="N3341" s="18"/>
      <c r="O3341" s="18" t="s">
        <v>5624</v>
      </c>
      <c r="P3341" s="18" t="str">
        <f>HYPERLINK("https://ceds.ed.gov/cedselementdetails.aspx?termid=13156")</f>
        <v>https://ceds.ed.gov/cedselementdetails.aspx?termid=13156</v>
      </c>
      <c r="Q3341" s="18" t="str">
        <f>HYPERLINK("https://ceds.ed.gov/elementComment.aspx?elementName=Staff Member Identifier &amp;elementID=13156", "Click here to submit comment")</f>
        <v>Click here to submit comment</v>
      </c>
    </row>
    <row r="3342" spans="1:17" x14ac:dyDescent="0.25">
      <c r="A3342" s="18"/>
      <c r="B3342" s="18"/>
      <c r="C3342" s="18"/>
      <c r="D3342" s="18"/>
      <c r="E3342" s="18"/>
      <c r="F3342" s="18"/>
      <c r="G3342" s="18"/>
      <c r="H3342" s="18"/>
      <c r="I3342" s="18"/>
      <c r="J3342" s="18"/>
      <c r="K3342" s="18"/>
      <c r="L3342" s="9"/>
      <c r="M3342" s="18"/>
      <c r="N3342" s="18"/>
      <c r="O3342" s="18"/>
      <c r="P3342" s="18"/>
      <c r="Q3342" s="18"/>
    </row>
    <row r="3343" spans="1:17" ht="90" x14ac:dyDescent="0.25">
      <c r="A3343" s="18"/>
      <c r="B3343" s="18"/>
      <c r="C3343" s="18"/>
      <c r="D3343" s="18"/>
      <c r="E3343" s="18"/>
      <c r="F3343" s="18"/>
      <c r="G3343" s="18"/>
      <c r="H3343" s="18"/>
      <c r="I3343" s="18"/>
      <c r="J3343" s="18"/>
      <c r="K3343" s="18"/>
      <c r="L3343" s="9" t="s">
        <v>121</v>
      </c>
      <c r="M3343" s="18"/>
      <c r="N3343" s="18"/>
      <c r="O3343" s="18"/>
      <c r="P3343" s="18"/>
      <c r="Q3343" s="18"/>
    </row>
    <row r="3344" spans="1:17" ht="345" x14ac:dyDescent="0.25">
      <c r="A3344" s="9" t="s">
        <v>6882</v>
      </c>
      <c r="B3344" s="9" t="s">
        <v>6847</v>
      </c>
      <c r="C3344" s="9" t="s">
        <v>6850</v>
      </c>
      <c r="D3344" s="9" t="s">
        <v>6742</v>
      </c>
      <c r="E3344" s="9" t="s">
        <v>5617</v>
      </c>
      <c r="F3344" s="9" t="s">
        <v>5618</v>
      </c>
      <c r="G3344" s="10" t="s">
        <v>6700</v>
      </c>
      <c r="H3344" s="9" t="s">
        <v>6283</v>
      </c>
      <c r="I3344" s="9"/>
      <c r="J3344" s="9"/>
      <c r="K3344" s="9"/>
      <c r="L3344" s="9"/>
      <c r="M3344" s="9" t="s">
        <v>5619</v>
      </c>
      <c r="N3344" s="9"/>
      <c r="O3344" s="9" t="s">
        <v>5620</v>
      </c>
      <c r="P3344" s="9" t="str">
        <f>HYPERLINK("https://ceds.ed.gov/cedselementdetails.aspx?termid=13162")</f>
        <v>https://ceds.ed.gov/cedselementdetails.aspx?termid=13162</v>
      </c>
      <c r="Q3344" s="9" t="str">
        <f>HYPERLINK("https://ceds.ed.gov/elementComment.aspx?elementName=Staff Member Identification System &amp;elementID=13162", "Click here to submit comment")</f>
        <v>Click here to submit comment</v>
      </c>
    </row>
    <row r="3345" spans="1:17" ht="45" x14ac:dyDescent="0.25">
      <c r="A3345" s="9" t="s">
        <v>6882</v>
      </c>
      <c r="B3345" s="9" t="s">
        <v>6847</v>
      </c>
      <c r="C3345" s="9" t="s">
        <v>6850</v>
      </c>
      <c r="D3345" s="9" t="s">
        <v>6742</v>
      </c>
      <c r="E3345" s="9" t="s">
        <v>1451</v>
      </c>
      <c r="F3345" s="9" t="s">
        <v>1452</v>
      </c>
      <c r="G3345" s="9" t="s">
        <v>12</v>
      </c>
      <c r="H3345" s="9"/>
      <c r="I3345" s="9"/>
      <c r="J3345" s="9" t="s">
        <v>73</v>
      </c>
      <c r="K3345" s="9"/>
      <c r="L3345" s="9"/>
      <c r="M3345" s="9" t="s">
        <v>1453</v>
      </c>
      <c r="N3345" s="9"/>
      <c r="O3345" s="9" t="s">
        <v>1454</v>
      </c>
      <c r="P3345" s="9" t="str">
        <f>HYPERLINK("https://ceds.ed.gov/cedselementdetails.aspx?termid=13517")</f>
        <v>https://ceds.ed.gov/cedselementdetails.aspx?termid=13517</v>
      </c>
      <c r="Q3345" s="9" t="str">
        <f>HYPERLINK("https://ceds.ed.gov/elementComment.aspx?elementName=Assignment Start Date &amp;elementID=13517", "Click here to submit comment")</f>
        <v>Click here to submit comment</v>
      </c>
    </row>
    <row r="3346" spans="1:17" ht="45" x14ac:dyDescent="0.25">
      <c r="A3346" s="9" t="s">
        <v>6882</v>
      </c>
      <c r="B3346" s="9" t="s">
        <v>6847</v>
      </c>
      <c r="C3346" s="9" t="s">
        <v>6850</v>
      </c>
      <c r="D3346" s="9" t="s">
        <v>6742</v>
      </c>
      <c r="E3346" s="9" t="s">
        <v>1447</v>
      </c>
      <c r="F3346" s="9" t="s">
        <v>1448</v>
      </c>
      <c r="G3346" s="9" t="s">
        <v>12</v>
      </c>
      <c r="H3346" s="9"/>
      <c r="I3346" s="9"/>
      <c r="J3346" s="9" t="s">
        <v>73</v>
      </c>
      <c r="K3346" s="9"/>
      <c r="L3346" s="9"/>
      <c r="M3346" s="9" t="s">
        <v>1449</v>
      </c>
      <c r="N3346" s="9"/>
      <c r="O3346" s="9" t="s">
        <v>1450</v>
      </c>
      <c r="P3346" s="9" t="str">
        <f>HYPERLINK("https://ceds.ed.gov/cedselementdetails.aspx?termid=13518")</f>
        <v>https://ceds.ed.gov/cedselementdetails.aspx?termid=13518</v>
      </c>
      <c r="Q3346" s="9" t="str">
        <f>HYPERLINK("https://ceds.ed.gov/elementComment.aspx?elementName=Assignment End Date &amp;elementID=13518", "Click here to submit comment")</f>
        <v>Click here to submit comment</v>
      </c>
    </row>
    <row r="3347" spans="1:17" ht="60" x14ac:dyDescent="0.25">
      <c r="A3347" s="9" t="s">
        <v>6882</v>
      </c>
      <c r="B3347" s="9" t="s">
        <v>6847</v>
      </c>
      <c r="C3347" s="9" t="s">
        <v>6850</v>
      </c>
      <c r="D3347" s="9" t="s">
        <v>6742</v>
      </c>
      <c r="E3347" s="9" t="s">
        <v>5786</v>
      </c>
      <c r="F3347" s="9" t="s">
        <v>5787</v>
      </c>
      <c r="G3347" s="9" t="s">
        <v>6106</v>
      </c>
      <c r="H3347" s="9" t="s">
        <v>5791</v>
      </c>
      <c r="I3347" s="9"/>
      <c r="J3347" s="9"/>
      <c r="K3347" s="9"/>
      <c r="L3347" s="9" t="s">
        <v>5788</v>
      </c>
      <c r="M3347" s="9" t="s">
        <v>5789</v>
      </c>
      <c r="N3347" s="9"/>
      <c r="O3347" s="9" t="s">
        <v>5790</v>
      </c>
      <c r="P3347" s="9" t="str">
        <f>HYPERLINK("https://ceds.ed.gov/cedselementdetails.aspx?termid=13649")</f>
        <v>https://ceds.ed.gov/cedselementdetails.aspx?termid=13649</v>
      </c>
      <c r="Q3347" s="9" t="str">
        <f>HYPERLINK("https://ceds.ed.gov/elementComment.aspx?elementName=Teacher of Record &amp;elementID=13649", "Click here to submit comment")</f>
        <v>Click here to submit comment</v>
      </c>
    </row>
    <row r="3348" spans="1:17" ht="90" x14ac:dyDescent="0.25">
      <c r="A3348" s="9" t="s">
        <v>6882</v>
      </c>
      <c r="B3348" s="9" t="s">
        <v>6847</v>
      </c>
      <c r="C3348" s="9" t="s">
        <v>6850</v>
      </c>
      <c r="D3348" s="9" t="s">
        <v>6742</v>
      </c>
      <c r="E3348" s="9" t="s">
        <v>5813</v>
      </c>
      <c r="F3348" s="9" t="s">
        <v>5814</v>
      </c>
      <c r="G3348" s="10" t="s">
        <v>6712</v>
      </c>
      <c r="H3348" s="9" t="s">
        <v>5791</v>
      </c>
      <c r="I3348" s="9"/>
      <c r="J3348" s="9"/>
      <c r="K3348" s="9"/>
      <c r="L3348" s="9"/>
      <c r="M3348" s="9" t="s">
        <v>5815</v>
      </c>
      <c r="N3348" s="9"/>
      <c r="O3348" s="9" t="s">
        <v>5816</v>
      </c>
      <c r="P3348" s="9" t="str">
        <f>HYPERLINK("https://ceds.ed.gov/cedselementdetails.aspx?termid=13650")</f>
        <v>https://ceds.ed.gov/cedselementdetails.aspx?termid=13650</v>
      </c>
      <c r="Q3348" s="9" t="str">
        <f>HYPERLINK("https://ceds.ed.gov/elementComment.aspx?elementName=Teaching Assignment Role &amp;elementID=13650", "Click here to submit comment")</f>
        <v>Click here to submit comment</v>
      </c>
    </row>
    <row r="3349" spans="1:17" ht="90" x14ac:dyDescent="0.25">
      <c r="A3349" s="9" t="s">
        <v>6882</v>
      </c>
      <c r="B3349" s="9" t="s">
        <v>6847</v>
      </c>
      <c r="C3349" s="9" t="s">
        <v>6850</v>
      </c>
      <c r="D3349" s="9" t="s">
        <v>6742</v>
      </c>
      <c r="E3349" s="9" t="s">
        <v>5805</v>
      </c>
      <c r="F3349" s="9" t="s">
        <v>5806</v>
      </c>
      <c r="G3349" s="9" t="s">
        <v>12</v>
      </c>
      <c r="H3349" s="9" t="s">
        <v>5791</v>
      </c>
      <c r="I3349" s="9"/>
      <c r="J3349" s="9" t="s">
        <v>10496</v>
      </c>
      <c r="K3349" s="9"/>
      <c r="L3349" s="9"/>
      <c r="M3349" s="9" t="s">
        <v>5807</v>
      </c>
      <c r="N3349" s="9"/>
      <c r="O3349" s="9" t="s">
        <v>5808</v>
      </c>
      <c r="P3349" s="9" t="str">
        <f>HYPERLINK("https://ceds.ed.gov/cedselementdetails.aspx?termid=13651")</f>
        <v>https://ceds.ed.gov/cedselementdetails.aspx?termid=13651</v>
      </c>
      <c r="Q3349" s="9" t="str">
        <f>HYPERLINK("https://ceds.ed.gov/elementComment.aspx?elementName=Teaching Assignment Contribution Percentage &amp;elementID=13651", "Click here to submit comment")</f>
        <v>Click here to submit comment</v>
      </c>
    </row>
    <row r="3350" spans="1:17" ht="270" x14ac:dyDescent="0.25">
      <c r="A3350" s="9" t="s">
        <v>6882</v>
      </c>
      <c r="B3350" s="9" t="s">
        <v>6847</v>
      </c>
      <c r="C3350" s="9" t="s">
        <v>6850</v>
      </c>
      <c r="D3350" s="9" t="s">
        <v>6742</v>
      </c>
      <c r="E3350" s="9" t="s">
        <v>1798</v>
      </c>
      <c r="F3350" s="9" t="s">
        <v>1799</v>
      </c>
      <c r="G3350" s="10" t="s">
        <v>6409</v>
      </c>
      <c r="H3350" s="9"/>
      <c r="I3350" s="9"/>
      <c r="J3350" s="9"/>
      <c r="K3350" s="9"/>
      <c r="L3350" s="9"/>
      <c r="M3350" s="9" t="s">
        <v>1800</v>
      </c>
      <c r="N3350" s="9"/>
      <c r="O3350" s="9" t="s">
        <v>1801</v>
      </c>
      <c r="P3350" s="9" t="str">
        <f>HYPERLINK("https://ceds.ed.gov/cedselementdetails.aspx?termid=13615")</f>
        <v>https://ceds.ed.gov/cedselementdetails.aspx?termid=13615</v>
      </c>
      <c r="Q3350" s="9" t="str">
        <f>HYPERLINK("https://ceds.ed.gov/elementComment.aspx?elementName=Classroom Position Type &amp;elementID=13615", "Click here to submit comment")</f>
        <v>Click here to submit comment</v>
      </c>
    </row>
    <row r="3351" spans="1:17" ht="45" x14ac:dyDescent="0.25">
      <c r="A3351" s="9" t="s">
        <v>6882</v>
      </c>
      <c r="B3351" s="9" t="s">
        <v>6847</v>
      </c>
      <c r="C3351" s="9" t="s">
        <v>6830</v>
      </c>
      <c r="D3351" s="9" t="s">
        <v>6742</v>
      </c>
      <c r="E3351" s="9" t="s">
        <v>1455</v>
      </c>
      <c r="F3351" s="9" t="s">
        <v>1456</v>
      </c>
      <c r="G3351" s="9" t="s">
        <v>12</v>
      </c>
      <c r="H3351" s="9"/>
      <c r="I3351" s="9"/>
      <c r="J3351" s="9" t="s">
        <v>73</v>
      </c>
      <c r="K3351" s="9"/>
      <c r="L3351" s="9"/>
      <c r="M3351" s="9" t="s">
        <v>1458</v>
      </c>
      <c r="N3351" s="9"/>
      <c r="O3351" s="9" t="s">
        <v>1459</v>
      </c>
      <c r="P3351" s="9" t="str">
        <f>HYPERLINK("https://ceds.ed.gov/cedselementdetails.aspx?termid=14630")</f>
        <v>https://ceds.ed.gov/cedselementdetails.aspx?termid=14630</v>
      </c>
      <c r="Q3351" s="9" t="str">
        <f>HYPERLINK("https://ceds.ed.gov/elementComment.aspx?elementName=Attendance Event Date &amp;elementID=14630", "Click here to submit comment")</f>
        <v>Click here to submit comment</v>
      </c>
    </row>
    <row r="3352" spans="1:17" ht="120" x14ac:dyDescent="0.25">
      <c r="A3352" s="9" t="s">
        <v>6882</v>
      </c>
      <c r="B3352" s="9" t="s">
        <v>6847</v>
      </c>
      <c r="C3352" s="9" t="s">
        <v>6830</v>
      </c>
      <c r="D3352" s="9" t="s">
        <v>6742</v>
      </c>
      <c r="E3352" s="9" t="s">
        <v>1460</v>
      </c>
      <c r="F3352" s="9" t="s">
        <v>1461</v>
      </c>
      <c r="G3352" s="10" t="s">
        <v>6389</v>
      </c>
      <c r="H3352" s="9"/>
      <c r="I3352" s="9"/>
      <c r="J3352" s="9"/>
      <c r="K3352" s="9"/>
      <c r="L3352" s="9"/>
      <c r="M3352" s="9" t="s">
        <v>1462</v>
      </c>
      <c r="N3352" s="9"/>
      <c r="O3352" s="9" t="s">
        <v>1463</v>
      </c>
      <c r="P3352" s="9" t="str">
        <f>HYPERLINK("https://ceds.ed.gov/cedselementdetails.aspx?termid=13594")</f>
        <v>https://ceds.ed.gov/cedselementdetails.aspx?termid=13594</v>
      </c>
      <c r="Q3352" s="9" t="str">
        <f>HYPERLINK("https://ceds.ed.gov/elementComment.aspx?elementName=Attendance Event Type &amp;elementID=13594", "Click here to submit comment")</f>
        <v>Click here to submit comment</v>
      </c>
    </row>
    <row r="3353" spans="1:17" ht="105" x14ac:dyDescent="0.25">
      <c r="A3353" s="9" t="s">
        <v>6882</v>
      </c>
      <c r="B3353" s="9" t="s">
        <v>6847</v>
      </c>
      <c r="C3353" s="9" t="s">
        <v>6830</v>
      </c>
      <c r="D3353" s="9" t="s">
        <v>6742</v>
      </c>
      <c r="E3353" s="9" t="s">
        <v>1464</v>
      </c>
      <c r="F3353" s="9" t="s">
        <v>1465</v>
      </c>
      <c r="G3353" s="10" t="s">
        <v>6390</v>
      </c>
      <c r="H3353" s="9"/>
      <c r="I3353" s="9"/>
      <c r="J3353" s="9"/>
      <c r="K3353" s="9"/>
      <c r="L3353" s="9"/>
      <c r="M3353" s="9" t="s">
        <v>1466</v>
      </c>
      <c r="N3353" s="9"/>
      <c r="O3353" s="9" t="s">
        <v>1467</v>
      </c>
      <c r="P3353" s="9" t="str">
        <f>HYPERLINK("https://ceds.ed.gov/cedselementdetails.aspx?termid=13076")</f>
        <v>https://ceds.ed.gov/cedselementdetails.aspx?termid=13076</v>
      </c>
      <c r="Q3353" s="9" t="str">
        <f>HYPERLINK("https://ceds.ed.gov/elementComment.aspx?elementName=Attendance Status &amp;elementID=13076", "Click here to submit comment")</f>
        <v>Click here to submit comment</v>
      </c>
    </row>
    <row r="3354" spans="1:17" ht="360" x14ac:dyDescent="0.25">
      <c r="A3354" s="9" t="s">
        <v>6882</v>
      </c>
      <c r="B3354" s="9" t="s">
        <v>6769</v>
      </c>
      <c r="C3354" s="9"/>
      <c r="D3354" s="9" t="s">
        <v>6742</v>
      </c>
      <c r="E3354" s="9" t="s">
        <v>1627</v>
      </c>
      <c r="F3354" s="9" t="s">
        <v>1628</v>
      </c>
      <c r="G3354" s="10" t="s">
        <v>6396</v>
      </c>
      <c r="H3354" s="9"/>
      <c r="I3354" s="9"/>
      <c r="J3354" s="9"/>
      <c r="K3354" s="9"/>
      <c r="L3354" s="9" t="s">
        <v>1629</v>
      </c>
      <c r="M3354" s="9" t="s">
        <v>1630</v>
      </c>
      <c r="N3354" s="9"/>
      <c r="O3354" s="9" t="s">
        <v>1631</v>
      </c>
      <c r="P3354" s="9" t="str">
        <f>HYPERLINK("https://ceds.ed.gov/cedselementdetails.aspx?termid=14254")</f>
        <v>https://ceds.ed.gov/cedselementdetails.aspx?termid=14254</v>
      </c>
      <c r="Q3354" s="9" t="str">
        <f>HYPERLINK("https://ceds.ed.gov/elementComment.aspx?elementName=Career Cluster &amp;elementID=14254", "Click here to submit comment")</f>
        <v>Click here to submit comment</v>
      </c>
    </row>
    <row r="3355" spans="1:17" ht="195" x14ac:dyDescent="0.25">
      <c r="A3355" s="9" t="s">
        <v>2996</v>
      </c>
      <c r="B3355" s="9" t="s">
        <v>6889</v>
      </c>
      <c r="C3355" s="9" t="s">
        <v>6741</v>
      </c>
      <c r="D3355" s="9" t="s">
        <v>6742</v>
      </c>
      <c r="E3355" s="9" t="s">
        <v>2935</v>
      </c>
      <c r="F3355" s="9" t="s">
        <v>2936</v>
      </c>
      <c r="G3355" s="9" t="s">
        <v>12</v>
      </c>
      <c r="H3355" s="9" t="s">
        <v>6211</v>
      </c>
      <c r="I3355" s="9"/>
      <c r="J3355" s="9" t="s">
        <v>1310</v>
      </c>
      <c r="K3355" s="9"/>
      <c r="L3355" s="9" t="s">
        <v>2937</v>
      </c>
      <c r="M3355" s="9" t="s">
        <v>2938</v>
      </c>
      <c r="N3355" s="9"/>
      <c r="O3355" s="9" t="s">
        <v>2939</v>
      </c>
      <c r="P3355" s="9" t="str">
        <f>HYPERLINK("https://ceds.ed.gov/cedselementdetails.aspx?termid=13115")</f>
        <v>https://ceds.ed.gov/cedselementdetails.aspx?termid=13115</v>
      </c>
      <c r="Q3355" s="9" t="str">
        <f>HYPERLINK("https://ceds.ed.gov/elementComment.aspx?elementName=First Name &amp;elementID=13115", "Click here to submit comment")</f>
        <v>Click here to submit comment</v>
      </c>
    </row>
    <row r="3356" spans="1:17" ht="90" customHeight="1" x14ac:dyDescent="0.25">
      <c r="A3356" s="18" t="s">
        <v>2996</v>
      </c>
      <c r="B3356" s="18" t="s">
        <v>6889</v>
      </c>
      <c r="C3356" s="18" t="s">
        <v>6741</v>
      </c>
      <c r="D3356" s="18" t="s">
        <v>6742</v>
      </c>
      <c r="E3356" s="18" t="s">
        <v>4183</v>
      </c>
      <c r="F3356" s="18" t="s">
        <v>4184</v>
      </c>
      <c r="G3356" s="18" t="s">
        <v>12</v>
      </c>
      <c r="H3356" s="18" t="s">
        <v>6211</v>
      </c>
      <c r="I3356" s="18"/>
      <c r="J3356" s="18" t="s">
        <v>1310</v>
      </c>
      <c r="K3356" s="18"/>
      <c r="L3356" s="9" t="s">
        <v>2996</v>
      </c>
      <c r="M3356" s="18" t="s">
        <v>4185</v>
      </c>
      <c r="N3356" s="18"/>
      <c r="O3356" s="18" t="s">
        <v>4186</v>
      </c>
      <c r="P3356" s="18" t="str">
        <f>HYPERLINK("https://ceds.ed.gov/cedselementdetails.aspx?termid=13184")</f>
        <v>https://ceds.ed.gov/cedselementdetails.aspx?termid=13184</v>
      </c>
      <c r="Q3356" s="18" t="str">
        <f>HYPERLINK("https://ceds.ed.gov/elementComment.aspx?elementName=Middle Name &amp;elementID=13184", "Click here to submit comment")</f>
        <v>Click here to submit comment</v>
      </c>
    </row>
    <row r="3357" spans="1:17" ht="90" x14ac:dyDescent="0.25">
      <c r="A3357" s="18"/>
      <c r="B3357" s="18"/>
      <c r="C3357" s="18"/>
      <c r="D3357" s="18"/>
      <c r="E3357" s="18"/>
      <c r="F3357" s="18"/>
      <c r="G3357" s="18"/>
      <c r="H3357" s="18"/>
      <c r="I3357" s="18"/>
      <c r="J3357" s="18"/>
      <c r="K3357" s="18"/>
      <c r="L3357" s="9" t="s">
        <v>2997</v>
      </c>
      <c r="M3357" s="18"/>
      <c r="N3357" s="18"/>
      <c r="O3357" s="18"/>
      <c r="P3357" s="18"/>
      <c r="Q3357" s="18"/>
    </row>
    <row r="3358" spans="1:17" ht="90" customHeight="1" x14ac:dyDescent="0.25">
      <c r="A3358" s="18" t="s">
        <v>2996</v>
      </c>
      <c r="B3358" s="18" t="s">
        <v>6889</v>
      </c>
      <c r="C3358" s="18" t="s">
        <v>6741</v>
      </c>
      <c r="D3358" s="18" t="s">
        <v>6742</v>
      </c>
      <c r="E3358" s="18" t="s">
        <v>3597</v>
      </c>
      <c r="F3358" s="18" t="s">
        <v>3598</v>
      </c>
      <c r="G3358" s="18" t="s">
        <v>12</v>
      </c>
      <c r="H3358" s="18" t="s">
        <v>6211</v>
      </c>
      <c r="I3358" s="18"/>
      <c r="J3358" s="18" t="s">
        <v>1310</v>
      </c>
      <c r="K3358" s="18"/>
      <c r="L3358" s="9" t="s">
        <v>2996</v>
      </c>
      <c r="M3358" s="18" t="s">
        <v>3599</v>
      </c>
      <c r="N3358" s="18" t="s">
        <v>3600</v>
      </c>
      <c r="O3358" s="18" t="s">
        <v>3601</v>
      </c>
      <c r="P3358" s="18" t="str">
        <f>HYPERLINK("https://ceds.ed.gov/cedselementdetails.aspx?termid=13172")</f>
        <v>https://ceds.ed.gov/cedselementdetails.aspx?termid=13172</v>
      </c>
      <c r="Q3358" s="18" t="str">
        <f>HYPERLINK("https://ceds.ed.gov/elementComment.aspx?elementName=Last or Surname &amp;elementID=13172", "Click here to submit comment")</f>
        <v>Click here to submit comment</v>
      </c>
    </row>
    <row r="3359" spans="1:17" ht="90" x14ac:dyDescent="0.25">
      <c r="A3359" s="18"/>
      <c r="B3359" s="18"/>
      <c r="C3359" s="18"/>
      <c r="D3359" s="18"/>
      <c r="E3359" s="18"/>
      <c r="F3359" s="18"/>
      <c r="G3359" s="18"/>
      <c r="H3359" s="18"/>
      <c r="I3359" s="18"/>
      <c r="J3359" s="18"/>
      <c r="K3359" s="18"/>
      <c r="L3359" s="9" t="s">
        <v>2997</v>
      </c>
      <c r="M3359" s="18"/>
      <c r="N3359" s="18"/>
      <c r="O3359" s="18"/>
      <c r="P3359" s="18"/>
      <c r="Q3359" s="18"/>
    </row>
    <row r="3360" spans="1:17" ht="45" customHeight="1" x14ac:dyDescent="0.25">
      <c r="A3360" s="18" t="s">
        <v>2996</v>
      </c>
      <c r="B3360" s="18" t="s">
        <v>6889</v>
      </c>
      <c r="C3360" s="18" t="s">
        <v>6741</v>
      </c>
      <c r="D3360" s="18" t="s">
        <v>6742</v>
      </c>
      <c r="E3360" s="18" t="s">
        <v>2994</v>
      </c>
      <c r="F3360" s="18" t="s">
        <v>2995</v>
      </c>
      <c r="G3360" s="18" t="s">
        <v>12</v>
      </c>
      <c r="H3360" s="18" t="s">
        <v>6212</v>
      </c>
      <c r="I3360" s="18"/>
      <c r="J3360" s="18" t="s">
        <v>2088</v>
      </c>
      <c r="K3360" s="18"/>
      <c r="L3360" s="9" t="s">
        <v>2996</v>
      </c>
      <c r="M3360" s="18" t="s">
        <v>2998</v>
      </c>
      <c r="N3360" s="18"/>
      <c r="O3360" s="18" t="s">
        <v>2999</v>
      </c>
      <c r="P3360" s="18" t="str">
        <f>HYPERLINK("https://ceds.ed.gov/cedselementdetails.aspx?termid=13121")</f>
        <v>https://ceds.ed.gov/cedselementdetails.aspx?termid=13121</v>
      </c>
      <c r="Q3360" s="18" t="str">
        <f>HYPERLINK("https://ceds.ed.gov/elementComment.aspx?elementName=Generation Code or Suffix &amp;elementID=13121", "Click here to submit comment")</f>
        <v>Click here to submit comment</v>
      </c>
    </row>
    <row r="3361" spans="1:17" ht="90" x14ac:dyDescent="0.25">
      <c r="A3361" s="18"/>
      <c r="B3361" s="18"/>
      <c r="C3361" s="18"/>
      <c r="D3361" s="18"/>
      <c r="E3361" s="18"/>
      <c r="F3361" s="18"/>
      <c r="G3361" s="18"/>
      <c r="H3361" s="18"/>
      <c r="I3361" s="18"/>
      <c r="J3361" s="18"/>
      <c r="K3361" s="18"/>
      <c r="L3361" s="9" t="s">
        <v>2997</v>
      </c>
      <c r="M3361" s="18"/>
      <c r="N3361" s="18"/>
      <c r="O3361" s="18"/>
      <c r="P3361" s="18"/>
      <c r="Q3361" s="18"/>
    </row>
    <row r="3362" spans="1:17" ht="105" x14ac:dyDescent="0.25">
      <c r="A3362" s="9" t="s">
        <v>2996</v>
      </c>
      <c r="B3362" s="9" t="s">
        <v>6889</v>
      </c>
      <c r="C3362" s="9" t="s">
        <v>6741</v>
      </c>
      <c r="D3362" s="9" t="s">
        <v>6742</v>
      </c>
      <c r="E3362" s="9" t="s">
        <v>4610</v>
      </c>
      <c r="F3362" s="9" t="s">
        <v>4611</v>
      </c>
      <c r="G3362" s="9" t="s">
        <v>12</v>
      </c>
      <c r="H3362" s="9" t="s">
        <v>6255</v>
      </c>
      <c r="I3362" s="9"/>
      <c r="J3362" s="9" t="s">
        <v>87</v>
      </c>
      <c r="K3362" s="9"/>
      <c r="L3362" s="9"/>
      <c r="M3362" s="9" t="s">
        <v>4612</v>
      </c>
      <c r="N3362" s="9" t="s">
        <v>4613</v>
      </c>
      <c r="O3362" s="9" t="s">
        <v>4614</v>
      </c>
      <c r="P3362" s="9" t="str">
        <f>HYPERLINK("https://ceds.ed.gov/cedselementdetails.aspx?termid=13212")</f>
        <v>https://ceds.ed.gov/cedselementdetails.aspx?termid=13212</v>
      </c>
      <c r="Q3362" s="9" t="str">
        <f>HYPERLINK("https://ceds.ed.gov/elementComment.aspx?elementName=Personal Title or Prefix &amp;elementID=13212", "Click here to submit comment")</f>
        <v>Click here to submit comment</v>
      </c>
    </row>
    <row r="3363" spans="1:17" ht="45" x14ac:dyDescent="0.25">
      <c r="A3363" s="9" t="s">
        <v>2996</v>
      </c>
      <c r="B3363" s="9" t="s">
        <v>6889</v>
      </c>
      <c r="C3363" s="9" t="s">
        <v>6743</v>
      </c>
      <c r="D3363" s="9" t="s">
        <v>6742</v>
      </c>
      <c r="E3363" s="9" t="s">
        <v>4481</v>
      </c>
      <c r="F3363" s="9" t="s">
        <v>4482</v>
      </c>
      <c r="G3363" s="9" t="s">
        <v>12</v>
      </c>
      <c r="H3363" s="9"/>
      <c r="I3363" s="9"/>
      <c r="J3363" s="9" t="s">
        <v>1310</v>
      </c>
      <c r="K3363" s="9"/>
      <c r="L3363" s="9" t="s">
        <v>4483</v>
      </c>
      <c r="M3363" s="9" t="s">
        <v>4484</v>
      </c>
      <c r="N3363" s="9"/>
      <c r="O3363" s="9" t="s">
        <v>4485</v>
      </c>
      <c r="P3363" s="9" t="str">
        <f>HYPERLINK("https://ceds.ed.gov/cedselementdetails.aspx?termid=14486")</f>
        <v>https://ceds.ed.gov/cedselementdetails.aspx?termid=14486</v>
      </c>
      <c r="Q3363" s="9" t="str">
        <f>HYPERLINK("https://ceds.ed.gov/elementComment.aspx?elementName=Other First Name &amp;elementID=14486", "Click here to submit comment")</f>
        <v>Click here to submit comment</v>
      </c>
    </row>
    <row r="3364" spans="1:17" ht="45" x14ac:dyDescent="0.25">
      <c r="A3364" s="9" t="s">
        <v>2996</v>
      </c>
      <c r="B3364" s="9" t="s">
        <v>6889</v>
      </c>
      <c r="C3364" s="9" t="s">
        <v>6743</v>
      </c>
      <c r="D3364" s="9" t="s">
        <v>6742</v>
      </c>
      <c r="E3364" s="9" t="s">
        <v>4491</v>
      </c>
      <c r="F3364" s="9" t="s">
        <v>4492</v>
      </c>
      <c r="G3364" s="9" t="s">
        <v>12</v>
      </c>
      <c r="H3364" s="9"/>
      <c r="I3364" s="9"/>
      <c r="J3364" s="9" t="s">
        <v>1310</v>
      </c>
      <c r="K3364" s="9"/>
      <c r="L3364" s="9" t="s">
        <v>4493</v>
      </c>
      <c r="M3364" s="9" t="s">
        <v>4494</v>
      </c>
      <c r="N3364" s="9"/>
      <c r="O3364" s="9" t="s">
        <v>4495</v>
      </c>
      <c r="P3364" s="9" t="str">
        <f>HYPERLINK("https://ceds.ed.gov/cedselementdetails.aspx?termid=14487")</f>
        <v>https://ceds.ed.gov/cedselementdetails.aspx?termid=14487</v>
      </c>
      <c r="Q3364" s="9" t="str">
        <f>HYPERLINK("https://ceds.ed.gov/elementComment.aspx?elementName=Other Middle Name &amp;elementID=14487", "Click here to submit comment")</f>
        <v>Click here to submit comment</v>
      </c>
    </row>
    <row r="3365" spans="1:17" ht="45" x14ac:dyDescent="0.25">
      <c r="A3365" s="9" t="s">
        <v>2996</v>
      </c>
      <c r="B3365" s="9" t="s">
        <v>6889</v>
      </c>
      <c r="C3365" s="9" t="s">
        <v>6743</v>
      </c>
      <c r="D3365" s="9" t="s">
        <v>6742</v>
      </c>
      <c r="E3365" s="9" t="s">
        <v>4486</v>
      </c>
      <c r="F3365" s="9" t="s">
        <v>4487</v>
      </c>
      <c r="G3365" s="9" t="s">
        <v>12</v>
      </c>
      <c r="H3365" s="9"/>
      <c r="I3365" s="9"/>
      <c r="J3365" s="9" t="s">
        <v>1310</v>
      </c>
      <c r="K3365" s="9"/>
      <c r="L3365" s="9" t="s">
        <v>4488</v>
      </c>
      <c r="M3365" s="9" t="s">
        <v>4489</v>
      </c>
      <c r="N3365" s="9"/>
      <c r="O3365" s="9" t="s">
        <v>4490</v>
      </c>
      <c r="P3365" s="9" t="str">
        <f>HYPERLINK("https://ceds.ed.gov/cedselementdetails.aspx?termid=14485")</f>
        <v>https://ceds.ed.gov/cedselementdetails.aspx?termid=14485</v>
      </c>
      <c r="Q3365" s="9" t="str">
        <f>HYPERLINK("https://ceds.ed.gov/elementComment.aspx?elementName=Other Last Name &amp;elementID=14485", "Click here to submit comment")</f>
        <v>Click here to submit comment</v>
      </c>
    </row>
    <row r="3366" spans="1:17" ht="150" x14ac:dyDescent="0.25">
      <c r="A3366" s="9" t="s">
        <v>2996</v>
      </c>
      <c r="B3366" s="9" t="s">
        <v>6889</v>
      </c>
      <c r="C3366" s="9" t="s">
        <v>6743</v>
      </c>
      <c r="D3366" s="9" t="s">
        <v>6742</v>
      </c>
      <c r="E3366" s="9" t="s">
        <v>4496</v>
      </c>
      <c r="F3366" s="9" t="s">
        <v>4497</v>
      </c>
      <c r="G3366" s="9" t="s">
        <v>12</v>
      </c>
      <c r="H3366" s="9" t="s">
        <v>6212</v>
      </c>
      <c r="I3366" s="9"/>
      <c r="J3366" s="9" t="s">
        <v>119</v>
      </c>
      <c r="K3366" s="9"/>
      <c r="L3366" s="9"/>
      <c r="M3366" s="9" t="s">
        <v>4498</v>
      </c>
      <c r="N3366" s="9"/>
      <c r="O3366" s="9" t="s">
        <v>4499</v>
      </c>
      <c r="P3366" s="9" t="str">
        <f>HYPERLINK("https://ceds.ed.gov/cedselementdetails.aspx?termid=13206")</f>
        <v>https://ceds.ed.gov/cedselementdetails.aspx?termid=13206</v>
      </c>
      <c r="Q3366" s="9" t="str">
        <f>HYPERLINK("https://ceds.ed.gov/elementComment.aspx?elementName=Other Name &amp;elementID=13206", "Click here to submit comment")</f>
        <v>Click here to submit comment</v>
      </c>
    </row>
    <row r="3367" spans="1:17" ht="165" x14ac:dyDescent="0.25">
      <c r="A3367" s="9" t="s">
        <v>2996</v>
      </c>
      <c r="B3367" s="9" t="s">
        <v>6889</v>
      </c>
      <c r="C3367" s="9" t="s">
        <v>6743</v>
      </c>
      <c r="D3367" s="9" t="s">
        <v>6742</v>
      </c>
      <c r="E3367" s="9" t="s">
        <v>4500</v>
      </c>
      <c r="F3367" s="9" t="s">
        <v>4501</v>
      </c>
      <c r="G3367" s="10" t="s">
        <v>6630</v>
      </c>
      <c r="H3367" s="9" t="s">
        <v>6251</v>
      </c>
      <c r="I3367" s="9"/>
      <c r="J3367" s="9" t="s">
        <v>87</v>
      </c>
      <c r="K3367" s="9"/>
      <c r="L3367" s="9"/>
      <c r="M3367" s="9" t="s">
        <v>4502</v>
      </c>
      <c r="N3367" s="9"/>
      <c r="O3367" s="9" t="s">
        <v>4503</v>
      </c>
      <c r="P3367" s="9" t="str">
        <f>HYPERLINK("https://ceds.ed.gov/cedselementdetails.aspx?termid=13627")</f>
        <v>https://ceds.ed.gov/cedselementdetails.aspx?termid=13627</v>
      </c>
      <c r="Q3367" s="9" t="str">
        <f>HYPERLINK("https://ceds.ed.gov/elementComment.aspx?elementName=Other Name Type &amp;elementID=13627", "Click here to submit comment")</f>
        <v>Click here to submit comment</v>
      </c>
    </row>
    <row r="3368" spans="1:17" ht="255" x14ac:dyDescent="0.25">
      <c r="A3368" s="9" t="s">
        <v>2996</v>
      </c>
      <c r="B3368" s="9" t="s">
        <v>6889</v>
      </c>
      <c r="C3368" s="9" t="s">
        <v>6744</v>
      </c>
      <c r="D3368" s="9" t="s">
        <v>6742</v>
      </c>
      <c r="E3368" s="9" t="s">
        <v>4606</v>
      </c>
      <c r="F3368" s="9" t="s">
        <v>4607</v>
      </c>
      <c r="G3368" s="10" t="s">
        <v>6637</v>
      </c>
      <c r="H3368" s="9"/>
      <c r="I3368" s="9"/>
      <c r="J3368" s="9"/>
      <c r="K3368" s="9"/>
      <c r="L3368" s="9"/>
      <c r="M3368" s="9" t="s">
        <v>4608</v>
      </c>
      <c r="N3368" s="9"/>
      <c r="O3368" s="9" t="s">
        <v>4609</v>
      </c>
      <c r="P3368" s="9" t="str">
        <f>HYPERLINK("https://ceds.ed.gov/cedselementdetails.aspx?termid=13611")</f>
        <v>https://ceds.ed.gov/cedselementdetails.aspx?termid=13611</v>
      </c>
      <c r="Q3368" s="9" t="str">
        <f>HYPERLINK("https://ceds.ed.gov/elementComment.aspx?elementName=Personal Information Verification &amp;elementID=13611", "Click here to submit comment")</f>
        <v>Click here to submit comment</v>
      </c>
    </row>
    <row r="3369" spans="1:17" ht="375" x14ac:dyDescent="0.25">
      <c r="A3369" s="9" t="s">
        <v>2996</v>
      </c>
      <c r="B3369" s="9" t="s">
        <v>6889</v>
      </c>
      <c r="C3369" s="9" t="s">
        <v>6744</v>
      </c>
      <c r="D3369" s="9" t="s">
        <v>6746</v>
      </c>
      <c r="E3369" s="9" t="s">
        <v>4583</v>
      </c>
      <c r="F3369" s="9" t="s">
        <v>4584</v>
      </c>
      <c r="G3369" s="10" t="s">
        <v>6635</v>
      </c>
      <c r="H3369" s="9"/>
      <c r="I3369" s="9"/>
      <c r="J3369" s="9"/>
      <c r="K3369" s="9"/>
      <c r="L3369" s="9"/>
      <c r="M3369" s="9" t="s">
        <v>4585</v>
      </c>
      <c r="N3369" s="9"/>
      <c r="O3369" s="9" t="s">
        <v>4586</v>
      </c>
      <c r="P3369" s="9" t="str">
        <f>HYPERLINK("https://ceds.ed.gov/cedselementdetails.aspx?termid=14550")</f>
        <v>https://ceds.ed.gov/cedselementdetails.aspx?termid=14550</v>
      </c>
      <c r="Q3369" s="9" t="str">
        <f>HYPERLINK("https://ceds.ed.gov/elementComment.aspx?elementName=Person Identification System &amp;elementID=14550", "Click here to submit comment")</f>
        <v>Click here to submit comment</v>
      </c>
    </row>
    <row r="3370" spans="1:17" ht="105" x14ac:dyDescent="0.25">
      <c r="A3370" s="18" t="s">
        <v>2996</v>
      </c>
      <c r="B3370" s="18" t="s">
        <v>6889</v>
      </c>
      <c r="C3370" s="18" t="s">
        <v>6744</v>
      </c>
      <c r="D3370" s="18" t="s">
        <v>6746</v>
      </c>
      <c r="E3370" s="18" t="s">
        <v>4587</v>
      </c>
      <c r="F3370" s="18" t="s">
        <v>4588</v>
      </c>
      <c r="G3370" s="18" t="s">
        <v>12</v>
      </c>
      <c r="H3370" s="18"/>
      <c r="I3370" s="18"/>
      <c r="J3370" s="18" t="s">
        <v>119</v>
      </c>
      <c r="K3370" s="18"/>
      <c r="L3370" s="9" t="s">
        <v>120</v>
      </c>
      <c r="M3370" s="18" t="s">
        <v>4589</v>
      </c>
      <c r="N3370" s="18"/>
      <c r="O3370" s="18" t="s">
        <v>4590</v>
      </c>
      <c r="P3370" s="18" t="str">
        <f>HYPERLINK("https://ceds.ed.gov/cedselementdetails.aspx?termid=14551")</f>
        <v>https://ceds.ed.gov/cedselementdetails.aspx?termid=14551</v>
      </c>
      <c r="Q3370" s="18" t="str">
        <f>HYPERLINK("https://ceds.ed.gov/elementComment.aspx?elementName=Person Identifier &amp;elementID=14551", "Click here to submit comment")</f>
        <v>Click here to submit comment</v>
      </c>
    </row>
    <row r="3371" spans="1:17" x14ac:dyDescent="0.25">
      <c r="A3371" s="18"/>
      <c r="B3371" s="18"/>
      <c r="C3371" s="18"/>
      <c r="D3371" s="18"/>
      <c r="E3371" s="18"/>
      <c r="F3371" s="18"/>
      <c r="G3371" s="18"/>
      <c r="H3371" s="18"/>
      <c r="I3371" s="18"/>
      <c r="J3371" s="18"/>
      <c r="K3371" s="18"/>
      <c r="L3371" s="9"/>
      <c r="M3371" s="18"/>
      <c r="N3371" s="18"/>
      <c r="O3371" s="18"/>
      <c r="P3371" s="18"/>
      <c r="Q3371" s="18"/>
    </row>
    <row r="3372" spans="1:17" ht="90" x14ac:dyDescent="0.25">
      <c r="A3372" s="18"/>
      <c r="B3372" s="18"/>
      <c r="C3372" s="18"/>
      <c r="D3372" s="18"/>
      <c r="E3372" s="18"/>
      <c r="F3372" s="18"/>
      <c r="G3372" s="18"/>
      <c r="H3372" s="18"/>
      <c r="I3372" s="18"/>
      <c r="J3372" s="18"/>
      <c r="K3372" s="18"/>
      <c r="L3372" s="9" t="s">
        <v>121</v>
      </c>
      <c r="M3372" s="18"/>
      <c r="N3372" s="18"/>
      <c r="O3372" s="18"/>
      <c r="P3372" s="18"/>
      <c r="Q3372" s="18"/>
    </row>
    <row r="3373" spans="1:17" ht="409.5" x14ac:dyDescent="0.25">
      <c r="A3373" s="9" t="s">
        <v>2996</v>
      </c>
      <c r="B3373" s="9" t="s">
        <v>6889</v>
      </c>
      <c r="C3373" s="9" t="s">
        <v>6875</v>
      </c>
      <c r="D3373" s="9" t="s">
        <v>6742</v>
      </c>
      <c r="E3373" s="9" t="s">
        <v>11781</v>
      </c>
      <c r="F3373" s="9" t="s">
        <v>6084</v>
      </c>
      <c r="G3373" s="10" t="s">
        <v>6738</v>
      </c>
      <c r="H3373" s="9"/>
      <c r="I3373" s="9"/>
      <c r="J3373" s="9"/>
      <c r="K3373" s="9"/>
      <c r="L3373" s="9" t="s">
        <v>6086</v>
      </c>
      <c r="M3373" s="9" t="s">
        <v>6087</v>
      </c>
      <c r="N3373" s="9"/>
      <c r="O3373" s="9" t="s">
        <v>11782</v>
      </c>
      <c r="P3373" s="9" t="str">
        <f>HYPERLINK("https://ceds.ed.gov/cedselementdetails.aspx?termid=14000")</f>
        <v>https://ceds.ed.gov/cedselementdetails.aspx?termid=14000</v>
      </c>
      <c r="Q3373" s="9" t="str">
        <f>HYPERLINK("https://ceds.ed.gov/elementComment.aspx?elementName=Workforce Program Type &amp;elementID=14000", "Click here to submit comment")</f>
        <v>Click here to submit comment</v>
      </c>
    </row>
    <row r="3374" spans="1:17" ht="180" x14ac:dyDescent="0.25">
      <c r="A3374" s="9" t="s">
        <v>2996</v>
      </c>
      <c r="B3374" s="9" t="s">
        <v>6889</v>
      </c>
      <c r="C3374" s="9" t="s">
        <v>6875</v>
      </c>
      <c r="D3374" s="9" t="s">
        <v>6742</v>
      </c>
      <c r="E3374" s="9" t="s">
        <v>6093</v>
      </c>
      <c r="F3374" s="9" t="s">
        <v>6094</v>
      </c>
      <c r="G3374" s="9" t="s">
        <v>12</v>
      </c>
      <c r="H3374" s="9"/>
      <c r="I3374" s="9"/>
      <c r="J3374" s="9" t="s">
        <v>73</v>
      </c>
      <c r="K3374" s="9"/>
      <c r="L3374" s="9" t="s">
        <v>6090</v>
      </c>
      <c r="M3374" s="9" t="s">
        <v>6095</v>
      </c>
      <c r="N3374" s="9"/>
      <c r="O3374" s="9" t="s">
        <v>6096</v>
      </c>
      <c r="P3374" s="9" t="str">
        <f>HYPERLINK("https://ceds.ed.gov/cedselementdetails.aspx?termid=14001")</f>
        <v>https://ceds.ed.gov/cedselementdetails.aspx?termid=14001</v>
      </c>
      <c r="Q3374" s="9" t="str">
        <f>HYPERLINK("https://ceds.ed.gov/elementComment.aspx?elementName=Workforce Program Participation Start Date &amp;elementID=14001", "Click here to submit comment")</f>
        <v>Click here to submit comment</v>
      </c>
    </row>
    <row r="3375" spans="1:17" ht="180" x14ac:dyDescent="0.25">
      <c r="A3375" s="9" t="s">
        <v>2996</v>
      </c>
      <c r="B3375" s="9" t="s">
        <v>6889</v>
      </c>
      <c r="C3375" s="9" t="s">
        <v>6875</v>
      </c>
      <c r="D3375" s="9" t="s">
        <v>6742</v>
      </c>
      <c r="E3375" s="9" t="s">
        <v>6088</v>
      </c>
      <c r="F3375" s="9" t="s">
        <v>6089</v>
      </c>
      <c r="G3375" s="9" t="s">
        <v>12</v>
      </c>
      <c r="H3375" s="9"/>
      <c r="I3375" s="9"/>
      <c r="J3375" s="9" t="s">
        <v>73</v>
      </c>
      <c r="K3375" s="9"/>
      <c r="L3375" s="9" t="s">
        <v>6090</v>
      </c>
      <c r="M3375" s="9" t="s">
        <v>6091</v>
      </c>
      <c r="N3375" s="9"/>
      <c r="O3375" s="9" t="s">
        <v>6092</v>
      </c>
      <c r="P3375" s="9" t="str">
        <f>HYPERLINK("https://ceds.ed.gov/cedselementdetails.aspx?termid=14002")</f>
        <v>https://ceds.ed.gov/cedselementdetails.aspx?termid=14002</v>
      </c>
      <c r="Q3375" s="9" t="str">
        <f>HYPERLINK("https://ceds.ed.gov/elementComment.aspx?elementName=Workforce Program Participation End Date &amp;elementID=14002", "Click here to submit comment")</f>
        <v>Click here to submit comment</v>
      </c>
    </row>
    <row r="3376" spans="1:17" ht="75" x14ac:dyDescent="0.25">
      <c r="A3376" s="9" t="s">
        <v>2996</v>
      </c>
      <c r="B3376" s="9" t="s">
        <v>6889</v>
      </c>
      <c r="C3376" s="9" t="s">
        <v>6875</v>
      </c>
      <c r="D3376" s="9" t="s">
        <v>6742</v>
      </c>
      <c r="E3376" s="9" t="s">
        <v>1644</v>
      </c>
      <c r="F3376" s="9" t="s">
        <v>1645</v>
      </c>
      <c r="G3376" s="9" t="s">
        <v>6106</v>
      </c>
      <c r="H3376" s="9"/>
      <c r="I3376" s="9"/>
      <c r="J3376" s="9"/>
      <c r="K3376" s="9"/>
      <c r="L3376" s="9"/>
      <c r="M3376" s="9" t="s">
        <v>1646</v>
      </c>
      <c r="N3376" s="9"/>
      <c r="O3376" s="9" t="s">
        <v>1647</v>
      </c>
      <c r="P3376" s="9" t="str">
        <f>HYPERLINK("https://ceds.ed.gov/cedselementdetails.aspx?termid=14257")</f>
        <v>https://ceds.ed.gov/cedselementdetails.aspx?termid=14257</v>
      </c>
      <c r="Q3376" s="9" t="str">
        <f>HYPERLINK("https://ceds.ed.gov/elementComment.aspx?elementName=Career Pathways Program Participation Indicator &amp;elementID=14257", "Click here to submit comment")</f>
        <v>Click here to submit comment</v>
      </c>
    </row>
    <row r="3377" spans="1:17" ht="45" x14ac:dyDescent="0.25">
      <c r="A3377" s="9" t="s">
        <v>2996</v>
      </c>
      <c r="B3377" s="9" t="s">
        <v>6889</v>
      </c>
      <c r="C3377" s="9" t="s">
        <v>6875</v>
      </c>
      <c r="D3377" s="9" t="s">
        <v>6742</v>
      </c>
      <c r="E3377" s="9" t="s">
        <v>1648</v>
      </c>
      <c r="F3377" s="9" t="s">
        <v>1649</v>
      </c>
      <c r="G3377" s="9" t="s">
        <v>12</v>
      </c>
      <c r="H3377" s="9"/>
      <c r="I3377" s="9"/>
      <c r="J3377" s="9" t="s">
        <v>73</v>
      </c>
      <c r="K3377" s="9"/>
      <c r="L3377" s="9"/>
      <c r="M3377" s="9" t="s">
        <v>1650</v>
      </c>
      <c r="N3377" s="9"/>
      <c r="O3377" s="9" t="s">
        <v>1651</v>
      </c>
      <c r="P3377" s="9" t="str">
        <f>HYPERLINK("https://ceds.ed.gov/cedselementdetails.aspx?termid=14563")</f>
        <v>https://ceds.ed.gov/cedselementdetails.aspx?termid=14563</v>
      </c>
      <c r="Q3377" s="9" t="str">
        <f>HYPERLINK("https://ceds.ed.gov/elementComment.aspx?elementName=Career Pathways Program Participation Start Date &amp;elementID=14563", "Click here to submit comment")</f>
        <v>Click here to submit comment</v>
      </c>
    </row>
    <row r="3378" spans="1:17" ht="45" x14ac:dyDescent="0.25">
      <c r="A3378" s="9" t="s">
        <v>2996</v>
      </c>
      <c r="B3378" s="9" t="s">
        <v>6889</v>
      </c>
      <c r="C3378" s="9" t="s">
        <v>6875</v>
      </c>
      <c r="D3378" s="9" t="s">
        <v>6742</v>
      </c>
      <c r="E3378" s="9" t="s">
        <v>1640</v>
      </c>
      <c r="F3378" s="9" t="s">
        <v>1641</v>
      </c>
      <c r="G3378" s="9" t="s">
        <v>12</v>
      </c>
      <c r="H3378" s="9"/>
      <c r="I3378" s="9"/>
      <c r="J3378" s="9" t="s">
        <v>73</v>
      </c>
      <c r="K3378" s="9"/>
      <c r="L3378" s="9"/>
      <c r="M3378" s="9" t="s">
        <v>1642</v>
      </c>
      <c r="N3378" s="9"/>
      <c r="O3378" s="9" t="s">
        <v>1643</v>
      </c>
      <c r="P3378" s="9" t="str">
        <f>HYPERLINK("https://ceds.ed.gov/cedselementdetails.aspx?termid=14562")</f>
        <v>https://ceds.ed.gov/cedselementdetails.aspx?termid=14562</v>
      </c>
      <c r="Q3378" s="9" t="str">
        <f>HYPERLINK("https://ceds.ed.gov/elementComment.aspx?elementName=Career Pathways Program Participation Exit Date &amp;elementID=14562", "Click here to submit comment")</f>
        <v>Click here to submit comment</v>
      </c>
    </row>
    <row r="3379" spans="1:17" ht="210" x14ac:dyDescent="0.25">
      <c r="A3379" s="9" t="s">
        <v>2996</v>
      </c>
      <c r="B3379" s="9" t="s">
        <v>6889</v>
      </c>
      <c r="C3379" s="9" t="s">
        <v>6745</v>
      </c>
      <c r="D3379" s="9" t="s">
        <v>6742</v>
      </c>
      <c r="E3379" s="9" t="s">
        <v>170</v>
      </c>
      <c r="F3379" s="9" t="s">
        <v>171</v>
      </c>
      <c r="G3379" s="10" t="s">
        <v>6319</v>
      </c>
      <c r="H3379" s="9" t="s">
        <v>6115</v>
      </c>
      <c r="I3379" s="9"/>
      <c r="J3379" s="9" t="s">
        <v>87</v>
      </c>
      <c r="K3379" s="9"/>
      <c r="L3379" s="9"/>
      <c r="M3379" s="9" t="s">
        <v>172</v>
      </c>
      <c r="N3379" s="9"/>
      <c r="O3379" s="9" t="s">
        <v>173</v>
      </c>
      <c r="P3379" s="9" t="str">
        <f>HYPERLINK("https://ceds.ed.gov/cedselementdetails.aspx?termid=13358")</f>
        <v>https://ceds.ed.gov/cedselementdetails.aspx?termid=13358</v>
      </c>
      <c r="Q3379" s="9" t="str">
        <f>HYPERLINK("https://ceds.ed.gov/elementComment.aspx?elementName=Address Type for Learner or Family &amp;elementID=13358", "Click here to submit comment")</f>
        <v>Click here to submit comment</v>
      </c>
    </row>
    <row r="3380" spans="1:17" ht="225" x14ac:dyDescent="0.25">
      <c r="A3380" s="9" t="s">
        <v>2996</v>
      </c>
      <c r="B3380" s="9" t="s">
        <v>6889</v>
      </c>
      <c r="C3380" s="9" t="s">
        <v>6745</v>
      </c>
      <c r="D3380" s="9" t="s">
        <v>6742</v>
      </c>
      <c r="E3380" s="9" t="s">
        <v>166</v>
      </c>
      <c r="F3380" s="9" t="s">
        <v>167</v>
      </c>
      <c r="G3380" s="9" t="s">
        <v>12</v>
      </c>
      <c r="H3380" s="9" t="s">
        <v>6113</v>
      </c>
      <c r="I3380" s="9"/>
      <c r="J3380" s="9" t="s">
        <v>119</v>
      </c>
      <c r="K3380" s="9"/>
      <c r="L3380" s="9"/>
      <c r="M3380" s="9" t="s">
        <v>168</v>
      </c>
      <c r="N3380" s="9"/>
      <c r="O3380" s="9" t="s">
        <v>169</v>
      </c>
      <c r="P3380" s="9" t="str">
        <f>HYPERLINK("https://ceds.ed.gov/cedselementdetails.aspx?termid=13269")</f>
        <v>https://ceds.ed.gov/cedselementdetails.aspx?termid=13269</v>
      </c>
      <c r="Q3380" s="9" t="str">
        <f>HYPERLINK("https://ceds.ed.gov/elementComment.aspx?elementName=Address Street Number and Name &amp;elementID=13269", "Click here to submit comment")</f>
        <v>Click here to submit comment</v>
      </c>
    </row>
    <row r="3381" spans="1:17" ht="225" x14ac:dyDescent="0.25">
      <c r="A3381" s="9" t="s">
        <v>2996</v>
      </c>
      <c r="B3381" s="9" t="s">
        <v>6889</v>
      </c>
      <c r="C3381" s="9" t="s">
        <v>6745</v>
      </c>
      <c r="D3381" s="9" t="s">
        <v>6742</v>
      </c>
      <c r="E3381" s="9" t="s">
        <v>149</v>
      </c>
      <c r="F3381" s="9" t="s">
        <v>150</v>
      </c>
      <c r="G3381" s="9" t="s">
        <v>12</v>
      </c>
      <c r="H3381" s="9" t="s">
        <v>6113</v>
      </c>
      <c r="I3381" s="9"/>
      <c r="J3381" s="9" t="s">
        <v>87</v>
      </c>
      <c r="K3381" s="9"/>
      <c r="L3381" s="9"/>
      <c r="M3381" s="9" t="s">
        <v>151</v>
      </c>
      <c r="N3381" s="9"/>
      <c r="O3381" s="9" t="s">
        <v>152</v>
      </c>
      <c r="P3381" s="9" t="str">
        <f>HYPERLINK("https://ceds.ed.gov/cedselementdetails.aspx?termid=13019")</f>
        <v>https://ceds.ed.gov/cedselementdetails.aspx?termid=13019</v>
      </c>
      <c r="Q3381" s="9" t="str">
        <f>HYPERLINK("https://ceds.ed.gov/elementComment.aspx?elementName=Address Apartment Room or Suite Number &amp;elementID=13019", "Click here to submit comment")</f>
        <v>Click here to submit comment</v>
      </c>
    </row>
    <row r="3382" spans="1:17" ht="225" x14ac:dyDescent="0.25">
      <c r="A3382" s="9" t="s">
        <v>2996</v>
      </c>
      <c r="B3382" s="9" t="s">
        <v>6889</v>
      </c>
      <c r="C3382" s="9" t="s">
        <v>6745</v>
      </c>
      <c r="D3382" s="9" t="s">
        <v>6742</v>
      </c>
      <c r="E3382" s="9" t="s">
        <v>153</v>
      </c>
      <c r="F3382" s="9" t="s">
        <v>154</v>
      </c>
      <c r="G3382" s="9" t="s">
        <v>12</v>
      </c>
      <c r="H3382" s="9" t="s">
        <v>6113</v>
      </c>
      <c r="I3382" s="9"/>
      <c r="J3382" s="9" t="s">
        <v>87</v>
      </c>
      <c r="K3382" s="9"/>
      <c r="L3382" s="9"/>
      <c r="M3382" s="9" t="s">
        <v>155</v>
      </c>
      <c r="N3382" s="9"/>
      <c r="O3382" s="9" t="s">
        <v>156</v>
      </c>
      <c r="P3382" s="9" t="str">
        <f>HYPERLINK("https://ceds.ed.gov/cedselementdetails.aspx?termid=13040")</f>
        <v>https://ceds.ed.gov/cedselementdetails.aspx?termid=13040</v>
      </c>
      <c r="Q3382" s="9" t="str">
        <f>HYPERLINK("https://ceds.ed.gov/elementComment.aspx?elementName=Address City &amp;elementID=13040", "Click here to submit comment")</f>
        <v>Click here to submit comment</v>
      </c>
    </row>
    <row r="3383" spans="1:17" ht="409.5" x14ac:dyDescent="0.25">
      <c r="A3383" s="9" t="s">
        <v>2996</v>
      </c>
      <c r="B3383" s="9" t="s">
        <v>6889</v>
      </c>
      <c r="C3383" s="9" t="s">
        <v>6745</v>
      </c>
      <c r="D3383" s="9" t="s">
        <v>6742</v>
      </c>
      <c r="E3383" s="9" t="s">
        <v>5647</v>
      </c>
      <c r="F3383" s="9" t="s">
        <v>5648</v>
      </c>
      <c r="G3383" s="10" t="s">
        <v>6702</v>
      </c>
      <c r="H3383" s="9" t="s">
        <v>6285</v>
      </c>
      <c r="I3383" s="9"/>
      <c r="J3383" s="9"/>
      <c r="K3383" s="9"/>
      <c r="L3383" s="9"/>
      <c r="M3383" s="9" t="s">
        <v>5649</v>
      </c>
      <c r="N3383" s="9"/>
      <c r="O3383" s="9" t="s">
        <v>5650</v>
      </c>
      <c r="P3383" s="9" t="str">
        <f>HYPERLINK("https://ceds.ed.gov/cedselementdetails.aspx?termid=13267")</f>
        <v>https://ceds.ed.gov/cedselementdetails.aspx?termid=13267</v>
      </c>
      <c r="Q3383" s="9" t="str">
        <f>HYPERLINK("https://ceds.ed.gov/elementComment.aspx?elementName=State Abbreviation &amp;elementID=13267", "Click here to submit comment")</f>
        <v>Click here to submit comment</v>
      </c>
    </row>
    <row r="3384" spans="1:17" ht="225" x14ac:dyDescent="0.25">
      <c r="A3384" s="9" t="s">
        <v>2996</v>
      </c>
      <c r="B3384" s="9" t="s">
        <v>6889</v>
      </c>
      <c r="C3384" s="9" t="s">
        <v>6745</v>
      </c>
      <c r="D3384" s="9" t="s">
        <v>6742</v>
      </c>
      <c r="E3384" s="9" t="s">
        <v>161</v>
      </c>
      <c r="F3384" s="9" t="s">
        <v>162</v>
      </c>
      <c r="G3384" s="9" t="s">
        <v>12</v>
      </c>
      <c r="H3384" s="9" t="s">
        <v>6113</v>
      </c>
      <c r="I3384" s="9"/>
      <c r="J3384" s="9" t="s">
        <v>163</v>
      </c>
      <c r="K3384" s="9"/>
      <c r="L3384" s="9"/>
      <c r="M3384" s="9" t="s">
        <v>164</v>
      </c>
      <c r="N3384" s="9"/>
      <c r="O3384" s="9" t="s">
        <v>165</v>
      </c>
      <c r="P3384" s="9" t="str">
        <f>HYPERLINK("https://ceds.ed.gov/cedselementdetails.aspx?termid=13214")</f>
        <v>https://ceds.ed.gov/cedselementdetails.aspx?termid=13214</v>
      </c>
      <c r="Q3384" s="9" t="str">
        <f>HYPERLINK("https://ceds.ed.gov/elementComment.aspx?elementName=Address Postal Code &amp;elementID=13214", "Click here to submit comment")</f>
        <v>Click here to submit comment</v>
      </c>
    </row>
    <row r="3385" spans="1:17" ht="225" x14ac:dyDescent="0.25">
      <c r="A3385" s="9" t="s">
        <v>2996</v>
      </c>
      <c r="B3385" s="9" t="s">
        <v>6889</v>
      </c>
      <c r="C3385" s="9" t="s">
        <v>6745</v>
      </c>
      <c r="D3385" s="9" t="s">
        <v>6742</v>
      </c>
      <c r="E3385" s="9" t="s">
        <v>157</v>
      </c>
      <c r="F3385" s="9" t="s">
        <v>158</v>
      </c>
      <c r="G3385" s="9" t="s">
        <v>12</v>
      </c>
      <c r="H3385" s="9" t="s">
        <v>6113</v>
      </c>
      <c r="I3385" s="9"/>
      <c r="J3385" s="9" t="s">
        <v>87</v>
      </c>
      <c r="K3385" s="9"/>
      <c r="L3385" s="9"/>
      <c r="M3385" s="9" t="s">
        <v>159</v>
      </c>
      <c r="N3385" s="9"/>
      <c r="O3385" s="9" t="s">
        <v>160</v>
      </c>
      <c r="P3385" s="9" t="str">
        <f>HYPERLINK("https://ceds.ed.gov/cedselementdetails.aspx?termid=13190")</f>
        <v>https://ceds.ed.gov/cedselementdetails.aspx?termid=13190</v>
      </c>
      <c r="Q3385" s="9" t="str">
        <f>HYPERLINK("https://ceds.ed.gov/elementComment.aspx?elementName=Address County Name &amp;elementID=13190", "Click here to submit comment")</f>
        <v>Click here to submit comment</v>
      </c>
    </row>
    <row r="3386" spans="1:17" ht="75" x14ac:dyDescent="0.25">
      <c r="A3386" s="9" t="s">
        <v>2996</v>
      </c>
      <c r="B3386" s="9" t="s">
        <v>6889</v>
      </c>
      <c r="C3386" s="9" t="s">
        <v>6745</v>
      </c>
      <c r="D3386" s="9" t="s">
        <v>6742</v>
      </c>
      <c r="E3386" s="9" t="s">
        <v>3606</v>
      </c>
      <c r="F3386" s="9" t="s">
        <v>3607</v>
      </c>
      <c r="G3386" s="9" t="s">
        <v>12</v>
      </c>
      <c r="H3386" s="9"/>
      <c r="I3386" s="9"/>
      <c r="J3386" s="9" t="s">
        <v>1165</v>
      </c>
      <c r="K3386" s="9"/>
      <c r="L3386" s="9"/>
      <c r="M3386" s="9" t="s">
        <v>3608</v>
      </c>
      <c r="N3386" s="9"/>
      <c r="O3386" s="9" t="s">
        <v>3606</v>
      </c>
      <c r="P3386" s="9" t="str">
        <f>HYPERLINK("https://ceds.ed.gov/cedselementdetails.aspx?termid=13599")</f>
        <v>https://ceds.ed.gov/cedselementdetails.aspx?termid=13599</v>
      </c>
      <c r="Q3386" s="9" t="str">
        <f>HYPERLINK("https://ceds.ed.gov/elementComment.aspx?elementName=Latitude &amp;elementID=13599", "Click here to submit comment")</f>
        <v>Click here to submit comment</v>
      </c>
    </row>
    <row r="3387" spans="1:17" ht="75" x14ac:dyDescent="0.25">
      <c r="A3387" s="9" t="s">
        <v>2996</v>
      </c>
      <c r="B3387" s="9" t="s">
        <v>6889</v>
      </c>
      <c r="C3387" s="9" t="s">
        <v>6745</v>
      </c>
      <c r="D3387" s="9" t="s">
        <v>6742</v>
      </c>
      <c r="E3387" s="9" t="s">
        <v>4139</v>
      </c>
      <c r="F3387" s="9" t="s">
        <v>4140</v>
      </c>
      <c r="G3387" s="9" t="s">
        <v>12</v>
      </c>
      <c r="H3387" s="9"/>
      <c r="I3387" s="9"/>
      <c r="J3387" s="9" t="s">
        <v>1165</v>
      </c>
      <c r="K3387" s="9"/>
      <c r="L3387" s="9"/>
      <c r="M3387" s="9" t="s">
        <v>4141</v>
      </c>
      <c r="N3387" s="9"/>
      <c r="O3387" s="9" t="s">
        <v>4139</v>
      </c>
      <c r="P3387" s="9" t="str">
        <f>HYPERLINK("https://ceds.ed.gov/cedselementdetails.aspx?termid=13600")</f>
        <v>https://ceds.ed.gov/cedselementdetails.aspx?termid=13600</v>
      </c>
      <c r="Q3387" s="9" t="str">
        <f>HYPERLINK("https://ceds.ed.gov/elementComment.aspx?elementName=Longitude &amp;elementID=13600", "Click here to submit comment")</f>
        <v>Click here to submit comment</v>
      </c>
    </row>
    <row r="3388" spans="1:17" ht="90" x14ac:dyDescent="0.25">
      <c r="A3388" s="9" t="s">
        <v>2996</v>
      </c>
      <c r="B3388" s="9" t="s">
        <v>6889</v>
      </c>
      <c r="C3388" s="9" t="s">
        <v>6747</v>
      </c>
      <c r="D3388" s="9" t="s">
        <v>6742</v>
      </c>
      <c r="E3388" s="9" t="s">
        <v>5854</v>
      </c>
      <c r="F3388" s="9" t="s">
        <v>5855</v>
      </c>
      <c r="G3388" s="10" t="s">
        <v>6717</v>
      </c>
      <c r="H3388" s="9" t="s">
        <v>6109</v>
      </c>
      <c r="I3388" s="9"/>
      <c r="J3388" s="9" t="s">
        <v>1900</v>
      </c>
      <c r="K3388" s="9"/>
      <c r="L3388" s="9"/>
      <c r="M3388" s="9" t="s">
        <v>5856</v>
      </c>
      <c r="N3388" s="9"/>
      <c r="O3388" s="9" t="s">
        <v>5857</v>
      </c>
      <c r="P3388" s="9" t="str">
        <f>HYPERLINK("https://ceds.ed.gov/cedselementdetails.aspx?termid=13280")</f>
        <v>https://ceds.ed.gov/cedselementdetails.aspx?termid=13280</v>
      </c>
      <c r="Q3388" s="9" t="str">
        <f>HYPERLINK("https://ceds.ed.gov/elementComment.aspx?elementName=Telephone Number Type &amp;elementID=13280", "Click here to submit comment")</f>
        <v>Click here to submit comment</v>
      </c>
    </row>
    <row r="3389" spans="1:17" ht="90" x14ac:dyDescent="0.25">
      <c r="A3389" s="9" t="s">
        <v>2996</v>
      </c>
      <c r="B3389" s="9" t="s">
        <v>6889</v>
      </c>
      <c r="C3389" s="9" t="s">
        <v>6747</v>
      </c>
      <c r="D3389" s="9" t="s">
        <v>6742</v>
      </c>
      <c r="E3389" s="9" t="s">
        <v>4709</v>
      </c>
      <c r="F3389" s="9" t="s">
        <v>4710</v>
      </c>
      <c r="G3389" s="9" t="s">
        <v>6106</v>
      </c>
      <c r="H3389" s="9" t="s">
        <v>6109</v>
      </c>
      <c r="I3389" s="9"/>
      <c r="J3389" s="9"/>
      <c r="K3389" s="9"/>
      <c r="L3389" s="9"/>
      <c r="M3389" s="9" t="s">
        <v>4711</v>
      </c>
      <c r="N3389" s="9"/>
      <c r="O3389" s="9" t="s">
        <v>4712</v>
      </c>
      <c r="P3389" s="9" t="str">
        <f>HYPERLINK("https://ceds.ed.gov/cedselementdetails.aspx?termid=13219")</f>
        <v>https://ceds.ed.gov/cedselementdetails.aspx?termid=13219</v>
      </c>
      <c r="Q3389" s="9" t="str">
        <f>HYPERLINK("https://ceds.ed.gov/elementComment.aspx?elementName=Primary Telephone Number Indicator &amp;elementID=13219", "Click here to submit comment")</f>
        <v>Click here to submit comment</v>
      </c>
    </row>
    <row r="3390" spans="1:17" ht="90" x14ac:dyDescent="0.25">
      <c r="A3390" s="9" t="s">
        <v>2996</v>
      </c>
      <c r="B3390" s="9" t="s">
        <v>6889</v>
      </c>
      <c r="C3390" s="9" t="s">
        <v>6747</v>
      </c>
      <c r="D3390" s="9" t="s">
        <v>6742</v>
      </c>
      <c r="E3390" s="9" t="s">
        <v>5849</v>
      </c>
      <c r="F3390" s="9" t="s">
        <v>5850</v>
      </c>
      <c r="G3390" s="9" t="s">
        <v>12</v>
      </c>
      <c r="H3390" s="9" t="s">
        <v>6109</v>
      </c>
      <c r="I3390" s="9"/>
      <c r="J3390" s="9" t="s">
        <v>5851</v>
      </c>
      <c r="K3390" s="9"/>
      <c r="L3390" s="9"/>
      <c r="M3390" s="9" t="s">
        <v>5852</v>
      </c>
      <c r="N3390" s="9"/>
      <c r="O3390" s="9" t="s">
        <v>5853</v>
      </c>
      <c r="P3390" s="9" t="str">
        <f>HYPERLINK("https://ceds.ed.gov/cedselementdetails.aspx?termid=13279")</f>
        <v>https://ceds.ed.gov/cedselementdetails.aspx?termid=13279</v>
      </c>
      <c r="Q3390" s="9" t="str">
        <f>HYPERLINK("https://ceds.ed.gov/elementComment.aspx?elementName=Telephone Number &amp;elementID=13279", "Click here to submit comment")</f>
        <v>Click here to submit comment</v>
      </c>
    </row>
    <row r="3391" spans="1:17" ht="90" x14ac:dyDescent="0.25">
      <c r="A3391" s="9" t="s">
        <v>2996</v>
      </c>
      <c r="B3391" s="9" t="s">
        <v>6889</v>
      </c>
      <c r="C3391" s="9" t="s">
        <v>6773</v>
      </c>
      <c r="D3391" s="9" t="s">
        <v>6742</v>
      </c>
      <c r="E3391" s="9" t="s">
        <v>2589</v>
      </c>
      <c r="F3391" s="9" t="s">
        <v>2590</v>
      </c>
      <c r="G3391" s="10" t="s">
        <v>6484</v>
      </c>
      <c r="H3391" s="9" t="s">
        <v>6109</v>
      </c>
      <c r="I3391" s="9"/>
      <c r="J3391" s="9"/>
      <c r="K3391" s="9"/>
      <c r="L3391" s="9"/>
      <c r="M3391" s="9" t="s">
        <v>2591</v>
      </c>
      <c r="N3391" s="9" t="s">
        <v>2592</v>
      </c>
      <c r="O3391" s="9" t="s">
        <v>2593</v>
      </c>
      <c r="P3391" s="9" t="str">
        <f>HYPERLINK("https://ceds.ed.gov/cedselementdetails.aspx?termid=13089")</f>
        <v>https://ceds.ed.gov/cedselementdetails.aspx?termid=13089</v>
      </c>
      <c r="Q3391" s="9" t="str">
        <f>HYPERLINK("https://ceds.ed.gov/elementComment.aspx?elementName=Electronic Mail Address Type &amp;elementID=13089", "Click here to submit comment")</f>
        <v>Click here to submit comment</v>
      </c>
    </row>
    <row r="3392" spans="1:17" ht="90" x14ac:dyDescent="0.25">
      <c r="A3392" s="9" t="s">
        <v>2996</v>
      </c>
      <c r="B3392" s="9" t="s">
        <v>6889</v>
      </c>
      <c r="C3392" s="9" t="s">
        <v>6773</v>
      </c>
      <c r="D3392" s="9" t="s">
        <v>6742</v>
      </c>
      <c r="E3392" s="9" t="s">
        <v>2584</v>
      </c>
      <c r="F3392" s="9" t="s">
        <v>2585</v>
      </c>
      <c r="G3392" s="9" t="s">
        <v>12</v>
      </c>
      <c r="H3392" s="9" t="s">
        <v>6109</v>
      </c>
      <c r="I3392" s="9"/>
      <c r="J3392" s="9" t="s">
        <v>11127</v>
      </c>
      <c r="K3392" s="9"/>
      <c r="L3392" s="9"/>
      <c r="M3392" s="9" t="s">
        <v>2586</v>
      </c>
      <c r="N3392" s="9" t="s">
        <v>2587</v>
      </c>
      <c r="O3392" s="9" t="s">
        <v>2588</v>
      </c>
      <c r="P3392" s="9" t="str">
        <f>HYPERLINK("https://ceds.ed.gov/cedselementdetails.aspx?termid=13088")</f>
        <v>https://ceds.ed.gov/cedselementdetails.aspx?termid=13088</v>
      </c>
      <c r="Q3392" s="9" t="str">
        <f>HYPERLINK("https://ceds.ed.gov/elementComment.aspx?elementName=Electronic Mail Address &amp;elementID=13088", "Click here to submit comment")</f>
        <v>Click here to submit comment</v>
      </c>
    </row>
    <row r="3393" spans="1:17" ht="240" x14ac:dyDescent="0.25">
      <c r="A3393" s="9" t="s">
        <v>2996</v>
      </c>
      <c r="B3393" s="9" t="s">
        <v>6889</v>
      </c>
      <c r="C3393" s="9" t="s">
        <v>6748</v>
      </c>
      <c r="D3393" s="9" t="s">
        <v>6742</v>
      </c>
      <c r="E3393" s="9" t="s">
        <v>1530</v>
      </c>
      <c r="F3393" s="9" t="s">
        <v>1531</v>
      </c>
      <c r="G3393" s="9" t="s">
        <v>12</v>
      </c>
      <c r="H3393" s="9" t="s">
        <v>6151</v>
      </c>
      <c r="I3393" s="9"/>
      <c r="J3393" s="9" t="s">
        <v>73</v>
      </c>
      <c r="K3393" s="9"/>
      <c r="L3393" s="9"/>
      <c r="M3393" s="9" t="s">
        <v>1532</v>
      </c>
      <c r="N3393" s="9"/>
      <c r="O3393" s="9" t="s">
        <v>1530</v>
      </c>
      <c r="P3393" s="9" t="str">
        <f>HYPERLINK("https://ceds.ed.gov/cedselementdetails.aspx?termid=13033")</f>
        <v>https://ceds.ed.gov/cedselementdetails.aspx?termid=13033</v>
      </c>
      <c r="Q3393" s="9" t="str">
        <f>HYPERLINK("https://ceds.ed.gov/elementComment.aspx?elementName=Birthdate &amp;elementID=13033", "Click here to submit comment")</f>
        <v>Click here to submit comment</v>
      </c>
    </row>
    <row r="3394" spans="1:17" ht="255" x14ac:dyDescent="0.25">
      <c r="A3394" s="9" t="s">
        <v>2996</v>
      </c>
      <c r="B3394" s="9" t="s">
        <v>6889</v>
      </c>
      <c r="C3394" s="9" t="s">
        <v>6748</v>
      </c>
      <c r="D3394" s="9" t="s">
        <v>6742</v>
      </c>
      <c r="E3394" s="9" t="s">
        <v>5468</v>
      </c>
      <c r="F3394" s="9" t="s">
        <v>5469</v>
      </c>
      <c r="G3394" s="10" t="s">
        <v>6694</v>
      </c>
      <c r="H3394" s="9" t="s">
        <v>6277</v>
      </c>
      <c r="I3394" s="9"/>
      <c r="J3394" s="9"/>
      <c r="K3394" s="9"/>
      <c r="L3394" s="9" t="s">
        <v>5470</v>
      </c>
      <c r="M3394" s="9" t="s">
        <v>5471</v>
      </c>
      <c r="N3394" s="9"/>
      <c r="O3394" s="9" t="s">
        <v>5468</v>
      </c>
      <c r="P3394" s="9" t="str">
        <f>HYPERLINK("https://ceds.ed.gov/cedselementdetails.aspx?termid=13255")</f>
        <v>https://ceds.ed.gov/cedselementdetails.aspx?termid=13255</v>
      </c>
      <c r="Q3394" s="9" t="str">
        <f>HYPERLINK("https://ceds.ed.gov/elementComment.aspx?elementName=Sex &amp;elementID=13255", "Click here to submit comment")</f>
        <v>Click here to submit comment</v>
      </c>
    </row>
    <row r="3395" spans="1:17" ht="165" customHeight="1" x14ac:dyDescent="0.25">
      <c r="A3395" s="18" t="s">
        <v>2996</v>
      </c>
      <c r="B3395" s="18" t="s">
        <v>6889</v>
      </c>
      <c r="C3395" s="18" t="s">
        <v>6748</v>
      </c>
      <c r="D3395" s="18" t="s">
        <v>6742</v>
      </c>
      <c r="E3395" s="18" t="s">
        <v>334</v>
      </c>
      <c r="F3395" s="18" t="s">
        <v>335</v>
      </c>
      <c r="G3395" s="19" t="s">
        <v>6342</v>
      </c>
      <c r="H3395" s="18" t="s">
        <v>6121</v>
      </c>
      <c r="I3395" s="18"/>
      <c r="J3395" s="18"/>
      <c r="K3395" s="18"/>
      <c r="L3395" s="9" t="s">
        <v>336</v>
      </c>
      <c r="M3395" s="18" t="s">
        <v>340</v>
      </c>
      <c r="N3395" s="18"/>
      <c r="O3395" s="18" t="s">
        <v>341</v>
      </c>
      <c r="P3395" s="18" t="str">
        <f>HYPERLINK("https://ceds.ed.gov/cedselementdetails.aspx?termid=13655")</f>
        <v>https://ceds.ed.gov/cedselementdetails.aspx?termid=13655</v>
      </c>
      <c r="Q3395" s="18" t="str">
        <f>HYPERLINK("https://ceds.ed.gov/elementComment.aspx?elementName=American Indian or Alaska Native &amp;elementID=13655", "Click here to submit comment")</f>
        <v>Click here to submit comment</v>
      </c>
    </row>
    <row r="3396" spans="1:17" x14ac:dyDescent="0.25">
      <c r="A3396" s="18"/>
      <c r="B3396" s="18"/>
      <c r="C3396" s="18"/>
      <c r="D3396" s="18"/>
      <c r="E3396" s="18"/>
      <c r="F3396" s="18"/>
      <c r="G3396" s="18"/>
      <c r="H3396" s="18"/>
      <c r="I3396" s="18"/>
      <c r="J3396" s="18"/>
      <c r="K3396" s="18"/>
      <c r="L3396" s="9"/>
      <c r="M3396" s="18"/>
      <c r="N3396" s="18"/>
      <c r="O3396" s="18"/>
      <c r="P3396" s="18"/>
      <c r="Q3396" s="18"/>
    </row>
    <row r="3397" spans="1:17" x14ac:dyDescent="0.25">
      <c r="A3397" s="18"/>
      <c r="B3397" s="18"/>
      <c r="C3397" s="18"/>
      <c r="D3397" s="18"/>
      <c r="E3397" s="18"/>
      <c r="F3397" s="18"/>
      <c r="G3397" s="18"/>
      <c r="H3397" s="18"/>
      <c r="I3397" s="18"/>
      <c r="J3397" s="18"/>
      <c r="K3397" s="18"/>
      <c r="L3397" s="9" t="s">
        <v>337</v>
      </c>
      <c r="M3397" s="18"/>
      <c r="N3397" s="18"/>
      <c r="O3397" s="18"/>
      <c r="P3397" s="18"/>
      <c r="Q3397" s="18"/>
    </row>
    <row r="3398" spans="1:17" ht="30" x14ac:dyDescent="0.25">
      <c r="A3398" s="18"/>
      <c r="B3398" s="18"/>
      <c r="C3398" s="18"/>
      <c r="D3398" s="18"/>
      <c r="E3398" s="18"/>
      <c r="F3398" s="18"/>
      <c r="G3398" s="18"/>
      <c r="H3398" s="18"/>
      <c r="I3398" s="18"/>
      <c r="J3398" s="18"/>
      <c r="K3398" s="18"/>
      <c r="L3398" s="9" t="s">
        <v>338</v>
      </c>
      <c r="M3398" s="18"/>
      <c r="N3398" s="18"/>
      <c r="O3398" s="18"/>
      <c r="P3398" s="18"/>
      <c r="Q3398" s="18"/>
    </row>
    <row r="3399" spans="1:17" x14ac:dyDescent="0.25">
      <c r="A3399" s="18"/>
      <c r="B3399" s="18"/>
      <c r="C3399" s="18"/>
      <c r="D3399" s="18"/>
      <c r="E3399" s="18"/>
      <c r="F3399" s="18"/>
      <c r="G3399" s="18"/>
      <c r="H3399" s="18"/>
      <c r="I3399" s="18"/>
      <c r="J3399" s="18"/>
      <c r="K3399" s="18"/>
      <c r="L3399" s="9" t="s">
        <v>339</v>
      </c>
      <c r="M3399" s="18"/>
      <c r="N3399" s="18"/>
      <c r="O3399" s="18"/>
      <c r="P3399" s="18"/>
      <c r="Q3399" s="18"/>
    </row>
    <row r="3400" spans="1:17" ht="165" customHeight="1" x14ac:dyDescent="0.25">
      <c r="A3400" s="18" t="s">
        <v>2996</v>
      </c>
      <c r="B3400" s="18" t="s">
        <v>6889</v>
      </c>
      <c r="C3400" s="18" t="s">
        <v>6748</v>
      </c>
      <c r="D3400" s="18" t="s">
        <v>6742</v>
      </c>
      <c r="E3400" s="18" t="s">
        <v>376</v>
      </c>
      <c r="F3400" s="18" t="s">
        <v>377</v>
      </c>
      <c r="G3400" s="19" t="s">
        <v>6342</v>
      </c>
      <c r="H3400" s="18" t="s">
        <v>6121</v>
      </c>
      <c r="I3400" s="18"/>
      <c r="J3400" s="18"/>
      <c r="K3400" s="18"/>
      <c r="L3400" s="9" t="s">
        <v>336</v>
      </c>
      <c r="M3400" s="18" t="s">
        <v>378</v>
      </c>
      <c r="N3400" s="18"/>
      <c r="O3400" s="18" t="s">
        <v>376</v>
      </c>
      <c r="P3400" s="18" t="str">
        <f>HYPERLINK("https://ceds.ed.gov/cedselementdetails.aspx?termid=13656")</f>
        <v>https://ceds.ed.gov/cedselementdetails.aspx?termid=13656</v>
      </c>
      <c r="Q3400" s="18" t="str">
        <f>HYPERLINK("https://ceds.ed.gov/elementComment.aspx?elementName=Asian &amp;elementID=13656", "Click here to submit comment")</f>
        <v>Click here to submit comment</v>
      </c>
    </row>
    <row r="3401" spans="1:17" x14ac:dyDescent="0.25">
      <c r="A3401" s="18"/>
      <c r="B3401" s="18"/>
      <c r="C3401" s="18"/>
      <c r="D3401" s="18"/>
      <c r="E3401" s="18"/>
      <c r="F3401" s="18"/>
      <c r="G3401" s="18"/>
      <c r="H3401" s="18"/>
      <c r="I3401" s="18"/>
      <c r="J3401" s="18"/>
      <c r="K3401" s="18"/>
      <c r="L3401" s="9"/>
      <c r="M3401" s="18"/>
      <c r="N3401" s="18"/>
      <c r="O3401" s="18"/>
      <c r="P3401" s="18"/>
      <c r="Q3401" s="18"/>
    </row>
    <row r="3402" spans="1:17" x14ac:dyDescent="0.25">
      <c r="A3402" s="18"/>
      <c r="B3402" s="18"/>
      <c r="C3402" s="18"/>
      <c r="D3402" s="18"/>
      <c r="E3402" s="18"/>
      <c r="F3402" s="18"/>
      <c r="G3402" s="18"/>
      <c r="H3402" s="18"/>
      <c r="I3402" s="18"/>
      <c r="J3402" s="18"/>
      <c r="K3402" s="18"/>
      <c r="L3402" s="9" t="s">
        <v>337</v>
      </c>
      <c r="M3402" s="18"/>
      <c r="N3402" s="18"/>
      <c r="O3402" s="18"/>
      <c r="P3402" s="18"/>
      <c r="Q3402" s="18"/>
    </row>
    <row r="3403" spans="1:17" ht="30" x14ac:dyDescent="0.25">
      <c r="A3403" s="18"/>
      <c r="B3403" s="18"/>
      <c r="C3403" s="18"/>
      <c r="D3403" s="18"/>
      <c r="E3403" s="18"/>
      <c r="F3403" s="18"/>
      <c r="G3403" s="18"/>
      <c r="H3403" s="18"/>
      <c r="I3403" s="18"/>
      <c r="J3403" s="18"/>
      <c r="K3403" s="18"/>
      <c r="L3403" s="9" t="s">
        <v>338</v>
      </c>
      <c r="M3403" s="18"/>
      <c r="N3403" s="18"/>
      <c r="O3403" s="18"/>
      <c r="P3403" s="18"/>
      <c r="Q3403" s="18"/>
    </row>
    <row r="3404" spans="1:17" x14ac:dyDescent="0.25">
      <c r="A3404" s="18"/>
      <c r="B3404" s="18"/>
      <c r="C3404" s="18"/>
      <c r="D3404" s="18"/>
      <c r="E3404" s="18"/>
      <c r="F3404" s="18"/>
      <c r="G3404" s="18"/>
      <c r="H3404" s="18"/>
      <c r="I3404" s="18"/>
      <c r="J3404" s="18"/>
      <c r="K3404" s="18"/>
      <c r="L3404" s="9" t="s">
        <v>339</v>
      </c>
      <c r="M3404" s="18"/>
      <c r="N3404" s="18"/>
      <c r="O3404" s="18"/>
      <c r="P3404" s="18"/>
      <c r="Q3404" s="18"/>
    </row>
    <row r="3405" spans="1:17" ht="165" customHeight="1" x14ac:dyDescent="0.25">
      <c r="A3405" s="18" t="s">
        <v>2996</v>
      </c>
      <c r="B3405" s="18" t="s">
        <v>6889</v>
      </c>
      <c r="C3405" s="18" t="s">
        <v>6748</v>
      </c>
      <c r="D3405" s="18" t="s">
        <v>6742</v>
      </c>
      <c r="E3405" s="18" t="s">
        <v>1538</v>
      </c>
      <c r="F3405" s="18" t="s">
        <v>1539</v>
      </c>
      <c r="G3405" s="19" t="s">
        <v>6342</v>
      </c>
      <c r="H3405" s="18" t="s">
        <v>6121</v>
      </c>
      <c r="I3405" s="18"/>
      <c r="J3405" s="18"/>
      <c r="K3405" s="18"/>
      <c r="L3405" s="9" t="s">
        <v>336</v>
      </c>
      <c r="M3405" s="18" t="s">
        <v>1540</v>
      </c>
      <c r="N3405" s="18"/>
      <c r="O3405" s="18" t="s">
        <v>1541</v>
      </c>
      <c r="P3405" s="18" t="str">
        <f>HYPERLINK("https://ceds.ed.gov/cedselementdetails.aspx?termid=13657")</f>
        <v>https://ceds.ed.gov/cedselementdetails.aspx?termid=13657</v>
      </c>
      <c r="Q3405" s="18" t="str">
        <f>HYPERLINK("https://ceds.ed.gov/elementComment.aspx?elementName=Black or African American &amp;elementID=13657", "Click here to submit comment")</f>
        <v>Click here to submit comment</v>
      </c>
    </row>
    <row r="3406" spans="1:17" x14ac:dyDescent="0.25">
      <c r="A3406" s="18"/>
      <c r="B3406" s="18"/>
      <c r="C3406" s="18"/>
      <c r="D3406" s="18"/>
      <c r="E3406" s="18"/>
      <c r="F3406" s="18"/>
      <c r="G3406" s="18"/>
      <c r="H3406" s="18"/>
      <c r="I3406" s="18"/>
      <c r="J3406" s="18"/>
      <c r="K3406" s="18"/>
      <c r="L3406" s="9"/>
      <c r="M3406" s="18"/>
      <c r="N3406" s="18"/>
      <c r="O3406" s="18"/>
      <c r="P3406" s="18"/>
      <c r="Q3406" s="18"/>
    </row>
    <row r="3407" spans="1:17" x14ac:dyDescent="0.25">
      <c r="A3407" s="18"/>
      <c r="B3407" s="18"/>
      <c r="C3407" s="18"/>
      <c r="D3407" s="18"/>
      <c r="E3407" s="18"/>
      <c r="F3407" s="18"/>
      <c r="G3407" s="18"/>
      <c r="H3407" s="18"/>
      <c r="I3407" s="18"/>
      <c r="J3407" s="18"/>
      <c r="K3407" s="18"/>
      <c r="L3407" s="9" t="s">
        <v>337</v>
      </c>
      <c r="M3407" s="18"/>
      <c r="N3407" s="18"/>
      <c r="O3407" s="18"/>
      <c r="P3407" s="18"/>
      <c r="Q3407" s="18"/>
    </row>
    <row r="3408" spans="1:17" ht="30" x14ac:dyDescent="0.25">
      <c r="A3408" s="18"/>
      <c r="B3408" s="18"/>
      <c r="C3408" s="18"/>
      <c r="D3408" s="18"/>
      <c r="E3408" s="18"/>
      <c r="F3408" s="18"/>
      <c r="G3408" s="18"/>
      <c r="H3408" s="18"/>
      <c r="I3408" s="18"/>
      <c r="J3408" s="18"/>
      <c r="K3408" s="18"/>
      <c r="L3408" s="9" t="s">
        <v>338</v>
      </c>
      <c r="M3408" s="18"/>
      <c r="N3408" s="18"/>
      <c r="O3408" s="18"/>
      <c r="P3408" s="18"/>
      <c r="Q3408" s="18"/>
    </row>
    <row r="3409" spans="1:17" x14ac:dyDescent="0.25">
      <c r="A3409" s="18"/>
      <c r="B3409" s="18"/>
      <c r="C3409" s="18"/>
      <c r="D3409" s="18"/>
      <c r="E3409" s="18"/>
      <c r="F3409" s="18"/>
      <c r="G3409" s="18"/>
      <c r="H3409" s="18"/>
      <c r="I3409" s="18"/>
      <c r="J3409" s="18"/>
      <c r="K3409" s="18"/>
      <c r="L3409" s="9" t="s">
        <v>339</v>
      </c>
      <c r="M3409" s="18"/>
      <c r="N3409" s="18"/>
      <c r="O3409" s="18"/>
      <c r="P3409" s="18"/>
      <c r="Q3409" s="18"/>
    </row>
    <row r="3410" spans="1:17" ht="165" customHeight="1" x14ac:dyDescent="0.25">
      <c r="A3410" s="18" t="s">
        <v>2996</v>
      </c>
      <c r="B3410" s="18" t="s">
        <v>6889</v>
      </c>
      <c r="C3410" s="18" t="s">
        <v>6748</v>
      </c>
      <c r="D3410" s="18" t="s">
        <v>6742</v>
      </c>
      <c r="E3410" s="18" t="s">
        <v>4314</v>
      </c>
      <c r="F3410" s="18" t="s">
        <v>4315</v>
      </c>
      <c r="G3410" s="19" t="s">
        <v>6342</v>
      </c>
      <c r="H3410" s="18" t="s">
        <v>6121</v>
      </c>
      <c r="I3410" s="18"/>
      <c r="J3410" s="18"/>
      <c r="K3410" s="18"/>
      <c r="L3410" s="9" t="s">
        <v>336</v>
      </c>
      <c r="M3410" s="18" t="s">
        <v>4316</v>
      </c>
      <c r="N3410" s="18"/>
      <c r="O3410" s="18" t="s">
        <v>4317</v>
      </c>
      <c r="P3410" s="18" t="str">
        <f>HYPERLINK("https://ceds.ed.gov/cedselementdetails.aspx?termid=13658")</f>
        <v>https://ceds.ed.gov/cedselementdetails.aspx?termid=13658</v>
      </c>
      <c r="Q3410" s="18" t="str">
        <f>HYPERLINK("https://ceds.ed.gov/elementComment.aspx?elementName=Native Hawaiian or Other Pacific Islander &amp;elementID=13658", "Click here to submit comment")</f>
        <v>Click here to submit comment</v>
      </c>
    </row>
    <row r="3411" spans="1:17" x14ac:dyDescent="0.25">
      <c r="A3411" s="18"/>
      <c r="B3411" s="18"/>
      <c r="C3411" s="18"/>
      <c r="D3411" s="18"/>
      <c r="E3411" s="18"/>
      <c r="F3411" s="18"/>
      <c r="G3411" s="18"/>
      <c r="H3411" s="18"/>
      <c r="I3411" s="18"/>
      <c r="J3411" s="18"/>
      <c r="K3411" s="18"/>
      <c r="L3411" s="9"/>
      <c r="M3411" s="18"/>
      <c r="N3411" s="18"/>
      <c r="O3411" s="18"/>
      <c r="P3411" s="18"/>
      <c r="Q3411" s="18"/>
    </row>
    <row r="3412" spans="1:17" x14ac:dyDescent="0.25">
      <c r="A3412" s="18"/>
      <c r="B3412" s="18"/>
      <c r="C3412" s="18"/>
      <c r="D3412" s="18"/>
      <c r="E3412" s="18"/>
      <c r="F3412" s="18"/>
      <c r="G3412" s="18"/>
      <c r="H3412" s="18"/>
      <c r="I3412" s="18"/>
      <c r="J3412" s="18"/>
      <c r="K3412" s="18"/>
      <c r="L3412" s="9" t="s">
        <v>337</v>
      </c>
      <c r="M3412" s="18"/>
      <c r="N3412" s="18"/>
      <c r="O3412" s="18"/>
      <c r="P3412" s="18"/>
      <c r="Q3412" s="18"/>
    </row>
    <row r="3413" spans="1:17" ht="30" x14ac:dyDescent="0.25">
      <c r="A3413" s="18"/>
      <c r="B3413" s="18"/>
      <c r="C3413" s="18"/>
      <c r="D3413" s="18"/>
      <c r="E3413" s="18"/>
      <c r="F3413" s="18"/>
      <c r="G3413" s="18"/>
      <c r="H3413" s="18"/>
      <c r="I3413" s="18"/>
      <c r="J3413" s="18"/>
      <c r="K3413" s="18"/>
      <c r="L3413" s="9" t="s">
        <v>338</v>
      </c>
      <c r="M3413" s="18"/>
      <c r="N3413" s="18"/>
      <c r="O3413" s="18"/>
      <c r="P3413" s="18"/>
      <c r="Q3413" s="18"/>
    </row>
    <row r="3414" spans="1:17" x14ac:dyDescent="0.25">
      <c r="A3414" s="18"/>
      <c r="B3414" s="18"/>
      <c r="C3414" s="18"/>
      <c r="D3414" s="18"/>
      <c r="E3414" s="18"/>
      <c r="F3414" s="18"/>
      <c r="G3414" s="18"/>
      <c r="H3414" s="18"/>
      <c r="I3414" s="18"/>
      <c r="J3414" s="18"/>
      <c r="K3414" s="18"/>
      <c r="L3414" s="9" t="s">
        <v>339</v>
      </c>
      <c r="M3414" s="18"/>
      <c r="N3414" s="18"/>
      <c r="O3414" s="18"/>
      <c r="P3414" s="18"/>
      <c r="Q3414" s="18"/>
    </row>
    <row r="3415" spans="1:17" ht="165" customHeight="1" x14ac:dyDescent="0.25">
      <c r="A3415" s="18" t="s">
        <v>2996</v>
      </c>
      <c r="B3415" s="18" t="s">
        <v>6889</v>
      </c>
      <c r="C3415" s="18" t="s">
        <v>6748</v>
      </c>
      <c r="D3415" s="18" t="s">
        <v>6742</v>
      </c>
      <c r="E3415" s="18" t="s">
        <v>6077</v>
      </c>
      <c r="F3415" s="18" t="s">
        <v>6078</v>
      </c>
      <c r="G3415" s="19" t="s">
        <v>6342</v>
      </c>
      <c r="H3415" s="18" t="s">
        <v>6121</v>
      </c>
      <c r="I3415" s="18"/>
      <c r="J3415" s="18"/>
      <c r="K3415" s="18"/>
      <c r="L3415" s="9" t="s">
        <v>336</v>
      </c>
      <c r="M3415" s="18" t="s">
        <v>6079</v>
      </c>
      <c r="N3415" s="18"/>
      <c r="O3415" s="18" t="s">
        <v>6077</v>
      </c>
      <c r="P3415" s="18" t="str">
        <f>HYPERLINK("https://ceds.ed.gov/cedselementdetails.aspx?termid=13659")</f>
        <v>https://ceds.ed.gov/cedselementdetails.aspx?termid=13659</v>
      </c>
      <c r="Q3415" s="18" t="str">
        <f>HYPERLINK("https://ceds.ed.gov/elementComment.aspx?elementName=White &amp;elementID=13659", "Click here to submit comment")</f>
        <v>Click here to submit comment</v>
      </c>
    </row>
    <row r="3416" spans="1:17" x14ac:dyDescent="0.25">
      <c r="A3416" s="18"/>
      <c r="B3416" s="18"/>
      <c r="C3416" s="18"/>
      <c r="D3416" s="18"/>
      <c r="E3416" s="18"/>
      <c r="F3416" s="18"/>
      <c r="G3416" s="18"/>
      <c r="H3416" s="18"/>
      <c r="I3416" s="18"/>
      <c r="J3416" s="18"/>
      <c r="K3416" s="18"/>
      <c r="L3416" s="9"/>
      <c r="M3416" s="18"/>
      <c r="N3416" s="18"/>
      <c r="O3416" s="18"/>
      <c r="P3416" s="18"/>
      <c r="Q3416" s="18"/>
    </row>
    <row r="3417" spans="1:17" x14ac:dyDescent="0.25">
      <c r="A3417" s="18"/>
      <c r="B3417" s="18"/>
      <c r="C3417" s="18"/>
      <c r="D3417" s="18"/>
      <c r="E3417" s="18"/>
      <c r="F3417" s="18"/>
      <c r="G3417" s="18"/>
      <c r="H3417" s="18"/>
      <c r="I3417" s="18"/>
      <c r="J3417" s="18"/>
      <c r="K3417" s="18"/>
      <c r="L3417" s="9" t="s">
        <v>337</v>
      </c>
      <c r="M3417" s="18"/>
      <c r="N3417" s="18"/>
      <c r="O3417" s="18"/>
      <c r="P3417" s="18"/>
      <c r="Q3417" s="18"/>
    </row>
    <row r="3418" spans="1:17" ht="30" x14ac:dyDescent="0.25">
      <c r="A3418" s="18"/>
      <c r="B3418" s="18"/>
      <c r="C3418" s="18"/>
      <c r="D3418" s="18"/>
      <c r="E3418" s="18"/>
      <c r="F3418" s="18"/>
      <c r="G3418" s="18"/>
      <c r="H3418" s="18"/>
      <c r="I3418" s="18"/>
      <c r="J3418" s="18"/>
      <c r="K3418" s="18"/>
      <c r="L3418" s="9" t="s">
        <v>338</v>
      </c>
      <c r="M3418" s="18"/>
      <c r="N3418" s="18"/>
      <c r="O3418" s="18"/>
      <c r="P3418" s="18"/>
      <c r="Q3418" s="18"/>
    </row>
    <row r="3419" spans="1:17" x14ac:dyDescent="0.25">
      <c r="A3419" s="18"/>
      <c r="B3419" s="18"/>
      <c r="C3419" s="18"/>
      <c r="D3419" s="18"/>
      <c r="E3419" s="18"/>
      <c r="F3419" s="18"/>
      <c r="G3419" s="18"/>
      <c r="H3419" s="18"/>
      <c r="I3419" s="18"/>
      <c r="J3419" s="18"/>
      <c r="K3419" s="18"/>
      <c r="L3419" s="9" t="s">
        <v>339</v>
      </c>
      <c r="M3419" s="18"/>
      <c r="N3419" s="18"/>
      <c r="O3419" s="18"/>
      <c r="P3419" s="18"/>
      <c r="Q3419" s="18"/>
    </row>
    <row r="3420" spans="1:17" ht="165" customHeight="1" x14ac:dyDescent="0.25">
      <c r="A3420" s="18" t="s">
        <v>2996</v>
      </c>
      <c r="B3420" s="18" t="s">
        <v>6889</v>
      </c>
      <c r="C3420" s="18" t="s">
        <v>6748</v>
      </c>
      <c r="D3420" s="18" t="s">
        <v>6742</v>
      </c>
      <c r="E3420" s="18" t="s">
        <v>3145</v>
      </c>
      <c r="F3420" s="18" t="s">
        <v>3146</v>
      </c>
      <c r="G3420" s="19" t="s">
        <v>6342</v>
      </c>
      <c r="H3420" s="18" t="s">
        <v>6121</v>
      </c>
      <c r="I3420" s="18"/>
      <c r="J3420" s="18"/>
      <c r="K3420" s="18"/>
      <c r="L3420" s="9" t="s">
        <v>336</v>
      </c>
      <c r="M3420" s="18" t="s">
        <v>3147</v>
      </c>
      <c r="N3420" s="18"/>
      <c r="O3420" s="18" t="s">
        <v>3148</v>
      </c>
      <c r="P3420" s="18" t="str">
        <f>HYPERLINK("https://ceds.ed.gov/cedselementdetails.aspx?termid=13144")</f>
        <v>https://ceds.ed.gov/cedselementdetails.aspx?termid=13144</v>
      </c>
      <c r="Q3420" s="18" t="str">
        <f>HYPERLINK("https://ceds.ed.gov/elementComment.aspx?elementName=Hispanic or Latino Ethnicity &amp;elementID=13144", "Click here to submit comment")</f>
        <v>Click here to submit comment</v>
      </c>
    </row>
    <row r="3421" spans="1:17" x14ac:dyDescent="0.25">
      <c r="A3421" s="18"/>
      <c r="B3421" s="18"/>
      <c r="C3421" s="18"/>
      <c r="D3421" s="18"/>
      <c r="E3421" s="18"/>
      <c r="F3421" s="18"/>
      <c r="G3421" s="18"/>
      <c r="H3421" s="18"/>
      <c r="I3421" s="18"/>
      <c r="J3421" s="18"/>
      <c r="K3421" s="18"/>
      <c r="L3421" s="9"/>
      <c r="M3421" s="18"/>
      <c r="N3421" s="18"/>
      <c r="O3421" s="18"/>
      <c r="P3421" s="18"/>
      <c r="Q3421" s="18"/>
    </row>
    <row r="3422" spans="1:17" x14ac:dyDescent="0.25">
      <c r="A3422" s="18"/>
      <c r="B3422" s="18"/>
      <c r="C3422" s="18"/>
      <c r="D3422" s="18"/>
      <c r="E3422" s="18"/>
      <c r="F3422" s="18"/>
      <c r="G3422" s="18"/>
      <c r="H3422" s="18"/>
      <c r="I3422" s="18"/>
      <c r="J3422" s="18"/>
      <c r="K3422" s="18"/>
      <c r="L3422" s="9" t="s">
        <v>337</v>
      </c>
      <c r="M3422" s="18"/>
      <c r="N3422" s="18"/>
      <c r="O3422" s="18"/>
      <c r="P3422" s="18"/>
      <c r="Q3422" s="18"/>
    </row>
    <row r="3423" spans="1:17" ht="30" x14ac:dyDescent="0.25">
      <c r="A3423" s="18"/>
      <c r="B3423" s="18"/>
      <c r="C3423" s="18"/>
      <c r="D3423" s="18"/>
      <c r="E3423" s="18"/>
      <c r="F3423" s="18"/>
      <c r="G3423" s="18"/>
      <c r="H3423" s="18"/>
      <c r="I3423" s="18"/>
      <c r="J3423" s="18"/>
      <c r="K3423" s="18"/>
      <c r="L3423" s="9" t="s">
        <v>338</v>
      </c>
      <c r="M3423" s="18"/>
      <c r="N3423" s="18"/>
      <c r="O3423" s="18"/>
      <c r="P3423" s="18"/>
      <c r="Q3423" s="18"/>
    </row>
    <row r="3424" spans="1:17" x14ac:dyDescent="0.25">
      <c r="A3424" s="18"/>
      <c r="B3424" s="18"/>
      <c r="C3424" s="18"/>
      <c r="D3424" s="18"/>
      <c r="E3424" s="18"/>
      <c r="F3424" s="18"/>
      <c r="G3424" s="18"/>
      <c r="H3424" s="18"/>
      <c r="I3424" s="18"/>
      <c r="J3424" s="18"/>
      <c r="K3424" s="18"/>
      <c r="L3424" s="9" t="s">
        <v>339</v>
      </c>
      <c r="M3424" s="18"/>
      <c r="N3424" s="18"/>
      <c r="O3424" s="18"/>
      <c r="P3424" s="18"/>
      <c r="Q3424" s="18"/>
    </row>
    <row r="3425" spans="1:17" ht="105" x14ac:dyDescent="0.25">
      <c r="A3425" s="9" t="s">
        <v>2996</v>
      </c>
      <c r="B3425" s="9" t="s">
        <v>6889</v>
      </c>
      <c r="C3425" s="9" t="s">
        <v>6748</v>
      </c>
      <c r="D3425" s="9" t="s">
        <v>6742</v>
      </c>
      <c r="E3425" s="9" t="s">
        <v>4254</v>
      </c>
      <c r="F3425" s="9" t="s">
        <v>4255</v>
      </c>
      <c r="G3425" s="10" t="s">
        <v>6620</v>
      </c>
      <c r="H3425" s="9"/>
      <c r="I3425" s="9"/>
      <c r="J3425" s="9"/>
      <c r="K3425" s="9"/>
      <c r="L3425" s="9"/>
      <c r="M3425" s="9" t="s">
        <v>4256</v>
      </c>
      <c r="N3425" s="9"/>
      <c r="O3425" s="9" t="s">
        <v>4257</v>
      </c>
      <c r="P3425" s="9" t="str">
        <f>HYPERLINK("https://ceds.ed.gov/cedselementdetails.aspx?termid=14621")</f>
        <v>https://ceds.ed.gov/cedselementdetails.aspx?termid=14621</v>
      </c>
      <c r="Q3425" s="9" t="str">
        <f>HYPERLINK("https://ceds.ed.gov/elementComment.aspx?elementName=Military Branch &amp;elementID=14621", "Click here to submit comment")</f>
        <v>Click here to submit comment</v>
      </c>
    </row>
    <row r="3426" spans="1:17" ht="75" x14ac:dyDescent="0.25">
      <c r="A3426" s="9" t="s">
        <v>2996</v>
      </c>
      <c r="B3426" s="9" t="s">
        <v>6889</v>
      </c>
      <c r="C3426" s="9" t="s">
        <v>6748</v>
      </c>
      <c r="D3426" s="9" t="s">
        <v>6742</v>
      </c>
      <c r="E3426" s="9" t="s">
        <v>4250</v>
      </c>
      <c r="F3426" s="9" t="s">
        <v>4251</v>
      </c>
      <c r="G3426" s="10" t="s">
        <v>6619</v>
      </c>
      <c r="H3426" s="9"/>
      <c r="I3426" s="9"/>
      <c r="J3426" s="9"/>
      <c r="K3426" s="9"/>
      <c r="L3426" s="9"/>
      <c r="M3426" s="9" t="s">
        <v>4252</v>
      </c>
      <c r="N3426" s="9"/>
      <c r="O3426" s="9" t="s">
        <v>4253</v>
      </c>
      <c r="P3426" s="9" t="str">
        <f>HYPERLINK("https://ceds.ed.gov/cedselementdetails.aspx?termid=14556")</f>
        <v>https://ceds.ed.gov/cedselementdetails.aspx?termid=14556</v>
      </c>
      <c r="Q3426" s="9" t="str">
        <f>HYPERLINK("https://ceds.ed.gov/elementComment.aspx?elementName=Military Active Student Indicator &amp;elementID=14556", "Click here to submit comment")</f>
        <v>Click here to submit comment</v>
      </c>
    </row>
    <row r="3427" spans="1:17" ht="75" x14ac:dyDescent="0.25">
      <c r="A3427" s="9" t="s">
        <v>2996</v>
      </c>
      <c r="B3427" s="9" t="s">
        <v>6889</v>
      </c>
      <c r="C3427" s="9" t="s">
        <v>6748</v>
      </c>
      <c r="D3427" s="9" t="s">
        <v>6742</v>
      </c>
      <c r="E3427" s="9" t="s">
        <v>4267</v>
      </c>
      <c r="F3427" s="9" t="s">
        <v>4268</v>
      </c>
      <c r="G3427" s="10" t="s">
        <v>6622</v>
      </c>
      <c r="H3427" s="9"/>
      <c r="I3427" s="9"/>
      <c r="J3427" s="9"/>
      <c r="K3427" s="9"/>
      <c r="L3427" s="9"/>
      <c r="M3427" s="9" t="s">
        <v>4269</v>
      </c>
      <c r="N3427" s="9"/>
      <c r="O3427" s="9" t="s">
        <v>4270</v>
      </c>
      <c r="P3427" s="9" t="str">
        <f>HYPERLINK("https://ceds.ed.gov/cedselementdetails.aspx?termid=14557")</f>
        <v>https://ceds.ed.gov/cedselementdetails.aspx?termid=14557</v>
      </c>
      <c r="Q3427" s="9" t="str">
        <f>HYPERLINK("https://ceds.ed.gov/elementComment.aspx?elementName=Military Veteran Student Indicator &amp;elementID=14557", "Click here to submit comment")</f>
        <v>Click here to submit comment</v>
      </c>
    </row>
    <row r="3428" spans="1:17" ht="120" x14ac:dyDescent="0.25">
      <c r="A3428" s="9" t="s">
        <v>2996</v>
      </c>
      <c r="B3428" s="9" t="s">
        <v>6889</v>
      </c>
      <c r="C3428" s="9" t="s">
        <v>6827</v>
      </c>
      <c r="D3428" s="9" t="s">
        <v>6742</v>
      </c>
      <c r="E3428" s="9" t="s">
        <v>4365</v>
      </c>
      <c r="F3428" s="9" t="s">
        <v>4366</v>
      </c>
      <c r="G3428" s="9" t="s">
        <v>12</v>
      </c>
      <c r="H3428" s="9" t="s">
        <v>6241</v>
      </c>
      <c r="I3428" s="9"/>
      <c r="J3428" s="9" t="s">
        <v>1513</v>
      </c>
      <c r="K3428" s="9"/>
      <c r="L3428" s="9"/>
      <c r="M3428" s="9" t="s">
        <v>4367</v>
      </c>
      <c r="N3428" s="9"/>
      <c r="O3428" s="9" t="s">
        <v>4368</v>
      </c>
      <c r="P3428" s="9" t="str">
        <f>HYPERLINK("https://ceds.ed.gov/cedselementdetails.aspx?termid=13200")</f>
        <v>https://ceds.ed.gov/cedselementdetails.aspx?termid=13200</v>
      </c>
      <c r="Q3428" s="9" t="str">
        <f>HYPERLINK("https://ceds.ed.gov/elementComment.aspx?elementName=Number of Credits Earned &amp;elementID=13200", "Click here to submit comment")</f>
        <v>Click here to submit comment</v>
      </c>
    </row>
    <row r="3429" spans="1:17" ht="135" x14ac:dyDescent="0.25">
      <c r="A3429" s="9" t="s">
        <v>2996</v>
      </c>
      <c r="B3429" s="9" t="s">
        <v>6889</v>
      </c>
      <c r="C3429" s="9" t="s">
        <v>6829</v>
      </c>
      <c r="D3429" s="9" t="s">
        <v>6742</v>
      </c>
      <c r="E3429" s="9" t="s">
        <v>2268</v>
      </c>
      <c r="F3429" s="9" t="s">
        <v>2269</v>
      </c>
      <c r="G3429" s="9" t="s">
        <v>12</v>
      </c>
      <c r="H3429" s="9" t="s">
        <v>6186</v>
      </c>
      <c r="I3429" s="9"/>
      <c r="J3429" s="9" t="s">
        <v>2270</v>
      </c>
      <c r="K3429" s="9"/>
      <c r="L3429" s="9"/>
      <c r="M3429" s="9" t="s">
        <v>2271</v>
      </c>
      <c r="N3429" s="9"/>
      <c r="O3429" s="9" t="s">
        <v>2272</v>
      </c>
      <c r="P3429" s="9" t="str">
        <f>HYPERLINK("https://ceds.ed.gov/cedselementdetails.aspx?termid=13081")</f>
        <v>https://ceds.ed.gov/cedselementdetails.aspx?termid=13081</v>
      </c>
      <c r="Q3429" s="9" t="str">
        <f>HYPERLINK("https://ceds.ed.gov/elementComment.aspx?elementName=Diploma or Credential Award Date &amp;elementID=13081", "Click here to submit comment")</f>
        <v>Click here to submit comment</v>
      </c>
    </row>
    <row r="3430" spans="1:17" ht="285" x14ac:dyDescent="0.25">
      <c r="A3430" s="9" t="s">
        <v>2996</v>
      </c>
      <c r="B3430" s="9" t="s">
        <v>6889</v>
      </c>
      <c r="C3430" s="9" t="s">
        <v>6829</v>
      </c>
      <c r="D3430" s="9" t="s">
        <v>6742</v>
      </c>
      <c r="E3430" s="9" t="s">
        <v>3109</v>
      </c>
      <c r="F3430" s="9" t="s">
        <v>3110</v>
      </c>
      <c r="G3430" s="10" t="s">
        <v>6532</v>
      </c>
      <c r="H3430" s="9" t="s">
        <v>6220</v>
      </c>
      <c r="I3430" s="9"/>
      <c r="J3430" s="9"/>
      <c r="K3430" s="9"/>
      <c r="L3430" s="9"/>
      <c r="M3430" s="9" t="s">
        <v>3111</v>
      </c>
      <c r="N3430" s="9"/>
      <c r="O3430" s="9" t="s">
        <v>3112</v>
      </c>
      <c r="P3430" s="9" t="str">
        <f>HYPERLINK("https://ceds.ed.gov/cedselementdetails.aspx?termid=13138")</f>
        <v>https://ceds.ed.gov/cedselementdetails.aspx?termid=13138</v>
      </c>
      <c r="Q3430" s="9" t="str">
        <f>HYPERLINK("https://ceds.ed.gov/elementComment.aspx?elementName=High School Diploma Type &amp;elementID=13138", "Click here to submit comment")</f>
        <v>Click here to submit comment</v>
      </c>
    </row>
    <row r="3431" spans="1:17" ht="105" x14ac:dyDescent="0.25">
      <c r="A3431" s="9" t="s">
        <v>2996</v>
      </c>
      <c r="B3431" s="9" t="s">
        <v>6889</v>
      </c>
      <c r="C3431" s="9" t="s">
        <v>6829</v>
      </c>
      <c r="D3431" s="9" t="s">
        <v>6742</v>
      </c>
      <c r="E3431" s="9" t="s">
        <v>3105</v>
      </c>
      <c r="F3431" s="9" t="s">
        <v>3106</v>
      </c>
      <c r="G3431" s="10" t="s">
        <v>6531</v>
      </c>
      <c r="H3431" s="9"/>
      <c r="I3431" s="9"/>
      <c r="J3431" s="9"/>
      <c r="K3431" s="9"/>
      <c r="L3431" s="9"/>
      <c r="M3431" s="9" t="s">
        <v>3107</v>
      </c>
      <c r="N3431" s="9"/>
      <c r="O3431" s="9" t="s">
        <v>3108</v>
      </c>
      <c r="P3431" s="9" t="str">
        <f>HYPERLINK("https://ceds.ed.gov/cedselementdetails.aspx?termid=13689")</f>
        <v>https://ceds.ed.gov/cedselementdetails.aspx?termid=13689</v>
      </c>
      <c r="Q3431" s="9" t="str">
        <f>HYPERLINK("https://ceds.ed.gov/elementComment.aspx?elementName=High School Diploma Distinction Type &amp;elementID=13689", "Click here to submit comment")</f>
        <v>Click here to submit comment</v>
      </c>
    </row>
    <row r="3432" spans="1:17" ht="60" x14ac:dyDescent="0.25">
      <c r="A3432" s="9" t="s">
        <v>2996</v>
      </c>
      <c r="B3432" s="9" t="s">
        <v>6889</v>
      </c>
      <c r="C3432" s="9" t="s">
        <v>6829</v>
      </c>
      <c r="D3432" s="9" t="s">
        <v>6742</v>
      </c>
      <c r="E3432" s="9" t="s">
        <v>10</v>
      </c>
      <c r="F3432" s="9" t="s">
        <v>11</v>
      </c>
      <c r="G3432" s="9" t="s">
        <v>12</v>
      </c>
      <c r="H3432" s="9" t="s">
        <v>6107</v>
      </c>
      <c r="I3432" s="9"/>
      <c r="J3432" s="9" t="s">
        <v>13</v>
      </c>
      <c r="K3432" s="9"/>
      <c r="L3432" s="9"/>
      <c r="M3432" s="9" t="s">
        <v>14</v>
      </c>
      <c r="N3432" s="9"/>
      <c r="O3432" s="9" t="s">
        <v>15</v>
      </c>
      <c r="P3432" s="9" t="str">
        <f>HYPERLINK("https://ceds.ed.gov/cedselementdetails.aspx?termid=13001")</f>
        <v>https://ceds.ed.gov/cedselementdetails.aspx?termid=13001</v>
      </c>
      <c r="Q3432" s="9" t="str">
        <f>HYPERLINK("https://ceds.ed.gov/elementComment.aspx?elementName=Academic Award Date &amp;elementID=13001", "Click here to submit comment")</f>
        <v>Click here to submit comment</v>
      </c>
    </row>
    <row r="3433" spans="1:17" ht="285" x14ac:dyDescent="0.25">
      <c r="A3433" s="9" t="s">
        <v>2996</v>
      </c>
      <c r="B3433" s="9" t="s">
        <v>6889</v>
      </c>
      <c r="C3433" s="9" t="s">
        <v>6829</v>
      </c>
      <c r="D3433" s="9" t="s">
        <v>6742</v>
      </c>
      <c r="E3433" s="9" t="s">
        <v>16</v>
      </c>
      <c r="F3433" s="9" t="s">
        <v>17</v>
      </c>
      <c r="G3433" s="10" t="s">
        <v>6311</v>
      </c>
      <c r="H3433" s="9" t="s">
        <v>6108</v>
      </c>
      <c r="I3433" s="9"/>
      <c r="J3433" s="9"/>
      <c r="K3433" s="9"/>
      <c r="L3433" s="9"/>
      <c r="M3433" s="9" t="s">
        <v>18</v>
      </c>
      <c r="N3433" s="9"/>
      <c r="O3433" s="9" t="s">
        <v>19</v>
      </c>
      <c r="P3433" s="9" t="str">
        <f>HYPERLINK("https://ceds.ed.gov/cedselementdetails.aspx?termid=13002")</f>
        <v>https://ceds.ed.gov/cedselementdetails.aspx?termid=13002</v>
      </c>
      <c r="Q3433" s="9" t="str">
        <f>HYPERLINK("https://ceds.ed.gov/elementComment.aspx?elementName=Academic Award Level Conferred &amp;elementID=13002", "Click here to submit comment")</f>
        <v>Click here to submit comment</v>
      </c>
    </row>
    <row r="3434" spans="1:17" ht="45" x14ac:dyDescent="0.25">
      <c r="A3434" s="9" t="s">
        <v>2996</v>
      </c>
      <c r="B3434" s="9" t="s">
        <v>6889</v>
      </c>
      <c r="C3434" s="9" t="s">
        <v>6829</v>
      </c>
      <c r="D3434" s="9" t="s">
        <v>6742</v>
      </c>
      <c r="E3434" s="9" t="s">
        <v>20</v>
      </c>
      <c r="F3434" s="9" t="s">
        <v>21</v>
      </c>
      <c r="G3434" s="9" t="s">
        <v>12</v>
      </c>
      <c r="H3434" s="9" t="s">
        <v>25</v>
      </c>
      <c r="I3434" s="9"/>
      <c r="J3434" s="9" t="s">
        <v>22</v>
      </c>
      <c r="K3434" s="9"/>
      <c r="L3434" s="9"/>
      <c r="M3434" s="9" t="s">
        <v>23</v>
      </c>
      <c r="N3434" s="9"/>
      <c r="O3434" s="9" t="s">
        <v>24</v>
      </c>
      <c r="P3434" s="9" t="str">
        <f>HYPERLINK("https://ceds.ed.gov/cedselementdetails.aspx?termid=13003")</f>
        <v>https://ceds.ed.gov/cedselementdetails.aspx?termid=13003</v>
      </c>
      <c r="Q3434" s="9" t="str">
        <f>HYPERLINK("https://ceds.ed.gov/elementComment.aspx?elementName=Academic Award Title &amp;elementID=13003", "Click here to submit comment")</f>
        <v>Click here to submit comment</v>
      </c>
    </row>
    <row r="3435" spans="1:17" ht="270" x14ac:dyDescent="0.25">
      <c r="A3435" s="9" t="s">
        <v>2996</v>
      </c>
      <c r="B3435" s="9" t="s">
        <v>6889</v>
      </c>
      <c r="C3435" s="9" t="s">
        <v>6829</v>
      </c>
      <c r="D3435" s="9" t="s">
        <v>6742</v>
      </c>
      <c r="E3435" s="9" t="s">
        <v>2115</v>
      </c>
      <c r="F3435" s="9" t="s">
        <v>2116</v>
      </c>
      <c r="G3435" s="10" t="s">
        <v>6437</v>
      </c>
      <c r="H3435" s="9"/>
      <c r="I3435" s="9"/>
      <c r="J3435" s="9"/>
      <c r="K3435" s="9"/>
      <c r="L3435" s="9"/>
      <c r="M3435" s="9" t="s">
        <v>2117</v>
      </c>
      <c r="N3435" s="9"/>
      <c r="O3435" s="9" t="s">
        <v>2118</v>
      </c>
      <c r="P3435" s="9" t="str">
        <f>HYPERLINK("https://ceds.ed.gov/cedselementdetails.aspx?termid=14283")</f>
        <v>https://ceds.ed.gov/cedselementdetails.aspx?termid=14283</v>
      </c>
      <c r="Q3435" s="9" t="str">
        <f>HYPERLINK("https://ceds.ed.gov/elementComment.aspx?elementName=Credit Hours Applied Other Program &amp;elementID=14283", "Click here to submit comment")</f>
        <v>Click here to submit comment</v>
      </c>
    </row>
    <row r="3436" spans="1:17" ht="195" x14ac:dyDescent="0.25">
      <c r="A3436" s="9" t="s">
        <v>2996</v>
      </c>
      <c r="B3436" s="9" t="s">
        <v>6889</v>
      </c>
      <c r="C3436" s="9" t="s">
        <v>6829</v>
      </c>
      <c r="D3436" s="9" t="s">
        <v>6742</v>
      </c>
      <c r="E3436" s="9" t="s">
        <v>4880</v>
      </c>
      <c r="F3436" s="9" t="s">
        <v>4881</v>
      </c>
      <c r="G3436" s="10" t="s">
        <v>6660</v>
      </c>
      <c r="H3436" s="9"/>
      <c r="I3436" s="9"/>
      <c r="J3436" s="9"/>
      <c r="K3436" s="9"/>
      <c r="L3436" s="9"/>
      <c r="M3436" s="9" t="s">
        <v>4882</v>
      </c>
      <c r="N3436" s="9"/>
      <c r="O3436" s="9" t="s">
        <v>4883</v>
      </c>
      <c r="P3436" s="9" t="str">
        <f>HYPERLINK("https://ceds.ed.gov/cedselementdetails.aspx?termid=13780")</f>
        <v>https://ceds.ed.gov/cedselementdetails.aspx?termid=13780</v>
      </c>
      <c r="Q3436" s="9" t="str">
        <f>HYPERLINK("https://ceds.ed.gov/elementComment.aspx?elementName=Professional or Technical Credential Conferred &amp;elementID=13780", "Click here to submit comment")</f>
        <v>Click here to submit comment</v>
      </c>
    </row>
    <row r="3437" spans="1:17" ht="105" x14ac:dyDescent="0.25">
      <c r="A3437" s="18" t="s">
        <v>2996</v>
      </c>
      <c r="B3437" s="18" t="s">
        <v>6889</v>
      </c>
      <c r="C3437" s="18" t="s">
        <v>6829</v>
      </c>
      <c r="D3437" s="18" t="s">
        <v>6742</v>
      </c>
      <c r="E3437" s="18" t="s">
        <v>4913</v>
      </c>
      <c r="F3437" s="18" t="s">
        <v>4914</v>
      </c>
      <c r="G3437" s="18" t="s">
        <v>12</v>
      </c>
      <c r="H3437" s="18" t="s">
        <v>1963</v>
      </c>
      <c r="I3437" s="18"/>
      <c r="J3437" s="18" t="s">
        <v>119</v>
      </c>
      <c r="K3437" s="18"/>
      <c r="L3437" s="9" t="s">
        <v>120</v>
      </c>
      <c r="M3437" s="18" t="s">
        <v>4915</v>
      </c>
      <c r="N3437" s="18"/>
      <c r="O3437" s="18" t="s">
        <v>4916</v>
      </c>
      <c r="P3437" s="18" t="str">
        <f>HYPERLINK("https://ceds.ed.gov/cedselementdetails.aspx?termid=13618")</f>
        <v>https://ceds.ed.gov/cedselementdetails.aspx?termid=13618</v>
      </c>
      <c r="Q3437" s="18" t="str">
        <f>HYPERLINK("https://ceds.ed.gov/elementComment.aspx?elementName=Program Identifier &amp;elementID=13618", "Click here to submit comment")</f>
        <v>Click here to submit comment</v>
      </c>
    </row>
    <row r="3438" spans="1:17" x14ac:dyDescent="0.25">
      <c r="A3438" s="18"/>
      <c r="B3438" s="18"/>
      <c r="C3438" s="18"/>
      <c r="D3438" s="18"/>
      <c r="E3438" s="18"/>
      <c r="F3438" s="18"/>
      <c r="G3438" s="18"/>
      <c r="H3438" s="18"/>
      <c r="I3438" s="18"/>
      <c r="J3438" s="18"/>
      <c r="K3438" s="18"/>
      <c r="L3438" s="9"/>
      <c r="M3438" s="18"/>
      <c r="N3438" s="18"/>
      <c r="O3438" s="18"/>
      <c r="P3438" s="18"/>
      <c r="Q3438" s="18"/>
    </row>
    <row r="3439" spans="1:17" ht="90" x14ac:dyDescent="0.25">
      <c r="A3439" s="18"/>
      <c r="B3439" s="18"/>
      <c r="C3439" s="18"/>
      <c r="D3439" s="18"/>
      <c r="E3439" s="18"/>
      <c r="F3439" s="18"/>
      <c r="G3439" s="18"/>
      <c r="H3439" s="18"/>
      <c r="I3439" s="18"/>
      <c r="J3439" s="18"/>
      <c r="K3439" s="18"/>
      <c r="L3439" s="9" t="s">
        <v>121</v>
      </c>
      <c r="M3439" s="18"/>
      <c r="N3439" s="18"/>
      <c r="O3439" s="18"/>
      <c r="P3439" s="18"/>
      <c r="Q3439" s="18"/>
    </row>
    <row r="3440" spans="1:17" ht="75" x14ac:dyDescent="0.25">
      <c r="A3440" s="9" t="s">
        <v>2996</v>
      </c>
      <c r="B3440" s="9" t="s">
        <v>6889</v>
      </c>
      <c r="C3440" s="9" t="s">
        <v>6829</v>
      </c>
      <c r="D3440" s="9" t="s">
        <v>6742</v>
      </c>
      <c r="E3440" s="9" t="s">
        <v>4655</v>
      </c>
      <c r="F3440" s="9" t="s">
        <v>4656</v>
      </c>
      <c r="G3440" s="10" t="s">
        <v>6642</v>
      </c>
      <c r="H3440" s="9" t="s">
        <v>6257</v>
      </c>
      <c r="I3440" s="9"/>
      <c r="J3440" s="9"/>
      <c r="K3440" s="9"/>
      <c r="L3440" s="9"/>
      <c r="M3440" s="9" t="s">
        <v>4657</v>
      </c>
      <c r="N3440" s="9"/>
      <c r="O3440" s="9" t="s">
        <v>4658</v>
      </c>
      <c r="P3440" s="9" t="str">
        <f>HYPERLINK("https://ceds.ed.gov/cedselementdetails.aspx?termid=14595")</f>
        <v>https://ceds.ed.gov/cedselementdetails.aspx?termid=14595</v>
      </c>
      <c r="Q3440" s="9" t="str">
        <f>HYPERLINK("https://ceds.ed.gov/elementComment.aspx?elementName=Postsecondary Program Level &amp;elementID=14595", "Click here to submit comment")</f>
        <v>Click here to submit comment</v>
      </c>
    </row>
    <row r="3441" spans="1:17" ht="150" x14ac:dyDescent="0.25">
      <c r="A3441" s="9" t="s">
        <v>2996</v>
      </c>
      <c r="B3441" s="9" t="s">
        <v>6889</v>
      </c>
      <c r="C3441" s="9" t="s">
        <v>6829</v>
      </c>
      <c r="D3441" s="9" t="s">
        <v>6742</v>
      </c>
      <c r="E3441" s="9" t="s">
        <v>2366</v>
      </c>
      <c r="F3441" s="9" t="s">
        <v>2367</v>
      </c>
      <c r="G3441" s="10" t="s">
        <v>6459</v>
      </c>
      <c r="H3441" s="9"/>
      <c r="I3441" s="9"/>
      <c r="J3441" s="9"/>
      <c r="K3441" s="9"/>
      <c r="L3441" s="11" t="s">
        <v>2368</v>
      </c>
      <c r="M3441" s="9" t="s">
        <v>2369</v>
      </c>
      <c r="N3441" s="9"/>
      <c r="O3441" s="9" t="s">
        <v>2370</v>
      </c>
      <c r="P3441" s="9" t="str">
        <f>HYPERLINK("https://ceds.ed.gov/cedselementdetails.aspx?termid=14622")</f>
        <v>https://ceds.ed.gov/cedselementdetails.aspx?termid=14622</v>
      </c>
      <c r="Q3441" s="9" t="str">
        <f>HYPERLINK("https://ceds.ed.gov/elementComment.aspx?elementName=DQP Categories of Learning &amp;elementID=14622", "Click here to submit comment")</f>
        <v>Click here to submit comment</v>
      </c>
    </row>
    <row r="3442" spans="1:17" ht="75" x14ac:dyDescent="0.25">
      <c r="A3442" s="9" t="s">
        <v>2996</v>
      </c>
      <c r="B3442" s="9" t="s">
        <v>6889</v>
      </c>
      <c r="C3442" s="9" t="s">
        <v>6829</v>
      </c>
      <c r="D3442" s="9" t="s">
        <v>6742</v>
      </c>
      <c r="E3442" s="9" t="s">
        <v>1778</v>
      </c>
      <c r="F3442" s="9" t="s">
        <v>1779</v>
      </c>
      <c r="G3442" s="11" t="s">
        <v>1780</v>
      </c>
      <c r="H3442" s="9" t="s">
        <v>6108</v>
      </c>
      <c r="I3442" s="9"/>
      <c r="J3442" s="9"/>
      <c r="K3442" s="9"/>
      <c r="L3442" s="9"/>
      <c r="M3442" s="9" t="s">
        <v>1781</v>
      </c>
      <c r="N3442" s="9" t="s">
        <v>1782</v>
      </c>
      <c r="O3442" s="9" t="s">
        <v>1783</v>
      </c>
      <c r="P3442" s="9" t="str">
        <f>HYPERLINK("https://ceds.ed.gov/cedselementdetails.aspx?termid=13043")</f>
        <v>https://ceds.ed.gov/cedselementdetails.aspx?termid=13043</v>
      </c>
      <c r="Q3442" s="9" t="str">
        <f>HYPERLINK("https://ceds.ed.gov/elementComment.aspx?elementName=Classification of Instructional Program Code &amp;elementID=13043", "Click here to submit comment")</f>
        <v>Click here to submit comment</v>
      </c>
    </row>
    <row r="3443" spans="1:17" ht="135" x14ac:dyDescent="0.25">
      <c r="A3443" s="9" t="s">
        <v>2996</v>
      </c>
      <c r="B3443" s="9" t="s">
        <v>6889</v>
      </c>
      <c r="C3443" s="9" t="s">
        <v>6829</v>
      </c>
      <c r="D3443" s="9" t="s">
        <v>6742</v>
      </c>
      <c r="E3443" s="9" t="s">
        <v>1784</v>
      </c>
      <c r="F3443" s="9" t="s">
        <v>1785</v>
      </c>
      <c r="G3443" s="10" t="s">
        <v>6407</v>
      </c>
      <c r="H3443" s="9" t="s">
        <v>6115</v>
      </c>
      <c r="I3443" s="9"/>
      <c r="J3443" s="9"/>
      <c r="K3443" s="9"/>
      <c r="L3443" s="9"/>
      <c r="M3443" s="9" t="s">
        <v>1786</v>
      </c>
      <c r="N3443" s="9" t="s">
        <v>1787</v>
      </c>
      <c r="O3443" s="9" t="s">
        <v>1788</v>
      </c>
      <c r="P3443" s="9" t="str">
        <f>HYPERLINK("https://ceds.ed.gov/cedselementdetails.aspx?termid=13044")</f>
        <v>https://ceds.ed.gov/cedselementdetails.aspx?termid=13044</v>
      </c>
      <c r="Q3443" s="9" t="str">
        <f>HYPERLINK("https://ceds.ed.gov/elementComment.aspx?elementName=Classification of Instructional Program Use &amp;elementID=13044", "Click here to submit comment")</f>
        <v>Click here to submit comment</v>
      </c>
    </row>
    <row r="3444" spans="1:17" ht="90" x14ac:dyDescent="0.25">
      <c r="A3444" s="9" t="s">
        <v>2996</v>
      </c>
      <c r="B3444" s="9" t="s">
        <v>6889</v>
      </c>
      <c r="C3444" s="9" t="s">
        <v>6829</v>
      </c>
      <c r="D3444" s="9" t="s">
        <v>6742</v>
      </c>
      <c r="E3444" s="9" t="s">
        <v>1789</v>
      </c>
      <c r="F3444" s="9" t="s">
        <v>1790</v>
      </c>
      <c r="G3444" s="10" t="s">
        <v>6408</v>
      </c>
      <c r="H3444" s="9" t="s">
        <v>6115</v>
      </c>
      <c r="I3444" s="9"/>
      <c r="J3444" s="9"/>
      <c r="K3444" s="9"/>
      <c r="L3444" s="9"/>
      <c r="M3444" s="9" t="s">
        <v>1791</v>
      </c>
      <c r="N3444" s="9" t="s">
        <v>1792</v>
      </c>
      <c r="O3444" s="9" t="s">
        <v>1793</v>
      </c>
      <c r="P3444" s="9" t="str">
        <f>HYPERLINK("https://ceds.ed.gov/cedselementdetails.aspx?termid=13045")</f>
        <v>https://ceds.ed.gov/cedselementdetails.aspx?termid=13045</v>
      </c>
      <c r="Q3444" s="9" t="str">
        <f>HYPERLINK("https://ceds.ed.gov/elementComment.aspx?elementName=Classification of Instructional Program Version &amp;elementID=13045", "Click here to submit comment")</f>
        <v>Click here to submit comment</v>
      </c>
    </row>
    <row r="3445" spans="1:17" ht="60" x14ac:dyDescent="0.25">
      <c r="A3445" s="9" t="s">
        <v>2996</v>
      </c>
      <c r="B3445" s="9" t="s">
        <v>6889</v>
      </c>
      <c r="C3445" s="9" t="s">
        <v>6803</v>
      </c>
      <c r="D3445" s="9" t="s">
        <v>6742</v>
      </c>
      <c r="E3445" s="9" t="s">
        <v>2636</v>
      </c>
      <c r="F3445" s="9" t="s">
        <v>2637</v>
      </c>
      <c r="G3445" s="9" t="s">
        <v>2638</v>
      </c>
      <c r="H3445" s="9"/>
      <c r="I3445" s="9"/>
      <c r="J3445" s="9" t="s">
        <v>11051</v>
      </c>
      <c r="K3445" s="9"/>
      <c r="L3445" s="9"/>
      <c r="M3445" s="9" t="s">
        <v>2639</v>
      </c>
      <c r="N3445" s="9"/>
      <c r="O3445" s="9" t="s">
        <v>2640</v>
      </c>
      <c r="P3445" s="9" t="str">
        <f>HYPERLINK("https://ceds.ed.gov/cedselementdetails.aspx?termid=14070")</f>
        <v>https://ceds.ed.gov/cedselementdetails.aspx?termid=14070</v>
      </c>
      <c r="Q3445" s="9" t="str">
        <f>HYPERLINK("https://ceds.ed.gov/elementComment.aspx?elementName=Employment NAICS Code &amp;elementID=14070", "Click here to submit comment")</f>
        <v>Click here to submit comment</v>
      </c>
    </row>
    <row r="3446" spans="1:17" ht="60" x14ac:dyDescent="0.25">
      <c r="A3446" s="9" t="s">
        <v>2996</v>
      </c>
      <c r="B3446" s="9" t="s">
        <v>6889</v>
      </c>
      <c r="C3446" s="9" t="s">
        <v>6803</v>
      </c>
      <c r="D3446" s="9" t="s">
        <v>6742</v>
      </c>
      <c r="E3446" s="9" t="s">
        <v>2662</v>
      </c>
      <c r="F3446" s="9" t="s">
        <v>2663</v>
      </c>
      <c r="G3446" s="9" t="s">
        <v>12</v>
      </c>
      <c r="H3446" s="9" t="s">
        <v>6199</v>
      </c>
      <c r="I3446" s="9"/>
      <c r="J3446" s="9" t="s">
        <v>73</v>
      </c>
      <c r="K3446" s="9"/>
      <c r="L3446" s="9"/>
      <c r="M3446" s="9" t="s">
        <v>2664</v>
      </c>
      <c r="N3446" s="9"/>
      <c r="O3446" s="9" t="s">
        <v>2665</v>
      </c>
      <c r="P3446" s="9" t="str">
        <f>HYPERLINK("https://ceds.ed.gov/cedselementdetails.aspx?termid=13345")</f>
        <v>https://ceds.ed.gov/cedselementdetails.aspx?termid=13345</v>
      </c>
      <c r="Q3446" s="9" t="str">
        <f>HYPERLINK("https://ceds.ed.gov/elementComment.aspx?elementName=Employment Start Date &amp;elementID=13345", "Click here to submit comment")</f>
        <v>Click here to submit comment</v>
      </c>
    </row>
    <row r="3447" spans="1:17" ht="60" x14ac:dyDescent="0.25">
      <c r="A3447" s="9" t="s">
        <v>2996</v>
      </c>
      <c r="B3447" s="9" t="s">
        <v>6889</v>
      </c>
      <c r="C3447" s="9" t="s">
        <v>6803</v>
      </c>
      <c r="D3447" s="9" t="s">
        <v>6742</v>
      </c>
      <c r="E3447" s="9" t="s">
        <v>2627</v>
      </c>
      <c r="F3447" s="9" t="s">
        <v>2628</v>
      </c>
      <c r="G3447" s="9" t="s">
        <v>12</v>
      </c>
      <c r="H3447" s="9" t="s">
        <v>182</v>
      </c>
      <c r="I3447" s="9"/>
      <c r="J3447" s="9" t="s">
        <v>73</v>
      </c>
      <c r="K3447" s="9"/>
      <c r="L3447" s="9"/>
      <c r="M3447" s="9" t="s">
        <v>2629</v>
      </c>
      <c r="N3447" s="9"/>
      <c r="O3447" s="9" t="s">
        <v>2630</v>
      </c>
      <c r="P3447" s="9" t="str">
        <f>HYPERLINK("https://ceds.ed.gov/cedselementdetails.aspx?termid=13794")</f>
        <v>https://ceds.ed.gov/cedselementdetails.aspx?termid=13794</v>
      </c>
      <c r="Q3447" s="9" t="str">
        <f>HYPERLINK("https://ceds.ed.gov/elementComment.aspx?elementName=Employment End Date &amp;elementID=13794", "Click here to submit comment")</f>
        <v>Click here to submit comment</v>
      </c>
    </row>
    <row r="3448" spans="1:17" ht="225" x14ac:dyDescent="0.25">
      <c r="A3448" s="9" t="s">
        <v>2996</v>
      </c>
      <c r="B3448" s="9" t="s">
        <v>6889</v>
      </c>
      <c r="C3448" s="9" t="s">
        <v>6803</v>
      </c>
      <c r="D3448" s="9" t="s">
        <v>6742</v>
      </c>
      <c r="E3448" s="9" t="s">
        <v>2622</v>
      </c>
      <c r="F3448" s="9" t="s">
        <v>2623</v>
      </c>
      <c r="G3448" s="9" t="s">
        <v>6195</v>
      </c>
      <c r="H3448" s="9" t="s">
        <v>2615</v>
      </c>
      <c r="I3448" s="9"/>
      <c r="J3448" s="9"/>
      <c r="K3448" s="9"/>
      <c r="L3448" s="9" t="s">
        <v>2624</v>
      </c>
      <c r="M3448" s="9" t="s">
        <v>2625</v>
      </c>
      <c r="N3448" s="9"/>
      <c r="O3448" s="9" t="s">
        <v>2626</v>
      </c>
      <c r="P3448" s="9" t="str">
        <f>HYPERLINK("https://ceds.ed.gov/cedselementdetails.aspx?termid=13989")</f>
        <v>https://ceds.ed.gov/cedselementdetails.aspx?termid=13989</v>
      </c>
      <c r="Q3448" s="9" t="str">
        <f>HYPERLINK("https://ceds.ed.gov/elementComment.aspx?elementName=Employed While Enrolled &amp;elementID=13989", "Click here to submit comment")</f>
        <v>Click here to submit comment</v>
      </c>
    </row>
    <row r="3449" spans="1:17" ht="270" x14ac:dyDescent="0.25">
      <c r="A3449" s="9" t="s">
        <v>2996</v>
      </c>
      <c r="B3449" s="9" t="s">
        <v>6889</v>
      </c>
      <c r="C3449" s="9" t="s">
        <v>6803</v>
      </c>
      <c r="D3449" s="9" t="s">
        <v>6742</v>
      </c>
      <c r="E3449" s="9" t="s">
        <v>2610</v>
      </c>
      <c r="F3449" s="9" t="s">
        <v>2611</v>
      </c>
      <c r="G3449" s="9" t="s">
        <v>6195</v>
      </c>
      <c r="H3449" s="9" t="s">
        <v>2615</v>
      </c>
      <c r="I3449" s="9"/>
      <c r="J3449" s="9"/>
      <c r="K3449" s="9"/>
      <c r="L3449" s="9" t="s">
        <v>2612</v>
      </c>
      <c r="M3449" s="9" t="s">
        <v>2613</v>
      </c>
      <c r="N3449" s="9"/>
      <c r="O3449" s="9" t="s">
        <v>2614</v>
      </c>
      <c r="P3449" s="9" t="str">
        <f>HYPERLINK("https://ceds.ed.gov/cedselementdetails.aspx?termid=13990")</f>
        <v>https://ceds.ed.gov/cedselementdetails.aspx?termid=13990</v>
      </c>
      <c r="Q3449" s="9" t="str">
        <f>HYPERLINK("https://ceds.ed.gov/elementComment.aspx?elementName=Employed After Exit &amp;elementID=13990", "Click here to submit comment")</f>
        <v>Click here to submit comment</v>
      </c>
    </row>
    <row r="3450" spans="1:17" ht="195" x14ac:dyDescent="0.25">
      <c r="A3450" s="9" t="s">
        <v>2996</v>
      </c>
      <c r="B3450" s="9" t="s">
        <v>6889</v>
      </c>
      <c r="C3450" s="9" t="s">
        <v>6890</v>
      </c>
      <c r="D3450" s="9" t="s">
        <v>6742</v>
      </c>
      <c r="E3450" s="9" t="s">
        <v>4880</v>
      </c>
      <c r="F3450" s="9" t="s">
        <v>4881</v>
      </c>
      <c r="G3450" s="10" t="s">
        <v>6660</v>
      </c>
      <c r="H3450" s="9"/>
      <c r="I3450" s="9"/>
      <c r="J3450" s="9"/>
      <c r="K3450" s="9"/>
      <c r="L3450" s="9"/>
      <c r="M3450" s="9" t="s">
        <v>4882</v>
      </c>
      <c r="N3450" s="9"/>
      <c r="O3450" s="9" t="s">
        <v>4883</v>
      </c>
      <c r="P3450" s="9" t="str">
        <f>HYPERLINK("https://ceds.ed.gov/cedselementdetails.aspx?termid=13780")</f>
        <v>https://ceds.ed.gov/cedselementdetails.aspx?termid=13780</v>
      </c>
      <c r="Q3450" s="9" t="str">
        <f>HYPERLINK("https://ceds.ed.gov/elementComment.aspx?elementName=Professional or Technical Credential Conferred &amp;elementID=13780", "Click here to submit comment")</f>
        <v>Click here to submit comment</v>
      </c>
    </row>
    <row r="3451" spans="1:17" ht="60" x14ac:dyDescent="0.25">
      <c r="A3451" s="9" t="s">
        <v>2996</v>
      </c>
      <c r="B3451" s="9" t="s">
        <v>6891</v>
      </c>
      <c r="C3451" s="9"/>
      <c r="D3451" s="9" t="s">
        <v>6742</v>
      </c>
      <c r="E3451" s="9" t="s">
        <v>2636</v>
      </c>
      <c r="F3451" s="9" t="s">
        <v>2637</v>
      </c>
      <c r="G3451" s="9" t="s">
        <v>2638</v>
      </c>
      <c r="H3451" s="9"/>
      <c r="I3451" s="9"/>
      <c r="J3451" s="9" t="s">
        <v>11051</v>
      </c>
      <c r="K3451" s="9"/>
      <c r="L3451" s="9"/>
      <c r="M3451" s="9" t="s">
        <v>2639</v>
      </c>
      <c r="N3451" s="9"/>
      <c r="O3451" s="9" t="s">
        <v>2640</v>
      </c>
      <c r="P3451" s="9" t="str">
        <f>HYPERLINK("https://ceds.ed.gov/cedselementdetails.aspx?termid=14070")</f>
        <v>https://ceds.ed.gov/cedselementdetails.aspx?termid=14070</v>
      </c>
      <c r="Q3451" s="9" t="str">
        <f>HYPERLINK("https://ceds.ed.gov/elementComment.aspx?elementName=Employment NAICS Code &amp;elementID=14070", "Click here to submit comment")</f>
        <v>Click here to submit comment</v>
      </c>
    </row>
    <row r="3452" spans="1:17" ht="360" x14ac:dyDescent="0.25">
      <c r="A3452" s="9" t="s">
        <v>2996</v>
      </c>
      <c r="B3452" s="9" t="s">
        <v>6891</v>
      </c>
      <c r="C3452" s="9"/>
      <c r="D3452" s="9" t="s">
        <v>6742</v>
      </c>
      <c r="E3452" s="9" t="s">
        <v>2651</v>
      </c>
      <c r="F3452" s="9" t="s">
        <v>2652</v>
      </c>
      <c r="G3452" s="9" t="s">
        <v>12</v>
      </c>
      <c r="H3452" s="9"/>
      <c r="I3452" s="9"/>
      <c r="J3452" s="9" t="s">
        <v>73</v>
      </c>
      <c r="K3452" s="9"/>
      <c r="L3452" s="9" t="s">
        <v>2648</v>
      </c>
      <c r="M3452" s="9" t="s">
        <v>2653</v>
      </c>
      <c r="N3452" s="9"/>
      <c r="O3452" s="9" t="s">
        <v>2654</v>
      </c>
      <c r="P3452" s="9" t="str">
        <f>HYPERLINK("https://ceds.ed.gov/cedselementdetails.aspx?termid=13994")</f>
        <v>https://ceds.ed.gov/cedselementdetails.aspx?termid=13994</v>
      </c>
      <c r="Q3452" s="9" t="str">
        <f>HYPERLINK("https://ceds.ed.gov/elementComment.aspx?elementName=Employment Record Reference Period Start Date &amp;elementID=13994", "Click here to submit comment")</f>
        <v>Click here to submit comment</v>
      </c>
    </row>
    <row r="3453" spans="1:17" ht="360" x14ac:dyDescent="0.25">
      <c r="A3453" s="9" t="s">
        <v>2996</v>
      </c>
      <c r="B3453" s="9" t="s">
        <v>6891</v>
      </c>
      <c r="C3453" s="9"/>
      <c r="D3453" s="9" t="s">
        <v>6742</v>
      </c>
      <c r="E3453" s="9" t="s">
        <v>2646</v>
      </c>
      <c r="F3453" s="9" t="s">
        <v>2647</v>
      </c>
      <c r="G3453" s="9" t="s">
        <v>12</v>
      </c>
      <c r="H3453" s="9"/>
      <c r="I3453" s="9"/>
      <c r="J3453" s="9" t="s">
        <v>73</v>
      </c>
      <c r="K3453" s="9"/>
      <c r="L3453" s="9" t="s">
        <v>2648</v>
      </c>
      <c r="M3453" s="9" t="s">
        <v>2649</v>
      </c>
      <c r="N3453" s="9"/>
      <c r="O3453" s="9" t="s">
        <v>2650</v>
      </c>
      <c r="P3453" s="9" t="str">
        <f>HYPERLINK("https://ceds.ed.gov/cedselementdetails.aspx?termid=13995")</f>
        <v>https://ceds.ed.gov/cedselementdetails.aspx?termid=13995</v>
      </c>
      <c r="Q3453" s="9" t="str">
        <f>HYPERLINK("https://ceds.ed.gov/elementComment.aspx?elementName=Employment Record Reference Period End Date &amp;elementID=13995", "Click here to submit comment")</f>
        <v>Click here to submit comment</v>
      </c>
    </row>
    <row r="3454" spans="1:17" ht="409.5" x14ac:dyDescent="0.25">
      <c r="A3454" s="9" t="s">
        <v>2996</v>
      </c>
      <c r="B3454" s="9" t="s">
        <v>6891</v>
      </c>
      <c r="C3454" s="9"/>
      <c r="D3454" s="9" t="s">
        <v>6742</v>
      </c>
      <c r="E3454" s="9" t="s">
        <v>2631</v>
      </c>
      <c r="F3454" s="9" t="s">
        <v>2632</v>
      </c>
      <c r="G3454" s="10" t="s">
        <v>6487</v>
      </c>
      <c r="H3454" s="9"/>
      <c r="I3454" s="9"/>
      <c r="J3454" s="9"/>
      <c r="K3454" s="9"/>
      <c r="L3454" s="9" t="s">
        <v>2633</v>
      </c>
      <c r="M3454" s="9" t="s">
        <v>2634</v>
      </c>
      <c r="N3454" s="9"/>
      <c r="O3454" s="9" t="s">
        <v>2635</v>
      </c>
      <c r="P3454" s="9" t="str">
        <f>HYPERLINK("https://ceds.ed.gov/cedselementdetails.aspx?termid=13992")</f>
        <v>https://ceds.ed.gov/cedselementdetails.aspx?termid=13992</v>
      </c>
      <c r="Q3454" s="9" t="str">
        <f>HYPERLINK("https://ceds.ed.gov/elementComment.aspx?elementName=Employment Location &amp;elementID=13992", "Click here to submit comment")</f>
        <v>Click here to submit comment</v>
      </c>
    </row>
    <row r="3455" spans="1:17" ht="225" x14ac:dyDescent="0.25">
      <c r="A3455" s="9" t="s">
        <v>2996</v>
      </c>
      <c r="B3455" s="9" t="s">
        <v>6891</v>
      </c>
      <c r="C3455" s="9"/>
      <c r="D3455" s="9" t="s">
        <v>6742</v>
      </c>
      <c r="E3455" s="9" t="s">
        <v>2616</v>
      </c>
      <c r="F3455" s="9" t="s">
        <v>2617</v>
      </c>
      <c r="G3455" s="9" t="s">
        <v>6195</v>
      </c>
      <c r="H3455" s="9"/>
      <c r="I3455" s="9"/>
      <c r="J3455" s="9"/>
      <c r="K3455" s="9"/>
      <c r="L3455" s="9" t="s">
        <v>2619</v>
      </c>
      <c r="M3455" s="9" t="s">
        <v>2620</v>
      </c>
      <c r="N3455" s="9"/>
      <c r="O3455" s="9" t="s">
        <v>2621</v>
      </c>
      <c r="P3455" s="9" t="str">
        <f>HYPERLINK("https://ceds.ed.gov/cedselementdetails.aspx?termid=14309")</f>
        <v>https://ceds.ed.gov/cedselementdetails.aspx?termid=14309</v>
      </c>
      <c r="Q3455" s="9" t="str">
        <f>HYPERLINK("https://ceds.ed.gov/elementComment.aspx?elementName=Employed Prior to Enrollment &amp;elementID=14309", "Click here to submit comment")</f>
        <v>Click here to submit comment</v>
      </c>
    </row>
    <row r="3456" spans="1:17" ht="225" x14ac:dyDescent="0.25">
      <c r="A3456" s="9" t="s">
        <v>2996</v>
      </c>
      <c r="B3456" s="9" t="s">
        <v>6891</v>
      </c>
      <c r="C3456" s="9"/>
      <c r="D3456" s="9" t="s">
        <v>6742</v>
      </c>
      <c r="E3456" s="9" t="s">
        <v>2622</v>
      </c>
      <c r="F3456" s="9" t="s">
        <v>2623</v>
      </c>
      <c r="G3456" s="9" t="s">
        <v>6195</v>
      </c>
      <c r="H3456" s="9" t="s">
        <v>2615</v>
      </c>
      <c r="I3456" s="9"/>
      <c r="J3456" s="9"/>
      <c r="K3456" s="9"/>
      <c r="L3456" s="9" t="s">
        <v>2624</v>
      </c>
      <c r="M3456" s="9" t="s">
        <v>2625</v>
      </c>
      <c r="N3456" s="9"/>
      <c r="O3456" s="9" t="s">
        <v>2626</v>
      </c>
      <c r="P3456" s="9" t="str">
        <f>HYPERLINK("https://ceds.ed.gov/cedselementdetails.aspx?termid=13989")</f>
        <v>https://ceds.ed.gov/cedselementdetails.aspx?termid=13989</v>
      </c>
      <c r="Q3456" s="9" t="str">
        <f>HYPERLINK("https://ceds.ed.gov/elementComment.aspx?elementName=Employed While Enrolled &amp;elementID=13989", "Click here to submit comment")</f>
        <v>Click here to submit comment</v>
      </c>
    </row>
    <row r="3457" spans="1:17" ht="270" x14ac:dyDescent="0.25">
      <c r="A3457" s="9" t="s">
        <v>2996</v>
      </c>
      <c r="B3457" s="9" t="s">
        <v>6891</v>
      </c>
      <c r="C3457" s="9"/>
      <c r="D3457" s="9" t="s">
        <v>6742</v>
      </c>
      <c r="E3457" s="9" t="s">
        <v>2610</v>
      </c>
      <c r="F3457" s="9" t="s">
        <v>2611</v>
      </c>
      <c r="G3457" s="9" t="s">
        <v>6195</v>
      </c>
      <c r="H3457" s="9" t="s">
        <v>2615</v>
      </c>
      <c r="I3457" s="9"/>
      <c r="J3457" s="9"/>
      <c r="K3457" s="9"/>
      <c r="L3457" s="9" t="s">
        <v>2612</v>
      </c>
      <c r="M3457" s="9" t="s">
        <v>2613</v>
      </c>
      <c r="N3457" s="9"/>
      <c r="O3457" s="9" t="s">
        <v>2614</v>
      </c>
      <c r="P3457" s="9" t="str">
        <f>HYPERLINK("https://ceds.ed.gov/cedselementdetails.aspx?termid=13990")</f>
        <v>https://ceds.ed.gov/cedselementdetails.aspx?termid=13990</v>
      </c>
      <c r="Q3457" s="9" t="str">
        <f>HYPERLINK("https://ceds.ed.gov/elementComment.aspx?elementName=Employed After Exit &amp;elementID=13990", "Click here to submit comment")</f>
        <v>Click here to submit comment</v>
      </c>
    </row>
    <row r="3458" spans="1:17" ht="210" x14ac:dyDescent="0.25">
      <c r="A3458" s="9" t="s">
        <v>2996</v>
      </c>
      <c r="B3458" s="9" t="s">
        <v>6891</v>
      </c>
      <c r="C3458" s="9"/>
      <c r="D3458" s="9" t="s">
        <v>6742</v>
      </c>
      <c r="E3458" s="9" t="s">
        <v>4262</v>
      </c>
      <c r="F3458" s="9" t="s">
        <v>4263</v>
      </c>
      <c r="G3458" s="9" t="s">
        <v>6106</v>
      </c>
      <c r="H3458" s="9"/>
      <c r="I3458" s="9"/>
      <c r="J3458" s="9"/>
      <c r="K3458" s="9"/>
      <c r="L3458" s="9" t="s">
        <v>4264</v>
      </c>
      <c r="M3458" s="9" t="s">
        <v>4265</v>
      </c>
      <c r="N3458" s="9"/>
      <c r="O3458" s="9" t="s">
        <v>4266</v>
      </c>
      <c r="P3458" s="9" t="str">
        <f>HYPERLINK("https://ceds.ed.gov/cedselementdetails.aspx?termid=14381")</f>
        <v>https://ceds.ed.gov/cedselementdetails.aspx?termid=14381</v>
      </c>
      <c r="Q3458" s="9" t="str">
        <f>HYPERLINK("https://ceds.ed.gov/elementComment.aspx?elementName=Military Enlistment After Exit &amp;elementID=14381", "Click here to submit comment")</f>
        <v>Click here to submit comment</v>
      </c>
    </row>
    <row r="3459" spans="1:17" ht="225" x14ac:dyDescent="0.25">
      <c r="A3459" s="9" t="s">
        <v>2996</v>
      </c>
      <c r="B3459" s="9" t="s">
        <v>6891</v>
      </c>
      <c r="C3459" s="9"/>
      <c r="D3459" s="9" t="s">
        <v>6742</v>
      </c>
      <c r="E3459" s="9" t="s">
        <v>4578</v>
      </c>
      <c r="F3459" s="9" t="s">
        <v>4579</v>
      </c>
      <c r="G3459" s="9" t="s">
        <v>12</v>
      </c>
      <c r="H3459" s="9"/>
      <c r="I3459" s="9"/>
      <c r="J3459" s="9" t="s">
        <v>10489</v>
      </c>
      <c r="K3459" s="9"/>
      <c r="L3459" s="9" t="s">
        <v>4580</v>
      </c>
      <c r="M3459" s="9" t="s">
        <v>4581</v>
      </c>
      <c r="N3459" s="9"/>
      <c r="O3459" s="9" t="s">
        <v>4582</v>
      </c>
      <c r="P3459" s="9" t="str">
        <f>HYPERLINK("https://ceds.ed.gov/cedselementdetails.aspx?termid=13993")</f>
        <v>https://ceds.ed.gov/cedselementdetails.aspx?termid=13993</v>
      </c>
      <c r="Q3459" s="9" t="str">
        <f>HYPERLINK("https://ceds.ed.gov/elementComment.aspx?elementName=Person Employed in Multiple Jobs Count &amp;elementID=13993", "Click here to submit comment")</f>
        <v>Click here to submit comment</v>
      </c>
    </row>
    <row r="3460" spans="1:17" ht="300" x14ac:dyDescent="0.25">
      <c r="A3460" s="9" t="s">
        <v>2996</v>
      </c>
      <c r="B3460" s="9" t="s">
        <v>6891</v>
      </c>
      <c r="C3460" s="9"/>
      <c r="D3460" s="9" t="s">
        <v>6742</v>
      </c>
      <c r="E3460" s="9" t="s">
        <v>2641</v>
      </c>
      <c r="F3460" s="9" t="s">
        <v>2642</v>
      </c>
      <c r="G3460" s="10" t="s">
        <v>6488</v>
      </c>
      <c r="H3460" s="9"/>
      <c r="I3460" s="9"/>
      <c r="J3460" s="9"/>
      <c r="K3460" s="9"/>
      <c r="L3460" s="9" t="s">
        <v>2643</v>
      </c>
      <c r="M3460" s="9" t="s">
        <v>2644</v>
      </c>
      <c r="N3460" s="9"/>
      <c r="O3460" s="9" t="s">
        <v>2645</v>
      </c>
      <c r="P3460" s="9" t="str">
        <f>HYPERLINK("https://ceds.ed.gov/cedselementdetails.aspx?termid=13996")</f>
        <v>https://ceds.ed.gov/cedselementdetails.aspx?termid=13996</v>
      </c>
      <c r="Q3460" s="9" t="str">
        <f>HYPERLINK("https://ceds.ed.gov/elementComment.aspx?elementName=Employment Record Administrative Data Source &amp;elementID=13996", "Click here to submit comment")</f>
        <v>Click here to submit comment</v>
      </c>
    </row>
    <row r="3461" spans="1:17" ht="210" x14ac:dyDescent="0.25">
      <c r="A3461" s="9" t="s">
        <v>2996</v>
      </c>
      <c r="B3461" s="9" t="s">
        <v>6891</v>
      </c>
      <c r="C3461" s="9"/>
      <c r="D3461" s="9" t="s">
        <v>6742</v>
      </c>
      <c r="E3461" s="9" t="s">
        <v>5072</v>
      </c>
      <c r="F3461" s="9" t="s">
        <v>5073</v>
      </c>
      <c r="G3461" s="9" t="s">
        <v>12</v>
      </c>
      <c r="H3461" s="9"/>
      <c r="I3461" s="9"/>
      <c r="J3461" s="9" t="s">
        <v>1513</v>
      </c>
      <c r="K3461" s="9"/>
      <c r="L3461" s="9" t="s">
        <v>5074</v>
      </c>
      <c r="M3461" s="9" t="s">
        <v>5075</v>
      </c>
      <c r="N3461" s="9"/>
      <c r="O3461" s="9" t="s">
        <v>5076</v>
      </c>
      <c r="P3461" s="9" t="str">
        <f>HYPERLINK("https://ceds.ed.gov/cedselementdetails.aspx?termid=13991")</f>
        <v>https://ceds.ed.gov/cedselementdetails.aspx?termid=13991</v>
      </c>
      <c r="Q3461" s="9" t="str">
        <f>HYPERLINK("https://ceds.ed.gov/elementComment.aspx?elementName=Quarterly Earnings &amp;elementID=13991", "Click here to submit comment")</f>
        <v>Click here to submit comment</v>
      </c>
    </row>
    <row r="3462" spans="1:17" ht="375" x14ac:dyDescent="0.25">
      <c r="A3462" s="9" t="s">
        <v>2996</v>
      </c>
      <c r="B3462" s="9" t="s">
        <v>6891</v>
      </c>
      <c r="C3462" s="9"/>
      <c r="D3462" s="9" t="s">
        <v>6746</v>
      </c>
      <c r="E3462" s="9" t="s">
        <v>4583</v>
      </c>
      <c r="F3462" s="9" t="s">
        <v>4584</v>
      </c>
      <c r="G3462" s="10" t="s">
        <v>6635</v>
      </c>
      <c r="H3462" s="9"/>
      <c r="I3462" s="9"/>
      <c r="J3462" s="9"/>
      <c r="K3462" s="9"/>
      <c r="L3462" s="9"/>
      <c r="M3462" s="9" t="s">
        <v>4585</v>
      </c>
      <c r="N3462" s="9"/>
      <c r="O3462" s="9" t="s">
        <v>4586</v>
      </c>
      <c r="P3462" s="9" t="str">
        <f>HYPERLINK("https://ceds.ed.gov/cedselementdetails.aspx?termid=14550")</f>
        <v>https://ceds.ed.gov/cedselementdetails.aspx?termid=14550</v>
      </c>
      <c r="Q3462" s="9" t="str">
        <f>HYPERLINK("https://ceds.ed.gov/elementComment.aspx?elementName=Person Identification System &amp;elementID=14550", "Click here to submit comment")</f>
        <v>Click here to submit comment</v>
      </c>
    </row>
    <row r="3463" spans="1:17" ht="105" x14ac:dyDescent="0.25">
      <c r="A3463" s="18" t="s">
        <v>2996</v>
      </c>
      <c r="B3463" s="18" t="s">
        <v>6891</v>
      </c>
      <c r="C3463" s="18"/>
      <c r="D3463" s="18" t="s">
        <v>6746</v>
      </c>
      <c r="E3463" s="18" t="s">
        <v>4587</v>
      </c>
      <c r="F3463" s="18" t="s">
        <v>4588</v>
      </c>
      <c r="G3463" s="18" t="s">
        <v>12</v>
      </c>
      <c r="H3463" s="18"/>
      <c r="I3463" s="18"/>
      <c r="J3463" s="18" t="s">
        <v>119</v>
      </c>
      <c r="K3463" s="18"/>
      <c r="L3463" s="9" t="s">
        <v>120</v>
      </c>
      <c r="M3463" s="18" t="s">
        <v>4589</v>
      </c>
      <c r="N3463" s="18"/>
      <c r="O3463" s="18" t="s">
        <v>4590</v>
      </c>
      <c r="P3463" s="18" t="str">
        <f>HYPERLINK("https://ceds.ed.gov/cedselementdetails.aspx?termid=14551")</f>
        <v>https://ceds.ed.gov/cedselementdetails.aspx?termid=14551</v>
      </c>
      <c r="Q3463" s="18" t="str">
        <f>HYPERLINK("https://ceds.ed.gov/elementComment.aspx?elementName=Person Identifier &amp;elementID=14551", "Click here to submit comment")</f>
        <v>Click here to submit comment</v>
      </c>
    </row>
    <row r="3464" spans="1:17" x14ac:dyDescent="0.25">
      <c r="A3464" s="18"/>
      <c r="B3464" s="18"/>
      <c r="C3464" s="18"/>
      <c r="D3464" s="18"/>
      <c r="E3464" s="18"/>
      <c r="F3464" s="18"/>
      <c r="G3464" s="18"/>
      <c r="H3464" s="18"/>
      <c r="I3464" s="18"/>
      <c r="J3464" s="18"/>
      <c r="K3464" s="18"/>
      <c r="L3464" s="9"/>
      <c r="M3464" s="18"/>
      <c r="N3464" s="18"/>
      <c r="O3464" s="18"/>
      <c r="P3464" s="18"/>
      <c r="Q3464" s="18"/>
    </row>
    <row r="3465" spans="1:17" ht="90" x14ac:dyDescent="0.25">
      <c r="A3465" s="18"/>
      <c r="B3465" s="18"/>
      <c r="C3465" s="18"/>
      <c r="D3465" s="18"/>
      <c r="E3465" s="18"/>
      <c r="F3465" s="18"/>
      <c r="G3465" s="18"/>
      <c r="H3465" s="18"/>
      <c r="I3465" s="18"/>
      <c r="J3465" s="18"/>
      <c r="K3465" s="18"/>
      <c r="L3465" s="9" t="s">
        <v>121</v>
      </c>
      <c r="M3465" s="18"/>
      <c r="N3465" s="18"/>
      <c r="O3465" s="18"/>
      <c r="P3465" s="18"/>
      <c r="Q3465" s="18"/>
    </row>
    <row r="3466" spans="1:17" ht="45" x14ac:dyDescent="0.25">
      <c r="A3466" s="9" t="s">
        <v>6892</v>
      </c>
      <c r="B3466" s="9" t="s">
        <v>11932</v>
      </c>
      <c r="C3466" s="9"/>
      <c r="D3466" s="9" t="s">
        <v>6742</v>
      </c>
      <c r="E3466" s="9" t="s">
        <v>11370</v>
      </c>
      <c r="F3466" s="9" t="s">
        <v>11371</v>
      </c>
      <c r="G3466" s="9" t="s">
        <v>12</v>
      </c>
      <c r="H3466" s="9"/>
      <c r="I3466" s="9"/>
      <c r="J3466" s="9" t="s">
        <v>68</v>
      </c>
      <c r="K3466" s="9"/>
      <c r="L3466" s="9"/>
      <c r="M3466" s="9" t="s">
        <v>3704</v>
      </c>
      <c r="N3466" s="9"/>
      <c r="O3466" s="9" t="s">
        <v>11373</v>
      </c>
      <c r="P3466" s="9" t="str">
        <f>HYPERLINK("https://ceds.ed.gov/cedselementdetails.aspx?termid=13903")</f>
        <v>https://ceds.ed.gov/cedselementdetails.aspx?termid=13903</v>
      </c>
      <c r="Q3466" s="9" t="str">
        <f>HYPERLINK("https://ceds.ed.gov/elementComment.aspx?elementName=Goal Description &amp;elementID=13903", "Click here to submit comment")</f>
        <v>Click here to submit comment</v>
      </c>
    </row>
    <row r="3467" spans="1:17" ht="45" x14ac:dyDescent="0.25">
      <c r="A3467" s="9" t="s">
        <v>6892</v>
      </c>
      <c r="B3467" s="9" t="s">
        <v>11932</v>
      </c>
      <c r="C3467" s="9"/>
      <c r="D3467" s="9" t="s">
        <v>6742</v>
      </c>
      <c r="E3467" s="9" t="s">
        <v>11407</v>
      </c>
      <c r="F3467" s="9" t="s">
        <v>11408</v>
      </c>
      <c r="G3467" s="9" t="s">
        <v>12</v>
      </c>
      <c r="H3467" s="9"/>
      <c r="I3467" s="9"/>
      <c r="J3467" s="9" t="s">
        <v>73</v>
      </c>
      <c r="K3467" s="9"/>
      <c r="L3467" s="9"/>
      <c r="M3467" s="9" t="s">
        <v>3707</v>
      </c>
      <c r="N3467" s="9"/>
      <c r="O3467" s="9" t="s">
        <v>11409</v>
      </c>
      <c r="P3467" s="9" t="str">
        <f>HYPERLINK("https://ceds.ed.gov/cedselementdetails.aspx?termid=14169")</f>
        <v>https://ceds.ed.gov/cedselementdetails.aspx?termid=14169</v>
      </c>
      <c r="Q3467" s="9" t="str">
        <f>HYPERLINK("https://ceds.ed.gov/elementComment.aspx?elementName=Goal Start Date &amp;elementID=14169", "Click here to submit comment")</f>
        <v>Click here to submit comment</v>
      </c>
    </row>
    <row r="3468" spans="1:17" ht="45" x14ac:dyDescent="0.25">
      <c r="A3468" s="9" t="s">
        <v>6892</v>
      </c>
      <c r="B3468" s="9" t="s">
        <v>11932</v>
      </c>
      <c r="C3468" s="9"/>
      <c r="D3468" s="9" t="s">
        <v>6742</v>
      </c>
      <c r="E3468" s="9" t="s">
        <v>11374</v>
      </c>
      <c r="F3468" s="9" t="s">
        <v>11375</v>
      </c>
      <c r="G3468" s="9" t="s">
        <v>12</v>
      </c>
      <c r="H3468" s="9"/>
      <c r="I3468" s="9"/>
      <c r="J3468" s="9" t="s">
        <v>73</v>
      </c>
      <c r="K3468" s="9"/>
      <c r="L3468" s="9" t="s">
        <v>3705</v>
      </c>
      <c r="M3468" s="9" t="s">
        <v>3706</v>
      </c>
      <c r="N3468" s="9"/>
      <c r="O3468" s="9" t="s">
        <v>11376</v>
      </c>
      <c r="P3468" s="9" t="str">
        <f>HYPERLINK("https://ceds.ed.gov/cedselementdetails.aspx?termid=14170")</f>
        <v>https://ceds.ed.gov/cedselementdetails.aspx?termid=14170</v>
      </c>
      <c r="Q3468" s="9" t="str">
        <f>HYPERLINK("https://ceds.ed.gov/elementComment.aspx?elementName=Goal End Date &amp;elementID=14170", "Click here to submit comment")</f>
        <v>Click here to submit comment</v>
      </c>
    </row>
    <row r="3469" spans="1:17" ht="60" x14ac:dyDescent="0.25">
      <c r="A3469" s="9" t="s">
        <v>6892</v>
      </c>
      <c r="B3469" s="9" t="s">
        <v>11932</v>
      </c>
      <c r="C3469" s="9"/>
      <c r="D3469" s="9" t="s">
        <v>6742</v>
      </c>
      <c r="E3469" s="9" t="s">
        <v>11419</v>
      </c>
      <c r="F3469" s="9" t="s">
        <v>11420</v>
      </c>
      <c r="G3469" s="9" t="s">
        <v>12</v>
      </c>
      <c r="H3469" s="9"/>
      <c r="I3469" s="9"/>
      <c r="J3469" s="9" t="s">
        <v>68</v>
      </c>
      <c r="K3469" s="9"/>
      <c r="L3469" s="9"/>
      <c r="M3469" s="9" t="s">
        <v>3708</v>
      </c>
      <c r="N3469" s="9"/>
      <c r="O3469" s="9" t="s">
        <v>11421</v>
      </c>
      <c r="P3469" s="9" t="str">
        <f>HYPERLINK("https://ceds.ed.gov/cedselementdetails.aspx?termid=13902")</f>
        <v>https://ceds.ed.gov/cedselementdetails.aspx?termid=13902</v>
      </c>
      <c r="Q3469" s="9" t="str">
        <f>HYPERLINK("https://ceds.ed.gov/elementComment.aspx?elementName=Goal Success Criteria &amp;elementID=13902", "Click here to submit comment")</f>
        <v>Click here to submit comment</v>
      </c>
    </row>
    <row r="3470" spans="1:17" ht="45" x14ac:dyDescent="0.25">
      <c r="A3470" s="9" t="s">
        <v>6892</v>
      </c>
      <c r="B3470" s="9" t="s">
        <v>11933</v>
      </c>
      <c r="C3470" s="9" t="s">
        <v>11934</v>
      </c>
      <c r="D3470" s="9" t="s">
        <v>6742</v>
      </c>
      <c r="E3470" s="9" t="s">
        <v>10769</v>
      </c>
      <c r="F3470" s="9" t="s">
        <v>10770</v>
      </c>
      <c r="G3470" s="9" t="s">
        <v>12</v>
      </c>
      <c r="H3470" s="9" t="s">
        <v>795</v>
      </c>
      <c r="I3470" s="9"/>
      <c r="J3470" s="9" t="s">
        <v>1143</v>
      </c>
      <c r="K3470" s="9"/>
      <c r="L3470" s="9"/>
      <c r="M3470" s="9" t="s">
        <v>3925</v>
      </c>
      <c r="N3470" s="9" t="s">
        <v>3924</v>
      </c>
      <c r="O3470" s="9" t="s">
        <v>10772</v>
      </c>
      <c r="P3470" s="9" t="str">
        <f>HYPERLINK("https://ceds.ed.gov/cedselementdetails.aspx?termid=13670")</f>
        <v>https://ceds.ed.gov/cedselementdetails.aspx?termid=13670</v>
      </c>
      <c r="Q3470" s="9" t="str">
        <f>HYPERLINK("https://ceds.ed.gov/elementComment.aspx?elementName=Competency Framework Identifier URI &amp;elementID=13670", "Click here to submit comment")</f>
        <v>Click here to submit comment</v>
      </c>
    </row>
    <row r="3471" spans="1:17" ht="45" x14ac:dyDescent="0.25">
      <c r="A3471" s="9" t="s">
        <v>6892</v>
      </c>
      <c r="B3471" s="9" t="s">
        <v>11933</v>
      </c>
      <c r="C3471" s="9" t="s">
        <v>11934</v>
      </c>
      <c r="D3471" s="9" t="s">
        <v>6742</v>
      </c>
      <c r="E3471" s="9" t="s">
        <v>10766</v>
      </c>
      <c r="F3471" s="9" t="s">
        <v>10767</v>
      </c>
      <c r="G3471" s="9" t="s">
        <v>12</v>
      </c>
      <c r="H3471" s="9"/>
      <c r="I3471" s="9"/>
      <c r="J3471" s="9" t="s">
        <v>68</v>
      </c>
      <c r="K3471" s="9"/>
      <c r="L3471" s="9"/>
      <c r="M3471" s="9" t="s">
        <v>3923</v>
      </c>
      <c r="N3471" s="9" t="s">
        <v>3922</v>
      </c>
      <c r="O3471" s="9" t="s">
        <v>10768</v>
      </c>
      <c r="P3471" s="9" t="str">
        <f>HYPERLINK("https://ceds.ed.gov/cedselementdetails.aspx?termid=13674")</f>
        <v>https://ceds.ed.gov/cedselementdetails.aspx?termid=13674</v>
      </c>
      <c r="Q3471" s="9" t="str">
        <f>HYPERLINK("https://ceds.ed.gov/elementComment.aspx?elementName=Competency Framework Description &amp;elementID=13674", "Click here to submit comment")</f>
        <v>Click here to submit comment</v>
      </c>
    </row>
    <row r="3472" spans="1:17" ht="60" x14ac:dyDescent="0.25">
      <c r="A3472" s="9" t="s">
        <v>6892</v>
      </c>
      <c r="B3472" s="9" t="s">
        <v>11933</v>
      </c>
      <c r="C3472" s="9" t="s">
        <v>11934</v>
      </c>
      <c r="D3472" s="9" t="s">
        <v>6742</v>
      </c>
      <c r="E3472" s="9" t="s">
        <v>10804</v>
      </c>
      <c r="F3472" s="9" t="s">
        <v>10805</v>
      </c>
      <c r="G3472" s="9" t="s">
        <v>12</v>
      </c>
      <c r="H3472" s="9"/>
      <c r="I3472" s="9"/>
      <c r="J3472" s="9" t="s">
        <v>73</v>
      </c>
      <c r="K3472" s="9"/>
      <c r="L3472" s="9"/>
      <c r="M3472" s="9" t="s">
        <v>3953</v>
      </c>
      <c r="N3472" s="9" t="s">
        <v>3952</v>
      </c>
      <c r="O3472" s="9" t="s">
        <v>10806</v>
      </c>
      <c r="P3472" s="9" t="str">
        <f>HYPERLINK("https://ceds.ed.gov/cedselementdetails.aspx?termid=13677")</f>
        <v>https://ceds.ed.gov/cedselementdetails.aspx?termid=13677</v>
      </c>
      <c r="Q3472" s="9" t="str">
        <f>HYPERLINK("https://ceds.ed.gov/elementComment.aspx?elementName=Competency Framework Valid Start Date &amp;elementID=13677", "Click here to submit comment")</f>
        <v>Click here to submit comment</v>
      </c>
    </row>
    <row r="3473" spans="1:17" ht="75" x14ac:dyDescent="0.25">
      <c r="A3473" s="9" t="s">
        <v>6892</v>
      </c>
      <c r="B3473" s="9" t="s">
        <v>11933</v>
      </c>
      <c r="C3473" s="9" t="s">
        <v>11934</v>
      </c>
      <c r="D3473" s="9" t="s">
        <v>6742</v>
      </c>
      <c r="E3473" s="9" t="s">
        <v>10801</v>
      </c>
      <c r="F3473" s="9" t="s">
        <v>10802</v>
      </c>
      <c r="G3473" s="9" t="s">
        <v>12</v>
      </c>
      <c r="H3473" s="9"/>
      <c r="I3473" s="9"/>
      <c r="J3473" s="9" t="s">
        <v>73</v>
      </c>
      <c r="K3473" s="9"/>
      <c r="L3473" s="9"/>
      <c r="M3473" s="9" t="s">
        <v>3951</v>
      </c>
      <c r="N3473" s="9" t="s">
        <v>3950</v>
      </c>
      <c r="O3473" s="9" t="s">
        <v>10803</v>
      </c>
      <c r="P3473" s="9" t="str">
        <f>HYPERLINK("https://ceds.ed.gov/cedselementdetails.aspx?termid=13678")</f>
        <v>https://ceds.ed.gov/cedselementdetails.aspx?termid=13678</v>
      </c>
      <c r="Q3473" s="9" t="str">
        <f>HYPERLINK("https://ceds.ed.gov/elementComment.aspx?elementName=Competency Framework Valid End Date &amp;elementID=13678", "Click here to submit comment")</f>
        <v>Click here to submit comment</v>
      </c>
    </row>
    <row r="3474" spans="1:17" ht="60" x14ac:dyDescent="0.25">
      <c r="A3474" s="9" t="s">
        <v>6892</v>
      </c>
      <c r="B3474" s="9" t="s">
        <v>11933</v>
      </c>
      <c r="C3474" s="9" t="s">
        <v>11934</v>
      </c>
      <c r="D3474" s="9" t="s">
        <v>6742</v>
      </c>
      <c r="E3474" s="9" t="s">
        <v>10900</v>
      </c>
      <c r="F3474" s="9" t="s">
        <v>10901</v>
      </c>
      <c r="G3474" s="9" t="s">
        <v>12</v>
      </c>
      <c r="H3474" s="9"/>
      <c r="I3474" s="9" t="s">
        <v>91</v>
      </c>
      <c r="J3474" s="9" t="s">
        <v>73</v>
      </c>
      <c r="K3474" s="9" t="s">
        <v>10738</v>
      </c>
      <c r="L3474" s="9"/>
      <c r="M3474" s="9" t="s">
        <v>4048</v>
      </c>
      <c r="N3474" s="9" t="s">
        <v>4047</v>
      </c>
      <c r="O3474" s="9" t="s">
        <v>10902</v>
      </c>
      <c r="P3474" s="9" t="str">
        <f>HYPERLINK("https://ceds.ed.gov/cedselementdetails.aspx?termid=14484")</f>
        <v>https://ceds.ed.gov/cedselementdetails.aspx?termid=14484</v>
      </c>
      <c r="Q3474" s="9" t="str">
        <f>HYPERLINK("https://ceds.ed.gov/elementComment.aspx?elementName=Competency Item Valid Start Date &amp;elementID=14484", "Click here to submit comment")</f>
        <v>Click here to submit comment</v>
      </c>
    </row>
    <row r="3475" spans="1:17" ht="75" x14ac:dyDescent="0.25">
      <c r="A3475" s="9" t="s">
        <v>6892</v>
      </c>
      <c r="B3475" s="9" t="s">
        <v>11933</v>
      </c>
      <c r="C3475" s="9" t="s">
        <v>11934</v>
      </c>
      <c r="D3475" s="9" t="s">
        <v>6742</v>
      </c>
      <c r="E3475" s="9" t="s">
        <v>10894</v>
      </c>
      <c r="F3475" s="9" t="s">
        <v>10895</v>
      </c>
      <c r="G3475" s="9" t="s">
        <v>12</v>
      </c>
      <c r="H3475" s="9"/>
      <c r="I3475" s="9" t="s">
        <v>91</v>
      </c>
      <c r="J3475" s="9" t="s">
        <v>73</v>
      </c>
      <c r="K3475" s="9" t="s">
        <v>10897</v>
      </c>
      <c r="L3475" s="9" t="s">
        <v>10898</v>
      </c>
      <c r="M3475" s="9" t="s">
        <v>4046</v>
      </c>
      <c r="N3475" s="9" t="s">
        <v>4045</v>
      </c>
      <c r="O3475" s="9" t="s">
        <v>10899</v>
      </c>
      <c r="P3475" s="9" t="str">
        <f>HYPERLINK("https://ceds.ed.gov/cedselementdetails.aspx?termid=14483")</f>
        <v>https://ceds.ed.gov/cedselementdetails.aspx?termid=14483</v>
      </c>
      <c r="Q3475" s="9" t="str">
        <f>HYPERLINK("https://ceds.ed.gov/elementComment.aspx?elementName=Competency Item Valid End Date &amp;elementID=14483", "Click here to submit comment")</f>
        <v>Click here to submit comment</v>
      </c>
    </row>
    <row r="3476" spans="1:17" ht="60" x14ac:dyDescent="0.25">
      <c r="A3476" s="9" t="s">
        <v>6892</v>
      </c>
      <c r="B3476" s="9" t="s">
        <v>11933</v>
      </c>
      <c r="C3476" s="9" t="s">
        <v>11934</v>
      </c>
      <c r="D3476" s="9" t="s">
        <v>6742</v>
      </c>
      <c r="E3476" s="9" t="s">
        <v>10773</v>
      </c>
      <c r="F3476" s="9" t="s">
        <v>3927</v>
      </c>
      <c r="G3476" s="9" t="s">
        <v>12</v>
      </c>
      <c r="H3476" s="9"/>
      <c r="I3476" s="9"/>
      <c r="J3476" s="9" t="s">
        <v>1492</v>
      </c>
      <c r="K3476" s="9"/>
      <c r="L3476" s="9"/>
      <c r="M3476" s="9" t="s">
        <v>3928</v>
      </c>
      <c r="N3476" s="9" t="s">
        <v>3926</v>
      </c>
      <c r="O3476" s="9" t="s">
        <v>10774</v>
      </c>
      <c r="P3476" s="9" t="str">
        <f>HYPERLINK("https://ceds.ed.gov/cedselementdetails.aspx?termid=13676")</f>
        <v>https://ceds.ed.gov/cedselementdetails.aspx?termid=13676</v>
      </c>
      <c r="Q3476" s="9" t="str">
        <f>HYPERLINK("https://ceds.ed.gov/elementComment.aspx?elementName=Competency Framework Jurisdiction &amp;elementID=13676", "Click here to submit comment")</f>
        <v>Click here to submit comment</v>
      </c>
    </row>
    <row r="3477" spans="1:17" ht="45" x14ac:dyDescent="0.25">
      <c r="A3477" s="9" t="s">
        <v>6892</v>
      </c>
      <c r="B3477" s="9" t="s">
        <v>11933</v>
      </c>
      <c r="C3477" s="9" t="s">
        <v>11934</v>
      </c>
      <c r="D3477" s="9" t="s">
        <v>6742</v>
      </c>
      <c r="E3477" s="9" t="s">
        <v>10795</v>
      </c>
      <c r="F3477" s="9" t="s">
        <v>10796</v>
      </c>
      <c r="G3477" s="9" t="s">
        <v>12</v>
      </c>
      <c r="H3477" s="9" t="s">
        <v>795</v>
      </c>
      <c r="I3477" s="9"/>
      <c r="J3477" s="9" t="s">
        <v>87</v>
      </c>
      <c r="K3477" s="9"/>
      <c r="L3477" s="9"/>
      <c r="M3477" s="9" t="s">
        <v>3947</v>
      </c>
      <c r="N3477" s="9" t="s">
        <v>3946</v>
      </c>
      <c r="O3477" s="9" t="s">
        <v>10797</v>
      </c>
      <c r="P3477" s="9" t="str">
        <f>HYPERLINK("https://ceds.ed.gov/cedselementdetails.aspx?termid=13679")</f>
        <v>https://ceds.ed.gov/cedselementdetails.aspx?termid=13679</v>
      </c>
      <c r="Q3477" s="9" t="str">
        <f>HYPERLINK("https://ceds.ed.gov/elementComment.aspx?elementName=Competency Framework Subject &amp;elementID=13679", "Click here to submit comment")</f>
        <v>Click here to submit comment</v>
      </c>
    </row>
    <row r="3478" spans="1:17" ht="45" x14ac:dyDescent="0.25">
      <c r="A3478" s="9" t="s">
        <v>6892</v>
      </c>
      <c r="B3478" s="9" t="s">
        <v>11933</v>
      </c>
      <c r="C3478" s="9" t="s">
        <v>11934</v>
      </c>
      <c r="D3478" s="9" t="s">
        <v>6742</v>
      </c>
      <c r="E3478" s="9" t="s">
        <v>10798</v>
      </c>
      <c r="F3478" s="9" t="s">
        <v>10799</v>
      </c>
      <c r="G3478" s="9" t="s">
        <v>12</v>
      </c>
      <c r="H3478" s="9" t="s">
        <v>795</v>
      </c>
      <c r="I3478" s="9"/>
      <c r="J3478" s="9" t="s">
        <v>1492</v>
      </c>
      <c r="K3478" s="9"/>
      <c r="L3478" s="9"/>
      <c r="M3478" s="9" t="s">
        <v>3949</v>
      </c>
      <c r="N3478" s="9" t="s">
        <v>3948</v>
      </c>
      <c r="O3478" s="9" t="s">
        <v>10800</v>
      </c>
      <c r="P3478" s="9" t="str">
        <f>HYPERLINK("https://ceds.ed.gov/cedselementdetails.aspx?termid=13671")</f>
        <v>https://ceds.ed.gov/cedselementdetails.aspx?termid=13671</v>
      </c>
      <c r="Q3478" s="9" t="str">
        <f>HYPERLINK("https://ceds.ed.gov/elementComment.aspx?elementName=Competency Framework Title &amp;elementID=13671", "Click here to submit comment")</f>
        <v>Click here to submit comment</v>
      </c>
    </row>
    <row r="3479" spans="1:17" ht="45" x14ac:dyDescent="0.25">
      <c r="A3479" s="9" t="s">
        <v>6892</v>
      </c>
      <c r="B3479" s="9" t="s">
        <v>11933</v>
      </c>
      <c r="C3479" s="9" t="s">
        <v>11934</v>
      </c>
      <c r="D3479" s="9" t="s">
        <v>6742</v>
      </c>
      <c r="E3479" s="9" t="s">
        <v>10807</v>
      </c>
      <c r="F3479" s="9" t="s">
        <v>10808</v>
      </c>
      <c r="G3479" s="9" t="s">
        <v>12</v>
      </c>
      <c r="H3479" s="9" t="s">
        <v>795</v>
      </c>
      <c r="I3479" s="9"/>
      <c r="J3479" s="9" t="s">
        <v>87</v>
      </c>
      <c r="K3479" s="9"/>
      <c r="L3479" s="9"/>
      <c r="M3479" s="9" t="s">
        <v>3955</v>
      </c>
      <c r="N3479" s="9" t="s">
        <v>3954</v>
      </c>
      <c r="O3479" s="9" t="s">
        <v>10809</v>
      </c>
      <c r="P3479" s="9" t="str">
        <f>HYPERLINK("https://ceds.ed.gov/cedselementdetails.aspx?termid=13672")</f>
        <v>https://ceds.ed.gov/cedselementdetails.aspx?termid=13672</v>
      </c>
      <c r="Q3479" s="9" t="str">
        <f>HYPERLINK("https://ceds.ed.gov/elementComment.aspx?elementName=Competency Framework Version &amp;elementID=13672", "Click here to submit comment")</f>
        <v>Click here to submit comment</v>
      </c>
    </row>
    <row r="3480" spans="1:17" ht="90" x14ac:dyDescent="0.25">
      <c r="A3480" s="9" t="s">
        <v>6892</v>
      </c>
      <c r="B3480" s="9" t="s">
        <v>11933</v>
      </c>
      <c r="C3480" s="9" t="s">
        <v>11934</v>
      </c>
      <c r="D3480" s="9" t="s">
        <v>6742</v>
      </c>
      <c r="E3480" s="9" t="s">
        <v>10775</v>
      </c>
      <c r="F3480" s="9" t="s">
        <v>10776</v>
      </c>
      <c r="G3480" s="11" t="s">
        <v>966</v>
      </c>
      <c r="H3480" s="9"/>
      <c r="I3480" s="9"/>
      <c r="J3480" s="9"/>
      <c r="K3480" s="9"/>
      <c r="L3480" s="11" t="s">
        <v>967</v>
      </c>
      <c r="M3480" s="9" t="s">
        <v>3930</v>
      </c>
      <c r="N3480" s="9" t="s">
        <v>3929</v>
      </c>
      <c r="O3480" s="9" t="s">
        <v>10777</v>
      </c>
      <c r="P3480" s="9" t="str">
        <f>HYPERLINK("https://ceds.ed.gov/cedselementdetails.aspx?termid=13880")</f>
        <v>https://ceds.ed.gov/cedselementdetails.aspx?termid=13880</v>
      </c>
      <c r="Q3480" s="9" t="str">
        <f>HYPERLINK("https://ceds.ed.gov/elementComment.aspx?elementName=Competency Framework Language &amp;elementID=13880", "Click here to submit comment")</f>
        <v>Click here to submit comment</v>
      </c>
    </row>
    <row r="3481" spans="1:17" ht="45" x14ac:dyDescent="0.25">
      <c r="A3481" s="9" t="s">
        <v>6892</v>
      </c>
      <c r="B3481" s="9" t="s">
        <v>11933</v>
      </c>
      <c r="C3481" s="9" t="s">
        <v>11934</v>
      </c>
      <c r="D3481" s="9" t="s">
        <v>6742</v>
      </c>
      <c r="E3481" s="9" t="s">
        <v>10778</v>
      </c>
      <c r="F3481" s="9" t="s">
        <v>10779</v>
      </c>
      <c r="G3481" s="9" t="s">
        <v>12</v>
      </c>
      <c r="H3481" s="9"/>
      <c r="I3481" s="9"/>
      <c r="J3481" s="9" t="s">
        <v>68</v>
      </c>
      <c r="K3481" s="9"/>
      <c r="L3481" s="9"/>
      <c r="M3481" s="9" t="s">
        <v>3932</v>
      </c>
      <c r="N3481" s="9" t="s">
        <v>3931</v>
      </c>
      <c r="O3481" s="9" t="s">
        <v>10780</v>
      </c>
      <c r="P3481" s="9" t="str">
        <f>HYPERLINK("https://ceds.ed.gov/cedselementdetails.aspx?termid=13882")</f>
        <v>https://ceds.ed.gov/cedselementdetails.aspx?termid=13882</v>
      </c>
      <c r="Q3481" s="9" t="str">
        <f>HYPERLINK("https://ceds.ed.gov/elementComment.aspx?elementName=Competency Framework License &amp;elementID=13882", "Click here to submit comment")</f>
        <v>Click here to submit comment</v>
      </c>
    </row>
    <row r="3482" spans="1:17" ht="75" x14ac:dyDescent="0.25">
      <c r="A3482" s="9" t="s">
        <v>6892</v>
      </c>
      <c r="B3482" s="9" t="s">
        <v>11933</v>
      </c>
      <c r="C3482" s="9" t="s">
        <v>11934</v>
      </c>
      <c r="D3482" s="9" t="s">
        <v>6742</v>
      </c>
      <c r="E3482" s="9" t="s">
        <v>10762</v>
      </c>
      <c r="F3482" s="9" t="s">
        <v>10763</v>
      </c>
      <c r="G3482" s="9" t="s">
        <v>12</v>
      </c>
      <c r="H3482" s="9"/>
      <c r="I3482" s="9"/>
      <c r="J3482" s="9" t="s">
        <v>1492</v>
      </c>
      <c r="K3482" s="9"/>
      <c r="L3482" s="9" t="s">
        <v>3920</v>
      </c>
      <c r="M3482" s="9" t="s">
        <v>3921</v>
      </c>
      <c r="N3482" s="9" t="s">
        <v>3919</v>
      </c>
      <c r="O3482" s="9" t="s">
        <v>10765</v>
      </c>
      <c r="P3482" s="9" t="str">
        <f>HYPERLINK("https://ceds.ed.gov/cedselementdetails.aspx?termid=13673")</f>
        <v>https://ceds.ed.gov/cedselementdetails.aspx?termid=13673</v>
      </c>
      <c r="Q3482" s="9" t="str">
        <f>HYPERLINK("https://ceds.ed.gov/elementComment.aspx?elementName=Competency Framework Creator &amp;elementID=13673", "Click here to submit comment")</f>
        <v>Click here to submit comment</v>
      </c>
    </row>
    <row r="3483" spans="1:17" ht="90" x14ac:dyDescent="0.25">
      <c r="A3483" s="9" t="s">
        <v>6892</v>
      </c>
      <c r="B3483" s="9" t="s">
        <v>11933</v>
      </c>
      <c r="C3483" s="9" t="s">
        <v>11934</v>
      </c>
      <c r="D3483" s="9" t="s">
        <v>6742</v>
      </c>
      <c r="E3483" s="9" t="s">
        <v>10784</v>
      </c>
      <c r="F3483" s="9" t="s">
        <v>10785</v>
      </c>
      <c r="G3483" s="10" t="s">
        <v>6593</v>
      </c>
      <c r="H3483" s="9"/>
      <c r="I3483" s="9"/>
      <c r="J3483" s="9"/>
      <c r="K3483" s="9"/>
      <c r="L3483" s="9"/>
      <c r="M3483" s="9" t="s">
        <v>3938</v>
      </c>
      <c r="N3483" s="9" t="s">
        <v>3937</v>
      </c>
      <c r="O3483" s="9" t="s">
        <v>10786</v>
      </c>
      <c r="P3483" s="9" t="str">
        <f>HYPERLINK("https://ceds.ed.gov/cedselementdetails.aspx?termid=13675")</f>
        <v>https://ceds.ed.gov/cedselementdetails.aspx?termid=13675</v>
      </c>
      <c r="Q3483" s="9" t="str">
        <f>HYPERLINK("https://ceds.ed.gov/elementComment.aspx?elementName=Competency Framework Publication Status &amp;elementID=13675", "Click here to submit comment")</f>
        <v>Click here to submit comment</v>
      </c>
    </row>
    <row r="3484" spans="1:17" ht="45" x14ac:dyDescent="0.25">
      <c r="A3484" s="9" t="s">
        <v>6892</v>
      </c>
      <c r="B3484" s="9" t="s">
        <v>11933</v>
      </c>
      <c r="C3484" s="9" t="s">
        <v>11934</v>
      </c>
      <c r="D3484" s="9" t="s">
        <v>6742</v>
      </c>
      <c r="E3484" s="9" t="s">
        <v>10787</v>
      </c>
      <c r="F3484" s="9" t="s">
        <v>10788</v>
      </c>
      <c r="G3484" s="9" t="s">
        <v>12</v>
      </c>
      <c r="H3484" s="9"/>
      <c r="I3484" s="9"/>
      <c r="J3484" s="9" t="s">
        <v>87</v>
      </c>
      <c r="K3484" s="9"/>
      <c r="L3484" s="9"/>
      <c r="M3484" s="9" t="s">
        <v>3940</v>
      </c>
      <c r="N3484" s="9" t="s">
        <v>3939</v>
      </c>
      <c r="O3484" s="9" t="s">
        <v>10789</v>
      </c>
      <c r="P3484" s="9" t="str">
        <f>HYPERLINK("https://ceds.ed.gov/cedselementdetails.aspx?termid=13884")</f>
        <v>https://ceds.ed.gov/cedselementdetails.aspx?termid=13884</v>
      </c>
      <c r="Q3484" s="9" t="str">
        <f>HYPERLINK("https://ceds.ed.gov/elementComment.aspx?elementName=Competency Framework Publisher &amp;elementID=13884", "Click here to submit comment")</f>
        <v>Click here to submit comment</v>
      </c>
    </row>
    <row r="3485" spans="1:17" ht="45" x14ac:dyDescent="0.25">
      <c r="A3485" s="9" t="s">
        <v>6892</v>
      </c>
      <c r="B3485" s="9" t="s">
        <v>11933</v>
      </c>
      <c r="C3485" s="9" t="s">
        <v>11934</v>
      </c>
      <c r="D3485" s="9" t="s">
        <v>6742</v>
      </c>
      <c r="E3485" s="9" t="s">
        <v>10790</v>
      </c>
      <c r="F3485" s="9" t="s">
        <v>3942</v>
      </c>
      <c r="G3485" s="9" t="s">
        <v>12</v>
      </c>
      <c r="H3485" s="9"/>
      <c r="I3485" s="9"/>
      <c r="J3485" s="9" t="s">
        <v>68</v>
      </c>
      <c r="K3485" s="9"/>
      <c r="L3485" s="9"/>
      <c r="M3485" s="9" t="s">
        <v>3943</v>
      </c>
      <c r="N3485" s="9" t="s">
        <v>3941</v>
      </c>
      <c r="O3485" s="9" t="s">
        <v>10791</v>
      </c>
      <c r="P3485" s="9" t="str">
        <f>HYPERLINK("https://ceds.ed.gov/cedselementdetails.aspx?termid=13885")</f>
        <v>https://ceds.ed.gov/cedselementdetails.aspx?termid=13885</v>
      </c>
      <c r="Q3485" s="9" t="str">
        <f>HYPERLINK("https://ceds.ed.gov/elementComment.aspx?elementName=Competency Framework Rights &amp;elementID=13885", "Click here to submit comment")</f>
        <v>Click here to submit comment</v>
      </c>
    </row>
    <row r="3486" spans="1:17" ht="45" x14ac:dyDescent="0.25">
      <c r="A3486" s="9" t="s">
        <v>6892</v>
      </c>
      <c r="B3486" s="9" t="s">
        <v>11933</v>
      </c>
      <c r="C3486" s="9" t="s">
        <v>11934</v>
      </c>
      <c r="D3486" s="9" t="s">
        <v>6742</v>
      </c>
      <c r="E3486" s="9" t="s">
        <v>10792</v>
      </c>
      <c r="F3486" s="9" t="s">
        <v>10793</v>
      </c>
      <c r="G3486" s="9" t="s">
        <v>12</v>
      </c>
      <c r="H3486" s="9"/>
      <c r="I3486" s="9"/>
      <c r="J3486" s="9" t="s">
        <v>87</v>
      </c>
      <c r="K3486" s="9"/>
      <c r="L3486" s="9"/>
      <c r="M3486" s="9" t="s">
        <v>3945</v>
      </c>
      <c r="N3486" s="9" t="s">
        <v>3944</v>
      </c>
      <c r="O3486" s="9" t="s">
        <v>10794</v>
      </c>
      <c r="P3486" s="9" t="str">
        <f>HYPERLINK("https://ceds.ed.gov/cedselementdetails.aspx?termid=13886")</f>
        <v>https://ceds.ed.gov/cedselementdetails.aspx?termid=13886</v>
      </c>
      <c r="Q3486" s="9" t="str">
        <f>HYPERLINK("https://ceds.ed.gov/elementComment.aspx?elementName=Competency Framework Rights Holder &amp;elementID=13886", "Click here to submit comment")</f>
        <v>Click here to submit comment</v>
      </c>
    </row>
    <row r="3487" spans="1:17" ht="135" x14ac:dyDescent="0.25">
      <c r="A3487" s="9" t="s">
        <v>6892</v>
      </c>
      <c r="B3487" s="9" t="s">
        <v>11933</v>
      </c>
      <c r="C3487" s="9" t="s">
        <v>6919</v>
      </c>
      <c r="D3487" s="9" t="s">
        <v>6742</v>
      </c>
      <c r="E3487" s="9" t="s">
        <v>3759</v>
      </c>
      <c r="F3487" s="9" t="s">
        <v>3760</v>
      </c>
      <c r="G3487" s="10" t="s">
        <v>6583</v>
      </c>
      <c r="H3487" s="9"/>
      <c r="I3487" s="9"/>
      <c r="J3487" s="9"/>
      <c r="K3487" s="9"/>
      <c r="L3487" s="9" t="s">
        <v>3761</v>
      </c>
      <c r="M3487" s="9" t="s">
        <v>3762</v>
      </c>
      <c r="N3487" s="9"/>
      <c r="O3487" s="9" t="s">
        <v>3763</v>
      </c>
      <c r="P3487" s="9" t="str">
        <f>HYPERLINK("https://ceds.ed.gov/cedselementdetails.aspx?termid=13879")</f>
        <v>https://ceds.ed.gov/cedselementdetails.aspx?termid=13879</v>
      </c>
      <c r="Q3487" s="9" t="str">
        <f>HYPERLINK("https://ceds.ed.gov/elementComment.aspx?elementName=Learning Resource Competency Alignment Type &amp;elementID=13879", "Click here to submit comment")</f>
        <v>Click here to submit comment</v>
      </c>
    </row>
    <row r="3488" spans="1:17" ht="105" x14ac:dyDescent="0.25">
      <c r="A3488" s="18" t="s">
        <v>6892</v>
      </c>
      <c r="B3488" s="18" t="s">
        <v>11933</v>
      </c>
      <c r="C3488" s="18" t="s">
        <v>11935</v>
      </c>
      <c r="D3488" s="18" t="s">
        <v>6742</v>
      </c>
      <c r="E3488" s="18" t="s">
        <v>3996</v>
      </c>
      <c r="F3488" s="18" t="s">
        <v>10829</v>
      </c>
      <c r="G3488" s="18" t="s">
        <v>12</v>
      </c>
      <c r="H3488" s="18" t="s">
        <v>795</v>
      </c>
      <c r="I3488" s="18" t="s">
        <v>91</v>
      </c>
      <c r="J3488" s="18" t="s">
        <v>119</v>
      </c>
      <c r="K3488" s="18" t="s">
        <v>10738</v>
      </c>
      <c r="L3488" s="9" t="s">
        <v>120</v>
      </c>
      <c r="M3488" s="18" t="s">
        <v>3995</v>
      </c>
      <c r="N3488" s="18" t="s">
        <v>3994</v>
      </c>
      <c r="O3488" s="18" t="s">
        <v>10830</v>
      </c>
      <c r="P3488" s="18" t="str">
        <f>HYPERLINK("https://ceds.ed.gov/cedselementdetails.aspx?termid=13666")</f>
        <v>https://ceds.ed.gov/cedselementdetails.aspx?termid=13666</v>
      </c>
      <c r="Q3488" s="18" t="str">
        <f>HYPERLINK("https://ceds.ed.gov/elementComment.aspx?elementName=Competency Item Identifier &amp;elementID=13666", "Click here to submit comment")</f>
        <v>Click here to submit comment</v>
      </c>
    </row>
    <row r="3489" spans="1:17" x14ac:dyDescent="0.25">
      <c r="A3489" s="18"/>
      <c r="B3489" s="18"/>
      <c r="C3489" s="18"/>
      <c r="D3489" s="18"/>
      <c r="E3489" s="18"/>
      <c r="F3489" s="18"/>
      <c r="G3489" s="18"/>
      <c r="H3489" s="18"/>
      <c r="I3489" s="18"/>
      <c r="J3489" s="18"/>
      <c r="K3489" s="18"/>
      <c r="L3489" s="9"/>
      <c r="M3489" s="18"/>
      <c r="N3489" s="18"/>
      <c r="O3489" s="18"/>
      <c r="P3489" s="18"/>
      <c r="Q3489" s="18"/>
    </row>
    <row r="3490" spans="1:17" ht="90" x14ac:dyDescent="0.25">
      <c r="A3490" s="18"/>
      <c r="B3490" s="18"/>
      <c r="C3490" s="18"/>
      <c r="D3490" s="18"/>
      <c r="E3490" s="18"/>
      <c r="F3490" s="18"/>
      <c r="G3490" s="18"/>
      <c r="H3490" s="18"/>
      <c r="I3490" s="18"/>
      <c r="J3490" s="18"/>
      <c r="K3490" s="18"/>
      <c r="L3490" s="9" t="s">
        <v>121</v>
      </c>
      <c r="M3490" s="18"/>
      <c r="N3490" s="18"/>
      <c r="O3490" s="18"/>
      <c r="P3490" s="18"/>
      <c r="Q3490" s="18"/>
    </row>
    <row r="3491" spans="1:17" ht="300" x14ac:dyDescent="0.25">
      <c r="A3491" s="9" t="s">
        <v>6892</v>
      </c>
      <c r="B3491" s="9" t="s">
        <v>11933</v>
      </c>
      <c r="C3491" s="9" t="s">
        <v>11935</v>
      </c>
      <c r="D3491" s="9" t="s">
        <v>6742</v>
      </c>
      <c r="E3491" s="9" t="s">
        <v>10859</v>
      </c>
      <c r="F3491" s="9" t="s">
        <v>10860</v>
      </c>
      <c r="G3491" s="9" t="s">
        <v>12</v>
      </c>
      <c r="H3491" s="9" t="s">
        <v>795</v>
      </c>
      <c r="I3491" s="9" t="s">
        <v>91</v>
      </c>
      <c r="J3491" s="9" t="s">
        <v>119</v>
      </c>
      <c r="K3491" s="9" t="s">
        <v>10738</v>
      </c>
      <c r="L3491" s="9" t="s">
        <v>10861</v>
      </c>
      <c r="M3491" s="9" t="s">
        <v>4016</v>
      </c>
      <c r="N3491" s="9" t="s">
        <v>4015</v>
      </c>
      <c r="O3491" s="9" t="s">
        <v>10862</v>
      </c>
      <c r="P3491" s="9" t="str">
        <f>HYPERLINK("https://ceds.ed.gov/cedselementdetails.aspx?termid=13691")</f>
        <v>https://ceds.ed.gov/cedselementdetails.aspx?termid=13691</v>
      </c>
      <c r="Q3491" s="9" t="str">
        <f>HYPERLINK("https://ceds.ed.gov/elementComment.aspx?elementName=Competency Item Prerequisite Identifier &amp;elementID=13691", "Click here to submit comment")</f>
        <v>Click here to submit comment</v>
      </c>
    </row>
    <row r="3492" spans="1:17" ht="90" x14ac:dyDescent="0.25">
      <c r="A3492" s="9" t="s">
        <v>6892</v>
      </c>
      <c r="B3492" s="9" t="s">
        <v>11933</v>
      </c>
      <c r="C3492" s="9" t="s">
        <v>11935</v>
      </c>
      <c r="D3492" s="9" t="s">
        <v>6742</v>
      </c>
      <c r="E3492" s="9" t="s">
        <v>10890</v>
      </c>
      <c r="F3492" s="9" t="s">
        <v>10891</v>
      </c>
      <c r="G3492" s="9" t="s">
        <v>12</v>
      </c>
      <c r="H3492" s="9"/>
      <c r="I3492" s="9" t="s">
        <v>91</v>
      </c>
      <c r="J3492" s="9" t="s">
        <v>1143</v>
      </c>
      <c r="K3492" s="9" t="s">
        <v>10738</v>
      </c>
      <c r="L3492" s="9" t="s">
        <v>121</v>
      </c>
      <c r="M3492" s="9" t="s">
        <v>4044</v>
      </c>
      <c r="N3492" s="9" t="s">
        <v>4043</v>
      </c>
      <c r="O3492" s="9" t="s">
        <v>10893</v>
      </c>
      <c r="P3492" s="9" t="str">
        <f>HYPERLINK("https://ceds.ed.gov/cedselementdetails.aspx?termid=13874")</f>
        <v>https://ceds.ed.gov/cedselementdetails.aspx?termid=13874</v>
      </c>
      <c r="Q3492" s="9" t="str">
        <f>HYPERLINK("https://ceds.ed.gov/elementComment.aspx?elementName=Competency Item URL &amp;elementID=13874", "Click here to submit comment")</f>
        <v>Click here to submit comment</v>
      </c>
    </row>
    <row r="3493" spans="1:17" ht="90" x14ac:dyDescent="0.25">
      <c r="A3493" s="9" t="s">
        <v>6892</v>
      </c>
      <c r="B3493" s="9" t="s">
        <v>11933</v>
      </c>
      <c r="C3493" s="9" t="s">
        <v>11935</v>
      </c>
      <c r="D3493" s="9" t="s">
        <v>6742</v>
      </c>
      <c r="E3493" s="9" t="s">
        <v>3983</v>
      </c>
      <c r="F3493" s="9" t="s">
        <v>10814</v>
      </c>
      <c r="G3493" s="9" t="s">
        <v>12</v>
      </c>
      <c r="H3493" s="9"/>
      <c r="I3493" s="9" t="s">
        <v>91</v>
      </c>
      <c r="J3493" s="9" t="s">
        <v>87</v>
      </c>
      <c r="K3493" s="9" t="s">
        <v>10738</v>
      </c>
      <c r="L3493" s="9" t="s">
        <v>3981</v>
      </c>
      <c r="M3493" s="9" t="s">
        <v>3982</v>
      </c>
      <c r="N3493" s="9" t="s">
        <v>3980</v>
      </c>
      <c r="O3493" s="9" t="s">
        <v>10816</v>
      </c>
      <c r="P3493" s="9" t="str">
        <f>HYPERLINK("https://ceds.ed.gov/cedselementdetails.aspx?termid=13669")</f>
        <v>https://ceds.ed.gov/cedselementdetails.aspx?termid=13669</v>
      </c>
      <c r="Q3493" s="9" t="str">
        <f>HYPERLINK("https://ceds.ed.gov/elementComment.aspx?elementName=Competency Item Code &amp;elementID=13669", "Click here to submit comment")</f>
        <v>Click here to submit comment</v>
      </c>
    </row>
    <row r="3494" spans="1:17" ht="105" x14ac:dyDescent="0.25">
      <c r="A3494" s="18" t="s">
        <v>6892</v>
      </c>
      <c r="B3494" s="18" t="s">
        <v>11933</v>
      </c>
      <c r="C3494" s="18" t="s">
        <v>11935</v>
      </c>
      <c r="D3494" s="18" t="s">
        <v>6742</v>
      </c>
      <c r="E3494" s="18" t="s">
        <v>10853</v>
      </c>
      <c r="F3494" s="18" t="s">
        <v>10854</v>
      </c>
      <c r="G3494" s="18" t="s">
        <v>12</v>
      </c>
      <c r="H3494" s="18"/>
      <c r="I3494" s="18" t="s">
        <v>91</v>
      </c>
      <c r="J3494" s="18" t="s">
        <v>119</v>
      </c>
      <c r="K3494" s="18" t="s">
        <v>10738</v>
      </c>
      <c r="L3494" s="9" t="s">
        <v>120</v>
      </c>
      <c r="M3494" s="18" t="s">
        <v>4012</v>
      </c>
      <c r="N3494" s="18" t="s">
        <v>4011</v>
      </c>
      <c r="O3494" s="18" t="s">
        <v>10855</v>
      </c>
      <c r="P3494" s="18" t="str">
        <f>HYPERLINK("https://ceds.ed.gov/cedselementdetails.aspx?termid=13872")</f>
        <v>https://ceds.ed.gov/cedselementdetails.aspx?termid=13872</v>
      </c>
      <c r="Q3494" s="18" t="str">
        <f>HYPERLINK("https://ceds.ed.gov/elementComment.aspx?elementName=Competency Item Parent Identifier &amp;elementID=13872", "Click here to submit comment")</f>
        <v>Click here to submit comment</v>
      </c>
    </row>
    <row r="3495" spans="1:17" x14ac:dyDescent="0.25">
      <c r="A3495" s="18"/>
      <c r="B3495" s="18"/>
      <c r="C3495" s="18"/>
      <c r="D3495" s="18"/>
      <c r="E3495" s="18"/>
      <c r="F3495" s="18"/>
      <c r="G3495" s="18"/>
      <c r="H3495" s="18"/>
      <c r="I3495" s="18"/>
      <c r="J3495" s="18"/>
      <c r="K3495" s="18"/>
      <c r="L3495" s="9"/>
      <c r="M3495" s="18"/>
      <c r="N3495" s="18"/>
      <c r="O3495" s="18"/>
      <c r="P3495" s="18"/>
      <c r="Q3495" s="18"/>
    </row>
    <row r="3496" spans="1:17" ht="90" x14ac:dyDescent="0.25">
      <c r="A3496" s="18"/>
      <c r="B3496" s="18"/>
      <c r="C3496" s="18"/>
      <c r="D3496" s="18"/>
      <c r="E3496" s="18"/>
      <c r="F3496" s="18"/>
      <c r="G3496" s="18"/>
      <c r="H3496" s="18"/>
      <c r="I3496" s="18"/>
      <c r="J3496" s="18"/>
      <c r="K3496" s="18"/>
      <c r="L3496" s="9" t="s">
        <v>121</v>
      </c>
      <c r="M3496" s="18"/>
      <c r="N3496" s="18"/>
      <c r="O3496" s="18"/>
      <c r="P3496" s="18"/>
      <c r="Q3496" s="18"/>
    </row>
    <row r="3497" spans="1:17" ht="60" x14ac:dyDescent="0.25">
      <c r="A3497" s="9" t="s">
        <v>6892</v>
      </c>
      <c r="B3497" s="9" t="s">
        <v>11933</v>
      </c>
      <c r="C3497" s="9" t="s">
        <v>11935</v>
      </c>
      <c r="D3497" s="9" t="s">
        <v>6742</v>
      </c>
      <c r="E3497" s="9" t="s">
        <v>10850</v>
      </c>
      <c r="F3497" s="9" t="s">
        <v>10851</v>
      </c>
      <c r="G3497" s="9" t="s">
        <v>12</v>
      </c>
      <c r="H3497" s="9"/>
      <c r="I3497" s="9" t="s">
        <v>91</v>
      </c>
      <c r="J3497" s="9" t="s">
        <v>87</v>
      </c>
      <c r="K3497" s="9" t="s">
        <v>10738</v>
      </c>
      <c r="L3497" s="9"/>
      <c r="M3497" s="9" t="s">
        <v>4010</v>
      </c>
      <c r="N3497" s="9" t="s">
        <v>4009</v>
      </c>
      <c r="O3497" s="9" t="s">
        <v>10852</v>
      </c>
      <c r="P3497" s="9" t="str">
        <f>HYPERLINK("https://ceds.ed.gov/cedselementdetails.aspx?termid=13873")</f>
        <v>https://ceds.ed.gov/cedselementdetails.aspx?termid=13873</v>
      </c>
      <c r="Q3497" s="9" t="str">
        <f>HYPERLINK("https://ceds.ed.gov/elementComment.aspx?elementName=Competency Item Parent Code &amp;elementID=13873", "Click here to submit comment")</f>
        <v>Click here to submit comment</v>
      </c>
    </row>
    <row r="3498" spans="1:17" ht="75" x14ac:dyDescent="0.25">
      <c r="A3498" s="9" t="s">
        <v>6892</v>
      </c>
      <c r="B3498" s="9" t="s">
        <v>11933</v>
      </c>
      <c r="C3498" s="9" t="s">
        <v>11935</v>
      </c>
      <c r="D3498" s="9" t="s">
        <v>6742</v>
      </c>
      <c r="E3498" s="9" t="s">
        <v>10856</v>
      </c>
      <c r="F3498" s="9" t="s">
        <v>10857</v>
      </c>
      <c r="G3498" s="9" t="s">
        <v>12</v>
      </c>
      <c r="H3498" s="9"/>
      <c r="I3498" s="9" t="s">
        <v>91</v>
      </c>
      <c r="J3498" s="9" t="s">
        <v>1143</v>
      </c>
      <c r="K3498" s="9" t="s">
        <v>10738</v>
      </c>
      <c r="L3498" s="9"/>
      <c r="M3498" s="9" t="s">
        <v>4014</v>
      </c>
      <c r="N3498" s="9" t="s">
        <v>4013</v>
      </c>
      <c r="O3498" s="9" t="s">
        <v>10858</v>
      </c>
      <c r="P3498" s="9" t="str">
        <f>HYPERLINK("https://ceds.ed.gov/cedselementdetails.aspx?termid=14078")</f>
        <v>https://ceds.ed.gov/cedselementdetails.aspx?termid=14078</v>
      </c>
      <c r="Q3498" s="9" t="str">
        <f>HYPERLINK("https://ceds.ed.gov/elementComment.aspx?elementName=Competency Item Parent URL &amp;elementID=14078", "Click here to submit comment")</f>
        <v>Click here to submit comment</v>
      </c>
    </row>
    <row r="3499" spans="1:17" ht="409.5" x14ac:dyDescent="0.25">
      <c r="A3499" s="9" t="s">
        <v>6892</v>
      </c>
      <c r="B3499" s="9" t="s">
        <v>11933</v>
      </c>
      <c r="C3499" s="9" t="s">
        <v>11935</v>
      </c>
      <c r="D3499" s="9" t="s">
        <v>6742</v>
      </c>
      <c r="E3499" s="9" t="s">
        <v>10826</v>
      </c>
      <c r="F3499" s="9" t="s">
        <v>10827</v>
      </c>
      <c r="G3499" s="10" t="s">
        <v>6377</v>
      </c>
      <c r="H3499" s="9"/>
      <c r="I3499" s="9" t="s">
        <v>91</v>
      </c>
      <c r="J3499" s="9"/>
      <c r="K3499" s="9" t="s">
        <v>10738</v>
      </c>
      <c r="L3499" s="9" t="s">
        <v>3992</v>
      </c>
      <c r="M3499" s="9" t="s">
        <v>3993</v>
      </c>
      <c r="N3499" s="9" t="s">
        <v>3991</v>
      </c>
      <c r="O3499" s="9" t="s">
        <v>10828</v>
      </c>
      <c r="P3499" s="9" t="str">
        <f>HYPERLINK("https://ceds.ed.gov/cedselementdetails.aspx?termid=13701")</f>
        <v>https://ceds.ed.gov/cedselementdetails.aspx?termid=13701</v>
      </c>
      <c r="Q3499" s="9" t="str">
        <f>HYPERLINK("https://ceds.ed.gov/elementComment.aspx?elementName=Competency Item Education Level &amp;elementID=13701", "Click here to submit comment")</f>
        <v>Click here to submit comment</v>
      </c>
    </row>
    <row r="3500" spans="1:17" ht="45" x14ac:dyDescent="0.25">
      <c r="A3500" s="9" t="s">
        <v>6892</v>
      </c>
      <c r="B3500" s="9" t="s">
        <v>11933</v>
      </c>
      <c r="C3500" s="9" t="s">
        <v>11935</v>
      </c>
      <c r="D3500" s="9" t="s">
        <v>6742</v>
      </c>
      <c r="E3500" s="9" t="s">
        <v>10888</v>
      </c>
      <c r="F3500" s="9" t="s">
        <v>4040</v>
      </c>
      <c r="G3500" s="9" t="s">
        <v>12</v>
      </c>
      <c r="H3500" s="9"/>
      <c r="I3500" s="9" t="s">
        <v>91</v>
      </c>
      <c r="J3500" s="9" t="s">
        <v>1165</v>
      </c>
      <c r="K3500" s="9" t="s">
        <v>10738</v>
      </c>
      <c r="L3500" s="9" t="s">
        <v>4041</v>
      </c>
      <c r="M3500" s="9" t="s">
        <v>4042</v>
      </c>
      <c r="N3500" s="9" t="s">
        <v>4039</v>
      </c>
      <c r="O3500" s="9" t="s">
        <v>10889</v>
      </c>
      <c r="P3500" s="9" t="str">
        <f>HYPERLINK("https://ceds.ed.gov/cedselementdetails.aspx?termid=13870")</f>
        <v>https://ceds.ed.gov/cedselementdetails.aspx?termid=13870</v>
      </c>
      <c r="Q3500" s="9" t="str">
        <f>HYPERLINK("https://ceds.ed.gov/elementComment.aspx?elementName=Competency Item Typical Age Range &amp;elementID=13870", "Click here to submit comment")</f>
        <v>Click here to submit comment</v>
      </c>
    </row>
    <row r="3501" spans="1:17" ht="240" x14ac:dyDescent="0.25">
      <c r="A3501" s="9" t="s">
        <v>6892</v>
      </c>
      <c r="B3501" s="9" t="s">
        <v>11933</v>
      </c>
      <c r="C3501" s="9" t="s">
        <v>11935</v>
      </c>
      <c r="D3501" s="9" t="s">
        <v>6742</v>
      </c>
      <c r="E3501" s="9" t="s">
        <v>10823</v>
      </c>
      <c r="F3501" s="9" t="s">
        <v>10824</v>
      </c>
      <c r="G3501" s="9" t="s">
        <v>6106</v>
      </c>
      <c r="H3501" s="9"/>
      <c r="I3501" s="9" t="s">
        <v>91</v>
      </c>
      <c r="J3501" s="9"/>
      <c r="K3501" s="9" t="s">
        <v>10738</v>
      </c>
      <c r="L3501" s="9" t="s">
        <v>3989</v>
      </c>
      <c r="M3501" s="9" t="s">
        <v>3990</v>
      </c>
      <c r="N3501" s="9" t="s">
        <v>3988</v>
      </c>
      <c r="O3501" s="9" t="s">
        <v>10825</v>
      </c>
      <c r="P3501" s="9" t="str">
        <f>HYPERLINK("https://ceds.ed.gov/cedselementdetails.aspx?termid=14499")</f>
        <v>https://ceds.ed.gov/cedselementdetails.aspx?termid=14499</v>
      </c>
      <c r="Q3501" s="9" t="str">
        <f>HYPERLINK("https://ceds.ed.gov/elementComment.aspx?elementName=Competency Item Current Version Indicator &amp;elementID=14499", "Click here to submit comment")</f>
        <v>Click here to submit comment</v>
      </c>
    </row>
    <row r="3502" spans="1:17" ht="240" x14ac:dyDescent="0.25">
      <c r="A3502" s="18" t="s">
        <v>6892</v>
      </c>
      <c r="B3502" s="18" t="s">
        <v>11933</v>
      </c>
      <c r="C3502" s="18" t="s">
        <v>11935</v>
      </c>
      <c r="D3502" s="18" t="s">
        <v>6742</v>
      </c>
      <c r="E3502" s="18" t="s">
        <v>10863</v>
      </c>
      <c r="F3502" s="18" t="s">
        <v>10864</v>
      </c>
      <c r="G3502" s="18" t="s">
        <v>12</v>
      </c>
      <c r="H3502" s="18"/>
      <c r="I3502" s="18" t="s">
        <v>91</v>
      </c>
      <c r="J3502" s="18" t="s">
        <v>119</v>
      </c>
      <c r="K3502" s="18" t="s">
        <v>10738</v>
      </c>
      <c r="L3502" s="9" t="s">
        <v>3989</v>
      </c>
      <c r="M3502" s="18" t="s">
        <v>4018</v>
      </c>
      <c r="N3502" s="18" t="s">
        <v>4017</v>
      </c>
      <c r="O3502" s="18" t="s">
        <v>10865</v>
      </c>
      <c r="P3502" s="18" t="str">
        <f>HYPERLINK("https://ceds.ed.gov/cedselementdetails.aspx?termid=14498")</f>
        <v>https://ceds.ed.gov/cedselementdetails.aspx?termid=14498</v>
      </c>
      <c r="Q3502" s="18" t="str">
        <f>HYPERLINK("https://ceds.ed.gov/elementComment.aspx?elementName=Competency Item Previous Version Identifier &amp;elementID=14498", "Click here to submit comment")</f>
        <v>Click here to submit comment</v>
      </c>
    </row>
    <row r="3503" spans="1:17" x14ac:dyDescent="0.25">
      <c r="A3503" s="18"/>
      <c r="B3503" s="18"/>
      <c r="C3503" s="18"/>
      <c r="D3503" s="18"/>
      <c r="E3503" s="18"/>
      <c r="F3503" s="18"/>
      <c r="G3503" s="18"/>
      <c r="H3503" s="18"/>
      <c r="I3503" s="18"/>
      <c r="J3503" s="18"/>
      <c r="K3503" s="18"/>
      <c r="L3503" s="9"/>
      <c r="M3503" s="18"/>
      <c r="N3503" s="18"/>
      <c r="O3503" s="18"/>
      <c r="P3503" s="18"/>
      <c r="Q3503" s="18"/>
    </row>
    <row r="3504" spans="1:17" x14ac:dyDescent="0.25">
      <c r="A3504" s="18"/>
      <c r="B3504" s="18"/>
      <c r="C3504" s="18"/>
      <c r="D3504" s="18"/>
      <c r="E3504" s="18"/>
      <c r="F3504" s="18"/>
      <c r="G3504" s="18"/>
      <c r="H3504" s="18"/>
      <c r="I3504" s="18"/>
      <c r="J3504" s="18"/>
      <c r="K3504" s="18"/>
      <c r="L3504" s="9"/>
      <c r="M3504" s="18"/>
      <c r="N3504" s="18"/>
      <c r="O3504" s="18"/>
      <c r="P3504" s="18"/>
      <c r="Q3504" s="18"/>
    </row>
    <row r="3505" spans="1:17" ht="105" x14ac:dyDescent="0.25">
      <c r="A3505" s="18"/>
      <c r="B3505" s="18"/>
      <c r="C3505" s="18"/>
      <c r="D3505" s="18"/>
      <c r="E3505" s="18"/>
      <c r="F3505" s="18"/>
      <c r="G3505" s="18"/>
      <c r="H3505" s="18"/>
      <c r="I3505" s="18"/>
      <c r="J3505" s="18"/>
      <c r="K3505" s="18"/>
      <c r="L3505" s="9" t="s">
        <v>120</v>
      </c>
      <c r="M3505" s="18"/>
      <c r="N3505" s="18"/>
      <c r="O3505" s="18"/>
      <c r="P3505" s="18"/>
      <c r="Q3505" s="18"/>
    </row>
    <row r="3506" spans="1:17" x14ac:dyDescent="0.25">
      <c r="A3506" s="18"/>
      <c r="B3506" s="18"/>
      <c r="C3506" s="18"/>
      <c r="D3506" s="18"/>
      <c r="E3506" s="18"/>
      <c r="F3506" s="18"/>
      <c r="G3506" s="18"/>
      <c r="H3506" s="18"/>
      <c r="I3506" s="18"/>
      <c r="J3506" s="18"/>
      <c r="K3506" s="18"/>
      <c r="L3506" s="9"/>
      <c r="M3506" s="18"/>
      <c r="N3506" s="18"/>
      <c r="O3506" s="18"/>
      <c r="P3506" s="18"/>
      <c r="Q3506" s="18"/>
    </row>
    <row r="3507" spans="1:17" x14ac:dyDescent="0.25">
      <c r="A3507" s="18"/>
      <c r="B3507" s="18"/>
      <c r="C3507" s="18"/>
      <c r="D3507" s="18"/>
      <c r="E3507" s="18"/>
      <c r="F3507" s="18"/>
      <c r="G3507" s="18"/>
      <c r="H3507" s="18"/>
      <c r="I3507" s="18"/>
      <c r="J3507" s="18"/>
      <c r="K3507" s="18"/>
      <c r="L3507" s="9"/>
      <c r="M3507" s="18"/>
      <c r="N3507" s="18"/>
      <c r="O3507" s="18"/>
      <c r="P3507" s="18"/>
      <c r="Q3507" s="18"/>
    </row>
    <row r="3508" spans="1:17" ht="90" x14ac:dyDescent="0.25">
      <c r="A3508" s="18"/>
      <c r="B3508" s="18"/>
      <c r="C3508" s="18"/>
      <c r="D3508" s="18"/>
      <c r="E3508" s="18"/>
      <c r="F3508" s="18"/>
      <c r="G3508" s="18"/>
      <c r="H3508" s="18"/>
      <c r="I3508" s="18"/>
      <c r="J3508" s="18"/>
      <c r="K3508" s="18"/>
      <c r="L3508" s="9" t="s">
        <v>121</v>
      </c>
      <c r="M3508" s="18"/>
      <c r="N3508" s="18"/>
      <c r="O3508" s="18"/>
      <c r="P3508" s="18"/>
      <c r="Q3508" s="18"/>
    </row>
    <row r="3509" spans="1:17" ht="45" x14ac:dyDescent="0.25">
      <c r="A3509" s="9" t="s">
        <v>6892</v>
      </c>
      <c r="B3509" s="9" t="s">
        <v>11933</v>
      </c>
      <c r="C3509" s="9" t="s">
        <v>11935</v>
      </c>
      <c r="D3509" s="9" t="s">
        <v>6742</v>
      </c>
      <c r="E3509" s="9" t="s">
        <v>10903</v>
      </c>
      <c r="F3509" s="9" t="s">
        <v>10904</v>
      </c>
      <c r="G3509" s="9" t="s">
        <v>12</v>
      </c>
      <c r="H3509" s="9"/>
      <c r="I3509" s="9" t="s">
        <v>91</v>
      </c>
      <c r="J3509" s="9" t="s">
        <v>303</v>
      </c>
      <c r="K3509" s="9" t="s">
        <v>10738</v>
      </c>
      <c r="L3509" s="9"/>
      <c r="M3509" s="9" t="s">
        <v>4050</v>
      </c>
      <c r="N3509" s="9" t="s">
        <v>4049</v>
      </c>
      <c r="O3509" s="9" t="s">
        <v>10905</v>
      </c>
      <c r="P3509" s="9" t="str">
        <f>HYPERLINK("https://ceds.ed.gov/cedselementdetails.aspx?termid=14216")</f>
        <v>https://ceds.ed.gov/cedselementdetails.aspx?termid=14216</v>
      </c>
      <c r="Q3509" s="9" t="str">
        <f>HYPERLINK("https://ceds.ed.gov/elementComment.aspx?elementName=Competency Item Version &amp;elementID=14216", "Click here to submit comment")</f>
        <v>Click here to submit comment</v>
      </c>
    </row>
    <row r="3510" spans="1:17" ht="75" x14ac:dyDescent="0.25">
      <c r="A3510" s="9" t="s">
        <v>6892</v>
      </c>
      <c r="B3510" s="9" t="s">
        <v>11933</v>
      </c>
      <c r="C3510" s="9" t="s">
        <v>11935</v>
      </c>
      <c r="D3510" s="9" t="s">
        <v>6742</v>
      </c>
      <c r="E3510" s="9" t="s">
        <v>4038</v>
      </c>
      <c r="F3510" s="9" t="s">
        <v>4036</v>
      </c>
      <c r="G3510" s="9" t="s">
        <v>12</v>
      </c>
      <c r="H3510" s="9" t="s">
        <v>795</v>
      </c>
      <c r="I3510" s="9" t="s">
        <v>91</v>
      </c>
      <c r="J3510" s="9" t="s">
        <v>92</v>
      </c>
      <c r="K3510" s="9" t="s">
        <v>10738</v>
      </c>
      <c r="L3510" s="9"/>
      <c r="M3510" s="9" t="s">
        <v>4037</v>
      </c>
      <c r="N3510" s="9" t="s">
        <v>4035</v>
      </c>
      <c r="O3510" s="9" t="s">
        <v>10883</v>
      </c>
      <c r="P3510" s="9" t="str">
        <f>HYPERLINK("https://ceds.ed.gov/cedselementdetails.aspx?termid=13668")</f>
        <v>https://ceds.ed.gov/cedselementdetails.aspx?termid=13668</v>
      </c>
      <c r="Q3510" s="9" t="str">
        <f>HYPERLINK("https://ceds.ed.gov/elementComment.aspx?elementName=Competency Item Type &amp;elementID=13668", "Click here to submit comment")</f>
        <v>Click here to submit comment</v>
      </c>
    </row>
    <row r="3511" spans="1:17" ht="60" x14ac:dyDescent="0.25">
      <c r="A3511" s="9" t="s">
        <v>6892</v>
      </c>
      <c r="B3511" s="9" t="s">
        <v>11933</v>
      </c>
      <c r="C3511" s="9" t="s">
        <v>11935</v>
      </c>
      <c r="D3511" s="9" t="s">
        <v>6742</v>
      </c>
      <c r="E3511" s="9" t="s">
        <v>10884</v>
      </c>
      <c r="F3511" s="9" t="s">
        <v>10885</v>
      </c>
      <c r="G3511" s="9" t="s">
        <v>12</v>
      </c>
      <c r="H3511" s="9"/>
      <c r="I3511" s="9" t="s">
        <v>91</v>
      </c>
      <c r="J3511" s="9" t="s">
        <v>1143</v>
      </c>
      <c r="K3511" s="9" t="s">
        <v>10738</v>
      </c>
      <c r="L3511" s="9"/>
      <c r="M3511" s="9" t="s">
        <v>10886</v>
      </c>
      <c r="N3511" s="9"/>
      <c r="O3511" s="9" t="s">
        <v>10887</v>
      </c>
      <c r="P3511" s="9" t="str">
        <f>HYPERLINK("https://ceds.ed.gov/cedselementdetails.aspx?termid=14738")</f>
        <v>https://ceds.ed.gov/cedselementdetails.aspx?termid=14738</v>
      </c>
      <c r="Q3511" s="9" t="str">
        <f>HYPERLINK("https://ceds.ed.gov/elementComment.aspx?elementName=Competency Item Type URL &amp;elementID=14738", "Click here to submit comment")</f>
        <v>Click here to submit comment</v>
      </c>
    </row>
    <row r="3512" spans="1:17" ht="75" x14ac:dyDescent="0.25">
      <c r="A3512" s="9" t="s">
        <v>6892</v>
      </c>
      <c r="B3512" s="9" t="s">
        <v>11933</v>
      </c>
      <c r="C3512" s="9" t="s">
        <v>11935</v>
      </c>
      <c r="D3512" s="9" t="s">
        <v>6742</v>
      </c>
      <c r="E3512" s="9" t="s">
        <v>10866</v>
      </c>
      <c r="F3512" s="9" t="s">
        <v>4020</v>
      </c>
      <c r="G3512" s="9" t="s">
        <v>12</v>
      </c>
      <c r="H3512" s="9"/>
      <c r="I3512" s="9" t="s">
        <v>91</v>
      </c>
      <c r="J3512" s="9" t="s">
        <v>92</v>
      </c>
      <c r="K3512" s="9" t="s">
        <v>10738</v>
      </c>
      <c r="L3512" s="9" t="s">
        <v>4021</v>
      </c>
      <c r="M3512" s="9" t="s">
        <v>4022</v>
      </c>
      <c r="N3512" s="9" t="s">
        <v>4019</v>
      </c>
      <c r="O3512" s="9" t="s">
        <v>10868</v>
      </c>
      <c r="P3512" s="9" t="str">
        <f>HYPERLINK("https://ceds.ed.gov/cedselementdetails.aspx?termid=14549")</f>
        <v>https://ceds.ed.gov/cedselementdetails.aspx?termid=14549</v>
      </c>
      <c r="Q3512" s="9" t="str">
        <f>HYPERLINK("https://ceds.ed.gov/elementComment.aspx?elementName=Competency Item Sequence &amp;elementID=14549", "Click here to submit comment")</f>
        <v>Click here to submit comment</v>
      </c>
    </row>
    <row r="3513" spans="1:17" ht="60" x14ac:dyDescent="0.25">
      <c r="A3513" s="9" t="s">
        <v>6892</v>
      </c>
      <c r="B3513" s="9" t="s">
        <v>11933</v>
      </c>
      <c r="C3513" s="9" t="s">
        <v>11935</v>
      </c>
      <c r="D3513" s="9" t="s">
        <v>6742</v>
      </c>
      <c r="E3513" s="9" t="s">
        <v>10810</v>
      </c>
      <c r="F3513" s="9" t="s">
        <v>10811</v>
      </c>
      <c r="G3513" s="10" t="s">
        <v>6595</v>
      </c>
      <c r="H3513" s="9"/>
      <c r="I3513" s="9" t="s">
        <v>91</v>
      </c>
      <c r="J3513" s="9"/>
      <c r="K3513" s="9" t="s">
        <v>10738</v>
      </c>
      <c r="L3513" s="9"/>
      <c r="M3513" s="9" t="s">
        <v>3979</v>
      </c>
      <c r="N3513" s="9" t="s">
        <v>3978</v>
      </c>
      <c r="O3513" s="9" t="s">
        <v>10813</v>
      </c>
      <c r="P3513" s="9" t="str">
        <f>HYPERLINK("https://ceds.ed.gov/cedselementdetails.aspx?termid=13875")</f>
        <v>https://ceds.ed.gov/cedselementdetails.aspx?termid=13875</v>
      </c>
      <c r="Q3513" s="9" t="str">
        <f>HYPERLINK("https://ceds.ed.gov/elementComment.aspx?elementName=Competency Item Blooms Taxonomy Domain &amp;elementID=13875", "Click here to submit comment")</f>
        <v>Click here to submit comment</v>
      </c>
    </row>
    <row r="3514" spans="1:17" ht="45" x14ac:dyDescent="0.25">
      <c r="A3514" s="9" t="s">
        <v>6892</v>
      </c>
      <c r="B3514" s="9" t="s">
        <v>11933</v>
      </c>
      <c r="C3514" s="9" t="s">
        <v>11935</v>
      </c>
      <c r="D3514" s="9" t="s">
        <v>6742</v>
      </c>
      <c r="E3514" s="9" t="s">
        <v>10817</v>
      </c>
      <c r="F3514" s="9" t="s">
        <v>10818</v>
      </c>
      <c r="G3514" s="9" t="s">
        <v>12</v>
      </c>
      <c r="H3514" s="9"/>
      <c r="I3514" s="9" t="s">
        <v>91</v>
      </c>
      <c r="J3514" s="9" t="s">
        <v>68</v>
      </c>
      <c r="K3514" s="9" t="s">
        <v>10738</v>
      </c>
      <c r="L3514" s="9"/>
      <c r="M3514" s="9" t="s">
        <v>3985</v>
      </c>
      <c r="N3514" s="9" t="s">
        <v>3984</v>
      </c>
      <c r="O3514" s="9" t="s">
        <v>10819</v>
      </c>
      <c r="P3514" s="9" t="str">
        <f>HYPERLINK("https://ceds.ed.gov/cedselementdetails.aspx?termid=13887")</f>
        <v>https://ceds.ed.gov/cedselementdetails.aspx?termid=13887</v>
      </c>
      <c r="Q3514" s="9" t="str">
        <f>HYPERLINK("https://ceds.ed.gov/elementComment.aspx?elementName=Competency Item Concept Keyword &amp;elementID=13887", "Click here to submit comment")</f>
        <v>Click here to submit comment</v>
      </c>
    </row>
    <row r="3515" spans="1:17" ht="75" x14ac:dyDescent="0.25">
      <c r="A3515" s="9" t="s">
        <v>6892</v>
      </c>
      <c r="B3515" s="9" t="s">
        <v>11933</v>
      </c>
      <c r="C3515" s="9" t="s">
        <v>11935</v>
      </c>
      <c r="D3515" s="9" t="s">
        <v>6742</v>
      </c>
      <c r="E3515" s="9" t="s">
        <v>10820</v>
      </c>
      <c r="F3515" s="9" t="s">
        <v>10821</v>
      </c>
      <c r="G3515" s="9" t="s">
        <v>12</v>
      </c>
      <c r="H3515" s="9"/>
      <c r="I3515" s="9" t="s">
        <v>91</v>
      </c>
      <c r="J3515" s="9" t="s">
        <v>87</v>
      </c>
      <c r="K3515" s="9" t="s">
        <v>10738</v>
      </c>
      <c r="L3515" s="9"/>
      <c r="M3515" s="9" t="s">
        <v>3987</v>
      </c>
      <c r="N3515" s="9" t="s">
        <v>3986</v>
      </c>
      <c r="O3515" s="9" t="s">
        <v>10822</v>
      </c>
      <c r="P3515" s="9" t="str">
        <f>HYPERLINK("https://ceds.ed.gov/cedselementdetails.aspx?termid=13888")</f>
        <v>https://ceds.ed.gov/cedselementdetails.aspx?termid=13888</v>
      </c>
      <c r="Q3515" s="9" t="str">
        <f>HYPERLINK("https://ceds.ed.gov/elementComment.aspx?elementName=Competency Item Concept Term &amp;elementID=13888", "Click here to submit comment")</f>
        <v>Click here to submit comment</v>
      </c>
    </row>
    <row r="3516" spans="1:17" ht="90" x14ac:dyDescent="0.25">
      <c r="A3516" s="9" t="s">
        <v>6892</v>
      </c>
      <c r="B3516" s="9" t="s">
        <v>11933</v>
      </c>
      <c r="C3516" s="9" t="s">
        <v>11935</v>
      </c>
      <c r="D3516" s="9" t="s">
        <v>6742</v>
      </c>
      <c r="E3516" s="9" t="s">
        <v>10831</v>
      </c>
      <c r="F3516" s="9" t="s">
        <v>10832</v>
      </c>
      <c r="G3516" s="11" t="s">
        <v>966</v>
      </c>
      <c r="H3516" s="9"/>
      <c r="I3516" s="9" t="s">
        <v>91</v>
      </c>
      <c r="J3516" s="9"/>
      <c r="K3516" s="9" t="s">
        <v>10738</v>
      </c>
      <c r="L3516" s="11" t="s">
        <v>967</v>
      </c>
      <c r="M3516" s="9" t="s">
        <v>3998</v>
      </c>
      <c r="N3516" s="9" t="s">
        <v>3997</v>
      </c>
      <c r="O3516" s="9" t="s">
        <v>10833</v>
      </c>
      <c r="P3516" s="9" t="str">
        <f>HYPERLINK("https://ceds.ed.gov/cedselementdetails.aspx?termid=13881")</f>
        <v>https://ceds.ed.gov/cedselementdetails.aspx?termid=13881</v>
      </c>
      <c r="Q3516" s="9" t="str">
        <f>HYPERLINK("https://ceds.ed.gov/elementComment.aspx?elementName=Competency Item Language &amp;elementID=13881", "Click here to submit comment")</f>
        <v>Click here to submit comment</v>
      </c>
    </row>
    <row r="3517" spans="1:17" ht="225" x14ac:dyDescent="0.25">
      <c r="A3517" s="9" t="s">
        <v>6892</v>
      </c>
      <c r="B3517" s="9" t="s">
        <v>11933</v>
      </c>
      <c r="C3517" s="9" t="s">
        <v>11935</v>
      </c>
      <c r="D3517" s="9" t="s">
        <v>6742</v>
      </c>
      <c r="E3517" s="9" t="s">
        <v>4026</v>
      </c>
      <c r="F3517" s="9" t="s">
        <v>10869</v>
      </c>
      <c r="G3517" s="9" t="s">
        <v>12</v>
      </c>
      <c r="H3517" s="9" t="s">
        <v>795</v>
      </c>
      <c r="I3517" s="9" t="s">
        <v>91</v>
      </c>
      <c r="J3517" s="9" t="s">
        <v>303</v>
      </c>
      <c r="K3517" s="9" t="s">
        <v>10738</v>
      </c>
      <c r="L3517" s="9" t="s">
        <v>4024</v>
      </c>
      <c r="M3517" s="9" t="s">
        <v>4025</v>
      </c>
      <c r="N3517" s="9" t="s">
        <v>4023</v>
      </c>
      <c r="O3517" s="9" t="s">
        <v>10870</v>
      </c>
      <c r="P3517" s="9" t="str">
        <f>HYPERLINK("https://ceds.ed.gov/cedselementdetails.aspx?termid=13667")</f>
        <v>https://ceds.ed.gov/cedselementdetails.aspx?termid=13667</v>
      </c>
      <c r="Q3517" s="9" t="str">
        <f>HYPERLINK("https://ceds.ed.gov/elementComment.aspx?elementName=Competency Item Statement &amp;elementID=13667", "Click here to submit comment")</f>
        <v>Click here to submit comment</v>
      </c>
    </row>
    <row r="3518" spans="1:17" ht="60" x14ac:dyDescent="0.25">
      <c r="A3518" s="9" t="s">
        <v>6892</v>
      </c>
      <c r="B3518" s="9" t="s">
        <v>11933</v>
      </c>
      <c r="C3518" s="9" t="s">
        <v>11935</v>
      </c>
      <c r="D3518" s="9" t="s">
        <v>6742</v>
      </c>
      <c r="E3518" s="9" t="s">
        <v>10834</v>
      </c>
      <c r="F3518" s="9" t="s">
        <v>10835</v>
      </c>
      <c r="G3518" s="9" t="s">
        <v>12</v>
      </c>
      <c r="H3518" s="9"/>
      <c r="I3518" s="9" t="s">
        <v>91</v>
      </c>
      <c r="J3518" s="9" t="s">
        <v>68</v>
      </c>
      <c r="K3518" s="9" t="s">
        <v>10738</v>
      </c>
      <c r="L3518" s="9"/>
      <c r="M3518" s="9" t="s">
        <v>4000</v>
      </c>
      <c r="N3518" s="9" t="s">
        <v>3999</v>
      </c>
      <c r="O3518" s="9" t="s">
        <v>10836</v>
      </c>
      <c r="P3518" s="9" t="str">
        <f>HYPERLINK("https://ceds.ed.gov/cedselementdetails.aspx?termid=13883")</f>
        <v>https://ceds.ed.gov/cedselementdetails.aspx?termid=13883</v>
      </c>
      <c r="Q3518" s="9" t="str">
        <f>HYPERLINK("https://ceds.ed.gov/elementComment.aspx?elementName=Competency Item License &amp;elementID=13883", "Click here to submit comment")</f>
        <v>Click here to submit comment</v>
      </c>
    </row>
    <row r="3519" spans="1:17" ht="150" x14ac:dyDescent="0.25">
      <c r="A3519" s="9" t="s">
        <v>6892</v>
      </c>
      <c r="B3519" s="9" t="s">
        <v>11933</v>
      </c>
      <c r="C3519" s="9" t="s">
        <v>11935</v>
      </c>
      <c r="D3519" s="9" t="s">
        <v>6742</v>
      </c>
      <c r="E3519" s="9" t="s">
        <v>10837</v>
      </c>
      <c r="F3519" s="9" t="s">
        <v>10838</v>
      </c>
      <c r="G3519" s="10" t="s">
        <v>6596</v>
      </c>
      <c r="H3519" s="9"/>
      <c r="I3519" s="9" t="s">
        <v>91</v>
      </c>
      <c r="J3519" s="9"/>
      <c r="K3519" s="9" t="s">
        <v>10738</v>
      </c>
      <c r="L3519" s="9"/>
      <c r="M3519" s="9" t="s">
        <v>4002</v>
      </c>
      <c r="N3519" s="9" t="s">
        <v>4001</v>
      </c>
      <c r="O3519" s="9" t="s">
        <v>10839</v>
      </c>
      <c r="P3519" s="9" t="str">
        <f>HYPERLINK("https://ceds.ed.gov/cedselementdetails.aspx?termid=13876")</f>
        <v>https://ceds.ed.gov/cedselementdetails.aspx?termid=13876</v>
      </c>
      <c r="Q3519" s="9" t="str">
        <f>HYPERLINK("https://ceds.ed.gov/elementComment.aspx?elementName=Competency Item Multiple Intelligence &amp;elementID=13876", "Click here to submit comment")</f>
        <v>Click here to submit comment</v>
      </c>
    </row>
    <row r="3520" spans="1:17" ht="45" x14ac:dyDescent="0.25">
      <c r="A3520" s="9" t="s">
        <v>6892</v>
      </c>
      <c r="B3520" s="9" t="s">
        <v>11933</v>
      </c>
      <c r="C3520" s="9" t="s">
        <v>11935</v>
      </c>
      <c r="D3520" s="9" t="s">
        <v>6742</v>
      </c>
      <c r="E3520" s="9" t="s">
        <v>10847</v>
      </c>
      <c r="F3520" s="9" t="s">
        <v>10848</v>
      </c>
      <c r="G3520" s="9" t="s">
        <v>12</v>
      </c>
      <c r="H3520" s="9"/>
      <c r="I3520" s="9" t="s">
        <v>91</v>
      </c>
      <c r="J3520" s="9" t="s">
        <v>303</v>
      </c>
      <c r="K3520" s="9" t="s">
        <v>10738</v>
      </c>
      <c r="L3520" s="9"/>
      <c r="M3520" s="9" t="s">
        <v>4008</v>
      </c>
      <c r="N3520" s="9" t="s">
        <v>4007</v>
      </c>
      <c r="O3520" s="9" t="s">
        <v>10849</v>
      </c>
      <c r="P3520" s="9" t="str">
        <f>HYPERLINK("https://ceds.ed.gov/cedselementdetails.aspx?termid=14215")</f>
        <v>https://ceds.ed.gov/cedselementdetails.aspx?termid=14215</v>
      </c>
      <c r="Q3520" s="9" t="str">
        <f>HYPERLINK("https://ceds.ed.gov/elementComment.aspx?elementName=Competency Item Notes &amp;elementID=14215", "Click here to submit comment")</f>
        <v>Click here to submit comment</v>
      </c>
    </row>
    <row r="3521" spans="1:17" ht="45" x14ac:dyDescent="0.25">
      <c r="A3521" s="9" t="s">
        <v>6892</v>
      </c>
      <c r="B3521" s="9" t="s">
        <v>11933</v>
      </c>
      <c r="C3521" s="9" t="s">
        <v>11935</v>
      </c>
      <c r="D3521" s="9" t="s">
        <v>6742</v>
      </c>
      <c r="E3521" s="9" t="s">
        <v>10880</v>
      </c>
      <c r="F3521" s="9" t="s">
        <v>10881</v>
      </c>
      <c r="G3521" s="9" t="s">
        <v>12</v>
      </c>
      <c r="H3521" s="9"/>
      <c r="I3521" s="9" t="s">
        <v>91</v>
      </c>
      <c r="J3521" s="9" t="s">
        <v>87</v>
      </c>
      <c r="K3521" s="9" t="s">
        <v>10738</v>
      </c>
      <c r="L3521" s="9"/>
      <c r="M3521" s="9" t="s">
        <v>4034</v>
      </c>
      <c r="N3521" s="9" t="s">
        <v>4033</v>
      </c>
      <c r="O3521" s="9" t="s">
        <v>10882</v>
      </c>
      <c r="P3521" s="9" t="str">
        <f>HYPERLINK("https://ceds.ed.gov/cedselementdetails.aspx?termid=13910")</f>
        <v>https://ceds.ed.gov/cedselementdetails.aspx?termid=13910</v>
      </c>
      <c r="Q3521" s="9" t="str">
        <f>HYPERLINK("https://ceds.ed.gov/elementComment.aspx?elementName=Competency Item Text Complexity System &amp;elementID=13910", "Click here to submit comment")</f>
        <v>Click here to submit comment</v>
      </c>
    </row>
    <row r="3522" spans="1:17" ht="75" x14ac:dyDescent="0.25">
      <c r="A3522" s="9" t="s">
        <v>6892</v>
      </c>
      <c r="B3522" s="9" t="s">
        <v>11933</v>
      </c>
      <c r="C3522" s="9" t="s">
        <v>11935</v>
      </c>
      <c r="D3522" s="9" t="s">
        <v>6742</v>
      </c>
      <c r="E3522" s="9" t="s">
        <v>10877</v>
      </c>
      <c r="F3522" s="9" t="s">
        <v>10878</v>
      </c>
      <c r="G3522" s="9" t="s">
        <v>12</v>
      </c>
      <c r="H3522" s="9"/>
      <c r="I3522" s="9" t="s">
        <v>91</v>
      </c>
      <c r="J3522" s="9" t="s">
        <v>134</v>
      </c>
      <c r="K3522" s="9" t="s">
        <v>10738</v>
      </c>
      <c r="L3522" s="9"/>
      <c r="M3522" s="9" t="s">
        <v>4032</v>
      </c>
      <c r="N3522" s="9" t="s">
        <v>4031</v>
      </c>
      <c r="O3522" s="9" t="s">
        <v>10879</v>
      </c>
      <c r="P3522" s="9" t="str">
        <f>HYPERLINK("https://ceds.ed.gov/cedselementdetails.aspx?termid=14114")</f>
        <v>https://ceds.ed.gov/cedselementdetails.aspx?termid=14114</v>
      </c>
      <c r="Q3522" s="9" t="str">
        <f>HYPERLINK("https://ceds.ed.gov/elementComment.aspx?elementName=Competency Item Text Complexity Minimum Value &amp;elementID=14114", "Click here to submit comment")</f>
        <v>Click here to submit comment</v>
      </c>
    </row>
    <row r="3523" spans="1:17" ht="75" x14ac:dyDescent="0.25">
      <c r="A3523" s="9" t="s">
        <v>6892</v>
      </c>
      <c r="B3523" s="9" t="s">
        <v>11933</v>
      </c>
      <c r="C3523" s="9" t="s">
        <v>11935</v>
      </c>
      <c r="D3523" s="9" t="s">
        <v>6742</v>
      </c>
      <c r="E3523" s="9" t="s">
        <v>10874</v>
      </c>
      <c r="F3523" s="9" t="s">
        <v>10875</v>
      </c>
      <c r="G3523" s="9" t="s">
        <v>12</v>
      </c>
      <c r="H3523" s="9"/>
      <c r="I3523" s="9" t="s">
        <v>91</v>
      </c>
      <c r="J3523" s="9" t="s">
        <v>134</v>
      </c>
      <c r="K3523" s="9" t="s">
        <v>10738</v>
      </c>
      <c r="L3523" s="9"/>
      <c r="M3523" s="9" t="s">
        <v>4030</v>
      </c>
      <c r="N3523" s="9" t="s">
        <v>4029</v>
      </c>
      <c r="O3523" s="9" t="s">
        <v>10876</v>
      </c>
      <c r="P3523" s="9" t="str">
        <f>HYPERLINK("https://ceds.ed.gov/cedselementdetails.aspx?termid=14115")</f>
        <v>https://ceds.ed.gov/cedselementdetails.aspx?termid=14115</v>
      </c>
      <c r="Q3523" s="9" t="str">
        <f>HYPERLINK("https://ceds.ed.gov/elementComment.aspx?elementName=Competency Item Text Complexity Maximum Value &amp;elementID=14115", "Click here to submit comment")</f>
        <v>Click here to submit comment</v>
      </c>
    </row>
    <row r="3524" spans="1:17" ht="45" x14ac:dyDescent="0.25">
      <c r="A3524" s="9" t="s">
        <v>6892</v>
      </c>
      <c r="B3524" s="9" t="s">
        <v>11933</v>
      </c>
      <c r="C3524" s="9" t="s">
        <v>11935</v>
      </c>
      <c r="D3524" s="9" t="s">
        <v>6746</v>
      </c>
      <c r="E3524" s="9" t="s">
        <v>10769</v>
      </c>
      <c r="F3524" s="9" t="s">
        <v>10770</v>
      </c>
      <c r="G3524" s="9" t="s">
        <v>12</v>
      </c>
      <c r="H3524" s="9" t="s">
        <v>795</v>
      </c>
      <c r="I3524" s="9"/>
      <c r="J3524" s="9" t="s">
        <v>1143</v>
      </c>
      <c r="K3524" s="9"/>
      <c r="L3524" s="9"/>
      <c r="M3524" s="9" t="s">
        <v>3925</v>
      </c>
      <c r="N3524" s="9" t="s">
        <v>3924</v>
      </c>
      <c r="O3524" s="9" t="s">
        <v>10772</v>
      </c>
      <c r="P3524" s="9" t="str">
        <f>HYPERLINK("https://ceds.ed.gov/cedselementdetails.aspx?termid=13670")</f>
        <v>https://ceds.ed.gov/cedselementdetails.aspx?termid=13670</v>
      </c>
      <c r="Q3524" s="9" t="str">
        <f>HYPERLINK("https://ceds.ed.gov/elementComment.aspx?elementName=Competency Framework Identifier URI &amp;elementID=13670", "Click here to submit comment")</f>
        <v>Click here to submit comment</v>
      </c>
    </row>
    <row r="3525" spans="1:17" ht="75" x14ac:dyDescent="0.25">
      <c r="A3525" s="9" t="s">
        <v>6892</v>
      </c>
      <c r="B3525" s="9" t="s">
        <v>11933</v>
      </c>
      <c r="C3525" s="9" t="s">
        <v>11936</v>
      </c>
      <c r="D3525" s="9" t="s">
        <v>6742</v>
      </c>
      <c r="E3525" s="9" t="s">
        <v>10746</v>
      </c>
      <c r="F3525" s="9" t="s">
        <v>10747</v>
      </c>
      <c r="G3525" s="9" t="s">
        <v>12</v>
      </c>
      <c r="H3525" s="9"/>
      <c r="I3525" s="9" t="s">
        <v>91</v>
      </c>
      <c r="J3525" s="9" t="s">
        <v>1143</v>
      </c>
      <c r="K3525" s="9" t="s">
        <v>10738</v>
      </c>
      <c r="L3525" s="9"/>
      <c r="M3525" s="9" t="s">
        <v>3964</v>
      </c>
      <c r="N3525" s="9" t="s">
        <v>3963</v>
      </c>
      <c r="O3525" s="9" t="s">
        <v>10749</v>
      </c>
      <c r="P3525" s="9" t="str">
        <f>HYPERLINK("https://ceds.ed.gov/cedselementdetails.aspx?termid=13871")</f>
        <v>https://ceds.ed.gov/cedselementdetails.aspx?termid=13871</v>
      </c>
      <c r="Q3525" s="9" t="str">
        <f>HYPERLINK("https://ceds.ed.gov/elementComment.aspx?elementName=Competency Association Identifier URI &amp;elementID=13871", "Click here to submit comment")</f>
        <v>Click here to submit comment</v>
      </c>
    </row>
    <row r="3526" spans="1:17" ht="300" customHeight="1" x14ac:dyDescent="0.25">
      <c r="A3526" s="18" t="s">
        <v>6892</v>
      </c>
      <c r="B3526" s="18" t="s">
        <v>11933</v>
      </c>
      <c r="C3526" s="18" t="s">
        <v>11936</v>
      </c>
      <c r="D3526" s="18" t="s">
        <v>6742</v>
      </c>
      <c r="E3526" s="18" t="s">
        <v>10756</v>
      </c>
      <c r="F3526" s="18" t="s">
        <v>10757</v>
      </c>
      <c r="G3526" s="19" t="s">
        <v>6594</v>
      </c>
      <c r="H3526" s="18"/>
      <c r="I3526" s="18" t="s">
        <v>91</v>
      </c>
      <c r="J3526" s="18"/>
      <c r="K3526" s="18" t="s">
        <v>10758</v>
      </c>
      <c r="L3526" s="9" t="s">
        <v>3970</v>
      </c>
      <c r="M3526" s="18" t="s">
        <v>3972</v>
      </c>
      <c r="N3526" s="18" t="s">
        <v>3969</v>
      </c>
      <c r="O3526" s="18" t="s">
        <v>10759</v>
      </c>
      <c r="P3526" s="18" t="str">
        <f>HYPERLINK("https://ceds.ed.gov/cedselementdetails.aspx?termid=13869")</f>
        <v>https://ceds.ed.gov/cedselementdetails.aspx?termid=13869</v>
      </c>
      <c r="Q3526" s="18" t="str">
        <f>HYPERLINK("https://ceds.ed.gov/elementComment.aspx?elementName=Competency Association Type &amp;elementID=13869", "Click here to submit comment")</f>
        <v>Click here to submit comment</v>
      </c>
    </row>
    <row r="3527" spans="1:17" x14ac:dyDescent="0.25">
      <c r="A3527" s="18"/>
      <c r="B3527" s="18"/>
      <c r="C3527" s="18"/>
      <c r="D3527" s="18"/>
      <c r="E3527" s="18"/>
      <c r="F3527" s="18"/>
      <c r="G3527" s="18"/>
      <c r="H3527" s="18"/>
      <c r="I3527" s="18"/>
      <c r="J3527" s="18"/>
      <c r="K3527" s="18"/>
      <c r="L3527" s="9"/>
      <c r="M3527" s="18"/>
      <c r="N3527" s="18"/>
      <c r="O3527" s="18"/>
      <c r="P3527" s="18"/>
      <c r="Q3527" s="18"/>
    </row>
    <row r="3528" spans="1:17" x14ac:dyDescent="0.25">
      <c r="A3528" s="18"/>
      <c r="B3528" s="18"/>
      <c r="C3528" s="18"/>
      <c r="D3528" s="18"/>
      <c r="E3528" s="18"/>
      <c r="F3528" s="18"/>
      <c r="G3528" s="18"/>
      <c r="H3528" s="18"/>
      <c r="I3528" s="18"/>
      <c r="J3528" s="18"/>
      <c r="K3528" s="18"/>
      <c r="L3528" s="9"/>
      <c r="M3528" s="18"/>
      <c r="N3528" s="18"/>
      <c r="O3528" s="18"/>
      <c r="P3528" s="18"/>
      <c r="Q3528" s="18"/>
    </row>
    <row r="3529" spans="1:17" ht="135" x14ac:dyDescent="0.25">
      <c r="A3529" s="18"/>
      <c r="B3529" s="18"/>
      <c r="C3529" s="18"/>
      <c r="D3529" s="18"/>
      <c r="E3529" s="18"/>
      <c r="F3529" s="18"/>
      <c r="G3529" s="18"/>
      <c r="H3529" s="18"/>
      <c r="I3529" s="18"/>
      <c r="J3529" s="18"/>
      <c r="K3529" s="18"/>
      <c r="L3529" s="9" t="s">
        <v>3971</v>
      </c>
      <c r="M3529" s="18"/>
      <c r="N3529" s="18"/>
      <c r="O3529" s="18"/>
      <c r="P3529" s="18"/>
      <c r="Q3529" s="18"/>
    </row>
    <row r="3530" spans="1:17" ht="120" x14ac:dyDescent="0.25">
      <c r="A3530" s="9" t="s">
        <v>6892</v>
      </c>
      <c r="B3530" s="9" t="s">
        <v>11933</v>
      </c>
      <c r="C3530" s="9" t="s">
        <v>6921</v>
      </c>
      <c r="D3530" s="9" t="s">
        <v>6742</v>
      </c>
      <c r="E3530" s="9" t="s">
        <v>1824</v>
      </c>
      <c r="F3530" s="9" t="s">
        <v>1825</v>
      </c>
      <c r="G3530" s="10" t="s">
        <v>6412</v>
      </c>
      <c r="H3530" s="9"/>
      <c r="I3530" s="9"/>
      <c r="J3530" s="9"/>
      <c r="K3530" s="9"/>
      <c r="L3530" s="9" t="s">
        <v>1826</v>
      </c>
      <c r="M3530" s="9" t="s">
        <v>1827</v>
      </c>
      <c r="N3530" s="9"/>
      <c r="O3530" s="9" t="s">
        <v>1828</v>
      </c>
      <c r="P3530" s="9" t="str">
        <f>HYPERLINK("https://ceds.ed.gov/cedselementdetails.aspx?termid=13877")</f>
        <v>https://ceds.ed.gov/cedselementdetails.aspx?termid=13877</v>
      </c>
      <c r="Q3530" s="9" t="str">
        <f>HYPERLINK("https://ceds.ed.gov/elementComment.aspx?elementName=Competency Set Completion Criteria &amp;elementID=13877", "Click here to submit comment")</f>
        <v>Click here to submit comment</v>
      </c>
    </row>
    <row r="3531" spans="1:17" ht="90" x14ac:dyDescent="0.25">
      <c r="A3531" s="9" t="s">
        <v>6892</v>
      </c>
      <c r="B3531" s="9" t="s">
        <v>11933</v>
      </c>
      <c r="C3531" s="9" t="s">
        <v>6921</v>
      </c>
      <c r="D3531" s="9" t="s">
        <v>6742</v>
      </c>
      <c r="E3531" s="9" t="s">
        <v>1829</v>
      </c>
      <c r="F3531" s="9" t="s">
        <v>1830</v>
      </c>
      <c r="G3531" s="9" t="s">
        <v>12</v>
      </c>
      <c r="H3531" s="9"/>
      <c r="I3531" s="9"/>
      <c r="J3531" s="9" t="s">
        <v>10489</v>
      </c>
      <c r="K3531" s="9"/>
      <c r="L3531" s="9" t="s">
        <v>1831</v>
      </c>
      <c r="M3531" s="9" t="s">
        <v>1832</v>
      </c>
      <c r="N3531" s="9"/>
      <c r="O3531" s="9" t="s">
        <v>1833</v>
      </c>
      <c r="P3531" s="9" t="str">
        <f>HYPERLINK("https://ceds.ed.gov/cedselementdetails.aspx?termid=13878")</f>
        <v>https://ceds.ed.gov/cedselementdetails.aspx?termid=13878</v>
      </c>
      <c r="Q3531" s="9" t="str">
        <f>HYPERLINK("https://ceds.ed.gov/elementComment.aspx?elementName=Competency Set Completion Criteria Threshold &amp;elementID=13878", "Click here to submit comment")</f>
        <v>Click here to submit comment</v>
      </c>
    </row>
    <row r="3532" spans="1:17" ht="105" x14ac:dyDescent="0.25">
      <c r="A3532" s="18" t="s">
        <v>6892</v>
      </c>
      <c r="B3532" s="18" t="s">
        <v>6843</v>
      </c>
      <c r="C3532" s="18"/>
      <c r="D3532" s="18" t="s">
        <v>6742</v>
      </c>
      <c r="E3532" s="18" t="s">
        <v>3609</v>
      </c>
      <c r="F3532" s="18" t="s">
        <v>3610</v>
      </c>
      <c r="G3532" s="18" t="s">
        <v>12</v>
      </c>
      <c r="H3532" s="18"/>
      <c r="I3532" s="18"/>
      <c r="J3532" s="18" t="s">
        <v>119</v>
      </c>
      <c r="K3532" s="18"/>
      <c r="L3532" s="9" t="s">
        <v>120</v>
      </c>
      <c r="M3532" s="18" t="s">
        <v>3611</v>
      </c>
      <c r="N3532" s="18"/>
      <c r="O3532" s="18" t="s">
        <v>3612</v>
      </c>
      <c r="P3532" s="18" t="str">
        <f>HYPERLINK("https://ceds.ed.gov/cedselementdetails.aspx?termid=14533")</f>
        <v>https://ceds.ed.gov/cedselementdetails.aspx?termid=14533</v>
      </c>
      <c r="Q3532" s="18" t="str">
        <f>HYPERLINK("https://ceds.ed.gov/elementComment.aspx?elementName=Learner Action Actor Identifier &amp;elementID=14533", "Click here to submit comment")</f>
        <v>Click here to submit comment</v>
      </c>
    </row>
    <row r="3533" spans="1:17" x14ac:dyDescent="0.25">
      <c r="A3533" s="18"/>
      <c r="B3533" s="18"/>
      <c r="C3533" s="18"/>
      <c r="D3533" s="18"/>
      <c r="E3533" s="18"/>
      <c r="F3533" s="18"/>
      <c r="G3533" s="18"/>
      <c r="H3533" s="18"/>
      <c r="I3533" s="18"/>
      <c r="J3533" s="18"/>
      <c r="K3533" s="18"/>
      <c r="L3533" s="9"/>
      <c r="M3533" s="18"/>
      <c r="N3533" s="18"/>
      <c r="O3533" s="18"/>
      <c r="P3533" s="18"/>
      <c r="Q3533" s="18"/>
    </row>
    <row r="3534" spans="1:17" ht="90" x14ac:dyDescent="0.25">
      <c r="A3534" s="18"/>
      <c r="B3534" s="18"/>
      <c r="C3534" s="18"/>
      <c r="D3534" s="18"/>
      <c r="E3534" s="18"/>
      <c r="F3534" s="18"/>
      <c r="G3534" s="18"/>
      <c r="H3534" s="18"/>
      <c r="I3534" s="18"/>
      <c r="J3534" s="18"/>
      <c r="K3534" s="18"/>
      <c r="L3534" s="9" t="s">
        <v>121</v>
      </c>
      <c r="M3534" s="18"/>
      <c r="N3534" s="18"/>
      <c r="O3534" s="18"/>
      <c r="P3534" s="18"/>
      <c r="Q3534" s="18"/>
    </row>
    <row r="3535" spans="1:17" ht="75" x14ac:dyDescent="0.25">
      <c r="A3535" s="9" t="s">
        <v>6892</v>
      </c>
      <c r="B3535" s="9" t="s">
        <v>6843</v>
      </c>
      <c r="C3535" s="9"/>
      <c r="D3535" s="9" t="s">
        <v>6742</v>
      </c>
      <c r="E3535" s="9" t="s">
        <v>3634</v>
      </c>
      <c r="F3535" s="9" t="s">
        <v>3635</v>
      </c>
      <c r="G3535" s="9" t="s">
        <v>12</v>
      </c>
      <c r="H3535" s="9"/>
      <c r="I3535" s="9"/>
      <c r="J3535" s="9" t="s">
        <v>303</v>
      </c>
      <c r="K3535" s="9"/>
      <c r="L3535" s="9"/>
      <c r="M3535" s="9" t="s">
        <v>3636</v>
      </c>
      <c r="N3535" s="9"/>
      <c r="O3535" s="9" t="s">
        <v>3637</v>
      </c>
      <c r="P3535" s="9" t="str">
        <f>HYPERLINK("https://ceds.ed.gov/cedselementdetails.aspx?termid=13936")</f>
        <v>https://ceds.ed.gov/cedselementdetails.aspx?termid=13936</v>
      </c>
      <c r="Q3535" s="9" t="str">
        <f>HYPERLINK("https://ceds.ed.gov/elementComment.aspx?elementName=Learner Action Value &amp;elementID=13936", "Click here to submit comment")</f>
        <v>Click here to submit comment</v>
      </c>
    </row>
    <row r="3536" spans="1:17" ht="409.5" x14ac:dyDescent="0.25">
      <c r="A3536" s="9" t="s">
        <v>6892</v>
      </c>
      <c r="B3536" s="9" t="s">
        <v>6843</v>
      </c>
      <c r="C3536" s="9"/>
      <c r="D3536" s="9" t="s">
        <v>6742</v>
      </c>
      <c r="E3536" s="9" t="s">
        <v>3629</v>
      </c>
      <c r="F3536" s="9" t="s">
        <v>3630</v>
      </c>
      <c r="G3536" s="10" t="s">
        <v>6574</v>
      </c>
      <c r="H3536" s="9"/>
      <c r="I3536" s="9"/>
      <c r="J3536" s="9"/>
      <c r="K3536" s="9"/>
      <c r="L3536" s="11" t="s">
        <v>3631</v>
      </c>
      <c r="M3536" s="9" t="s">
        <v>3632</v>
      </c>
      <c r="N3536" s="9"/>
      <c r="O3536" s="9" t="s">
        <v>3633</v>
      </c>
      <c r="P3536" s="9" t="str">
        <f>HYPERLINK("https://ceds.ed.gov/cedselementdetails.aspx?termid=13935")</f>
        <v>https://ceds.ed.gov/cedselementdetails.aspx?termid=13935</v>
      </c>
      <c r="Q3536" s="9" t="str">
        <f>HYPERLINK("https://ceds.ed.gov/elementComment.aspx?elementName=Learner Action Type &amp;elementID=13935", "Click here to submit comment")</f>
        <v>Click here to submit comment</v>
      </c>
    </row>
    <row r="3537" spans="1:17" ht="45" x14ac:dyDescent="0.25">
      <c r="A3537" s="9" t="s">
        <v>6892</v>
      </c>
      <c r="B3537" s="9" t="s">
        <v>6843</v>
      </c>
      <c r="C3537" s="9"/>
      <c r="D3537" s="9" t="s">
        <v>6742</v>
      </c>
      <c r="E3537" s="9" t="s">
        <v>3613</v>
      </c>
      <c r="F3537" s="9" t="s">
        <v>3614</v>
      </c>
      <c r="G3537" s="9" t="s">
        <v>12</v>
      </c>
      <c r="H3537" s="9"/>
      <c r="I3537" s="9"/>
      <c r="J3537" s="9" t="s">
        <v>828</v>
      </c>
      <c r="K3537" s="9"/>
      <c r="L3537" s="9"/>
      <c r="M3537" s="9" t="s">
        <v>3615</v>
      </c>
      <c r="N3537" s="9"/>
      <c r="O3537" s="9" t="s">
        <v>3616</v>
      </c>
      <c r="P3537" s="9" t="str">
        <f>HYPERLINK("https://ceds.ed.gov/cedselementdetails.aspx?termid=13938")</f>
        <v>https://ceds.ed.gov/cedselementdetails.aspx?termid=13938</v>
      </c>
      <c r="Q3537" s="9" t="str">
        <f>HYPERLINK("https://ceds.ed.gov/elementComment.aspx?elementName=Learner Action Date Time &amp;elementID=13938", "Click here to submit comment")</f>
        <v>Click here to submit comment</v>
      </c>
    </row>
    <row r="3538" spans="1:17" ht="105" x14ac:dyDescent="0.25">
      <c r="A3538" s="18" t="s">
        <v>6892</v>
      </c>
      <c r="B3538" s="18" t="s">
        <v>6843</v>
      </c>
      <c r="C3538" s="18"/>
      <c r="D3538" s="18" t="s">
        <v>6742</v>
      </c>
      <c r="E3538" s="18" t="s">
        <v>3621</v>
      </c>
      <c r="F3538" s="18" t="s">
        <v>3622</v>
      </c>
      <c r="G3538" s="18" t="s">
        <v>12</v>
      </c>
      <c r="H3538" s="18"/>
      <c r="I3538" s="18"/>
      <c r="J3538" s="18" t="s">
        <v>119</v>
      </c>
      <c r="K3538" s="18"/>
      <c r="L3538" s="9" t="s">
        <v>120</v>
      </c>
      <c r="M3538" s="18" t="s">
        <v>3623</v>
      </c>
      <c r="N3538" s="18"/>
      <c r="O3538" s="18" t="s">
        <v>3624</v>
      </c>
      <c r="P3538" s="18" t="str">
        <f>HYPERLINK("https://ceds.ed.gov/cedselementdetails.aspx?termid=14535")</f>
        <v>https://ceds.ed.gov/cedselementdetails.aspx?termid=14535</v>
      </c>
      <c r="Q3538" s="18" t="str">
        <f>HYPERLINK("https://ceds.ed.gov/elementComment.aspx?elementName=Learner Action Object Identifier &amp;elementID=14535", "Click here to submit comment")</f>
        <v>Click here to submit comment</v>
      </c>
    </row>
    <row r="3539" spans="1:17" x14ac:dyDescent="0.25">
      <c r="A3539" s="18"/>
      <c r="B3539" s="18"/>
      <c r="C3539" s="18"/>
      <c r="D3539" s="18"/>
      <c r="E3539" s="18"/>
      <c r="F3539" s="18"/>
      <c r="G3539" s="18"/>
      <c r="H3539" s="18"/>
      <c r="I3539" s="18"/>
      <c r="J3539" s="18"/>
      <c r="K3539" s="18"/>
      <c r="L3539" s="9"/>
      <c r="M3539" s="18"/>
      <c r="N3539" s="18"/>
      <c r="O3539" s="18"/>
      <c r="P3539" s="18"/>
      <c r="Q3539" s="18"/>
    </row>
    <row r="3540" spans="1:17" ht="90" x14ac:dyDescent="0.25">
      <c r="A3540" s="18"/>
      <c r="B3540" s="18"/>
      <c r="C3540" s="18"/>
      <c r="D3540" s="18"/>
      <c r="E3540" s="18"/>
      <c r="F3540" s="18"/>
      <c r="G3540" s="18"/>
      <c r="H3540" s="18"/>
      <c r="I3540" s="18"/>
      <c r="J3540" s="18"/>
      <c r="K3540" s="18"/>
      <c r="L3540" s="9" t="s">
        <v>121</v>
      </c>
      <c r="M3540" s="18"/>
      <c r="N3540" s="18"/>
      <c r="O3540" s="18"/>
      <c r="P3540" s="18"/>
      <c r="Q3540" s="18"/>
    </row>
    <row r="3541" spans="1:17" ht="45" x14ac:dyDescent="0.25">
      <c r="A3541" s="9" t="s">
        <v>6892</v>
      </c>
      <c r="B3541" s="9" t="s">
        <v>6843</v>
      </c>
      <c r="C3541" s="9"/>
      <c r="D3541" s="9" t="s">
        <v>6742</v>
      </c>
      <c r="E3541" s="9" t="s">
        <v>3617</v>
      </c>
      <c r="F3541" s="9" t="s">
        <v>3618</v>
      </c>
      <c r="G3541" s="9" t="s">
        <v>12</v>
      </c>
      <c r="H3541" s="9"/>
      <c r="I3541" s="9"/>
      <c r="J3541" s="9" t="s">
        <v>68</v>
      </c>
      <c r="K3541" s="9"/>
      <c r="L3541" s="9"/>
      <c r="M3541" s="9" t="s">
        <v>3619</v>
      </c>
      <c r="N3541" s="9"/>
      <c r="O3541" s="9" t="s">
        <v>3620</v>
      </c>
      <c r="P3541" s="9" t="str">
        <f>HYPERLINK("https://ceds.ed.gov/cedselementdetails.aspx?termid=14534")</f>
        <v>https://ceds.ed.gov/cedselementdetails.aspx?termid=14534</v>
      </c>
      <c r="Q3541" s="9" t="str">
        <f>HYPERLINK("https://ceds.ed.gov/elementComment.aspx?elementName=Learner Action Object Description &amp;elementID=14534", "Click here to submit comment")</f>
        <v>Click here to submit comment</v>
      </c>
    </row>
    <row r="3542" spans="1:17" ht="45" x14ac:dyDescent="0.25">
      <c r="A3542" s="9" t="s">
        <v>6892</v>
      </c>
      <c r="B3542" s="9" t="s">
        <v>6843</v>
      </c>
      <c r="C3542" s="9"/>
      <c r="D3542" s="9" t="s">
        <v>6742</v>
      </c>
      <c r="E3542" s="9" t="s">
        <v>3625</v>
      </c>
      <c r="F3542" s="9" t="s">
        <v>3626</v>
      </c>
      <c r="G3542" s="9" t="s">
        <v>12</v>
      </c>
      <c r="H3542" s="9"/>
      <c r="I3542" s="9"/>
      <c r="J3542" s="9" t="s">
        <v>92</v>
      </c>
      <c r="K3542" s="9"/>
      <c r="L3542" s="9"/>
      <c r="M3542" s="9" t="s">
        <v>3627</v>
      </c>
      <c r="N3542" s="9"/>
      <c r="O3542" s="9" t="s">
        <v>3628</v>
      </c>
      <c r="P3542" s="9" t="str">
        <f>HYPERLINK("https://ceds.ed.gov/cedselementdetails.aspx?termid=14536")</f>
        <v>https://ceds.ed.gov/cedselementdetails.aspx?termid=14536</v>
      </c>
      <c r="Q3542" s="9" t="str">
        <f>HYPERLINK("https://ceds.ed.gov/elementComment.aspx?elementName=Learner Action Object Type &amp;elementID=14536", "Click here to submit comment")</f>
        <v>Click here to submit comment</v>
      </c>
    </row>
    <row r="3543" spans="1:17" ht="45" x14ac:dyDescent="0.25">
      <c r="A3543" s="9" t="s">
        <v>6892</v>
      </c>
      <c r="B3543" s="9" t="s">
        <v>6922</v>
      </c>
      <c r="C3543" s="9"/>
      <c r="D3543" s="9" t="s">
        <v>6742</v>
      </c>
      <c r="E3543" s="9" t="s">
        <v>3692</v>
      </c>
      <c r="F3543" s="9" t="s">
        <v>3693</v>
      </c>
      <c r="G3543" s="9" t="s">
        <v>12</v>
      </c>
      <c r="H3543" s="9"/>
      <c r="I3543" s="9"/>
      <c r="J3543" s="9" t="s">
        <v>87</v>
      </c>
      <c r="K3543" s="9"/>
      <c r="L3543" s="9"/>
      <c r="M3543" s="9" t="s">
        <v>3694</v>
      </c>
      <c r="N3543" s="9"/>
      <c r="O3543" s="9" t="s">
        <v>3695</v>
      </c>
      <c r="P3543" s="9" t="str">
        <f>HYPERLINK("https://ceds.ed.gov/cedselementdetails.aspx?termid=13940")</f>
        <v>https://ceds.ed.gov/cedselementdetails.aspx?termid=13940</v>
      </c>
      <c r="Q3543" s="9" t="str">
        <f>HYPERLINK("https://ceds.ed.gov/elementComment.aspx?elementName=Learner Activity Title &amp;elementID=13940", "Click here to submit comment")</f>
        <v>Click here to submit comment</v>
      </c>
    </row>
    <row r="3544" spans="1:17" ht="45" x14ac:dyDescent="0.25">
      <c r="A3544" s="9" t="s">
        <v>6892</v>
      </c>
      <c r="B3544" s="9" t="s">
        <v>6922</v>
      </c>
      <c r="C3544" s="9"/>
      <c r="D3544" s="9" t="s">
        <v>6742</v>
      </c>
      <c r="E3544" s="9" t="s">
        <v>3646</v>
      </c>
      <c r="F3544" s="9" t="s">
        <v>3647</v>
      </c>
      <c r="G3544" s="9" t="s">
        <v>12</v>
      </c>
      <c r="H3544" s="9"/>
      <c r="I3544" s="9"/>
      <c r="J3544" s="9" t="s">
        <v>68</v>
      </c>
      <c r="K3544" s="9"/>
      <c r="L3544" s="9"/>
      <c r="M3544" s="9" t="s">
        <v>3648</v>
      </c>
      <c r="N3544" s="9"/>
      <c r="O3544" s="9" t="s">
        <v>3649</v>
      </c>
      <c r="P3544" s="9" t="str">
        <f>HYPERLINK("https://ceds.ed.gov/cedselementdetails.aspx?termid=13941")</f>
        <v>https://ceds.ed.gov/cedselementdetails.aspx?termid=13941</v>
      </c>
      <c r="Q3544" s="9" t="str">
        <f>HYPERLINK("https://ceds.ed.gov/elementComment.aspx?elementName=Learner Activity Description &amp;elementID=13941", "Click here to submit comment")</f>
        <v>Click here to submit comment</v>
      </c>
    </row>
    <row r="3545" spans="1:17" ht="45" x14ac:dyDescent="0.25">
      <c r="A3545" s="9" t="s">
        <v>6892</v>
      </c>
      <c r="B3545" s="9" t="s">
        <v>6922</v>
      </c>
      <c r="C3545" s="9"/>
      <c r="D3545" s="9" t="s">
        <v>6742</v>
      </c>
      <c r="E3545" s="9" t="s">
        <v>3642</v>
      </c>
      <c r="F3545" s="9" t="s">
        <v>3643</v>
      </c>
      <c r="G3545" s="9" t="s">
        <v>12</v>
      </c>
      <c r="H3545" s="9"/>
      <c r="I3545" s="9"/>
      <c r="J3545" s="9" t="s">
        <v>73</v>
      </c>
      <c r="K3545" s="9"/>
      <c r="L3545" s="9"/>
      <c r="M3545" s="9" t="s">
        <v>3644</v>
      </c>
      <c r="N3545" s="9"/>
      <c r="O3545" s="9" t="s">
        <v>3645</v>
      </c>
      <c r="P3545" s="9" t="str">
        <f>HYPERLINK("https://ceds.ed.gov/cedselementdetails.aspx?termid=13944")</f>
        <v>https://ceds.ed.gov/cedselementdetails.aspx?termid=13944</v>
      </c>
      <c r="Q3545" s="9" t="str">
        <f>HYPERLINK("https://ceds.ed.gov/elementComment.aspx?elementName=Learner Activity Creation Date &amp;elementID=13944", "Click here to submit comment")</f>
        <v>Click here to submit comment</v>
      </c>
    </row>
    <row r="3546" spans="1:17" ht="60" x14ac:dyDescent="0.25">
      <c r="A3546" s="9" t="s">
        <v>6892</v>
      </c>
      <c r="B3546" s="9" t="s">
        <v>6922</v>
      </c>
      <c r="C3546" s="9"/>
      <c r="D3546" s="9" t="s">
        <v>6742</v>
      </c>
      <c r="E3546" s="9" t="s">
        <v>3684</v>
      </c>
      <c r="F3546" s="9" t="s">
        <v>3685</v>
      </c>
      <c r="G3546" s="9" t="s">
        <v>12</v>
      </c>
      <c r="H3546" s="9"/>
      <c r="I3546" s="9"/>
      <c r="J3546" s="9" t="s">
        <v>73</v>
      </c>
      <c r="K3546" s="9"/>
      <c r="L3546" s="9"/>
      <c r="M3546" s="9" t="s">
        <v>3686</v>
      </c>
      <c r="N3546" s="9"/>
      <c r="O3546" s="9" t="s">
        <v>3687</v>
      </c>
      <c r="P3546" s="9" t="str">
        <f>HYPERLINK("https://ceds.ed.gov/cedselementdetails.aspx?termid=13951")</f>
        <v>https://ceds.ed.gov/cedselementdetails.aspx?termid=13951</v>
      </c>
      <c r="Q3546" s="9" t="str">
        <f>HYPERLINK("https://ceds.ed.gov/elementComment.aspx?elementName=Learner Activity Release Date &amp;elementID=13951", "Click here to submit comment")</f>
        <v>Click here to submit comment</v>
      </c>
    </row>
    <row r="3547" spans="1:17" ht="75" x14ac:dyDescent="0.25">
      <c r="A3547" s="9" t="s">
        <v>6892</v>
      </c>
      <c r="B3547" s="9" t="s">
        <v>6922</v>
      </c>
      <c r="C3547" s="9"/>
      <c r="D3547" s="9" t="s">
        <v>6742</v>
      </c>
      <c r="E3547" s="9" t="s">
        <v>3696</v>
      </c>
      <c r="F3547" s="9" t="s">
        <v>3697</v>
      </c>
      <c r="G3547" s="10" t="s">
        <v>6576</v>
      </c>
      <c r="H3547" s="9"/>
      <c r="I3547" s="9"/>
      <c r="J3547" s="9"/>
      <c r="K3547" s="9"/>
      <c r="L3547" s="9"/>
      <c r="M3547" s="9" t="s">
        <v>3698</v>
      </c>
      <c r="N3547" s="9"/>
      <c r="O3547" s="9" t="s">
        <v>3699</v>
      </c>
      <c r="P3547" s="9" t="str">
        <f>HYPERLINK("https://ceds.ed.gov/cedselementdetails.aspx?termid=13943")</f>
        <v>https://ceds.ed.gov/cedselementdetails.aspx?termid=13943</v>
      </c>
      <c r="Q3547" s="9" t="str">
        <f>HYPERLINK("https://ceds.ed.gov/elementComment.aspx?elementName=Learner Activity Type &amp;elementID=13943", "Click here to submit comment")</f>
        <v>Click here to submit comment</v>
      </c>
    </row>
    <row r="3548" spans="1:17" ht="120" x14ac:dyDescent="0.25">
      <c r="A3548" s="9" t="s">
        <v>6892</v>
      </c>
      <c r="B3548" s="9" t="s">
        <v>6922</v>
      </c>
      <c r="C3548" s="9"/>
      <c r="D3548" s="9" t="s">
        <v>6742</v>
      </c>
      <c r="E3548" s="9" t="s">
        <v>3679</v>
      </c>
      <c r="F3548" s="9" t="s">
        <v>3680</v>
      </c>
      <c r="G3548" s="9" t="s">
        <v>12</v>
      </c>
      <c r="H3548" s="9"/>
      <c r="I3548" s="9"/>
      <c r="J3548" s="9" t="s">
        <v>68</v>
      </c>
      <c r="K3548" s="9"/>
      <c r="L3548" s="9" t="s">
        <v>3681</v>
      </c>
      <c r="M3548" s="9" t="s">
        <v>3682</v>
      </c>
      <c r="N3548" s="9"/>
      <c r="O3548" s="9" t="s">
        <v>3683</v>
      </c>
      <c r="P3548" s="9" t="str">
        <f>HYPERLINK("https://ceds.ed.gov/cedselementdetails.aspx?termid=13942")</f>
        <v>https://ceds.ed.gov/cedselementdetails.aspx?termid=13942</v>
      </c>
      <c r="Q3548" s="9" t="str">
        <f>HYPERLINK("https://ceds.ed.gov/elementComment.aspx?elementName=Learner Activity Prerequisite &amp;elementID=13942", "Click here to submit comment")</f>
        <v>Click here to submit comment</v>
      </c>
    </row>
    <row r="3549" spans="1:17" ht="90" x14ac:dyDescent="0.25">
      <c r="A3549" s="9" t="s">
        <v>6892</v>
      </c>
      <c r="B3549" s="9" t="s">
        <v>6922</v>
      </c>
      <c r="C3549" s="9"/>
      <c r="D3549" s="9" t="s">
        <v>6742</v>
      </c>
      <c r="E3549" s="9" t="s">
        <v>3658</v>
      </c>
      <c r="F3549" s="9" t="s">
        <v>3659</v>
      </c>
      <c r="G3549" s="11" t="s">
        <v>966</v>
      </c>
      <c r="H3549" s="9"/>
      <c r="I3549" s="9"/>
      <c r="J3549" s="9"/>
      <c r="K3549" s="9"/>
      <c r="L3549" s="11" t="s">
        <v>967</v>
      </c>
      <c r="M3549" s="9" t="s">
        <v>3660</v>
      </c>
      <c r="N3549" s="9"/>
      <c r="O3549" s="9" t="s">
        <v>3661</v>
      </c>
      <c r="P3549" s="9" t="str">
        <f>HYPERLINK("https://ceds.ed.gov/cedselementdetails.aspx?termid=13939")</f>
        <v>https://ceds.ed.gov/cedselementdetails.aspx?termid=13939</v>
      </c>
      <c r="Q3549" s="9" t="str">
        <f>HYPERLINK("https://ceds.ed.gov/elementComment.aspx?elementName=Learner Activity Language &amp;elementID=13939", "Click here to submit comment")</f>
        <v>Click here to submit comment</v>
      </c>
    </row>
    <row r="3550" spans="1:17" ht="90" x14ac:dyDescent="0.25">
      <c r="A3550" s="9" t="s">
        <v>6892</v>
      </c>
      <c r="B3550" s="9" t="s">
        <v>6922</v>
      </c>
      <c r="C3550" s="9"/>
      <c r="D3550" s="9" t="s">
        <v>6742</v>
      </c>
      <c r="E3550" s="9" t="s">
        <v>3671</v>
      </c>
      <c r="F3550" s="9" t="s">
        <v>3672</v>
      </c>
      <c r="G3550" s="10" t="s">
        <v>6575</v>
      </c>
      <c r="H3550" s="9"/>
      <c r="I3550" s="9"/>
      <c r="J3550" s="9"/>
      <c r="K3550" s="9"/>
      <c r="L3550" s="9"/>
      <c r="M3550" s="9" t="s">
        <v>3673</v>
      </c>
      <c r="N3550" s="9"/>
      <c r="O3550" s="9" t="s">
        <v>3674</v>
      </c>
      <c r="P3550" s="9" t="str">
        <f>HYPERLINK("https://ceds.ed.gov/cedselementdetails.aspx?termid=13946")</f>
        <v>https://ceds.ed.gov/cedselementdetails.aspx?termid=13946</v>
      </c>
      <c r="Q3550" s="9" t="str">
        <f>HYPERLINK("https://ceds.ed.gov/elementComment.aspx?elementName=Learner Activity Maximum Time Allowed Unit &amp;elementID=13946", "Click here to submit comment")</f>
        <v>Click here to submit comment</v>
      </c>
    </row>
    <row r="3551" spans="1:17" ht="45" x14ac:dyDescent="0.25">
      <c r="A3551" s="9" t="s">
        <v>6892</v>
      </c>
      <c r="B3551" s="9" t="s">
        <v>6922</v>
      </c>
      <c r="C3551" s="9"/>
      <c r="D3551" s="9" t="s">
        <v>6742</v>
      </c>
      <c r="E3551" s="9" t="s">
        <v>3666</v>
      </c>
      <c r="F3551" s="9" t="s">
        <v>3667</v>
      </c>
      <c r="G3551" s="9" t="s">
        <v>12</v>
      </c>
      <c r="H3551" s="9"/>
      <c r="I3551" s="9"/>
      <c r="J3551" s="9" t="s">
        <v>10489</v>
      </c>
      <c r="K3551" s="9"/>
      <c r="L3551" s="9" t="s">
        <v>3668</v>
      </c>
      <c r="M3551" s="9" t="s">
        <v>3669</v>
      </c>
      <c r="N3551" s="9"/>
      <c r="O3551" s="9" t="s">
        <v>3670</v>
      </c>
      <c r="P3551" s="9" t="str">
        <f>HYPERLINK("https://ceds.ed.gov/cedselementdetails.aspx?termid=13945")</f>
        <v>https://ceds.ed.gov/cedselementdetails.aspx?termid=13945</v>
      </c>
      <c r="Q3551" s="9" t="str">
        <f>HYPERLINK("https://ceds.ed.gov/elementComment.aspx?elementName=Learner Activity Maximum Time Allowed &amp;elementID=13945", "Click here to submit comment")</f>
        <v>Click here to submit comment</v>
      </c>
    </row>
    <row r="3552" spans="1:17" ht="45" x14ac:dyDescent="0.25">
      <c r="A3552" s="9" t="s">
        <v>6892</v>
      </c>
      <c r="B3552" s="9" t="s">
        <v>6922</v>
      </c>
      <c r="C3552" s="9"/>
      <c r="D3552" s="9" t="s">
        <v>6742</v>
      </c>
      <c r="E3552" s="9" t="s">
        <v>3662</v>
      </c>
      <c r="F3552" s="9" t="s">
        <v>3663</v>
      </c>
      <c r="G3552" s="9" t="s">
        <v>12</v>
      </c>
      <c r="H3552" s="9"/>
      <c r="I3552" s="9"/>
      <c r="J3552" s="9" t="s">
        <v>10489</v>
      </c>
      <c r="K3552" s="9"/>
      <c r="L3552" s="9"/>
      <c r="M3552" s="9" t="s">
        <v>3664</v>
      </c>
      <c r="N3552" s="9"/>
      <c r="O3552" s="9" t="s">
        <v>3665</v>
      </c>
      <c r="P3552" s="9" t="str">
        <f>HYPERLINK("https://ceds.ed.gov/cedselementdetails.aspx?termid=13949")</f>
        <v>https://ceds.ed.gov/cedselementdetails.aspx?termid=13949</v>
      </c>
      <c r="Q3552" s="9" t="str">
        <f>HYPERLINK("https://ceds.ed.gov/elementComment.aspx?elementName=Learner Activity Maximum Attempts Allowed &amp;elementID=13949", "Click here to submit comment")</f>
        <v>Click here to submit comment</v>
      </c>
    </row>
    <row r="3553" spans="1:17" ht="45" x14ac:dyDescent="0.25">
      <c r="A3553" s="9" t="s">
        <v>6892</v>
      </c>
      <c r="B3553" s="9" t="s">
        <v>6922</v>
      </c>
      <c r="C3553" s="9"/>
      <c r="D3553" s="9" t="s">
        <v>6742</v>
      </c>
      <c r="E3553" s="9" t="s">
        <v>3654</v>
      </c>
      <c r="F3553" s="9" t="s">
        <v>3655</v>
      </c>
      <c r="G3553" s="9" t="s">
        <v>12</v>
      </c>
      <c r="H3553" s="9"/>
      <c r="I3553" s="9"/>
      <c r="J3553" s="9" t="s">
        <v>406</v>
      </c>
      <c r="K3553" s="9"/>
      <c r="L3553" s="9"/>
      <c r="M3553" s="9" t="s">
        <v>3656</v>
      </c>
      <c r="N3553" s="9"/>
      <c r="O3553" s="9" t="s">
        <v>3657</v>
      </c>
      <c r="P3553" s="9" t="str">
        <f>HYPERLINK("https://ceds.ed.gov/cedselementdetails.aspx?termid=13948")</f>
        <v>https://ceds.ed.gov/cedselementdetails.aspx?termid=13948</v>
      </c>
      <c r="Q3553" s="9" t="str">
        <f>HYPERLINK("https://ceds.ed.gov/elementComment.aspx?elementName=Learner Activity Due Time &amp;elementID=13948", "Click here to submit comment")</f>
        <v>Click here to submit comment</v>
      </c>
    </row>
    <row r="3554" spans="1:17" ht="45" x14ac:dyDescent="0.25">
      <c r="A3554" s="9" t="s">
        <v>6892</v>
      </c>
      <c r="B3554" s="9" t="s">
        <v>6922</v>
      </c>
      <c r="C3554" s="9"/>
      <c r="D3554" s="9" t="s">
        <v>6742</v>
      </c>
      <c r="E3554" s="9" t="s">
        <v>3650</v>
      </c>
      <c r="F3554" s="9" t="s">
        <v>3651</v>
      </c>
      <c r="G3554" s="9" t="s">
        <v>12</v>
      </c>
      <c r="H3554" s="9"/>
      <c r="I3554" s="9"/>
      <c r="J3554" s="9" t="s">
        <v>73</v>
      </c>
      <c r="K3554" s="9"/>
      <c r="L3554" s="9"/>
      <c r="M3554" s="9" t="s">
        <v>3652</v>
      </c>
      <c r="N3554" s="9"/>
      <c r="O3554" s="9" t="s">
        <v>3653</v>
      </c>
      <c r="P3554" s="9" t="str">
        <f>HYPERLINK("https://ceds.ed.gov/cedselementdetails.aspx?termid=13947")</f>
        <v>https://ceds.ed.gov/cedselementdetails.aspx?termid=13947</v>
      </c>
      <c r="Q3554" s="9" t="str">
        <f>HYPERLINK("https://ceds.ed.gov/elementComment.aspx?elementName=Learner Activity Due Date &amp;elementID=13947", "Click here to submit comment")</f>
        <v>Click here to submit comment</v>
      </c>
    </row>
    <row r="3555" spans="1:17" ht="45" x14ac:dyDescent="0.25">
      <c r="A3555" s="9" t="s">
        <v>6892</v>
      </c>
      <c r="B3555" s="9" t="s">
        <v>6922</v>
      </c>
      <c r="C3555" s="9"/>
      <c r="D3555" s="9" t="s">
        <v>6742</v>
      </c>
      <c r="E3555" s="9" t="s">
        <v>3675</v>
      </c>
      <c r="F3555" s="9" t="s">
        <v>3676</v>
      </c>
      <c r="G3555" s="9" t="s">
        <v>12</v>
      </c>
      <c r="H3555" s="9"/>
      <c r="I3555" s="9"/>
      <c r="J3555" s="9" t="s">
        <v>1513</v>
      </c>
      <c r="K3555" s="9"/>
      <c r="L3555" s="9"/>
      <c r="M3555" s="9" t="s">
        <v>3677</v>
      </c>
      <c r="N3555" s="9"/>
      <c r="O3555" s="9" t="s">
        <v>3678</v>
      </c>
      <c r="P3555" s="9" t="str">
        <f>HYPERLINK("https://ceds.ed.gov/cedselementdetails.aspx?termid=13953")</f>
        <v>https://ceds.ed.gov/cedselementdetails.aspx?termid=13953</v>
      </c>
      <c r="Q3555" s="9" t="str">
        <f>HYPERLINK("https://ceds.ed.gov/elementComment.aspx?elementName=Learner Activity Possible Points &amp;elementID=13953", "Click here to submit comment")</f>
        <v>Click here to submit comment</v>
      </c>
    </row>
    <row r="3556" spans="1:17" ht="45" x14ac:dyDescent="0.25">
      <c r="A3556" s="9" t="s">
        <v>6892</v>
      </c>
      <c r="B3556" s="9" t="s">
        <v>6922</v>
      </c>
      <c r="C3556" s="9"/>
      <c r="D3556" s="9" t="s">
        <v>6742</v>
      </c>
      <c r="E3556" s="9" t="s">
        <v>3700</v>
      </c>
      <c r="F3556" s="9" t="s">
        <v>3701</v>
      </c>
      <c r="G3556" s="9" t="s">
        <v>12</v>
      </c>
      <c r="H3556" s="9"/>
      <c r="I3556" s="9"/>
      <c r="J3556" s="9" t="s">
        <v>10496</v>
      </c>
      <c r="K3556" s="9"/>
      <c r="L3556" s="9"/>
      <c r="M3556" s="9" t="s">
        <v>3702</v>
      </c>
      <c r="N3556" s="9"/>
      <c r="O3556" s="9" t="s">
        <v>3703</v>
      </c>
      <c r="P3556" s="9" t="str">
        <f>HYPERLINK("https://ceds.ed.gov/cedselementdetails.aspx?termid=13952")</f>
        <v>https://ceds.ed.gov/cedselementdetails.aspx?termid=13952</v>
      </c>
      <c r="Q3556" s="9" t="str">
        <f>HYPERLINK("https://ceds.ed.gov/elementComment.aspx?elementName=Learner Activity Weight &amp;elementID=13952", "Click here to submit comment")</f>
        <v>Click here to submit comment</v>
      </c>
    </row>
    <row r="3557" spans="1:17" ht="60" x14ac:dyDescent="0.25">
      <c r="A3557" s="9" t="s">
        <v>6892</v>
      </c>
      <c r="B3557" s="9" t="s">
        <v>6922</v>
      </c>
      <c r="C3557" s="9"/>
      <c r="D3557" s="9" t="s">
        <v>6742</v>
      </c>
      <c r="E3557" s="9" t="s">
        <v>3688</v>
      </c>
      <c r="F3557" s="9" t="s">
        <v>3689</v>
      </c>
      <c r="G3557" s="9" t="s">
        <v>12</v>
      </c>
      <c r="H3557" s="9"/>
      <c r="I3557" s="9"/>
      <c r="J3557" s="9" t="s">
        <v>1143</v>
      </c>
      <c r="K3557" s="9"/>
      <c r="L3557" s="9"/>
      <c r="M3557" s="9" t="s">
        <v>3690</v>
      </c>
      <c r="N3557" s="9"/>
      <c r="O3557" s="9" t="s">
        <v>3691</v>
      </c>
      <c r="P3557" s="9" t="str">
        <f>HYPERLINK("https://ceds.ed.gov/cedselementdetails.aspx?termid=13954")</f>
        <v>https://ceds.ed.gov/cedselementdetails.aspx?termid=13954</v>
      </c>
      <c r="Q3557" s="9" t="str">
        <f>HYPERLINK("https://ceds.ed.gov/elementComment.aspx?elementName=Learner Activity Rubric URL &amp;elementID=13954", "Click here to submit comment")</f>
        <v>Click here to submit comment</v>
      </c>
    </row>
    <row r="3558" spans="1:17" ht="60" x14ac:dyDescent="0.25">
      <c r="A3558" s="9" t="s">
        <v>6892</v>
      </c>
      <c r="B3558" s="9" t="s">
        <v>6922</v>
      </c>
      <c r="C3558" s="9"/>
      <c r="D3558" s="9" t="s">
        <v>6742</v>
      </c>
      <c r="E3558" s="9" t="s">
        <v>12214</v>
      </c>
      <c r="F3558" s="9" t="s">
        <v>3638</v>
      </c>
      <c r="G3558" s="10" t="s">
        <v>6342</v>
      </c>
      <c r="H3558" s="9"/>
      <c r="I3558" s="9"/>
      <c r="J3558" s="9"/>
      <c r="K3558" s="9"/>
      <c r="L3558" s="9"/>
      <c r="M3558" s="9" t="s">
        <v>3640</v>
      </c>
      <c r="N3558" s="9"/>
      <c r="O3558" s="9" t="s">
        <v>3641</v>
      </c>
      <c r="P3558" s="9" t="str">
        <f>HYPERLINK("https://ceds.ed.gov/cedselementdetails.aspx?termid=13950")</f>
        <v>https://ceds.ed.gov/cedselementdetails.aspx?termid=13950</v>
      </c>
      <c r="Q3558" s="9" t="str">
        <f>HYPERLINK("https://ceds.ed.gov/elementComment.aspx?elementName=Learner Activity Add to Grade Book Flag &amp;elementID=13950", "Click here to submit comment")</f>
        <v>Click here to submit comment</v>
      </c>
    </row>
    <row r="3559" spans="1:17" ht="105" x14ac:dyDescent="0.25">
      <c r="A3559" s="18" t="s">
        <v>6892</v>
      </c>
      <c r="B3559" s="18" t="s">
        <v>6872</v>
      </c>
      <c r="C3559" s="18"/>
      <c r="D3559" s="18" t="s">
        <v>6742</v>
      </c>
      <c r="E3559" s="18" t="s">
        <v>604</v>
      </c>
      <c r="F3559" s="18" t="s">
        <v>605</v>
      </c>
      <c r="G3559" s="18" t="s">
        <v>12</v>
      </c>
      <c r="H3559" s="18" t="s">
        <v>6134</v>
      </c>
      <c r="I3559" s="18"/>
      <c r="J3559" s="18" t="s">
        <v>119</v>
      </c>
      <c r="K3559" s="18"/>
      <c r="L3559" s="9" t="s">
        <v>120</v>
      </c>
      <c r="M3559" s="18" t="s">
        <v>606</v>
      </c>
      <c r="N3559" s="18"/>
      <c r="O3559" s="18" t="s">
        <v>607</v>
      </c>
      <c r="P3559" s="18" t="str">
        <f>HYPERLINK("https://ceds.ed.gov/cedselementdetails.aspx?termid=13152")</f>
        <v>https://ceds.ed.gov/cedselementdetails.aspx?termid=13152</v>
      </c>
      <c r="Q3559" s="18" t="str">
        <f>HYPERLINK("https://ceds.ed.gov/elementComment.aspx?elementName=Assessment Identifier &amp;elementID=13152", "Click here to submit comment")</f>
        <v>Click here to submit comment</v>
      </c>
    </row>
    <row r="3560" spans="1:17" x14ac:dyDescent="0.25">
      <c r="A3560" s="18"/>
      <c r="B3560" s="18"/>
      <c r="C3560" s="18"/>
      <c r="D3560" s="18"/>
      <c r="E3560" s="18"/>
      <c r="F3560" s="18"/>
      <c r="G3560" s="18"/>
      <c r="H3560" s="18"/>
      <c r="I3560" s="18"/>
      <c r="J3560" s="18"/>
      <c r="K3560" s="18"/>
      <c r="L3560" s="9"/>
      <c r="M3560" s="18"/>
      <c r="N3560" s="18"/>
      <c r="O3560" s="18"/>
      <c r="P3560" s="18"/>
      <c r="Q3560" s="18"/>
    </row>
    <row r="3561" spans="1:17" ht="90" x14ac:dyDescent="0.25">
      <c r="A3561" s="18"/>
      <c r="B3561" s="18"/>
      <c r="C3561" s="18"/>
      <c r="D3561" s="18"/>
      <c r="E3561" s="18"/>
      <c r="F3561" s="18"/>
      <c r="G3561" s="18"/>
      <c r="H3561" s="18"/>
      <c r="I3561" s="18"/>
      <c r="J3561" s="18"/>
      <c r="K3561" s="18"/>
      <c r="L3561" s="9" t="s">
        <v>121</v>
      </c>
      <c r="M3561" s="18"/>
      <c r="N3561" s="18"/>
      <c r="O3561" s="18"/>
      <c r="P3561" s="18"/>
      <c r="Q3561" s="18"/>
    </row>
    <row r="3562" spans="1:17" ht="165" x14ac:dyDescent="0.25">
      <c r="A3562" s="9" t="s">
        <v>6892</v>
      </c>
      <c r="B3562" s="9" t="s">
        <v>6872</v>
      </c>
      <c r="C3562" s="9"/>
      <c r="D3562" s="9" t="s">
        <v>6742</v>
      </c>
      <c r="E3562" s="9" t="s">
        <v>600</v>
      </c>
      <c r="F3562" s="9" t="s">
        <v>601</v>
      </c>
      <c r="G3562" s="10" t="s">
        <v>6349</v>
      </c>
      <c r="H3562" s="9" t="s">
        <v>6133</v>
      </c>
      <c r="I3562" s="9"/>
      <c r="J3562" s="9"/>
      <c r="K3562" s="9"/>
      <c r="L3562" s="9"/>
      <c r="M3562" s="9" t="s">
        <v>602</v>
      </c>
      <c r="N3562" s="9"/>
      <c r="O3562" s="9" t="s">
        <v>603</v>
      </c>
      <c r="P3562" s="9" t="str">
        <f>HYPERLINK("https://ceds.ed.gov/cedselementdetails.aspx?termid=13158")</f>
        <v>https://ceds.ed.gov/cedselementdetails.aspx?termid=13158</v>
      </c>
      <c r="Q3562" s="9" t="str">
        <f>HYPERLINK("https://ceds.ed.gov/elementComment.aspx?elementName=Assessment Identification System &amp;elementID=13158", "Click here to submit comment")</f>
        <v>Click here to submit comment</v>
      </c>
    </row>
    <row r="3563" spans="1:17" ht="75" x14ac:dyDescent="0.25">
      <c r="A3563" s="18" t="s">
        <v>6892</v>
      </c>
      <c r="B3563" s="18" t="s">
        <v>6872</v>
      </c>
      <c r="C3563" s="18"/>
      <c r="D3563" s="18" t="s">
        <v>6742</v>
      </c>
      <c r="E3563" s="18" t="s">
        <v>596</v>
      </c>
      <c r="F3563" s="18" t="s">
        <v>597</v>
      </c>
      <c r="G3563" s="18" t="s">
        <v>12</v>
      </c>
      <c r="H3563" s="18"/>
      <c r="I3563" s="18"/>
      <c r="J3563" s="18" t="s">
        <v>119</v>
      </c>
      <c r="K3563" s="18"/>
      <c r="L3563" s="9" t="s">
        <v>516</v>
      </c>
      <c r="M3563" s="18" t="s">
        <v>598</v>
      </c>
      <c r="N3563" s="18"/>
      <c r="O3563" s="18" t="s">
        <v>599</v>
      </c>
      <c r="P3563" s="18" t="str">
        <f>HYPERLINK("https://ceds.ed.gov/cedselementdetails.aspx?termid=13982")</f>
        <v>https://ceds.ed.gov/cedselementdetails.aspx?termid=13982</v>
      </c>
      <c r="Q3563" s="18" t="str">
        <f>HYPERLINK("https://ceds.ed.gov/elementComment.aspx?elementName=Assessment GUID &amp;elementID=13982", "Click here to submit comment")</f>
        <v>Click here to submit comment</v>
      </c>
    </row>
    <row r="3564" spans="1:17" x14ac:dyDescent="0.25">
      <c r="A3564" s="18"/>
      <c r="B3564" s="18"/>
      <c r="C3564" s="18"/>
      <c r="D3564" s="18"/>
      <c r="E3564" s="18"/>
      <c r="F3564" s="18"/>
      <c r="G3564" s="18"/>
      <c r="H3564" s="18"/>
      <c r="I3564" s="18"/>
      <c r="J3564" s="18"/>
      <c r="K3564" s="18"/>
      <c r="L3564" s="9"/>
      <c r="M3564" s="18"/>
      <c r="N3564" s="18"/>
      <c r="O3564" s="18"/>
      <c r="P3564" s="18"/>
      <c r="Q3564" s="18"/>
    </row>
    <row r="3565" spans="1:17" ht="60" x14ac:dyDescent="0.25">
      <c r="A3565" s="18"/>
      <c r="B3565" s="18"/>
      <c r="C3565" s="18"/>
      <c r="D3565" s="18"/>
      <c r="E3565" s="18"/>
      <c r="F3565" s="18"/>
      <c r="G3565" s="18"/>
      <c r="H3565" s="18"/>
      <c r="I3565" s="18"/>
      <c r="J3565" s="18"/>
      <c r="K3565" s="18"/>
      <c r="L3565" s="9" t="s">
        <v>517</v>
      </c>
      <c r="M3565" s="18"/>
      <c r="N3565" s="18"/>
      <c r="O3565" s="18"/>
      <c r="P3565" s="18"/>
      <c r="Q3565" s="18"/>
    </row>
    <row r="3566" spans="1:17" ht="165" x14ac:dyDescent="0.25">
      <c r="A3566" s="9" t="s">
        <v>6892</v>
      </c>
      <c r="B3566" s="9" t="s">
        <v>6872</v>
      </c>
      <c r="C3566" s="9"/>
      <c r="D3566" s="9" t="s">
        <v>6742</v>
      </c>
      <c r="E3566" s="9" t="s">
        <v>1436</v>
      </c>
      <c r="F3566" s="9" t="s">
        <v>1437</v>
      </c>
      <c r="G3566" s="9" t="s">
        <v>12</v>
      </c>
      <c r="H3566" s="9" t="s">
        <v>6149</v>
      </c>
      <c r="I3566" s="9"/>
      <c r="J3566" s="9" t="s">
        <v>92</v>
      </c>
      <c r="K3566" s="9"/>
      <c r="L3566" s="9"/>
      <c r="M3566" s="9" t="s">
        <v>1438</v>
      </c>
      <c r="N3566" s="9"/>
      <c r="O3566" s="9" t="s">
        <v>1439</v>
      </c>
      <c r="P3566" s="9" t="str">
        <f>HYPERLINK("https://ceds.ed.gov/cedselementdetails.aspx?termid=13028")</f>
        <v>https://ceds.ed.gov/cedselementdetails.aspx?termid=13028</v>
      </c>
      <c r="Q3566" s="9" t="str">
        <f>HYPERLINK("https://ceds.ed.gov/elementComment.aspx?elementName=Assessment Title &amp;elementID=13028", "Click here to submit comment")</f>
        <v>Click here to submit comment</v>
      </c>
    </row>
    <row r="3567" spans="1:17" ht="45" x14ac:dyDescent="0.25">
      <c r="A3567" s="9" t="s">
        <v>6892</v>
      </c>
      <c r="B3567" s="9" t="s">
        <v>6872</v>
      </c>
      <c r="C3567" s="9"/>
      <c r="D3567" s="9" t="s">
        <v>6742</v>
      </c>
      <c r="E3567" s="9" t="s">
        <v>1387</v>
      </c>
      <c r="F3567" s="9" t="s">
        <v>1388</v>
      </c>
      <c r="G3567" s="9" t="s">
        <v>12</v>
      </c>
      <c r="H3567" s="9"/>
      <c r="I3567" s="9"/>
      <c r="J3567" s="9" t="s">
        <v>87</v>
      </c>
      <c r="K3567" s="9"/>
      <c r="L3567" s="9"/>
      <c r="M3567" s="9" t="s">
        <v>1389</v>
      </c>
      <c r="N3567" s="9"/>
      <c r="O3567" s="9" t="s">
        <v>1390</v>
      </c>
      <c r="P3567" s="9" t="str">
        <f>HYPERLINK("https://ceds.ed.gov/cedselementdetails.aspx?termid=13932")</f>
        <v>https://ceds.ed.gov/cedselementdetails.aspx?termid=13932</v>
      </c>
      <c r="Q3567" s="9" t="str">
        <f>HYPERLINK("https://ceds.ed.gov/elementComment.aspx?elementName=Assessment Short Name &amp;elementID=13932", "Click here to submit comment")</f>
        <v>Click here to submit comment</v>
      </c>
    </row>
    <row r="3568" spans="1:17" ht="60" x14ac:dyDescent="0.25">
      <c r="A3568" s="9" t="s">
        <v>6892</v>
      </c>
      <c r="B3568" s="9" t="s">
        <v>6872</v>
      </c>
      <c r="C3568" s="9"/>
      <c r="D3568" s="9" t="s">
        <v>6742</v>
      </c>
      <c r="E3568" s="9" t="s">
        <v>486</v>
      </c>
      <c r="F3568" s="9" t="s">
        <v>487</v>
      </c>
      <c r="G3568" s="9" t="s">
        <v>12</v>
      </c>
      <c r="H3568" s="9"/>
      <c r="I3568" s="9"/>
      <c r="J3568" s="9" t="s">
        <v>87</v>
      </c>
      <c r="K3568" s="9"/>
      <c r="L3568" s="9" t="s">
        <v>489</v>
      </c>
      <c r="M3568" s="9" t="s">
        <v>490</v>
      </c>
      <c r="N3568" s="9"/>
      <c r="O3568" s="9" t="s">
        <v>491</v>
      </c>
      <c r="P3568" s="9" t="str">
        <f>HYPERLINK("https://ceds.ed.gov/cedselementdetails.aspx?termid=13934")</f>
        <v>https://ceds.ed.gov/cedselementdetails.aspx?termid=13934</v>
      </c>
      <c r="Q3568" s="9" t="str">
        <f>HYPERLINK("https://ceds.ed.gov/elementComment.aspx?elementName=Assessment Family Short Name &amp;elementID=13934", "Click here to submit comment")</f>
        <v>Click here to submit comment</v>
      </c>
    </row>
    <row r="3569" spans="1:17" ht="90" x14ac:dyDescent="0.25">
      <c r="A3569" s="9" t="s">
        <v>6892</v>
      </c>
      <c r="B3569" s="9" t="s">
        <v>6872</v>
      </c>
      <c r="C3569" s="9"/>
      <c r="D3569" s="9" t="s">
        <v>6742</v>
      </c>
      <c r="E3569" s="9" t="s">
        <v>492</v>
      </c>
      <c r="F3569" s="9" t="s">
        <v>493</v>
      </c>
      <c r="G3569" s="9" t="s">
        <v>12</v>
      </c>
      <c r="H3569" s="9"/>
      <c r="I3569" s="9"/>
      <c r="J3569" s="9" t="s">
        <v>92</v>
      </c>
      <c r="K3569" s="9"/>
      <c r="L3569" s="9"/>
      <c r="M3569" s="9" t="s">
        <v>494</v>
      </c>
      <c r="N3569" s="9"/>
      <c r="O3569" s="9" t="s">
        <v>495</v>
      </c>
      <c r="P3569" s="9" t="str">
        <f>HYPERLINK("https://ceds.ed.gov/cedselementdetails.aspx?termid=13933")</f>
        <v>https://ceds.ed.gov/cedselementdetails.aspx?termid=13933</v>
      </c>
      <c r="Q3569" s="9" t="str">
        <f>HYPERLINK("https://ceds.ed.gov/elementComment.aspx?elementName=Assessment Family Title &amp;elementID=13933", "Click here to submit comment")</f>
        <v>Click here to submit comment</v>
      </c>
    </row>
    <row r="3570" spans="1:17" ht="45" x14ac:dyDescent="0.25">
      <c r="A3570" s="9" t="s">
        <v>6892</v>
      </c>
      <c r="B3570" s="9" t="s">
        <v>6872</v>
      </c>
      <c r="C3570" s="9"/>
      <c r="D3570" s="9" t="s">
        <v>6742</v>
      </c>
      <c r="E3570" s="9" t="s">
        <v>1188</v>
      </c>
      <c r="F3570" s="9" t="s">
        <v>1189</v>
      </c>
      <c r="G3570" s="9" t="s">
        <v>12</v>
      </c>
      <c r="H3570" s="9"/>
      <c r="I3570" s="9"/>
      <c r="J3570" s="9" t="s">
        <v>87</v>
      </c>
      <c r="K3570" s="9"/>
      <c r="L3570" s="9" t="s">
        <v>1190</v>
      </c>
      <c r="M3570" s="9" t="s">
        <v>1191</v>
      </c>
      <c r="N3570" s="9"/>
      <c r="O3570" s="9" t="s">
        <v>1192</v>
      </c>
      <c r="P3570" s="9" t="str">
        <f>HYPERLINK("https://ceds.ed.gov/cedselementdetails.aspx?termid=14009")</f>
        <v>https://ceds.ed.gov/cedselementdetails.aspx?termid=14009</v>
      </c>
      <c r="Q3570" s="9" t="str">
        <f>HYPERLINK("https://ceds.ed.gov/elementComment.aspx?elementName=Assessment Provider &amp;elementID=14009", "Click here to submit comment")</f>
        <v>Click here to submit comment</v>
      </c>
    </row>
    <row r="3571" spans="1:17" ht="60" x14ac:dyDescent="0.25">
      <c r="A3571" s="9" t="s">
        <v>6892</v>
      </c>
      <c r="B3571" s="9" t="s">
        <v>6872</v>
      </c>
      <c r="C3571" s="9"/>
      <c r="D3571" s="9" t="s">
        <v>6742</v>
      </c>
      <c r="E3571" s="9" t="s">
        <v>1314</v>
      </c>
      <c r="F3571" s="9" t="s">
        <v>1315</v>
      </c>
      <c r="G3571" s="9" t="s">
        <v>12</v>
      </c>
      <c r="H3571" s="9"/>
      <c r="I3571" s="9"/>
      <c r="J3571" s="9" t="s">
        <v>73</v>
      </c>
      <c r="K3571" s="9"/>
      <c r="L3571" s="9"/>
      <c r="M3571" s="9" t="s">
        <v>1316</v>
      </c>
      <c r="N3571" s="9"/>
      <c r="O3571" s="9" t="s">
        <v>1317</v>
      </c>
      <c r="P3571" s="9" t="str">
        <f>HYPERLINK("https://ceds.ed.gov/cedselementdetails.aspx?termid=14519")</f>
        <v>https://ceds.ed.gov/cedselementdetails.aspx?termid=14519</v>
      </c>
      <c r="Q3571" s="9" t="str">
        <f>HYPERLINK("https://ceds.ed.gov/elementComment.aspx?elementName=Assessment Revision Date &amp;elementID=14519", "Click here to submit comment")</f>
        <v>Click here to submit comment</v>
      </c>
    </row>
    <row r="3572" spans="1:17" ht="409.5" x14ac:dyDescent="0.25">
      <c r="A3572" s="9" t="s">
        <v>6892</v>
      </c>
      <c r="B3572" s="9" t="s">
        <v>6872</v>
      </c>
      <c r="C3572" s="9"/>
      <c r="D3572" s="9" t="s">
        <v>6742</v>
      </c>
      <c r="E3572" s="9" t="s">
        <v>1440</v>
      </c>
      <c r="F3572" s="9" t="s">
        <v>1441</v>
      </c>
      <c r="G3572" s="10" t="s">
        <v>6387</v>
      </c>
      <c r="H3572" s="9" t="s">
        <v>6129</v>
      </c>
      <c r="I3572" s="9"/>
      <c r="J3572" s="9"/>
      <c r="K3572" s="9"/>
      <c r="L3572" s="9"/>
      <c r="M3572" s="9" t="s">
        <v>1442</v>
      </c>
      <c r="N3572" s="9"/>
      <c r="O3572" s="9" t="s">
        <v>1443</v>
      </c>
      <c r="P3572" s="9" t="str">
        <f>HYPERLINK("https://ceds.ed.gov/cedselementdetails.aspx?termid=13029")</f>
        <v>https://ceds.ed.gov/cedselementdetails.aspx?termid=13029</v>
      </c>
      <c r="Q3572" s="9" t="str">
        <f>HYPERLINK("https://ceds.ed.gov/elementComment.aspx?elementName=Assessment Type &amp;elementID=13029", "Click here to submit comment")</f>
        <v>Click here to submit comment</v>
      </c>
    </row>
    <row r="3573" spans="1:17" ht="45" x14ac:dyDescent="0.25">
      <c r="A3573" s="9" t="s">
        <v>6892</v>
      </c>
      <c r="B3573" s="9" t="s">
        <v>6872</v>
      </c>
      <c r="C3573" s="9"/>
      <c r="D3573" s="9" t="s">
        <v>6742</v>
      </c>
      <c r="E3573" s="9" t="s">
        <v>1116</v>
      </c>
      <c r="F3573" s="9" t="s">
        <v>1117</v>
      </c>
      <c r="G3573" s="9" t="s">
        <v>12</v>
      </c>
      <c r="H3573" s="9" t="s">
        <v>6135</v>
      </c>
      <c r="I3573" s="9"/>
      <c r="J3573" s="9" t="s">
        <v>762</v>
      </c>
      <c r="K3573" s="9"/>
      <c r="L3573" s="9"/>
      <c r="M3573" s="9" t="s">
        <v>1118</v>
      </c>
      <c r="N3573" s="9"/>
      <c r="O3573" s="9" t="s">
        <v>1119</v>
      </c>
      <c r="P3573" s="9" t="str">
        <f>HYPERLINK("https://ceds.ed.gov/cedselementdetails.aspx?termid=13373")</f>
        <v>https://ceds.ed.gov/cedselementdetails.aspx?termid=13373</v>
      </c>
      <c r="Q3573" s="9" t="str">
        <f>HYPERLINK("https://ceds.ed.gov/elementComment.aspx?elementName=Assessment Objective &amp;elementID=13373", "Click here to submit comment")</f>
        <v>Click here to submit comment</v>
      </c>
    </row>
    <row r="3574" spans="1:17" ht="390" x14ac:dyDescent="0.25">
      <c r="A3574" s="9" t="s">
        <v>6892</v>
      </c>
      <c r="B3574" s="9" t="s">
        <v>6872</v>
      </c>
      <c r="C3574" s="9"/>
      <c r="D3574" s="9" t="s">
        <v>6742</v>
      </c>
      <c r="E3574" s="9" t="s">
        <v>1193</v>
      </c>
      <c r="F3574" s="9" t="s">
        <v>1194</v>
      </c>
      <c r="G3574" s="10" t="s">
        <v>6375</v>
      </c>
      <c r="H3574" s="9" t="s">
        <v>6129</v>
      </c>
      <c r="I3574" s="9"/>
      <c r="J3574" s="9"/>
      <c r="K3574" s="9"/>
      <c r="L3574" s="9" t="s">
        <v>1195</v>
      </c>
      <c r="M3574" s="9" t="s">
        <v>1196</v>
      </c>
      <c r="N3574" s="9"/>
      <c r="O3574" s="9" t="s">
        <v>1197</v>
      </c>
      <c r="P3574" s="9" t="str">
        <f>HYPERLINK("https://ceds.ed.gov/cedselementdetails.aspx?termid=13026")</f>
        <v>https://ceds.ed.gov/cedselementdetails.aspx?termid=13026</v>
      </c>
      <c r="Q3574" s="9" t="str">
        <f>HYPERLINK("https://ceds.ed.gov/elementComment.aspx?elementName=Assessment Purpose &amp;elementID=13026", "Click here to submit comment")</f>
        <v>Click here to submit comment</v>
      </c>
    </row>
    <row r="3575" spans="1:17" ht="360" x14ac:dyDescent="0.25">
      <c r="A3575" s="9" t="s">
        <v>6892</v>
      </c>
      <c r="B3575" s="9" t="s">
        <v>6872</v>
      </c>
      <c r="C3575" s="9"/>
      <c r="D3575" s="9" t="s">
        <v>6742</v>
      </c>
      <c r="E3575" s="9" t="s">
        <v>970</v>
      </c>
      <c r="F3575" s="9" t="s">
        <v>971</v>
      </c>
      <c r="G3575" s="10" t="s">
        <v>6358</v>
      </c>
      <c r="H3575" s="9" t="s">
        <v>6137</v>
      </c>
      <c r="I3575" s="9"/>
      <c r="J3575" s="9"/>
      <c r="K3575" s="9"/>
      <c r="L3575" s="9"/>
      <c r="M3575" s="9" t="s">
        <v>972</v>
      </c>
      <c r="N3575" s="9"/>
      <c r="O3575" s="9" t="s">
        <v>973</v>
      </c>
      <c r="P3575" s="9" t="str">
        <f>HYPERLINK("https://ceds.ed.gov/cedselementdetails.aspx?termid=13177")</f>
        <v>https://ceds.ed.gov/cedselementdetails.aspx?termid=13177</v>
      </c>
      <c r="Q3575" s="9" t="str">
        <f>HYPERLINK("https://ceds.ed.gov/elementComment.aspx?elementName=Assessment Level for Which Designed &amp;elementID=13177", "Click here to submit comment")</f>
        <v>Click here to submit comment</v>
      </c>
    </row>
    <row r="3576" spans="1:17" ht="330" x14ac:dyDescent="0.25">
      <c r="A3576" s="9" t="s">
        <v>6892</v>
      </c>
      <c r="B3576" s="9" t="s">
        <v>6872</v>
      </c>
      <c r="C3576" s="9"/>
      <c r="D3576" s="9" t="s">
        <v>6742</v>
      </c>
      <c r="E3576" s="9" t="s">
        <v>379</v>
      </c>
      <c r="F3576" s="9" t="s">
        <v>380</v>
      </c>
      <c r="G3576" s="10" t="s">
        <v>6344</v>
      </c>
      <c r="H3576" s="9" t="s">
        <v>6126</v>
      </c>
      <c r="I3576" s="9"/>
      <c r="J3576" s="9"/>
      <c r="K3576" s="9"/>
      <c r="L3576" s="9"/>
      <c r="M3576" s="9" t="s">
        <v>381</v>
      </c>
      <c r="N3576" s="9"/>
      <c r="O3576" s="9" t="s">
        <v>382</v>
      </c>
      <c r="P3576" s="9" t="str">
        <f>HYPERLINK("https://ceds.ed.gov/cedselementdetails.aspx?termid=13021")</f>
        <v>https://ceds.ed.gov/cedselementdetails.aspx?termid=13021</v>
      </c>
      <c r="Q3576" s="9" t="str">
        <f>HYPERLINK("https://ceds.ed.gov/elementComment.aspx?elementName=Assessment Academic Subject &amp;elementID=13021", "Click here to submit comment")</f>
        <v>Click here to submit comment</v>
      </c>
    </row>
    <row r="3577" spans="1:17" ht="409.5" x14ac:dyDescent="0.25">
      <c r="A3577" s="9" t="s">
        <v>6892</v>
      </c>
      <c r="B3577" s="9" t="s">
        <v>6872</v>
      </c>
      <c r="C3577" s="9"/>
      <c r="D3577" s="9" t="s">
        <v>6742</v>
      </c>
      <c r="E3577" s="9" t="s">
        <v>12208</v>
      </c>
      <c r="F3577" s="9" t="s">
        <v>1444</v>
      </c>
      <c r="G3577" s="10" t="s">
        <v>6388</v>
      </c>
      <c r="H3577" s="9" t="s">
        <v>6140</v>
      </c>
      <c r="I3577" s="9"/>
      <c r="J3577" s="9"/>
      <c r="K3577" s="9"/>
      <c r="L3577" s="9"/>
      <c r="M3577" s="9" t="s">
        <v>1445</v>
      </c>
      <c r="N3577" s="9"/>
      <c r="O3577" s="9" t="s">
        <v>1446</v>
      </c>
      <c r="P3577" s="9" t="str">
        <f>HYPERLINK("https://ceds.ed.gov/cedselementdetails.aspx?termid=13405")</f>
        <v>https://ceds.ed.gov/cedselementdetails.aspx?termid=13405</v>
      </c>
      <c r="Q3577" s="9" t="str">
        <f>HYPERLINK("https://ceds.ed.gov/elementComment.aspx?elementName=Assessment Type Administered to Children with Disabilities &amp;elementID=13405", "Click here to submit comment")</f>
        <v>Click here to submit comment</v>
      </c>
    </row>
    <row r="3578" spans="1:17" ht="60" x14ac:dyDescent="0.25">
      <c r="A3578" s="18" t="s">
        <v>6892</v>
      </c>
      <c r="B3578" s="18" t="s">
        <v>6872</v>
      </c>
      <c r="C3578" s="18"/>
      <c r="D3578" s="18" t="s">
        <v>6742</v>
      </c>
      <c r="E3578" s="18" t="s">
        <v>477</v>
      </c>
      <c r="F3578" s="18" t="s">
        <v>478</v>
      </c>
      <c r="G3578" s="19" t="s">
        <v>6348</v>
      </c>
      <c r="H3578" s="18" t="s">
        <v>6139</v>
      </c>
      <c r="I3578" s="18"/>
      <c r="J3578" s="18"/>
      <c r="K3578" s="18"/>
      <c r="L3578" s="9" t="s">
        <v>479</v>
      </c>
      <c r="M3578" s="18" t="s">
        <v>484</v>
      </c>
      <c r="N3578" s="18"/>
      <c r="O3578" s="18" t="s">
        <v>485</v>
      </c>
      <c r="P3578" s="18" t="str">
        <f>HYPERLINK("https://ceds.ed.gov/cedselementdetails.aspx?termid=14003")</f>
        <v>https://ceds.ed.gov/cedselementdetails.aspx?termid=14003</v>
      </c>
      <c r="Q3578" s="18" t="str">
        <f>HYPERLINK("https://ceds.ed.gov/elementComment.aspx?elementName=Assessment Early Learning Developmental Domain &amp;elementID=14003", "Click here to submit comment")</f>
        <v>Click here to submit comment</v>
      </c>
    </row>
    <row r="3579" spans="1:17" x14ac:dyDescent="0.25">
      <c r="A3579" s="18"/>
      <c r="B3579" s="18"/>
      <c r="C3579" s="18"/>
      <c r="D3579" s="18"/>
      <c r="E3579" s="18"/>
      <c r="F3579" s="18"/>
      <c r="G3579" s="18"/>
      <c r="H3579" s="18"/>
      <c r="I3579" s="18"/>
      <c r="J3579" s="18"/>
      <c r="K3579" s="18"/>
      <c r="L3579" s="9"/>
      <c r="M3579" s="18"/>
      <c r="N3579" s="18"/>
      <c r="O3579" s="18"/>
      <c r="P3579" s="18"/>
      <c r="Q3579" s="18"/>
    </row>
    <row r="3580" spans="1:17" ht="30" x14ac:dyDescent="0.25">
      <c r="A3580" s="18"/>
      <c r="B3580" s="18"/>
      <c r="C3580" s="18"/>
      <c r="D3580" s="18"/>
      <c r="E3580" s="18"/>
      <c r="F3580" s="18"/>
      <c r="G3580" s="18"/>
      <c r="H3580" s="18"/>
      <c r="I3580" s="18"/>
      <c r="J3580" s="18"/>
      <c r="K3580" s="18"/>
      <c r="L3580" s="9" t="s">
        <v>480</v>
      </c>
      <c r="M3580" s="18"/>
      <c r="N3580" s="18"/>
      <c r="O3580" s="18"/>
      <c r="P3580" s="18"/>
      <c r="Q3580" s="18"/>
    </row>
    <row r="3581" spans="1:17" ht="45" x14ac:dyDescent="0.25">
      <c r="A3581" s="18"/>
      <c r="B3581" s="18"/>
      <c r="C3581" s="18"/>
      <c r="D3581" s="18"/>
      <c r="E3581" s="18"/>
      <c r="F3581" s="18"/>
      <c r="G3581" s="18"/>
      <c r="H3581" s="18"/>
      <c r="I3581" s="18"/>
      <c r="J3581" s="18"/>
      <c r="K3581" s="18"/>
      <c r="L3581" s="9" t="s">
        <v>481</v>
      </c>
      <c r="M3581" s="18"/>
      <c r="N3581" s="18"/>
      <c r="O3581" s="18"/>
      <c r="P3581" s="18"/>
      <c r="Q3581" s="18"/>
    </row>
    <row r="3582" spans="1:17" ht="75" x14ac:dyDescent="0.25">
      <c r="A3582" s="18"/>
      <c r="B3582" s="18"/>
      <c r="C3582" s="18"/>
      <c r="D3582" s="18"/>
      <c r="E3582" s="18"/>
      <c r="F3582" s="18"/>
      <c r="G3582" s="18"/>
      <c r="H3582" s="18"/>
      <c r="I3582" s="18"/>
      <c r="J3582" s="18"/>
      <c r="K3582" s="18"/>
      <c r="L3582" s="9" t="s">
        <v>482</v>
      </c>
      <c r="M3582" s="18"/>
      <c r="N3582" s="18"/>
      <c r="O3582" s="18"/>
      <c r="P3582" s="18"/>
      <c r="Q3582" s="18"/>
    </row>
    <row r="3583" spans="1:17" x14ac:dyDescent="0.25">
      <c r="A3583" s="18"/>
      <c r="B3583" s="18"/>
      <c r="C3583" s="18"/>
      <c r="D3583" s="18"/>
      <c r="E3583" s="18"/>
      <c r="F3583" s="18"/>
      <c r="G3583" s="18"/>
      <c r="H3583" s="18"/>
      <c r="I3583" s="18"/>
      <c r="J3583" s="18"/>
      <c r="K3583" s="18"/>
      <c r="L3583" s="9"/>
      <c r="M3583" s="18"/>
      <c r="N3583" s="18"/>
      <c r="O3583" s="18"/>
      <c r="P3583" s="18"/>
      <c r="Q3583" s="18"/>
    </row>
    <row r="3584" spans="1:17" ht="105" x14ac:dyDescent="0.25">
      <c r="A3584" s="18"/>
      <c r="B3584" s="18"/>
      <c r="C3584" s="18"/>
      <c r="D3584" s="18"/>
      <c r="E3584" s="18"/>
      <c r="F3584" s="18"/>
      <c r="G3584" s="18"/>
      <c r="H3584" s="18"/>
      <c r="I3584" s="18"/>
      <c r="J3584" s="18"/>
      <c r="K3584" s="18"/>
      <c r="L3584" s="9" t="s">
        <v>483</v>
      </c>
      <c r="M3584" s="18"/>
      <c r="N3584" s="18"/>
      <c r="O3584" s="18"/>
      <c r="P3584" s="18"/>
      <c r="Q3584" s="18"/>
    </row>
    <row r="3585" spans="1:17" ht="409.5" x14ac:dyDescent="0.25">
      <c r="A3585" s="9" t="s">
        <v>6892</v>
      </c>
      <c r="B3585" s="9" t="s">
        <v>6872</v>
      </c>
      <c r="C3585" s="9"/>
      <c r="D3585" s="9" t="s">
        <v>6742</v>
      </c>
      <c r="E3585" s="9" t="s">
        <v>1318</v>
      </c>
      <c r="F3585" s="9" t="s">
        <v>1319</v>
      </c>
      <c r="G3585" s="10" t="s">
        <v>6374</v>
      </c>
      <c r="H3585" s="9" t="s">
        <v>6145</v>
      </c>
      <c r="I3585" s="9"/>
      <c r="J3585" s="9"/>
      <c r="K3585" s="9"/>
      <c r="L3585" s="9"/>
      <c r="M3585" s="9" t="s">
        <v>1320</v>
      </c>
      <c r="N3585" s="9"/>
      <c r="O3585" s="9" t="s">
        <v>1321</v>
      </c>
      <c r="P3585" s="9" t="str">
        <f>HYPERLINK("https://ceds.ed.gov/cedselementdetails.aspx?termid=13368")</f>
        <v>https://ceds.ed.gov/cedselementdetails.aspx?termid=13368</v>
      </c>
      <c r="Q3585" s="9" t="str">
        <f>HYPERLINK("https://ceds.ed.gov/elementComment.aspx?elementName=Assessment Score Metric Type &amp;elementID=13368", "Click here to submit comment")</f>
        <v>Click here to submit comment</v>
      </c>
    </row>
    <row r="3586" spans="1:17" ht="90" x14ac:dyDescent="0.25">
      <c r="A3586" s="9" t="s">
        <v>6892</v>
      </c>
      <c r="B3586" s="9" t="s">
        <v>6872</v>
      </c>
      <c r="C3586" s="9"/>
      <c r="D3586" s="9" t="s">
        <v>6742</v>
      </c>
      <c r="E3586" s="9" t="s">
        <v>3545</v>
      </c>
      <c r="F3586" s="9" t="s">
        <v>3546</v>
      </c>
      <c r="G3586" s="11" t="s">
        <v>966</v>
      </c>
      <c r="H3586" s="9" t="s">
        <v>6235</v>
      </c>
      <c r="I3586" s="9"/>
      <c r="J3586" s="9"/>
      <c r="K3586" s="9"/>
      <c r="L3586" s="11" t="s">
        <v>967</v>
      </c>
      <c r="M3586" s="9" t="s">
        <v>3547</v>
      </c>
      <c r="N3586" s="9"/>
      <c r="O3586" s="9" t="s">
        <v>3548</v>
      </c>
      <c r="P3586" s="9" t="str">
        <f>HYPERLINK("https://ceds.ed.gov/cedselementdetails.aspx?termid=13317")</f>
        <v>https://ceds.ed.gov/cedselementdetails.aspx?termid=13317</v>
      </c>
      <c r="Q3586" s="9" t="str">
        <f>HYPERLINK("https://ceds.ed.gov/elementComment.aspx?elementName=ISO 639-2 Language Code &amp;elementID=13317", "Click here to submit comment")</f>
        <v>Click here to submit comment</v>
      </c>
    </row>
    <row r="3587" spans="1:17" ht="105" x14ac:dyDescent="0.25">
      <c r="A3587" s="9" t="s">
        <v>6892</v>
      </c>
      <c r="B3587" s="9" t="s">
        <v>6872</v>
      </c>
      <c r="C3587" s="9"/>
      <c r="D3587" s="9" t="s">
        <v>6742</v>
      </c>
      <c r="E3587" s="9" t="s">
        <v>3549</v>
      </c>
      <c r="F3587" s="9" t="s">
        <v>3546</v>
      </c>
      <c r="G3587" s="11" t="s">
        <v>11618</v>
      </c>
      <c r="H3587" s="9"/>
      <c r="I3587" s="9"/>
      <c r="J3587" s="9"/>
      <c r="K3587" s="9"/>
      <c r="L3587" s="11" t="s">
        <v>3550</v>
      </c>
      <c r="M3587" s="9" t="s">
        <v>3551</v>
      </c>
      <c r="N3587" s="9"/>
      <c r="O3587" s="9" t="s">
        <v>3552</v>
      </c>
      <c r="P3587" s="9" t="str">
        <f>HYPERLINK("https://ceds.ed.gov/cedselementdetails.aspx?termid=14618")</f>
        <v>https://ceds.ed.gov/cedselementdetails.aspx?termid=14618</v>
      </c>
      <c r="Q3587" s="9" t="str">
        <f>HYPERLINK("https://ceds.ed.gov/elementComment.aspx?elementName=ISO 639-3 Language Code &amp;elementID=14618", "Click here to submit comment")</f>
        <v>Click here to submit comment</v>
      </c>
    </row>
    <row r="3588" spans="1:17" ht="409.5" x14ac:dyDescent="0.25">
      <c r="A3588" s="9" t="s">
        <v>6892</v>
      </c>
      <c r="B3588" s="9" t="s">
        <v>6872</v>
      </c>
      <c r="C3588" s="9"/>
      <c r="D3588" s="9" t="s">
        <v>6742</v>
      </c>
      <c r="E3588" s="9" t="s">
        <v>3553</v>
      </c>
      <c r="F3588" s="9" t="s">
        <v>3554</v>
      </c>
      <c r="G3588" s="10" t="s">
        <v>6568</v>
      </c>
      <c r="H3588" s="9"/>
      <c r="I3588" s="9"/>
      <c r="J3588" s="9"/>
      <c r="K3588" s="9"/>
      <c r="L3588" s="11" t="s">
        <v>3555</v>
      </c>
      <c r="M3588" s="9" t="s">
        <v>3556</v>
      </c>
      <c r="N3588" s="9"/>
      <c r="O3588" s="9" t="s">
        <v>3557</v>
      </c>
      <c r="P3588" s="9" t="str">
        <f>HYPERLINK("https://ceds.ed.gov/cedselementdetails.aspx?termid=14619")</f>
        <v>https://ceds.ed.gov/cedselementdetails.aspx?termid=14619</v>
      </c>
      <c r="Q3588" s="9" t="str">
        <f>HYPERLINK("https://ceds.ed.gov/elementComment.aspx?elementName=ISO 639-5 Language Family &amp;elementID=14619", "Click here to submit comment")</f>
        <v>Click here to submit comment</v>
      </c>
    </row>
    <row r="3589" spans="1:17" ht="75" x14ac:dyDescent="0.25">
      <c r="A3589" s="18" t="s">
        <v>6892</v>
      </c>
      <c r="B3589" s="18" t="s">
        <v>6893</v>
      </c>
      <c r="C3589" s="18"/>
      <c r="D3589" s="18" t="s">
        <v>6742</v>
      </c>
      <c r="E3589" s="18" t="s">
        <v>514</v>
      </c>
      <c r="F3589" s="18" t="s">
        <v>515</v>
      </c>
      <c r="G3589" s="18" t="s">
        <v>12</v>
      </c>
      <c r="H3589" s="18"/>
      <c r="I3589" s="18"/>
      <c r="J3589" s="18" t="s">
        <v>119</v>
      </c>
      <c r="K3589" s="18"/>
      <c r="L3589" s="9" t="s">
        <v>516</v>
      </c>
      <c r="M3589" s="18" t="s">
        <v>518</v>
      </c>
      <c r="N3589" s="18"/>
      <c r="O3589" s="18" t="s">
        <v>519</v>
      </c>
      <c r="P3589" s="18" t="str">
        <f>HYPERLINK("https://ceds.ed.gov/cedselementdetails.aspx?termid=14510")</f>
        <v>https://ceds.ed.gov/cedselementdetails.aspx?termid=14510</v>
      </c>
      <c r="Q3589" s="18" t="str">
        <f>HYPERLINK("https://ceds.ed.gov/elementComment.aspx?elementName=Assessment Form GUID &amp;elementID=14510", "Click here to submit comment")</f>
        <v>Click here to submit comment</v>
      </c>
    </row>
    <row r="3590" spans="1:17" x14ac:dyDescent="0.25">
      <c r="A3590" s="18"/>
      <c r="B3590" s="18"/>
      <c r="C3590" s="18"/>
      <c r="D3590" s="18"/>
      <c r="E3590" s="18"/>
      <c r="F3590" s="18"/>
      <c r="G3590" s="18"/>
      <c r="H3590" s="18"/>
      <c r="I3590" s="18"/>
      <c r="J3590" s="18"/>
      <c r="K3590" s="18"/>
      <c r="L3590" s="9"/>
      <c r="M3590" s="18"/>
      <c r="N3590" s="18"/>
      <c r="O3590" s="18"/>
      <c r="P3590" s="18"/>
      <c r="Q3590" s="18"/>
    </row>
    <row r="3591" spans="1:17" ht="60" x14ac:dyDescent="0.25">
      <c r="A3591" s="18"/>
      <c r="B3591" s="18"/>
      <c r="C3591" s="18"/>
      <c r="D3591" s="18"/>
      <c r="E3591" s="18"/>
      <c r="F3591" s="18"/>
      <c r="G3591" s="18"/>
      <c r="H3591" s="18"/>
      <c r="I3591" s="18"/>
      <c r="J3591" s="18"/>
      <c r="K3591" s="18"/>
      <c r="L3591" s="9" t="s">
        <v>517</v>
      </c>
      <c r="M3591" s="18"/>
      <c r="N3591" s="18"/>
      <c r="O3591" s="18"/>
      <c r="P3591" s="18"/>
      <c r="Q3591" s="18"/>
    </row>
    <row r="3592" spans="1:17" ht="150" x14ac:dyDescent="0.25">
      <c r="A3592" s="9" t="s">
        <v>6892</v>
      </c>
      <c r="B3592" s="9" t="s">
        <v>6893</v>
      </c>
      <c r="C3592" s="9"/>
      <c r="D3592" s="9" t="s">
        <v>6742</v>
      </c>
      <c r="E3592" s="9" t="s">
        <v>524</v>
      </c>
      <c r="F3592" s="9" t="s">
        <v>525</v>
      </c>
      <c r="G3592" s="9" t="s">
        <v>12</v>
      </c>
      <c r="H3592" s="9" t="s">
        <v>6131</v>
      </c>
      <c r="I3592" s="9"/>
      <c r="J3592" s="9" t="s">
        <v>119</v>
      </c>
      <c r="K3592" s="9"/>
      <c r="L3592" s="9"/>
      <c r="M3592" s="9" t="s">
        <v>526</v>
      </c>
      <c r="N3592" s="9"/>
      <c r="O3592" s="9" t="s">
        <v>527</v>
      </c>
      <c r="P3592" s="9" t="str">
        <f>HYPERLINK("https://ceds.ed.gov/cedselementdetails.aspx?termid=13024")</f>
        <v>https://ceds.ed.gov/cedselementdetails.aspx?termid=13024</v>
      </c>
      <c r="Q3592" s="9" t="str">
        <f>HYPERLINK("https://ceds.ed.gov/elementComment.aspx?elementName=Assessment Form Name &amp;elementID=13024", "Click here to submit comment")</f>
        <v>Click here to submit comment</v>
      </c>
    </row>
    <row r="3593" spans="1:17" ht="45" x14ac:dyDescent="0.25">
      <c r="A3593" s="9" t="s">
        <v>6892</v>
      </c>
      <c r="B3593" s="9" t="s">
        <v>6893</v>
      </c>
      <c r="C3593" s="9"/>
      <c r="D3593" s="9" t="s">
        <v>6742</v>
      </c>
      <c r="E3593" s="9" t="s">
        <v>528</v>
      </c>
      <c r="F3593" s="9" t="s">
        <v>529</v>
      </c>
      <c r="G3593" s="9" t="s">
        <v>12</v>
      </c>
      <c r="H3593" s="9" t="s">
        <v>6127</v>
      </c>
      <c r="I3593" s="9"/>
      <c r="J3593" s="9" t="s">
        <v>87</v>
      </c>
      <c r="K3593" s="9"/>
      <c r="L3593" s="9"/>
      <c r="M3593" s="9" t="s">
        <v>530</v>
      </c>
      <c r="N3593" s="9"/>
      <c r="O3593" s="9" t="s">
        <v>531</v>
      </c>
      <c r="P3593" s="9" t="str">
        <f>HYPERLINK("https://ceds.ed.gov/cedselementdetails.aspx?termid=13365")</f>
        <v>https://ceds.ed.gov/cedselementdetails.aspx?termid=13365</v>
      </c>
      <c r="Q3593" s="9" t="str">
        <f>HYPERLINK("https://ceds.ed.gov/elementComment.aspx?elementName=Assessment Form Number &amp;elementID=13365", "Click here to submit comment")</f>
        <v>Click here to submit comment</v>
      </c>
    </row>
    <row r="3594" spans="1:17" ht="45" x14ac:dyDescent="0.25">
      <c r="A3594" s="9" t="s">
        <v>6892</v>
      </c>
      <c r="B3594" s="9" t="s">
        <v>6893</v>
      </c>
      <c r="C3594" s="9"/>
      <c r="D3594" s="9" t="s">
        <v>6742</v>
      </c>
      <c r="E3594" s="9" t="s">
        <v>501</v>
      </c>
      <c r="F3594" s="9" t="s">
        <v>502</v>
      </c>
      <c r="G3594" s="9" t="s">
        <v>6106</v>
      </c>
      <c r="H3594" s="9"/>
      <c r="I3594" s="9"/>
      <c r="J3594" s="9"/>
      <c r="K3594" s="9"/>
      <c r="L3594" s="9"/>
      <c r="M3594" s="9" t="s">
        <v>503</v>
      </c>
      <c r="N3594" s="9"/>
      <c r="O3594" s="9" t="s">
        <v>504</v>
      </c>
      <c r="P3594" s="9" t="str">
        <f>HYPERLINK("https://ceds.ed.gov/cedselementdetails.aspx?termid=14507")</f>
        <v>https://ceds.ed.gov/cedselementdetails.aspx?termid=14507</v>
      </c>
      <c r="Q3594" s="9" t="str">
        <f>HYPERLINK("https://ceds.ed.gov/elementComment.aspx?elementName=Assessment Form Adaptive Indicator &amp;elementID=14507", "Click here to submit comment")</f>
        <v>Click here to submit comment</v>
      </c>
    </row>
    <row r="3595" spans="1:17" ht="75" x14ac:dyDescent="0.25">
      <c r="A3595" s="18" t="s">
        <v>6892</v>
      </c>
      <c r="B3595" s="18" t="s">
        <v>6893</v>
      </c>
      <c r="C3595" s="18"/>
      <c r="D3595" s="18" t="s">
        <v>6742</v>
      </c>
      <c r="E3595" s="18" t="s">
        <v>505</v>
      </c>
      <c r="F3595" s="18" t="s">
        <v>506</v>
      </c>
      <c r="G3595" s="18" t="s">
        <v>12</v>
      </c>
      <c r="H3595" s="18"/>
      <c r="I3595" s="18"/>
      <c r="J3595" s="18" t="s">
        <v>119</v>
      </c>
      <c r="K3595" s="18"/>
      <c r="L3595" s="9" t="s">
        <v>507</v>
      </c>
      <c r="M3595" s="18" t="s">
        <v>508</v>
      </c>
      <c r="N3595" s="18"/>
      <c r="O3595" s="18" t="s">
        <v>509</v>
      </c>
      <c r="P3595" s="18" t="str">
        <f>HYPERLINK("https://ceds.ed.gov/cedselementdetails.aspx?termid=14508")</f>
        <v>https://ceds.ed.gov/cedselementdetails.aspx?termid=14508</v>
      </c>
      <c r="Q3595" s="18" t="str">
        <f>HYPERLINK("https://ceds.ed.gov/elementComment.aspx?elementName=Assessment Form Algorithm Identifier &amp;elementID=14508", "Click here to submit comment")</f>
        <v>Click here to submit comment</v>
      </c>
    </row>
    <row r="3596" spans="1:17" x14ac:dyDescent="0.25">
      <c r="A3596" s="18"/>
      <c r="B3596" s="18"/>
      <c r="C3596" s="18"/>
      <c r="D3596" s="18"/>
      <c r="E3596" s="18"/>
      <c r="F3596" s="18"/>
      <c r="G3596" s="18"/>
      <c r="H3596" s="18"/>
      <c r="I3596" s="18"/>
      <c r="J3596" s="18"/>
      <c r="K3596" s="18"/>
      <c r="L3596" s="9"/>
      <c r="M3596" s="18"/>
      <c r="N3596" s="18"/>
      <c r="O3596" s="18"/>
      <c r="P3596" s="18"/>
      <c r="Q3596" s="18"/>
    </row>
    <row r="3597" spans="1:17" ht="105" x14ac:dyDescent="0.25">
      <c r="A3597" s="18"/>
      <c r="B3597" s="18"/>
      <c r="C3597" s="18"/>
      <c r="D3597" s="18"/>
      <c r="E3597" s="18"/>
      <c r="F3597" s="18"/>
      <c r="G3597" s="18"/>
      <c r="H3597" s="18"/>
      <c r="I3597" s="18"/>
      <c r="J3597" s="18"/>
      <c r="K3597" s="18"/>
      <c r="L3597" s="9" t="s">
        <v>120</v>
      </c>
      <c r="M3597" s="18"/>
      <c r="N3597" s="18"/>
      <c r="O3597" s="18"/>
      <c r="P3597" s="18"/>
      <c r="Q3597" s="18"/>
    </row>
    <row r="3598" spans="1:17" x14ac:dyDescent="0.25">
      <c r="A3598" s="18"/>
      <c r="B3598" s="18"/>
      <c r="C3598" s="18"/>
      <c r="D3598" s="18"/>
      <c r="E3598" s="18"/>
      <c r="F3598" s="18"/>
      <c r="G3598" s="18"/>
      <c r="H3598" s="18"/>
      <c r="I3598" s="18"/>
      <c r="J3598" s="18"/>
      <c r="K3598" s="18"/>
      <c r="L3598" s="9"/>
      <c r="M3598" s="18"/>
      <c r="N3598" s="18"/>
      <c r="O3598" s="18"/>
      <c r="P3598" s="18"/>
      <c r="Q3598" s="18"/>
    </row>
    <row r="3599" spans="1:17" ht="90" x14ac:dyDescent="0.25">
      <c r="A3599" s="18"/>
      <c r="B3599" s="18"/>
      <c r="C3599" s="18"/>
      <c r="D3599" s="18"/>
      <c r="E3599" s="18"/>
      <c r="F3599" s="18"/>
      <c r="G3599" s="18"/>
      <c r="H3599" s="18"/>
      <c r="I3599" s="18"/>
      <c r="J3599" s="18"/>
      <c r="K3599" s="18"/>
      <c r="L3599" s="9" t="s">
        <v>121</v>
      </c>
      <c r="M3599" s="18"/>
      <c r="N3599" s="18"/>
      <c r="O3599" s="18"/>
      <c r="P3599" s="18"/>
      <c r="Q3599" s="18"/>
    </row>
    <row r="3600" spans="1:17" ht="75" x14ac:dyDescent="0.25">
      <c r="A3600" s="9" t="s">
        <v>6892</v>
      </c>
      <c r="B3600" s="9" t="s">
        <v>6893</v>
      </c>
      <c r="C3600" s="9"/>
      <c r="D3600" s="9" t="s">
        <v>6742</v>
      </c>
      <c r="E3600" s="9" t="s">
        <v>510</v>
      </c>
      <c r="F3600" s="9" t="s">
        <v>511</v>
      </c>
      <c r="G3600" s="9" t="s">
        <v>12</v>
      </c>
      <c r="H3600" s="9"/>
      <c r="I3600" s="9"/>
      <c r="J3600" s="9" t="s">
        <v>119</v>
      </c>
      <c r="K3600" s="9"/>
      <c r="L3600" s="9" t="s">
        <v>507</v>
      </c>
      <c r="M3600" s="9" t="s">
        <v>512</v>
      </c>
      <c r="N3600" s="9"/>
      <c r="O3600" s="9" t="s">
        <v>513</v>
      </c>
      <c r="P3600" s="9" t="str">
        <f>HYPERLINK("https://ceds.ed.gov/cedselementdetails.aspx?termid=14509")</f>
        <v>https://ceds.ed.gov/cedselementdetails.aspx?termid=14509</v>
      </c>
      <c r="Q3600" s="9" t="str">
        <f>HYPERLINK("https://ceds.ed.gov/elementComment.aspx?elementName=Assessment Form Algorithm Version &amp;elementID=14509", "Click here to submit comment")</f>
        <v>Click here to submit comment</v>
      </c>
    </row>
    <row r="3601" spans="1:17" ht="330" x14ac:dyDescent="0.25">
      <c r="A3601" s="9" t="s">
        <v>6892</v>
      </c>
      <c r="B3601" s="9" t="s">
        <v>6893</v>
      </c>
      <c r="C3601" s="9"/>
      <c r="D3601" s="9" t="s">
        <v>6742</v>
      </c>
      <c r="E3601" s="9" t="s">
        <v>379</v>
      </c>
      <c r="F3601" s="9" t="s">
        <v>380</v>
      </c>
      <c r="G3601" s="10" t="s">
        <v>6344</v>
      </c>
      <c r="H3601" s="9" t="s">
        <v>6126</v>
      </c>
      <c r="I3601" s="9"/>
      <c r="J3601" s="9"/>
      <c r="K3601" s="9"/>
      <c r="L3601" s="9"/>
      <c r="M3601" s="9" t="s">
        <v>381</v>
      </c>
      <c r="N3601" s="9"/>
      <c r="O3601" s="9" t="s">
        <v>382</v>
      </c>
      <c r="P3601" s="9" t="str">
        <f>HYPERLINK("https://ceds.ed.gov/cedselementdetails.aspx?termid=13021")</f>
        <v>https://ceds.ed.gov/cedselementdetails.aspx?termid=13021</v>
      </c>
      <c r="Q3601" s="9" t="str">
        <f>HYPERLINK("https://ceds.ed.gov/elementComment.aspx?elementName=Assessment Academic Subject &amp;elementID=13021", "Click here to submit comment")</f>
        <v>Click here to submit comment</v>
      </c>
    </row>
    <row r="3602" spans="1:17" ht="75" x14ac:dyDescent="0.25">
      <c r="A3602" s="9" t="s">
        <v>6892</v>
      </c>
      <c r="B3602" s="9" t="s">
        <v>6893</v>
      </c>
      <c r="C3602" s="9"/>
      <c r="D3602" s="9" t="s">
        <v>6742</v>
      </c>
      <c r="E3602" s="9" t="s">
        <v>496</v>
      </c>
      <c r="F3602" s="9" t="s">
        <v>497</v>
      </c>
      <c r="G3602" s="9" t="s">
        <v>12</v>
      </c>
      <c r="H3602" s="9"/>
      <c r="I3602" s="9"/>
      <c r="J3602" s="9" t="s">
        <v>303</v>
      </c>
      <c r="K3602" s="9"/>
      <c r="L3602" s="9"/>
      <c r="M3602" s="9" t="s">
        <v>499</v>
      </c>
      <c r="N3602" s="9"/>
      <c r="O3602" s="9" t="s">
        <v>500</v>
      </c>
      <c r="P3602" s="9" t="str">
        <f>HYPERLINK("https://ceds.ed.gov/cedselementdetails.aspx?termid=14136")</f>
        <v>https://ceds.ed.gov/cedselementdetails.aspx?termid=14136</v>
      </c>
      <c r="Q3602" s="9" t="str">
        <f>HYPERLINK("https://ceds.ed.gov/elementComment.aspx?elementName=Assessment Form Accommodation List &amp;elementID=14136", "Click here to submit comment")</f>
        <v>Click here to submit comment</v>
      </c>
    </row>
    <row r="3603" spans="1:17" ht="45" x14ac:dyDescent="0.25">
      <c r="A3603" s="9" t="s">
        <v>6892</v>
      </c>
      <c r="B3603" s="9" t="s">
        <v>6893</v>
      </c>
      <c r="C3603" s="9"/>
      <c r="D3603" s="9" t="s">
        <v>6742</v>
      </c>
      <c r="E3603" s="9" t="s">
        <v>520</v>
      </c>
      <c r="F3603" s="9" t="s">
        <v>521</v>
      </c>
      <c r="G3603" s="9" t="s">
        <v>12</v>
      </c>
      <c r="H3603" s="9"/>
      <c r="I3603" s="9"/>
      <c r="J3603" s="9" t="s">
        <v>73</v>
      </c>
      <c r="K3603" s="9"/>
      <c r="L3603" s="9"/>
      <c r="M3603" s="9" t="s">
        <v>522</v>
      </c>
      <c r="N3603" s="9"/>
      <c r="O3603" s="9" t="s">
        <v>523</v>
      </c>
      <c r="P3603" s="9" t="str">
        <f>HYPERLINK("https://ceds.ed.gov/cedselementdetails.aspx?termid=14138")</f>
        <v>https://ceds.ed.gov/cedselementdetails.aspx?termid=14138</v>
      </c>
      <c r="Q3603" s="9" t="str">
        <f>HYPERLINK("https://ceds.ed.gov/elementComment.aspx?elementName=Assessment Form Intended Administration End Date &amp;elementID=14138", "Click here to submit comment")</f>
        <v>Click here to submit comment</v>
      </c>
    </row>
    <row r="3604" spans="1:17" ht="45" x14ac:dyDescent="0.25">
      <c r="A3604" s="9" t="s">
        <v>6892</v>
      </c>
      <c r="B3604" s="9" t="s">
        <v>6893</v>
      </c>
      <c r="C3604" s="9"/>
      <c r="D3604" s="9" t="s">
        <v>6742</v>
      </c>
      <c r="E3604" s="9" t="s">
        <v>532</v>
      </c>
      <c r="F3604" s="9" t="s">
        <v>533</v>
      </c>
      <c r="G3604" s="9" t="s">
        <v>12</v>
      </c>
      <c r="H3604" s="9"/>
      <c r="I3604" s="9"/>
      <c r="J3604" s="9" t="s">
        <v>303</v>
      </c>
      <c r="K3604" s="9"/>
      <c r="L3604" s="9"/>
      <c r="M3604" s="9" t="s">
        <v>534</v>
      </c>
      <c r="N3604" s="9"/>
      <c r="O3604" s="9" t="s">
        <v>535</v>
      </c>
      <c r="P3604" s="9" t="str">
        <f>HYPERLINK("https://ceds.ed.gov/cedselementdetails.aspx?termid=14139")</f>
        <v>https://ceds.ed.gov/cedselementdetails.aspx?termid=14139</v>
      </c>
      <c r="Q3604" s="9" t="str">
        <f>HYPERLINK("https://ceds.ed.gov/elementComment.aspx?elementName=Assessment Form Platforms Supported &amp;elementID=14139", "Click here to submit comment")</f>
        <v>Click here to submit comment</v>
      </c>
    </row>
    <row r="3605" spans="1:17" ht="45" x14ac:dyDescent="0.25">
      <c r="A3605" s="9" t="s">
        <v>6892</v>
      </c>
      <c r="B3605" s="9" t="s">
        <v>6893</v>
      </c>
      <c r="C3605" s="9"/>
      <c r="D3605" s="9" t="s">
        <v>6742</v>
      </c>
      <c r="E3605" s="9" t="s">
        <v>592</v>
      </c>
      <c r="F3605" s="9" t="s">
        <v>593</v>
      </c>
      <c r="G3605" s="9" t="s">
        <v>12</v>
      </c>
      <c r="H3605" s="9"/>
      <c r="I3605" s="9"/>
      <c r="J3605" s="9" t="s">
        <v>87</v>
      </c>
      <c r="K3605" s="9"/>
      <c r="L3605" s="9"/>
      <c r="M3605" s="9" t="s">
        <v>594</v>
      </c>
      <c r="N3605" s="9"/>
      <c r="O3605" s="9" t="s">
        <v>595</v>
      </c>
      <c r="P3605" s="9" t="str">
        <f>HYPERLINK("https://ceds.ed.gov/cedselementdetails.aspx?termid=14134")</f>
        <v>https://ceds.ed.gov/cedselementdetails.aspx?termid=14134</v>
      </c>
      <c r="Q3605" s="9" t="str">
        <f>HYPERLINK("https://ceds.ed.gov/elementComment.aspx?elementName=Assessment Form Version &amp;elementID=14134", "Click here to submit comment")</f>
        <v>Click here to submit comment</v>
      </c>
    </row>
    <row r="3606" spans="1:17" ht="90" x14ac:dyDescent="0.25">
      <c r="A3606" s="9" t="s">
        <v>6892</v>
      </c>
      <c r="B3606" s="9" t="s">
        <v>6893</v>
      </c>
      <c r="C3606" s="9"/>
      <c r="D3606" s="9" t="s">
        <v>6742</v>
      </c>
      <c r="E3606" s="9" t="s">
        <v>964</v>
      </c>
      <c r="F3606" s="9" t="s">
        <v>965</v>
      </c>
      <c r="G3606" s="11" t="s">
        <v>966</v>
      </c>
      <c r="H3606" s="9"/>
      <c r="I3606" s="9"/>
      <c r="J3606" s="9"/>
      <c r="K3606" s="9"/>
      <c r="L3606" s="11" t="s">
        <v>967</v>
      </c>
      <c r="M3606" s="9" t="s">
        <v>968</v>
      </c>
      <c r="N3606" s="9"/>
      <c r="O3606" s="9" t="s">
        <v>969</v>
      </c>
      <c r="P3606" s="9" t="str">
        <f>HYPERLINK("https://ceds.ed.gov/cedselementdetails.aspx?termid=14073")</f>
        <v>https://ceds.ed.gov/cedselementdetails.aspx?termid=14073</v>
      </c>
      <c r="Q3606" s="9" t="str">
        <f>HYPERLINK("https://ceds.ed.gov/elementComment.aspx?elementName=Assessment Language &amp;elementID=14073", "Click here to submit comment")</f>
        <v>Click here to submit comment</v>
      </c>
    </row>
    <row r="3607" spans="1:17" ht="360" x14ac:dyDescent="0.25">
      <c r="A3607" s="9" t="s">
        <v>6892</v>
      </c>
      <c r="B3607" s="9" t="s">
        <v>6893</v>
      </c>
      <c r="C3607" s="9"/>
      <c r="D3607" s="9" t="s">
        <v>6742</v>
      </c>
      <c r="E3607" s="9" t="s">
        <v>970</v>
      </c>
      <c r="F3607" s="9" t="s">
        <v>971</v>
      </c>
      <c r="G3607" s="10" t="s">
        <v>6358</v>
      </c>
      <c r="H3607" s="9" t="s">
        <v>6137</v>
      </c>
      <c r="I3607" s="9"/>
      <c r="J3607" s="9"/>
      <c r="K3607" s="9"/>
      <c r="L3607" s="9"/>
      <c r="M3607" s="9" t="s">
        <v>972</v>
      </c>
      <c r="N3607" s="9"/>
      <c r="O3607" s="9" t="s">
        <v>973</v>
      </c>
      <c r="P3607" s="9" t="str">
        <f>HYPERLINK("https://ceds.ed.gov/cedselementdetails.aspx?termid=13177")</f>
        <v>https://ceds.ed.gov/cedselementdetails.aspx?termid=13177</v>
      </c>
      <c r="Q3607" s="9" t="str">
        <f>HYPERLINK("https://ceds.ed.gov/elementComment.aspx?elementName=Assessment Level for Which Designed &amp;elementID=13177", "Click here to submit comment")</f>
        <v>Click here to submit comment</v>
      </c>
    </row>
    <row r="3608" spans="1:17" ht="45" x14ac:dyDescent="0.25">
      <c r="A3608" s="9" t="s">
        <v>6892</v>
      </c>
      <c r="B3608" s="9" t="s">
        <v>6893</v>
      </c>
      <c r="C3608" s="9"/>
      <c r="D3608" s="9" t="s">
        <v>6742</v>
      </c>
      <c r="E3608" s="9" t="s">
        <v>1322</v>
      </c>
      <c r="F3608" s="9" t="s">
        <v>1323</v>
      </c>
      <c r="G3608" s="9" t="s">
        <v>6106</v>
      </c>
      <c r="H3608" s="9" t="s">
        <v>6127</v>
      </c>
      <c r="I3608" s="9"/>
      <c r="J3608" s="9"/>
      <c r="K3608" s="9"/>
      <c r="L3608" s="9"/>
      <c r="M3608" s="9" t="s">
        <v>1324</v>
      </c>
      <c r="N3608" s="9"/>
      <c r="O3608" s="9" t="s">
        <v>1325</v>
      </c>
      <c r="P3608" s="9" t="str">
        <f>HYPERLINK("https://ceds.ed.gov/cedselementdetails.aspx?termid=13375")</f>
        <v>https://ceds.ed.gov/cedselementdetails.aspx?termid=13375</v>
      </c>
      <c r="Q3608" s="9" t="str">
        <f>HYPERLINK("https://ceds.ed.gov/elementComment.aspx?elementName=Assessment Secure Indicator &amp;elementID=13375", "Click here to submit comment")</f>
        <v>Click here to submit comment</v>
      </c>
    </row>
    <row r="3609" spans="1:17" ht="45" x14ac:dyDescent="0.25">
      <c r="A3609" s="9" t="s">
        <v>6892</v>
      </c>
      <c r="B3609" s="9" t="s">
        <v>6893</v>
      </c>
      <c r="C3609" s="9"/>
      <c r="D3609" s="9" t="s">
        <v>6742</v>
      </c>
      <c r="E3609" s="9" t="s">
        <v>3504</v>
      </c>
      <c r="F3609" s="9" t="s">
        <v>3505</v>
      </c>
      <c r="G3609" s="9" t="s">
        <v>12</v>
      </c>
      <c r="H3609" s="9"/>
      <c r="I3609" s="9"/>
      <c r="J3609" s="9" t="s">
        <v>73</v>
      </c>
      <c r="K3609" s="9"/>
      <c r="L3609" s="9"/>
      <c r="M3609" s="9" t="s">
        <v>3506</v>
      </c>
      <c r="N3609" s="9"/>
      <c r="O3609" s="9" t="s">
        <v>3507</v>
      </c>
      <c r="P3609" s="9" t="str">
        <f>HYPERLINK("https://ceds.ed.gov/cedselementdetails.aspx?termid=14137")</f>
        <v>https://ceds.ed.gov/cedselementdetails.aspx?termid=14137</v>
      </c>
      <c r="Q3609" s="9" t="str">
        <f>HYPERLINK("https://ceds.ed.gov/elementComment.aspx?elementName=Intended Administration Start Date &amp;elementID=14137", "Click here to submit comment")</f>
        <v>Click here to submit comment</v>
      </c>
    </row>
    <row r="3610" spans="1:17" ht="60" x14ac:dyDescent="0.25">
      <c r="A3610" s="9" t="s">
        <v>6892</v>
      </c>
      <c r="B3610" s="9" t="s">
        <v>6893</v>
      </c>
      <c r="C3610" s="9"/>
      <c r="D3610" s="9" t="s">
        <v>6742</v>
      </c>
      <c r="E3610" s="9" t="s">
        <v>3852</v>
      </c>
      <c r="F3610" s="9" t="s">
        <v>3853</v>
      </c>
      <c r="G3610" s="9" t="s">
        <v>12</v>
      </c>
      <c r="H3610" s="9"/>
      <c r="I3610" s="9"/>
      <c r="J3610" s="9" t="s">
        <v>73</v>
      </c>
      <c r="K3610" s="9"/>
      <c r="L3610" s="9"/>
      <c r="M3610" s="9" t="s">
        <v>3854</v>
      </c>
      <c r="N3610" s="9"/>
      <c r="O3610" s="9" t="s">
        <v>3855</v>
      </c>
      <c r="P3610" s="9" t="str">
        <f>HYPERLINK("https://ceds.ed.gov/cedselementdetails.aspx?termid=14135")</f>
        <v>https://ceds.ed.gov/cedselementdetails.aspx?termid=14135</v>
      </c>
      <c r="Q3610" s="9" t="str">
        <f>HYPERLINK("https://ceds.ed.gov/elementComment.aspx?elementName=Learning Resource Published Date &amp;elementID=14135", "Click here to submit comment")</f>
        <v>Click here to submit comment</v>
      </c>
    </row>
    <row r="3611" spans="1:17" ht="105" x14ac:dyDescent="0.25">
      <c r="A3611" s="18" t="s">
        <v>6892</v>
      </c>
      <c r="B3611" s="18" t="s">
        <v>6893</v>
      </c>
      <c r="C3611" s="18" t="s">
        <v>6894</v>
      </c>
      <c r="D3611" s="18" t="s">
        <v>6742</v>
      </c>
      <c r="E3611" s="18" t="s">
        <v>541</v>
      </c>
      <c r="F3611" s="18" t="s">
        <v>542</v>
      </c>
      <c r="G3611" s="18" t="s">
        <v>12</v>
      </c>
      <c r="H3611" s="18"/>
      <c r="I3611" s="18"/>
      <c r="J3611" s="18" t="s">
        <v>119</v>
      </c>
      <c r="K3611" s="18"/>
      <c r="L3611" s="9" t="s">
        <v>120</v>
      </c>
      <c r="M3611" s="18" t="s">
        <v>543</v>
      </c>
      <c r="N3611" s="18"/>
      <c r="O3611" s="18" t="s">
        <v>544</v>
      </c>
      <c r="P3611" s="18" t="str">
        <f>HYPERLINK("https://ceds.ed.gov/cedselementdetails.aspx?termid=14142")</f>
        <v>https://ceds.ed.gov/cedselementdetails.aspx?termid=14142</v>
      </c>
      <c r="Q3611" s="18" t="str">
        <f>HYPERLINK("https://ceds.ed.gov/elementComment.aspx?elementName=Assessment Form Section Identifier &amp;elementID=14142", "Click here to submit comment")</f>
        <v>Click here to submit comment</v>
      </c>
    </row>
    <row r="3612" spans="1:17" x14ac:dyDescent="0.25">
      <c r="A3612" s="18"/>
      <c r="B3612" s="18"/>
      <c r="C3612" s="18"/>
      <c r="D3612" s="18"/>
      <c r="E3612" s="18"/>
      <c r="F3612" s="18"/>
      <c r="G3612" s="18"/>
      <c r="H3612" s="18"/>
      <c r="I3612" s="18"/>
      <c r="J3612" s="18"/>
      <c r="K3612" s="18"/>
      <c r="L3612" s="9"/>
      <c r="M3612" s="18"/>
      <c r="N3612" s="18"/>
      <c r="O3612" s="18"/>
      <c r="P3612" s="18"/>
      <c r="Q3612" s="18"/>
    </row>
    <row r="3613" spans="1:17" ht="90" x14ac:dyDescent="0.25">
      <c r="A3613" s="18"/>
      <c r="B3613" s="18"/>
      <c r="C3613" s="18"/>
      <c r="D3613" s="18"/>
      <c r="E3613" s="18"/>
      <c r="F3613" s="18"/>
      <c r="G3613" s="18"/>
      <c r="H3613" s="18"/>
      <c r="I3613" s="18"/>
      <c r="J3613" s="18"/>
      <c r="K3613" s="18"/>
      <c r="L3613" s="9" t="s">
        <v>121</v>
      </c>
      <c r="M3613" s="18"/>
      <c r="N3613" s="18"/>
      <c r="O3613" s="18"/>
      <c r="P3613" s="18"/>
      <c r="Q3613" s="18"/>
    </row>
    <row r="3614" spans="1:17" ht="75" x14ac:dyDescent="0.25">
      <c r="A3614" s="9" t="s">
        <v>6892</v>
      </c>
      <c r="B3614" s="9" t="s">
        <v>6893</v>
      </c>
      <c r="C3614" s="9" t="s">
        <v>6894</v>
      </c>
      <c r="D3614" s="9" t="s">
        <v>6742</v>
      </c>
      <c r="E3614" s="9" t="s">
        <v>3231</v>
      </c>
      <c r="F3614" s="9" t="s">
        <v>3232</v>
      </c>
      <c r="G3614" s="10" t="s">
        <v>6386</v>
      </c>
      <c r="H3614" s="9"/>
      <c r="I3614" s="9"/>
      <c r="J3614" s="9"/>
      <c r="K3614" s="9"/>
      <c r="L3614" s="9"/>
      <c r="M3614" s="9" t="s">
        <v>3233</v>
      </c>
      <c r="N3614" s="9"/>
      <c r="O3614" s="9" t="s">
        <v>3234</v>
      </c>
      <c r="P3614" s="9" t="str">
        <f>HYPERLINK("https://ceds.ed.gov/cedselementdetails.aspx?termid=14141")</f>
        <v>https://ceds.ed.gov/cedselementdetails.aspx?termid=14141</v>
      </c>
      <c r="Q3614" s="9" t="str">
        <f>HYPERLINK("https://ceds.ed.gov/elementComment.aspx?elementName=Identification System for Assessment Form Section &amp;elementID=14141", "Click here to submit comment")</f>
        <v>Click here to submit comment</v>
      </c>
    </row>
    <row r="3615" spans="1:17" ht="75" x14ac:dyDescent="0.25">
      <c r="A3615" s="18" t="s">
        <v>6892</v>
      </c>
      <c r="B3615" s="18" t="s">
        <v>6893</v>
      </c>
      <c r="C3615" s="18" t="s">
        <v>6894</v>
      </c>
      <c r="D3615" s="18" t="s">
        <v>6742</v>
      </c>
      <c r="E3615" s="18" t="s">
        <v>536</v>
      </c>
      <c r="F3615" s="18" t="s">
        <v>537</v>
      </c>
      <c r="G3615" s="18" t="s">
        <v>12</v>
      </c>
      <c r="H3615" s="18"/>
      <c r="I3615" s="18"/>
      <c r="J3615" s="18" t="s">
        <v>119</v>
      </c>
      <c r="K3615" s="18"/>
      <c r="L3615" s="9" t="s">
        <v>516</v>
      </c>
      <c r="M3615" s="18" t="s">
        <v>539</v>
      </c>
      <c r="N3615" s="18"/>
      <c r="O3615" s="18" t="s">
        <v>540</v>
      </c>
      <c r="P3615" s="18" t="str">
        <f>HYPERLINK("https://ceds.ed.gov/cedselementdetails.aspx?termid=13981")</f>
        <v>https://ceds.ed.gov/cedselementdetails.aspx?termid=13981</v>
      </c>
      <c r="Q3615" s="18" t="str">
        <f>HYPERLINK("https://ceds.ed.gov/elementComment.aspx?elementName=Assessment Form Section GUID &amp;elementID=13981", "Click here to submit comment")</f>
        <v>Click here to submit comment</v>
      </c>
    </row>
    <row r="3616" spans="1:17" x14ac:dyDescent="0.25">
      <c r="A3616" s="18"/>
      <c r="B3616" s="18"/>
      <c r="C3616" s="18"/>
      <c r="D3616" s="18"/>
      <c r="E3616" s="18"/>
      <c r="F3616" s="18"/>
      <c r="G3616" s="18"/>
      <c r="H3616" s="18"/>
      <c r="I3616" s="18"/>
      <c r="J3616" s="18"/>
      <c r="K3616" s="18"/>
      <c r="L3616" s="9"/>
      <c r="M3616" s="18"/>
      <c r="N3616" s="18"/>
      <c r="O3616" s="18"/>
      <c r="P3616" s="18"/>
      <c r="Q3616" s="18"/>
    </row>
    <row r="3617" spans="1:17" ht="60" x14ac:dyDescent="0.25">
      <c r="A3617" s="18"/>
      <c r="B3617" s="18"/>
      <c r="C3617" s="18"/>
      <c r="D3617" s="18"/>
      <c r="E3617" s="18"/>
      <c r="F3617" s="18"/>
      <c r="G3617" s="18"/>
      <c r="H3617" s="18"/>
      <c r="I3617" s="18"/>
      <c r="J3617" s="18"/>
      <c r="K3617" s="18"/>
      <c r="L3617" s="9" t="s">
        <v>517</v>
      </c>
      <c r="M3617" s="18"/>
      <c r="N3617" s="18"/>
      <c r="O3617" s="18"/>
      <c r="P3617" s="18"/>
      <c r="Q3617" s="18"/>
    </row>
    <row r="3618" spans="1:17" ht="75" x14ac:dyDescent="0.25">
      <c r="A3618" s="18" t="s">
        <v>6892</v>
      </c>
      <c r="B3618" s="18" t="s">
        <v>6893</v>
      </c>
      <c r="C3618" s="18" t="s">
        <v>6894</v>
      </c>
      <c r="D3618" s="18" t="s">
        <v>6742</v>
      </c>
      <c r="E3618" s="18" t="s">
        <v>505</v>
      </c>
      <c r="F3618" s="18" t="s">
        <v>506</v>
      </c>
      <c r="G3618" s="18" t="s">
        <v>12</v>
      </c>
      <c r="H3618" s="18"/>
      <c r="I3618" s="18"/>
      <c r="J3618" s="18" t="s">
        <v>119</v>
      </c>
      <c r="K3618" s="18"/>
      <c r="L3618" s="9" t="s">
        <v>507</v>
      </c>
      <c r="M3618" s="18" t="s">
        <v>508</v>
      </c>
      <c r="N3618" s="18"/>
      <c r="O3618" s="18" t="s">
        <v>509</v>
      </c>
      <c r="P3618" s="18" t="str">
        <f>HYPERLINK("https://ceds.ed.gov/cedselementdetails.aspx?termid=14508")</f>
        <v>https://ceds.ed.gov/cedselementdetails.aspx?termid=14508</v>
      </c>
      <c r="Q3618" s="18" t="str">
        <f>HYPERLINK("https://ceds.ed.gov/elementComment.aspx?elementName=Assessment Form Algorithm Identifier &amp;elementID=14508", "Click here to submit comment")</f>
        <v>Click here to submit comment</v>
      </c>
    </row>
    <row r="3619" spans="1:17" x14ac:dyDescent="0.25">
      <c r="A3619" s="18"/>
      <c r="B3619" s="18"/>
      <c r="C3619" s="18"/>
      <c r="D3619" s="18"/>
      <c r="E3619" s="18"/>
      <c r="F3619" s="18"/>
      <c r="G3619" s="18"/>
      <c r="H3619" s="18"/>
      <c r="I3619" s="18"/>
      <c r="J3619" s="18"/>
      <c r="K3619" s="18"/>
      <c r="L3619" s="9"/>
      <c r="M3619" s="18"/>
      <c r="N3619" s="18"/>
      <c r="O3619" s="18"/>
      <c r="P3619" s="18"/>
      <c r="Q3619" s="18"/>
    </row>
    <row r="3620" spans="1:17" ht="105" x14ac:dyDescent="0.25">
      <c r="A3620" s="18"/>
      <c r="B3620" s="18"/>
      <c r="C3620" s="18"/>
      <c r="D3620" s="18"/>
      <c r="E3620" s="18"/>
      <c r="F3620" s="18"/>
      <c r="G3620" s="18"/>
      <c r="H3620" s="18"/>
      <c r="I3620" s="18"/>
      <c r="J3620" s="18"/>
      <c r="K3620" s="18"/>
      <c r="L3620" s="9" t="s">
        <v>120</v>
      </c>
      <c r="M3620" s="18"/>
      <c r="N3620" s="18"/>
      <c r="O3620" s="18"/>
      <c r="P3620" s="18"/>
      <c r="Q3620" s="18"/>
    </row>
    <row r="3621" spans="1:17" x14ac:dyDescent="0.25">
      <c r="A3621" s="18"/>
      <c r="B3621" s="18"/>
      <c r="C3621" s="18"/>
      <c r="D3621" s="18"/>
      <c r="E3621" s="18"/>
      <c r="F3621" s="18"/>
      <c r="G3621" s="18"/>
      <c r="H3621" s="18"/>
      <c r="I3621" s="18"/>
      <c r="J3621" s="18"/>
      <c r="K3621" s="18"/>
      <c r="L3621" s="9"/>
      <c r="M3621" s="18"/>
      <c r="N3621" s="18"/>
      <c r="O3621" s="18"/>
      <c r="P3621" s="18"/>
      <c r="Q3621" s="18"/>
    </row>
    <row r="3622" spans="1:17" ht="90" x14ac:dyDescent="0.25">
      <c r="A3622" s="18"/>
      <c r="B3622" s="18"/>
      <c r="C3622" s="18"/>
      <c r="D3622" s="18"/>
      <c r="E3622" s="18"/>
      <c r="F3622" s="18"/>
      <c r="G3622" s="18"/>
      <c r="H3622" s="18"/>
      <c r="I3622" s="18"/>
      <c r="J3622" s="18"/>
      <c r="K3622" s="18"/>
      <c r="L3622" s="9" t="s">
        <v>121</v>
      </c>
      <c r="M3622" s="18"/>
      <c r="N3622" s="18"/>
      <c r="O3622" s="18"/>
      <c r="P3622" s="18"/>
      <c r="Q3622" s="18"/>
    </row>
    <row r="3623" spans="1:17" ht="330" x14ac:dyDescent="0.25">
      <c r="A3623" s="9" t="s">
        <v>6892</v>
      </c>
      <c r="B3623" s="9" t="s">
        <v>6893</v>
      </c>
      <c r="C3623" s="9" t="s">
        <v>6894</v>
      </c>
      <c r="D3623" s="9" t="s">
        <v>6742</v>
      </c>
      <c r="E3623" s="9" t="s">
        <v>379</v>
      </c>
      <c r="F3623" s="9" t="s">
        <v>380</v>
      </c>
      <c r="G3623" s="10" t="s">
        <v>6344</v>
      </c>
      <c r="H3623" s="9" t="s">
        <v>6126</v>
      </c>
      <c r="I3623" s="9"/>
      <c r="J3623" s="9"/>
      <c r="K3623" s="9"/>
      <c r="L3623" s="9"/>
      <c r="M3623" s="9" t="s">
        <v>381</v>
      </c>
      <c r="N3623" s="9"/>
      <c r="O3623" s="9" t="s">
        <v>382</v>
      </c>
      <c r="P3623" s="9" t="str">
        <f>HYPERLINK("https://ceds.ed.gov/cedselementdetails.aspx?termid=13021")</f>
        <v>https://ceds.ed.gov/cedselementdetails.aspx?termid=13021</v>
      </c>
      <c r="Q3623" s="9" t="str">
        <f>HYPERLINK("https://ceds.ed.gov/elementComment.aspx?elementName=Assessment Academic Subject &amp;elementID=13021", "Click here to submit comment")</f>
        <v>Click here to submit comment</v>
      </c>
    </row>
    <row r="3624" spans="1:17" ht="45" x14ac:dyDescent="0.25">
      <c r="A3624" s="9" t="s">
        <v>6892</v>
      </c>
      <c r="B3624" s="9" t="s">
        <v>6893</v>
      </c>
      <c r="C3624" s="9" t="s">
        <v>6894</v>
      </c>
      <c r="D3624" s="9" t="s">
        <v>6742</v>
      </c>
      <c r="E3624" s="9" t="s">
        <v>558</v>
      </c>
      <c r="F3624" s="9" t="s">
        <v>559</v>
      </c>
      <c r="G3624" s="9" t="s">
        <v>12</v>
      </c>
      <c r="H3624" s="9"/>
      <c r="I3624" s="9"/>
      <c r="J3624" s="9" t="s">
        <v>134</v>
      </c>
      <c r="K3624" s="9"/>
      <c r="L3624" s="9"/>
      <c r="M3624" s="9" t="s">
        <v>560</v>
      </c>
      <c r="N3624" s="9"/>
      <c r="O3624" s="9" t="s">
        <v>561</v>
      </c>
      <c r="P3624" s="9" t="str">
        <f>HYPERLINK("https://ceds.ed.gov/cedselementdetails.aspx?termid=13980")</f>
        <v>https://ceds.ed.gov/cedselementdetails.aspx?termid=13980</v>
      </c>
      <c r="Q3624" s="9" t="str">
        <f>HYPERLINK("https://ceds.ed.gov/elementComment.aspx?elementName=Assessment Form Section Sequence Number &amp;elementID=13980", "Click here to submit comment")</f>
        <v>Click here to submit comment</v>
      </c>
    </row>
    <row r="3625" spans="1:17" ht="45" x14ac:dyDescent="0.25">
      <c r="A3625" s="9" t="s">
        <v>6892</v>
      </c>
      <c r="B3625" s="9" t="s">
        <v>6893</v>
      </c>
      <c r="C3625" s="9" t="s">
        <v>6894</v>
      </c>
      <c r="D3625" s="9" t="s">
        <v>6742</v>
      </c>
      <c r="E3625" s="9" t="s">
        <v>566</v>
      </c>
      <c r="F3625" s="9" t="s">
        <v>567</v>
      </c>
      <c r="G3625" s="9" t="s">
        <v>12</v>
      </c>
      <c r="H3625" s="9"/>
      <c r="I3625" s="9"/>
      <c r="J3625" s="9" t="s">
        <v>87</v>
      </c>
      <c r="K3625" s="9"/>
      <c r="L3625" s="9"/>
      <c r="M3625" s="9" t="s">
        <v>568</v>
      </c>
      <c r="N3625" s="9"/>
      <c r="O3625" s="9" t="s">
        <v>569</v>
      </c>
      <c r="P3625" s="9" t="str">
        <f>HYPERLINK("https://ceds.ed.gov/cedselementdetails.aspx?termid=14140")</f>
        <v>https://ceds.ed.gov/cedselementdetails.aspx?termid=14140</v>
      </c>
      <c r="Q3625" s="9" t="str">
        <f>HYPERLINK("https://ceds.ed.gov/elementComment.aspx?elementName=Assessment Form Section Version &amp;elementID=14140", "Click here to submit comment")</f>
        <v>Click here to submit comment</v>
      </c>
    </row>
    <row r="3626" spans="1:17" ht="60" x14ac:dyDescent="0.25">
      <c r="A3626" s="9" t="s">
        <v>6892</v>
      </c>
      <c r="B3626" s="9" t="s">
        <v>6893</v>
      </c>
      <c r="C3626" s="9" t="s">
        <v>6894</v>
      </c>
      <c r="D3626" s="9" t="s">
        <v>6742</v>
      </c>
      <c r="E3626" s="9" t="s">
        <v>562</v>
      </c>
      <c r="F3626" s="9" t="s">
        <v>563</v>
      </c>
      <c r="G3626" s="9" t="s">
        <v>12</v>
      </c>
      <c r="H3626" s="9"/>
      <c r="I3626" s="9"/>
      <c r="J3626" s="9" t="s">
        <v>406</v>
      </c>
      <c r="K3626" s="9"/>
      <c r="L3626" s="9"/>
      <c r="M3626" s="9" t="s">
        <v>564</v>
      </c>
      <c r="N3626" s="9"/>
      <c r="O3626" s="9" t="s">
        <v>565</v>
      </c>
      <c r="P3626" s="9" t="str">
        <f>HYPERLINK("https://ceds.ed.gov/cedselementdetails.aspx?termid=14143")</f>
        <v>https://ceds.ed.gov/cedselementdetails.aspx?termid=14143</v>
      </c>
      <c r="Q3626" s="9" t="str">
        <f>HYPERLINK("https://ceds.ed.gov/elementComment.aspx?elementName=Assessment Form Section Time Limit &amp;elementID=14143", "Click here to submit comment")</f>
        <v>Click here to submit comment</v>
      </c>
    </row>
    <row r="3627" spans="1:17" ht="60" x14ac:dyDescent="0.25">
      <c r="A3627" s="9" t="s">
        <v>6892</v>
      </c>
      <c r="B3627" s="9" t="s">
        <v>6893</v>
      </c>
      <c r="C3627" s="9" t="s">
        <v>6894</v>
      </c>
      <c r="D3627" s="9" t="s">
        <v>6742</v>
      </c>
      <c r="E3627" s="9" t="s">
        <v>554</v>
      </c>
      <c r="F3627" s="9" t="s">
        <v>555</v>
      </c>
      <c r="G3627" s="9" t="s">
        <v>6106</v>
      </c>
      <c r="H3627" s="9"/>
      <c r="I3627" s="9"/>
      <c r="J3627" s="9"/>
      <c r="K3627" s="9"/>
      <c r="L3627" s="9"/>
      <c r="M3627" s="9" t="s">
        <v>556</v>
      </c>
      <c r="N3627" s="9"/>
      <c r="O3627" s="9" t="s">
        <v>557</v>
      </c>
      <c r="P3627" s="9" t="str">
        <f>HYPERLINK("https://ceds.ed.gov/cedselementdetails.aspx?termid=14144")</f>
        <v>https://ceds.ed.gov/cedselementdetails.aspx?termid=14144</v>
      </c>
      <c r="Q3627" s="9" t="str">
        <f>HYPERLINK("https://ceds.ed.gov/elementComment.aspx?elementName=Assessment Form Section Sealed &amp;elementID=14144", "Click here to submit comment")</f>
        <v>Click here to submit comment</v>
      </c>
    </row>
    <row r="3628" spans="1:17" ht="150" x14ac:dyDescent="0.25">
      <c r="A3628" s="9" t="s">
        <v>6892</v>
      </c>
      <c r="B3628" s="9" t="s">
        <v>6893</v>
      </c>
      <c r="C3628" s="9" t="s">
        <v>6894</v>
      </c>
      <c r="D3628" s="9" t="s">
        <v>6742</v>
      </c>
      <c r="E3628" s="9" t="s">
        <v>550</v>
      </c>
      <c r="F3628" s="9" t="s">
        <v>551</v>
      </c>
      <c r="G3628" s="9" t="s">
        <v>6106</v>
      </c>
      <c r="H3628" s="9"/>
      <c r="I3628" s="9"/>
      <c r="J3628" s="9"/>
      <c r="K3628" s="9"/>
      <c r="L3628" s="9"/>
      <c r="M3628" s="9" t="s">
        <v>552</v>
      </c>
      <c r="N3628" s="9"/>
      <c r="O3628" s="9" t="s">
        <v>553</v>
      </c>
      <c r="P3628" s="9" t="str">
        <f>HYPERLINK("https://ceds.ed.gov/cedselementdetails.aspx?termid=14145")</f>
        <v>https://ceds.ed.gov/cedselementdetails.aspx?termid=14145</v>
      </c>
      <c r="Q3628" s="9" t="str">
        <f>HYPERLINK("https://ceds.ed.gov/elementComment.aspx?elementName=Assessment Form Section Reentry &amp;elementID=14145", "Click here to submit comment")</f>
        <v>Click here to submit comment</v>
      </c>
    </row>
    <row r="3629" spans="1:17" ht="60" x14ac:dyDescent="0.25">
      <c r="A3629" s="9" t="s">
        <v>6892</v>
      </c>
      <c r="B3629" s="9" t="s">
        <v>6893</v>
      </c>
      <c r="C3629" s="9" t="s">
        <v>6894</v>
      </c>
      <c r="D3629" s="9" t="s">
        <v>6742</v>
      </c>
      <c r="E3629" s="9" t="s">
        <v>3852</v>
      </c>
      <c r="F3629" s="9" t="s">
        <v>3853</v>
      </c>
      <c r="G3629" s="9" t="s">
        <v>12</v>
      </c>
      <c r="H3629" s="9"/>
      <c r="I3629" s="9"/>
      <c r="J3629" s="9" t="s">
        <v>73</v>
      </c>
      <c r="K3629" s="9"/>
      <c r="L3629" s="9"/>
      <c r="M3629" s="9" t="s">
        <v>3854</v>
      </c>
      <c r="N3629" s="9"/>
      <c r="O3629" s="9" t="s">
        <v>3855</v>
      </c>
      <c r="P3629" s="9" t="str">
        <f>HYPERLINK("https://ceds.ed.gov/cedselementdetails.aspx?termid=14135")</f>
        <v>https://ceds.ed.gov/cedselementdetails.aspx?termid=14135</v>
      </c>
      <c r="Q3629" s="9" t="str">
        <f>HYPERLINK("https://ceds.ed.gov/elementComment.aspx?elementName=Learning Resource Published Date &amp;elementID=14135", "Click here to submit comment")</f>
        <v>Click here to submit comment</v>
      </c>
    </row>
    <row r="3630" spans="1:17" ht="60" x14ac:dyDescent="0.25">
      <c r="A3630" s="9" t="s">
        <v>6892</v>
      </c>
      <c r="B3630" s="9" t="s">
        <v>6893</v>
      </c>
      <c r="C3630" s="9" t="s">
        <v>6895</v>
      </c>
      <c r="D3630" s="9" t="s">
        <v>6742</v>
      </c>
      <c r="E3630" s="9" t="s">
        <v>545</v>
      </c>
      <c r="F3630" s="9" t="s">
        <v>546</v>
      </c>
      <c r="G3630" s="9" t="s">
        <v>6106</v>
      </c>
      <c r="H3630" s="9"/>
      <c r="I3630" s="9"/>
      <c r="J3630" s="9"/>
      <c r="K3630" s="9"/>
      <c r="L3630" s="9"/>
      <c r="M3630" s="9" t="s">
        <v>548</v>
      </c>
      <c r="N3630" s="9"/>
      <c r="O3630" s="9" t="s">
        <v>549</v>
      </c>
      <c r="P3630" s="9" t="str">
        <f>HYPERLINK("https://ceds.ed.gov/cedselementdetails.aspx?termid=14511")</f>
        <v>https://ceds.ed.gov/cedselementdetails.aspx?termid=14511</v>
      </c>
      <c r="Q3630" s="9" t="str">
        <f>HYPERLINK("https://ceds.ed.gov/elementComment.aspx?elementName=Assessment Form Section Item Field Test Indicator &amp;elementID=14511", "Click here to submit comment")</f>
        <v>Click here to submit comment</v>
      </c>
    </row>
    <row r="3631" spans="1:17" ht="150" x14ac:dyDescent="0.25">
      <c r="A3631" s="9" t="s">
        <v>6892</v>
      </c>
      <c r="B3631" s="9" t="s">
        <v>6893</v>
      </c>
      <c r="C3631" s="9" t="s">
        <v>6896</v>
      </c>
      <c r="D3631" s="9" t="s">
        <v>6742</v>
      </c>
      <c r="E3631" s="9" t="s">
        <v>574</v>
      </c>
      <c r="F3631" s="9" t="s">
        <v>575</v>
      </c>
      <c r="G3631" s="9" t="s">
        <v>12</v>
      </c>
      <c r="H3631" s="9"/>
      <c r="I3631" s="9"/>
      <c r="J3631" s="9" t="s">
        <v>134</v>
      </c>
      <c r="K3631" s="9"/>
      <c r="L3631" s="9"/>
      <c r="M3631" s="9" t="s">
        <v>577</v>
      </c>
      <c r="N3631" s="9"/>
      <c r="O3631" s="9" t="s">
        <v>578</v>
      </c>
      <c r="P3631" s="9" t="str">
        <f>HYPERLINK("https://ceds.ed.gov/cedselementdetails.aspx?termid=14013")</f>
        <v>https://ceds.ed.gov/cedselementdetails.aspx?termid=14013</v>
      </c>
      <c r="Q3631" s="9" t="str">
        <f>HYPERLINK("https://ceds.ed.gov/elementComment.aspx?elementName=Assessment Form Subtest Item Weight Correct &amp;elementID=14013", "Click here to submit comment")</f>
        <v>Click here to submit comment</v>
      </c>
    </row>
    <row r="3632" spans="1:17" ht="90" x14ac:dyDescent="0.25">
      <c r="A3632" s="9" t="s">
        <v>6892</v>
      </c>
      <c r="B3632" s="9" t="s">
        <v>6893</v>
      </c>
      <c r="C3632" s="9" t="s">
        <v>6896</v>
      </c>
      <c r="D3632" s="9" t="s">
        <v>6742</v>
      </c>
      <c r="E3632" s="9" t="s">
        <v>579</v>
      </c>
      <c r="F3632" s="9" t="s">
        <v>580</v>
      </c>
      <c r="G3632" s="9" t="s">
        <v>12</v>
      </c>
      <c r="H3632" s="9"/>
      <c r="I3632" s="9"/>
      <c r="J3632" s="9" t="s">
        <v>134</v>
      </c>
      <c r="K3632" s="9"/>
      <c r="L3632" s="9"/>
      <c r="M3632" s="9" t="s">
        <v>581</v>
      </c>
      <c r="N3632" s="9"/>
      <c r="O3632" s="9" t="s">
        <v>582</v>
      </c>
      <c r="P3632" s="9" t="str">
        <f>HYPERLINK("https://ceds.ed.gov/cedselementdetails.aspx?termid=14014")</f>
        <v>https://ceds.ed.gov/cedselementdetails.aspx?termid=14014</v>
      </c>
      <c r="Q3632" s="9" t="str">
        <f>HYPERLINK("https://ceds.ed.gov/elementComment.aspx?elementName=Assessment Form Subtest Item Weight Incorrect &amp;elementID=14014", "Click here to submit comment")</f>
        <v>Click here to submit comment</v>
      </c>
    </row>
    <row r="3633" spans="1:17" ht="105" x14ac:dyDescent="0.25">
      <c r="A3633" s="9" t="s">
        <v>6892</v>
      </c>
      <c r="B3633" s="9" t="s">
        <v>6893</v>
      </c>
      <c r="C3633" s="9" t="s">
        <v>6896</v>
      </c>
      <c r="D3633" s="9" t="s">
        <v>6742</v>
      </c>
      <c r="E3633" s="9" t="s">
        <v>583</v>
      </c>
      <c r="F3633" s="9" t="s">
        <v>584</v>
      </c>
      <c r="G3633" s="9" t="s">
        <v>12</v>
      </c>
      <c r="H3633" s="9"/>
      <c r="I3633" s="9"/>
      <c r="J3633" s="9" t="s">
        <v>134</v>
      </c>
      <c r="K3633" s="9"/>
      <c r="L3633" s="9"/>
      <c r="M3633" s="9" t="s">
        <v>585</v>
      </c>
      <c r="N3633" s="9"/>
      <c r="O3633" s="9" t="s">
        <v>586</v>
      </c>
      <c r="P3633" s="9" t="str">
        <f>HYPERLINK("https://ceds.ed.gov/cedselementdetails.aspx?termid=14015")</f>
        <v>https://ceds.ed.gov/cedselementdetails.aspx?termid=14015</v>
      </c>
      <c r="Q3633" s="9" t="str">
        <f>HYPERLINK("https://ceds.ed.gov/elementComment.aspx?elementName=Assessment Form Subtest Item Weight Not Attempted &amp;elementID=14015", "Click here to submit comment")</f>
        <v>Click here to submit comment</v>
      </c>
    </row>
    <row r="3634" spans="1:17" ht="105" x14ac:dyDescent="0.25">
      <c r="A3634" s="18" t="s">
        <v>6892</v>
      </c>
      <c r="B3634" s="18" t="s">
        <v>6898</v>
      </c>
      <c r="C3634" s="18"/>
      <c r="D3634" s="18" t="s">
        <v>6742</v>
      </c>
      <c r="E3634" s="18" t="s">
        <v>765</v>
      </c>
      <c r="F3634" s="18" t="s">
        <v>766</v>
      </c>
      <c r="G3634" s="18" t="s">
        <v>12</v>
      </c>
      <c r="H3634" s="18" t="s">
        <v>6135</v>
      </c>
      <c r="I3634" s="18"/>
      <c r="J3634" s="18" t="s">
        <v>119</v>
      </c>
      <c r="K3634" s="18"/>
      <c r="L3634" s="9" t="s">
        <v>120</v>
      </c>
      <c r="M3634" s="18" t="s">
        <v>767</v>
      </c>
      <c r="N3634" s="18"/>
      <c r="O3634" s="18" t="s">
        <v>768</v>
      </c>
      <c r="P3634" s="18" t="str">
        <f>HYPERLINK("https://ceds.ed.gov/cedselementdetails.aspx?termid=13623")</f>
        <v>https://ceds.ed.gov/cedselementdetails.aspx?termid=13623</v>
      </c>
      <c r="Q3634" s="18" t="str">
        <f>HYPERLINK("https://ceds.ed.gov/elementComment.aspx?elementName=Assessment Item Identifier &amp;elementID=13623", "Click here to submit comment")</f>
        <v>Click here to submit comment</v>
      </c>
    </row>
    <row r="3635" spans="1:17" x14ac:dyDescent="0.25">
      <c r="A3635" s="18"/>
      <c r="B3635" s="18"/>
      <c r="C3635" s="18"/>
      <c r="D3635" s="18"/>
      <c r="E3635" s="18"/>
      <c r="F3635" s="18"/>
      <c r="G3635" s="18"/>
      <c r="H3635" s="18"/>
      <c r="I3635" s="18"/>
      <c r="J3635" s="18"/>
      <c r="K3635" s="18"/>
      <c r="L3635" s="9"/>
      <c r="M3635" s="18"/>
      <c r="N3635" s="18"/>
      <c r="O3635" s="18"/>
      <c r="P3635" s="18"/>
      <c r="Q3635" s="18"/>
    </row>
    <row r="3636" spans="1:17" ht="90" x14ac:dyDescent="0.25">
      <c r="A3636" s="18"/>
      <c r="B3636" s="18"/>
      <c r="C3636" s="18"/>
      <c r="D3636" s="18"/>
      <c r="E3636" s="18"/>
      <c r="F3636" s="18"/>
      <c r="G3636" s="18"/>
      <c r="H3636" s="18"/>
      <c r="I3636" s="18"/>
      <c r="J3636" s="18"/>
      <c r="K3636" s="18"/>
      <c r="L3636" s="9" t="s">
        <v>121</v>
      </c>
      <c r="M3636" s="18"/>
      <c r="N3636" s="18"/>
      <c r="O3636" s="18"/>
      <c r="P3636" s="18"/>
      <c r="Q3636" s="18"/>
    </row>
    <row r="3637" spans="1:17" ht="315" x14ac:dyDescent="0.25">
      <c r="A3637" s="9" t="s">
        <v>6892</v>
      </c>
      <c r="B3637" s="9" t="s">
        <v>6898</v>
      </c>
      <c r="C3637" s="9"/>
      <c r="D3637" s="9" t="s">
        <v>6742</v>
      </c>
      <c r="E3637" s="9" t="s">
        <v>960</v>
      </c>
      <c r="F3637" s="9" t="s">
        <v>961</v>
      </c>
      <c r="G3637" s="10" t="s">
        <v>6357</v>
      </c>
      <c r="H3637" s="9" t="s">
        <v>6135</v>
      </c>
      <c r="I3637" s="9"/>
      <c r="J3637" s="9"/>
      <c r="K3637" s="9"/>
      <c r="L3637" s="9"/>
      <c r="M3637" s="9" t="s">
        <v>962</v>
      </c>
      <c r="N3637" s="9"/>
      <c r="O3637" s="9" t="s">
        <v>963</v>
      </c>
      <c r="P3637" s="9" t="str">
        <f>HYPERLINK("https://ceds.ed.gov/cedselementdetails.aspx?termid=13382")</f>
        <v>https://ceds.ed.gov/cedselementdetails.aspx?termid=13382</v>
      </c>
      <c r="Q3637" s="9" t="str">
        <f>HYPERLINK("https://ceds.ed.gov/elementComment.aspx?elementName=Assessment Item Type &amp;elementID=13382", "Click here to submit comment")</f>
        <v>Click here to submit comment</v>
      </c>
    </row>
    <row r="3638" spans="1:17" ht="105" x14ac:dyDescent="0.25">
      <c r="A3638" s="18" t="s">
        <v>6892</v>
      </c>
      <c r="B3638" s="18" t="s">
        <v>6898</v>
      </c>
      <c r="C3638" s="18"/>
      <c r="D3638" s="18" t="s">
        <v>6742</v>
      </c>
      <c r="E3638" s="18" t="s">
        <v>650</v>
      </c>
      <c r="F3638" s="18" t="s">
        <v>651</v>
      </c>
      <c r="G3638" s="18" t="s">
        <v>12</v>
      </c>
      <c r="H3638" s="18"/>
      <c r="I3638" s="18"/>
      <c r="J3638" s="18" t="s">
        <v>119</v>
      </c>
      <c r="K3638" s="18"/>
      <c r="L3638" s="9" t="s">
        <v>120</v>
      </c>
      <c r="M3638" s="18" t="s">
        <v>652</v>
      </c>
      <c r="N3638" s="18"/>
      <c r="O3638" s="18" t="s">
        <v>653</v>
      </c>
      <c r="P3638" s="18" t="str">
        <f>HYPERLINK("https://ceds.ed.gov/cedselementdetails.aspx?termid=14132")</f>
        <v>https://ceds.ed.gov/cedselementdetails.aspx?termid=14132</v>
      </c>
      <c r="Q3638" s="18" t="str">
        <f>HYPERLINK("https://ceds.ed.gov/elementComment.aspx?elementName=Assessment Item Bank Identifier &amp;elementID=14132", "Click here to submit comment")</f>
        <v>Click here to submit comment</v>
      </c>
    </row>
    <row r="3639" spans="1:17" x14ac:dyDescent="0.25">
      <c r="A3639" s="18"/>
      <c r="B3639" s="18"/>
      <c r="C3639" s="18"/>
      <c r="D3639" s="18"/>
      <c r="E3639" s="18"/>
      <c r="F3639" s="18"/>
      <c r="G3639" s="18"/>
      <c r="H3639" s="18"/>
      <c r="I3639" s="18"/>
      <c r="J3639" s="18"/>
      <c r="K3639" s="18"/>
      <c r="L3639" s="9"/>
      <c r="M3639" s="18"/>
      <c r="N3639" s="18"/>
      <c r="O3639" s="18"/>
      <c r="P3639" s="18"/>
      <c r="Q3639" s="18"/>
    </row>
    <row r="3640" spans="1:17" ht="90" x14ac:dyDescent="0.25">
      <c r="A3640" s="18"/>
      <c r="B3640" s="18"/>
      <c r="C3640" s="18"/>
      <c r="D3640" s="18"/>
      <c r="E3640" s="18"/>
      <c r="F3640" s="18"/>
      <c r="G3640" s="18"/>
      <c r="H3640" s="18"/>
      <c r="I3640" s="18"/>
      <c r="J3640" s="18"/>
      <c r="K3640" s="18"/>
      <c r="L3640" s="9" t="s">
        <v>121</v>
      </c>
      <c r="M3640" s="18"/>
      <c r="N3640" s="18"/>
      <c r="O3640" s="18"/>
      <c r="P3640" s="18"/>
      <c r="Q3640" s="18"/>
    </row>
    <row r="3641" spans="1:17" ht="45" x14ac:dyDescent="0.25">
      <c r="A3641" s="9" t="s">
        <v>6892</v>
      </c>
      <c r="B3641" s="9" t="s">
        <v>6898</v>
      </c>
      <c r="C3641" s="9"/>
      <c r="D3641" s="9" t="s">
        <v>6742</v>
      </c>
      <c r="E3641" s="9" t="s">
        <v>654</v>
      </c>
      <c r="F3641" s="9" t="s">
        <v>655</v>
      </c>
      <c r="G3641" s="9" t="s">
        <v>12</v>
      </c>
      <c r="H3641" s="9"/>
      <c r="I3641" s="9"/>
      <c r="J3641" s="9" t="s">
        <v>92</v>
      </c>
      <c r="K3641" s="9"/>
      <c r="L3641" s="9"/>
      <c r="M3641" s="9" t="s">
        <v>656</v>
      </c>
      <c r="N3641" s="9"/>
      <c r="O3641" s="9" t="s">
        <v>657</v>
      </c>
      <c r="P3641" s="9" t="str">
        <f>HYPERLINK("https://ceds.ed.gov/cedselementdetails.aspx?termid=14133")</f>
        <v>https://ceds.ed.gov/cedselementdetails.aspx?termid=14133</v>
      </c>
      <c r="Q3641" s="9" t="str">
        <f>HYPERLINK("https://ceds.ed.gov/elementComment.aspx?elementName=Assessment Item Bank Name &amp;elementID=14133", "Click here to submit comment")</f>
        <v>Click here to submit comment</v>
      </c>
    </row>
    <row r="3642" spans="1:17" ht="45" x14ac:dyDescent="0.25">
      <c r="A3642" s="9" t="s">
        <v>6892</v>
      </c>
      <c r="B3642" s="9" t="s">
        <v>6898</v>
      </c>
      <c r="C3642" s="9"/>
      <c r="D3642" s="9" t="s">
        <v>6742</v>
      </c>
      <c r="E3642" s="9" t="s">
        <v>808</v>
      </c>
      <c r="F3642" s="9" t="s">
        <v>809</v>
      </c>
      <c r="G3642" s="9" t="s">
        <v>6106</v>
      </c>
      <c r="H3642" s="9"/>
      <c r="I3642" s="9"/>
      <c r="J3642" s="9"/>
      <c r="K3642" s="9"/>
      <c r="L3642" s="9"/>
      <c r="M3642" s="9" t="s">
        <v>810</v>
      </c>
      <c r="N3642" s="9"/>
      <c r="O3642" s="9" t="s">
        <v>811</v>
      </c>
      <c r="P3642" s="9" t="str">
        <f>HYPERLINK("https://ceds.ed.gov/cedselementdetails.aspx?termid=14229")</f>
        <v>https://ceds.ed.gov/cedselementdetails.aspx?termid=14229</v>
      </c>
      <c r="Q3642" s="9" t="str">
        <f>HYPERLINK("https://ceds.ed.gov/elementComment.aspx?elementName=Assessment Item Release Status &amp;elementID=14229", "Click here to submit comment")</f>
        <v>Click here to submit comment</v>
      </c>
    </row>
    <row r="3643" spans="1:17" ht="330" x14ac:dyDescent="0.25">
      <c r="A3643" s="9" t="s">
        <v>6892</v>
      </c>
      <c r="B3643" s="9" t="s">
        <v>6898</v>
      </c>
      <c r="C3643" s="9"/>
      <c r="D3643" s="9" t="s">
        <v>6742</v>
      </c>
      <c r="E3643" s="9" t="s">
        <v>379</v>
      </c>
      <c r="F3643" s="9" t="s">
        <v>380</v>
      </c>
      <c r="G3643" s="10" t="s">
        <v>6344</v>
      </c>
      <c r="H3643" s="9" t="s">
        <v>6126</v>
      </c>
      <c r="I3643" s="9"/>
      <c r="J3643" s="9"/>
      <c r="K3643" s="9"/>
      <c r="L3643" s="9"/>
      <c r="M3643" s="9" t="s">
        <v>381</v>
      </c>
      <c r="N3643" s="9"/>
      <c r="O3643" s="9" t="s">
        <v>382</v>
      </c>
      <c r="P3643" s="9" t="str">
        <f>HYPERLINK("https://ceds.ed.gov/cedselementdetails.aspx?termid=13021")</f>
        <v>https://ceds.ed.gov/cedselementdetails.aspx?termid=13021</v>
      </c>
      <c r="Q3643" s="9" t="str">
        <f>HYPERLINK("https://ceds.ed.gov/elementComment.aspx?elementName=Assessment Academic Subject &amp;elementID=13021", "Click here to submit comment")</f>
        <v>Click here to submit comment</v>
      </c>
    </row>
    <row r="3644" spans="1:17" ht="105" x14ac:dyDescent="0.25">
      <c r="A3644" s="9" t="s">
        <v>6892</v>
      </c>
      <c r="B3644" s="9" t="s">
        <v>6898</v>
      </c>
      <c r="C3644" s="9"/>
      <c r="D3644" s="9" t="s">
        <v>6742</v>
      </c>
      <c r="E3644" s="9" t="s">
        <v>4288</v>
      </c>
      <c r="F3644" s="9" t="s">
        <v>4289</v>
      </c>
      <c r="G3644" s="10" t="s">
        <v>6623</v>
      </c>
      <c r="H3644" s="9"/>
      <c r="I3644" s="9"/>
      <c r="J3644" s="9"/>
      <c r="K3644" s="9"/>
      <c r="L3644" s="9"/>
      <c r="M3644" s="9" t="s">
        <v>4290</v>
      </c>
      <c r="N3644" s="9"/>
      <c r="O3644" s="9" t="s">
        <v>4291</v>
      </c>
      <c r="P3644" s="9" t="str">
        <f>HYPERLINK("https://ceds.ed.gov/cedselementdetails.aspx?termid=14166")</f>
        <v>https://ceds.ed.gov/cedselementdetails.aspx?termid=14166</v>
      </c>
      <c r="Q3644" s="9" t="str">
        <f>HYPERLINK("https://ceds.ed.gov/elementComment.aspx?elementName=NAEP Aspects of Reading &amp;elementID=14166", "Click here to submit comment")</f>
        <v>Click here to submit comment</v>
      </c>
    </row>
    <row r="3645" spans="1:17" ht="75" x14ac:dyDescent="0.25">
      <c r="A3645" s="9" t="s">
        <v>6892</v>
      </c>
      <c r="B3645" s="9" t="s">
        <v>6898</v>
      </c>
      <c r="C3645" s="9"/>
      <c r="D3645" s="9" t="s">
        <v>6742</v>
      </c>
      <c r="E3645" s="9" t="s">
        <v>4292</v>
      </c>
      <c r="F3645" s="9" t="s">
        <v>4293</v>
      </c>
      <c r="G3645" s="10" t="s">
        <v>6624</v>
      </c>
      <c r="H3645" s="9"/>
      <c r="I3645" s="9"/>
      <c r="J3645" s="9"/>
      <c r="K3645" s="9"/>
      <c r="L3645" s="9"/>
      <c r="M3645" s="9" t="s">
        <v>4294</v>
      </c>
      <c r="N3645" s="9"/>
      <c r="O3645" s="9" t="s">
        <v>4295</v>
      </c>
      <c r="P3645" s="9" t="str">
        <f>HYPERLINK("https://ceds.ed.gov/cedselementdetails.aspx?termid=14072")</f>
        <v>https://ceds.ed.gov/cedselementdetails.aspx?termid=14072</v>
      </c>
      <c r="Q3645" s="9" t="str">
        <f>HYPERLINK("https://ceds.ed.gov/elementComment.aspx?elementName=NAEP Mathematical Complexity Level &amp;elementID=14072", "Click here to submit comment")</f>
        <v>Click here to submit comment</v>
      </c>
    </row>
    <row r="3646" spans="1:17" ht="360" x14ac:dyDescent="0.25">
      <c r="A3646" s="9" t="s">
        <v>6892</v>
      </c>
      <c r="B3646" s="9" t="s">
        <v>6898</v>
      </c>
      <c r="C3646" s="9"/>
      <c r="D3646" s="9" t="s">
        <v>6742</v>
      </c>
      <c r="E3646" s="9" t="s">
        <v>970</v>
      </c>
      <c r="F3646" s="9" t="s">
        <v>971</v>
      </c>
      <c r="G3646" s="10" t="s">
        <v>6358</v>
      </c>
      <c r="H3646" s="9" t="s">
        <v>6137</v>
      </c>
      <c r="I3646" s="9"/>
      <c r="J3646" s="9"/>
      <c r="K3646" s="9"/>
      <c r="L3646" s="9"/>
      <c r="M3646" s="9" t="s">
        <v>972</v>
      </c>
      <c r="N3646" s="9"/>
      <c r="O3646" s="9" t="s">
        <v>973</v>
      </c>
      <c r="P3646" s="9" t="str">
        <f>HYPERLINK("https://ceds.ed.gov/cedselementdetails.aspx?termid=13177")</f>
        <v>https://ceds.ed.gov/cedselementdetails.aspx?termid=13177</v>
      </c>
      <c r="Q3646" s="9" t="str">
        <f>HYPERLINK("https://ceds.ed.gov/elementComment.aspx?elementName=Assessment Level for Which Designed &amp;elementID=13177", "Click here to submit comment")</f>
        <v>Click here to submit comment</v>
      </c>
    </row>
    <row r="3647" spans="1:17" ht="60" x14ac:dyDescent="0.25">
      <c r="A3647" s="9" t="s">
        <v>6892</v>
      </c>
      <c r="B3647" s="9" t="s">
        <v>6898</v>
      </c>
      <c r="C3647" s="9"/>
      <c r="D3647" s="9" t="s">
        <v>6742</v>
      </c>
      <c r="E3647" s="9" t="s">
        <v>773</v>
      </c>
      <c r="F3647" s="9" t="s">
        <v>774</v>
      </c>
      <c r="G3647" s="9" t="s">
        <v>6106</v>
      </c>
      <c r="H3647" s="9"/>
      <c r="I3647" s="9"/>
      <c r="J3647" s="9"/>
      <c r="K3647" s="9"/>
      <c r="L3647" s="9"/>
      <c r="M3647" s="9" t="s">
        <v>775</v>
      </c>
      <c r="N3647" s="9"/>
      <c r="O3647" s="9" t="s">
        <v>776</v>
      </c>
      <c r="P3647" s="9" t="str">
        <f>HYPERLINK("https://ceds.ed.gov/cedselementdetails.aspx?termid=14227")</f>
        <v>https://ceds.ed.gov/cedselementdetails.aspx?termid=14227</v>
      </c>
      <c r="Q3647" s="9" t="str">
        <f>HYPERLINK("https://ceds.ed.gov/elementComment.aspx?elementName=Assessment Item Linking Item Indicator &amp;elementID=14227", "Click here to submit comment")</f>
        <v>Click here to submit comment</v>
      </c>
    </row>
    <row r="3648" spans="1:17" ht="60" x14ac:dyDescent="0.25">
      <c r="A3648" s="9" t="s">
        <v>6892</v>
      </c>
      <c r="B3648" s="9" t="s">
        <v>6898</v>
      </c>
      <c r="C3648" s="9"/>
      <c r="D3648" s="9" t="s">
        <v>6742</v>
      </c>
      <c r="E3648" s="9" t="s">
        <v>735</v>
      </c>
      <c r="F3648" s="9" t="s">
        <v>736</v>
      </c>
      <c r="G3648" s="9" t="s">
        <v>12</v>
      </c>
      <c r="H3648" s="9"/>
      <c r="I3648" s="9"/>
      <c r="J3648" s="9" t="s">
        <v>303</v>
      </c>
      <c r="K3648" s="9"/>
      <c r="L3648" s="9"/>
      <c r="M3648" s="9" t="s">
        <v>737</v>
      </c>
      <c r="N3648" s="9"/>
      <c r="O3648" s="9" t="s">
        <v>738</v>
      </c>
      <c r="P3648" s="9" t="str">
        <f>HYPERLINK("https://ceds.ed.gov/cedselementdetails.aspx?termid=14233")</f>
        <v>https://ceds.ed.gov/cedselementdetails.aspx?termid=14233</v>
      </c>
      <c r="Q3648" s="9" t="str">
        <f>HYPERLINK("https://ceds.ed.gov/elementComment.aspx?elementName=Assessment Item Body Text &amp;elementID=14233", "Click here to submit comment")</f>
        <v>Click here to submit comment</v>
      </c>
    </row>
    <row r="3649" spans="1:17" ht="90" x14ac:dyDescent="0.25">
      <c r="A3649" s="9" t="s">
        <v>6892</v>
      </c>
      <c r="B3649" s="9" t="s">
        <v>6898</v>
      </c>
      <c r="C3649" s="9"/>
      <c r="D3649" s="9" t="s">
        <v>6742</v>
      </c>
      <c r="E3649" s="9" t="s">
        <v>948</v>
      </c>
      <c r="F3649" s="9" t="s">
        <v>949</v>
      </c>
      <c r="G3649" s="9" t="s">
        <v>12</v>
      </c>
      <c r="H3649" s="9"/>
      <c r="I3649" s="9"/>
      <c r="J3649" s="9" t="s">
        <v>303</v>
      </c>
      <c r="K3649" s="9"/>
      <c r="L3649" s="9"/>
      <c r="M3649" s="9" t="s">
        <v>950</v>
      </c>
      <c r="N3649" s="9"/>
      <c r="O3649" s="9" t="s">
        <v>951</v>
      </c>
      <c r="P3649" s="9" t="str">
        <f>HYPERLINK("https://ceds.ed.gov/cedselementdetails.aspx?termid=14234")</f>
        <v>https://ceds.ed.gov/cedselementdetails.aspx?termid=14234</v>
      </c>
      <c r="Q3649" s="9" t="str">
        <f>HYPERLINK("https://ceds.ed.gov/elementComment.aspx?elementName=Assessment Item Stimulus &amp;elementID=14234", "Click here to submit comment")</f>
        <v>Click here to submit comment</v>
      </c>
    </row>
    <row r="3650" spans="1:17" ht="45" x14ac:dyDescent="0.25">
      <c r="A3650" s="9" t="s">
        <v>6892</v>
      </c>
      <c r="B3650" s="9" t="s">
        <v>6898</v>
      </c>
      <c r="C3650" s="9"/>
      <c r="D3650" s="9" t="s">
        <v>6742</v>
      </c>
      <c r="E3650" s="9" t="s">
        <v>756</v>
      </c>
      <c r="F3650" s="9" t="s">
        <v>757</v>
      </c>
      <c r="G3650" s="9" t="s">
        <v>12</v>
      </c>
      <c r="H3650" s="9" t="s">
        <v>6135</v>
      </c>
      <c r="I3650" s="9"/>
      <c r="J3650" s="9" t="s">
        <v>10496</v>
      </c>
      <c r="K3650" s="9"/>
      <c r="L3650" s="9"/>
      <c r="M3650" s="9" t="s">
        <v>758</v>
      </c>
      <c r="N3650" s="9"/>
      <c r="O3650" s="9" t="s">
        <v>759</v>
      </c>
      <c r="P3650" s="9" t="str">
        <f>HYPERLINK("https://ceds.ed.gov/cedselementdetails.aspx?termid=13383")</f>
        <v>https://ceds.ed.gov/cedselementdetails.aspx?termid=13383</v>
      </c>
      <c r="Q3650" s="9" t="str">
        <f>HYPERLINK("https://ceds.ed.gov/elementComment.aspx?elementName=Assessment Item Difficulty &amp;elementID=13383", "Click here to submit comment")</f>
        <v>Click here to submit comment</v>
      </c>
    </row>
    <row r="3651" spans="1:17" ht="45" x14ac:dyDescent="0.25">
      <c r="A3651" s="9" t="s">
        <v>6892</v>
      </c>
      <c r="B3651" s="9" t="s">
        <v>6898</v>
      </c>
      <c r="C3651" s="9"/>
      <c r="D3651" s="9" t="s">
        <v>6742</v>
      </c>
      <c r="E3651" s="9" t="s">
        <v>760</v>
      </c>
      <c r="F3651" s="9" t="s">
        <v>761</v>
      </c>
      <c r="G3651" s="9" t="s">
        <v>12</v>
      </c>
      <c r="H3651" s="9" t="s">
        <v>6135</v>
      </c>
      <c r="I3651" s="9"/>
      <c r="J3651" s="9" t="s">
        <v>762</v>
      </c>
      <c r="K3651" s="9"/>
      <c r="L3651" s="9"/>
      <c r="M3651" s="9" t="s">
        <v>763</v>
      </c>
      <c r="N3651" s="9"/>
      <c r="O3651" s="9" t="s">
        <v>764</v>
      </c>
      <c r="P3651" s="9" t="str">
        <f>HYPERLINK("https://ceds.ed.gov/cedselementdetails.aspx?termid=13390")</f>
        <v>https://ceds.ed.gov/cedselementdetails.aspx?termid=13390</v>
      </c>
      <c r="Q3651" s="9" t="str">
        <f>HYPERLINK("https://ceds.ed.gov/elementComment.aspx?elementName=Assessment Item Distractor Analysis &amp;elementID=13390", "Click here to submit comment")</f>
        <v>Click here to submit comment</v>
      </c>
    </row>
    <row r="3652" spans="1:17" ht="45" x14ac:dyDescent="0.25">
      <c r="A3652" s="9" t="s">
        <v>6892</v>
      </c>
      <c r="B3652" s="9" t="s">
        <v>6898</v>
      </c>
      <c r="C3652" s="9"/>
      <c r="D3652" s="9" t="s">
        <v>6742</v>
      </c>
      <c r="E3652" s="9" t="s">
        <v>944</v>
      </c>
      <c r="F3652" s="9" t="s">
        <v>945</v>
      </c>
      <c r="G3652" s="9" t="s">
        <v>12</v>
      </c>
      <c r="H3652" s="9" t="s">
        <v>6135</v>
      </c>
      <c r="I3652" s="9"/>
      <c r="J3652" s="9" t="s">
        <v>303</v>
      </c>
      <c r="K3652" s="9"/>
      <c r="L3652" s="9"/>
      <c r="M3652" s="9" t="s">
        <v>946</v>
      </c>
      <c r="N3652" s="9"/>
      <c r="O3652" s="9" t="s">
        <v>947</v>
      </c>
      <c r="P3652" s="9" t="str">
        <f>HYPERLINK("https://ceds.ed.gov/cedselementdetails.aspx?termid=13392")</f>
        <v>https://ceds.ed.gov/cedselementdetails.aspx?termid=13392</v>
      </c>
      <c r="Q3652" s="9" t="str">
        <f>HYPERLINK("https://ceds.ed.gov/elementComment.aspx?elementName=Assessment Item Stem &amp;elementID=13392", "Click here to submit comment")</f>
        <v>Click here to submit comment</v>
      </c>
    </row>
    <row r="3653" spans="1:17" ht="45" x14ac:dyDescent="0.25">
      <c r="A3653" s="9" t="s">
        <v>6892</v>
      </c>
      <c r="B3653" s="9" t="s">
        <v>6898</v>
      </c>
      <c r="C3653" s="9"/>
      <c r="D3653" s="9" t="s">
        <v>6742</v>
      </c>
      <c r="E3653" s="9" t="s">
        <v>613</v>
      </c>
      <c r="F3653" s="9" t="s">
        <v>614</v>
      </c>
      <c r="G3653" s="9" t="s">
        <v>12</v>
      </c>
      <c r="H3653" s="9" t="s">
        <v>6135</v>
      </c>
      <c r="I3653" s="9"/>
      <c r="J3653" s="9" t="s">
        <v>406</v>
      </c>
      <c r="K3653" s="9"/>
      <c r="L3653" s="9"/>
      <c r="M3653" s="9" t="s">
        <v>616</v>
      </c>
      <c r="N3653" s="9"/>
      <c r="O3653" s="9" t="s">
        <v>617</v>
      </c>
      <c r="P3653" s="9" t="str">
        <f>HYPERLINK("https://ceds.ed.gov/cedselementdetails.aspx?termid=13395")</f>
        <v>https://ceds.ed.gov/cedselementdetails.aspx?termid=13395</v>
      </c>
      <c r="Q3653" s="9" t="str">
        <f>HYPERLINK("https://ceds.ed.gov/elementComment.aspx?elementName=Assessment Item Allotted Time &amp;elementID=13395", "Click here to submit comment")</f>
        <v>Click here to submit comment</v>
      </c>
    </row>
    <row r="3654" spans="1:17" ht="75" x14ac:dyDescent="0.25">
      <c r="A3654" s="9" t="s">
        <v>6892</v>
      </c>
      <c r="B3654" s="9" t="s">
        <v>6898</v>
      </c>
      <c r="C3654" s="9"/>
      <c r="D3654" s="9" t="s">
        <v>6742</v>
      </c>
      <c r="E3654" s="9" t="s">
        <v>956</v>
      </c>
      <c r="F3654" s="9" t="s">
        <v>957</v>
      </c>
      <c r="G3654" s="9" t="s">
        <v>12</v>
      </c>
      <c r="H3654" s="9"/>
      <c r="I3654" s="9"/>
      <c r="J3654" s="9" t="s">
        <v>87</v>
      </c>
      <c r="K3654" s="9"/>
      <c r="L3654" s="9"/>
      <c r="M3654" s="9" t="s">
        <v>958</v>
      </c>
      <c r="N3654" s="9"/>
      <c r="O3654" s="9" t="s">
        <v>959</v>
      </c>
      <c r="P3654" s="9" t="str">
        <f>HYPERLINK("https://ceds.ed.gov/cedselementdetails.aspx?termid=13906")</f>
        <v>https://ceds.ed.gov/cedselementdetails.aspx?termid=13906</v>
      </c>
      <c r="Q3654" s="9" t="str">
        <f>HYPERLINK("https://ceds.ed.gov/elementComment.aspx?elementName=Assessment Item Text Complexity Value &amp;elementID=13906", "Click here to submit comment")</f>
        <v>Click here to submit comment</v>
      </c>
    </row>
    <row r="3655" spans="1:17" ht="300" x14ac:dyDescent="0.25">
      <c r="A3655" s="9" t="s">
        <v>6892</v>
      </c>
      <c r="B3655" s="9" t="s">
        <v>6898</v>
      </c>
      <c r="C3655" s="9"/>
      <c r="D3655" s="9" t="s">
        <v>6742</v>
      </c>
      <c r="E3655" s="9" t="s">
        <v>952</v>
      </c>
      <c r="F3655" s="9" t="s">
        <v>953</v>
      </c>
      <c r="G3655" s="10" t="s">
        <v>6356</v>
      </c>
      <c r="H3655" s="9"/>
      <c r="I3655" s="9"/>
      <c r="J3655" s="9"/>
      <c r="K3655" s="9"/>
      <c r="L3655" s="9"/>
      <c r="M3655" s="9" t="s">
        <v>954</v>
      </c>
      <c r="N3655" s="9"/>
      <c r="O3655" s="9" t="s">
        <v>955</v>
      </c>
      <c r="P3655" s="9" t="str">
        <f>HYPERLINK("https://ceds.ed.gov/cedselementdetails.aspx?termid=13907")</f>
        <v>https://ceds.ed.gov/cedselementdetails.aspx?termid=13907</v>
      </c>
      <c r="Q3655" s="9" t="str">
        <f>HYPERLINK("https://ceds.ed.gov/elementComment.aspx?elementName=Assessment Item Text Complexity System &amp;elementID=13907", "Click here to submit comment")</f>
        <v>Click here to submit comment</v>
      </c>
    </row>
    <row r="3656" spans="1:17" ht="45" x14ac:dyDescent="0.25">
      <c r="A3656" s="9" t="s">
        <v>6892</v>
      </c>
      <c r="B3656" s="9" t="s">
        <v>6898</v>
      </c>
      <c r="C3656" s="9"/>
      <c r="D3656" s="9" t="s">
        <v>6742</v>
      </c>
      <c r="E3656" s="9" t="s">
        <v>781</v>
      </c>
      <c r="F3656" s="9" t="s">
        <v>782</v>
      </c>
      <c r="G3656" s="9" t="s">
        <v>12</v>
      </c>
      <c r="H3656" s="9"/>
      <c r="I3656" s="9"/>
      <c r="J3656" s="9" t="s">
        <v>134</v>
      </c>
      <c r="K3656" s="9"/>
      <c r="L3656" s="9"/>
      <c r="M3656" s="9" t="s">
        <v>783</v>
      </c>
      <c r="N3656" s="9"/>
      <c r="O3656" s="9" t="s">
        <v>784</v>
      </c>
      <c r="P3656" s="9" t="str">
        <f>HYPERLINK("https://ceds.ed.gov/cedselementdetails.aspx?termid=13684")</f>
        <v>https://ceds.ed.gov/cedselementdetails.aspx?termid=13684</v>
      </c>
      <c r="Q3656" s="9" t="str">
        <f>HYPERLINK("https://ceds.ed.gov/elementComment.aspx?elementName=Assessment Item Minimum Score &amp;elementID=13684", "Click here to submit comment")</f>
        <v>Click here to submit comment</v>
      </c>
    </row>
    <row r="3657" spans="1:17" ht="45" x14ac:dyDescent="0.25">
      <c r="A3657" s="9" t="s">
        <v>6892</v>
      </c>
      <c r="B3657" s="9" t="s">
        <v>6898</v>
      </c>
      <c r="C3657" s="9"/>
      <c r="D3657" s="9" t="s">
        <v>6742</v>
      </c>
      <c r="E3657" s="9" t="s">
        <v>777</v>
      </c>
      <c r="F3657" s="9" t="s">
        <v>778</v>
      </c>
      <c r="G3657" s="9" t="s">
        <v>12</v>
      </c>
      <c r="H3657" s="9"/>
      <c r="I3657" s="9"/>
      <c r="J3657" s="9" t="s">
        <v>134</v>
      </c>
      <c r="K3657" s="9"/>
      <c r="L3657" s="9"/>
      <c r="M3657" s="9" t="s">
        <v>779</v>
      </c>
      <c r="N3657" s="9"/>
      <c r="O3657" s="9" t="s">
        <v>780</v>
      </c>
      <c r="P3657" s="9" t="str">
        <f>HYPERLINK("https://ceds.ed.gov/cedselementdetails.aspx?termid=13683")</f>
        <v>https://ceds.ed.gov/cedselementdetails.aspx?termid=13683</v>
      </c>
      <c r="Q3657" s="9" t="str">
        <f>HYPERLINK("https://ceds.ed.gov/elementComment.aspx?elementName=Assessment Item Maximum Score &amp;elementID=13683", "Click here to submit comment")</f>
        <v>Click here to submit comment</v>
      </c>
    </row>
    <row r="3658" spans="1:17" ht="150" x14ac:dyDescent="0.25">
      <c r="A3658" s="9" t="s">
        <v>6892</v>
      </c>
      <c r="B3658" s="9" t="s">
        <v>6898</v>
      </c>
      <c r="C3658" s="9"/>
      <c r="D3658" s="9" t="s">
        <v>6742</v>
      </c>
      <c r="E3658" s="9" t="s">
        <v>862</v>
      </c>
      <c r="F3658" s="9" t="s">
        <v>863</v>
      </c>
      <c r="G3658" s="9" t="s">
        <v>12</v>
      </c>
      <c r="H3658" s="9"/>
      <c r="I3658" s="9"/>
      <c r="J3658" s="9" t="s">
        <v>68</v>
      </c>
      <c r="K3658" s="9"/>
      <c r="L3658" s="9" t="s">
        <v>864</v>
      </c>
      <c r="M3658" s="9" t="s">
        <v>865</v>
      </c>
      <c r="N3658" s="9"/>
      <c r="O3658" s="9" t="s">
        <v>866</v>
      </c>
      <c r="P3658" s="9" t="str">
        <f>HYPERLINK("https://ceds.ed.gov/cedselementdetails.aspx?termid=13970")</f>
        <v>https://ceds.ed.gov/cedselementdetails.aspx?termid=13970</v>
      </c>
      <c r="Q3658" s="9" t="str">
        <f>HYPERLINK("https://ceds.ed.gov/elementComment.aspx?elementName=Assessment Item Response Security Issue &amp;elementID=13970", "Click here to submit comment")</f>
        <v>Click here to submit comment</v>
      </c>
    </row>
    <row r="3659" spans="1:17" ht="45" x14ac:dyDescent="0.25">
      <c r="A3659" s="9" t="s">
        <v>6892</v>
      </c>
      <c r="B3659" s="9" t="s">
        <v>6898</v>
      </c>
      <c r="C3659" s="9" t="s">
        <v>6899</v>
      </c>
      <c r="D3659" s="9" t="s">
        <v>6742</v>
      </c>
      <c r="E3659" s="9" t="s">
        <v>800</v>
      </c>
      <c r="F3659" s="9" t="s">
        <v>801</v>
      </c>
      <c r="G3659" s="9" t="s">
        <v>12</v>
      </c>
      <c r="H3659" s="9"/>
      <c r="I3659" s="9"/>
      <c r="J3659" s="9" t="s">
        <v>10489</v>
      </c>
      <c r="K3659" s="9"/>
      <c r="L3659" s="9"/>
      <c r="M3659" s="9" t="s">
        <v>802</v>
      </c>
      <c r="N3659" s="9"/>
      <c r="O3659" s="9" t="s">
        <v>803</v>
      </c>
      <c r="P3659" s="9" t="str">
        <f>HYPERLINK("https://ceds.ed.gov/cedselementdetails.aspx?termid=13905")</f>
        <v>https://ceds.ed.gov/cedselementdetails.aspx?termid=13905</v>
      </c>
      <c r="Q3659" s="9" t="str">
        <f>HYPERLINK("https://ceds.ed.gov/elementComment.aspx?elementName=Assessment Item Possible Response Sequence Number &amp;elementID=13905", "Click here to submit comment")</f>
        <v>Click here to submit comment</v>
      </c>
    </row>
    <row r="3660" spans="1:17" ht="60" x14ac:dyDescent="0.25">
      <c r="A3660" s="9" t="s">
        <v>6892</v>
      </c>
      <c r="B3660" s="9" t="s">
        <v>6898</v>
      </c>
      <c r="C3660" s="9" t="s">
        <v>6899</v>
      </c>
      <c r="D3660" s="9" t="s">
        <v>6742</v>
      </c>
      <c r="E3660" s="9" t="s">
        <v>804</v>
      </c>
      <c r="F3660" s="9" t="s">
        <v>805</v>
      </c>
      <c r="G3660" s="9" t="s">
        <v>12</v>
      </c>
      <c r="H3660" s="9"/>
      <c r="I3660" s="9"/>
      <c r="J3660" s="9" t="s">
        <v>68</v>
      </c>
      <c r="K3660" s="9"/>
      <c r="L3660" s="9"/>
      <c r="M3660" s="9" t="s">
        <v>806</v>
      </c>
      <c r="N3660" s="9"/>
      <c r="O3660" s="9" t="s">
        <v>807</v>
      </c>
      <c r="P3660" s="9" t="str">
        <f>HYPERLINK("https://ceds.ed.gov/cedselementdetails.aspx?termid=13908")</f>
        <v>https://ceds.ed.gov/cedselementdetails.aspx?termid=13908</v>
      </c>
      <c r="Q3660" s="9" t="str">
        <f>HYPERLINK("https://ceds.ed.gov/elementComment.aspx?elementName=Assessment Item Possible Response Value &amp;elementID=13908", "Click here to submit comment")</f>
        <v>Click here to submit comment</v>
      </c>
    </row>
    <row r="3661" spans="1:17" ht="60" x14ac:dyDescent="0.25">
      <c r="A3661" s="9" t="s">
        <v>6892</v>
      </c>
      <c r="B3661" s="9" t="s">
        <v>6898</v>
      </c>
      <c r="C3661" s="9" t="s">
        <v>6899</v>
      </c>
      <c r="D3661" s="9" t="s">
        <v>6742</v>
      </c>
      <c r="E3661" s="9" t="s">
        <v>796</v>
      </c>
      <c r="F3661" s="9" t="s">
        <v>797</v>
      </c>
      <c r="G3661" s="9" t="s">
        <v>12</v>
      </c>
      <c r="H3661" s="9"/>
      <c r="I3661" s="9"/>
      <c r="J3661" s="9" t="s">
        <v>303</v>
      </c>
      <c r="K3661" s="9"/>
      <c r="L3661" s="9"/>
      <c r="M3661" s="9" t="s">
        <v>798</v>
      </c>
      <c r="N3661" s="9"/>
      <c r="O3661" s="9" t="s">
        <v>799</v>
      </c>
      <c r="P3661" s="9" t="str">
        <f>HYPERLINK("https://ceds.ed.gov/cedselementdetails.aspx?termid=14235")</f>
        <v>https://ceds.ed.gov/cedselementdetails.aspx?termid=14235</v>
      </c>
      <c r="Q3661" s="9" t="str">
        <f>HYPERLINK("https://ceds.ed.gov/elementComment.aspx?elementName=Assessment Item Possible Response Option &amp;elementID=14235", "Click here to submit comment")</f>
        <v>Click here to submit comment</v>
      </c>
    </row>
    <row r="3662" spans="1:17" ht="45" x14ac:dyDescent="0.25">
      <c r="A3662" s="9" t="s">
        <v>6892</v>
      </c>
      <c r="B3662" s="9" t="s">
        <v>6898</v>
      </c>
      <c r="C3662" s="9" t="s">
        <v>6899</v>
      </c>
      <c r="D3662" s="9" t="s">
        <v>6742</v>
      </c>
      <c r="E3662" s="9" t="s">
        <v>785</v>
      </c>
      <c r="F3662" s="9" t="s">
        <v>786</v>
      </c>
      <c r="G3662" s="9" t="s">
        <v>6106</v>
      </c>
      <c r="H3662" s="9"/>
      <c r="I3662" s="9"/>
      <c r="J3662" s="9"/>
      <c r="K3662" s="9"/>
      <c r="L3662" s="9"/>
      <c r="M3662" s="9" t="s">
        <v>788</v>
      </c>
      <c r="N3662" s="9"/>
      <c r="O3662" s="9" t="s">
        <v>789</v>
      </c>
      <c r="P3662" s="9" t="str">
        <f>HYPERLINK("https://ceds.ed.gov/cedselementdetails.aspx?termid=14183")</f>
        <v>https://ceds.ed.gov/cedselementdetails.aspx?termid=14183</v>
      </c>
      <c r="Q3662" s="9" t="str">
        <f>HYPERLINK("https://ceds.ed.gov/elementComment.aspx?elementName=Assessment Item Possible Response Correct Indicator &amp;elementID=14183", "Click here to submit comment")</f>
        <v>Click here to submit comment</v>
      </c>
    </row>
    <row r="3663" spans="1:17" ht="120" x14ac:dyDescent="0.25">
      <c r="A3663" s="9" t="s">
        <v>6892</v>
      </c>
      <c r="B3663" s="9" t="s">
        <v>6898</v>
      </c>
      <c r="C3663" s="9" t="s">
        <v>6899</v>
      </c>
      <c r="D3663" s="9" t="s">
        <v>6742</v>
      </c>
      <c r="E3663" s="9" t="s">
        <v>790</v>
      </c>
      <c r="F3663" s="9" t="s">
        <v>791</v>
      </c>
      <c r="G3663" s="9" t="s">
        <v>12</v>
      </c>
      <c r="H3663" s="9" t="s">
        <v>795</v>
      </c>
      <c r="I3663" s="9"/>
      <c r="J3663" s="9" t="s">
        <v>68</v>
      </c>
      <c r="K3663" s="9"/>
      <c r="L3663" s="9" t="s">
        <v>792</v>
      </c>
      <c r="M3663" s="9" t="s">
        <v>793</v>
      </c>
      <c r="N3663" s="9"/>
      <c r="O3663" s="9" t="s">
        <v>794</v>
      </c>
      <c r="P3663" s="9" t="str">
        <f>HYPERLINK("https://ceds.ed.gov/cedselementdetails.aspx?termid=13904")</f>
        <v>https://ceds.ed.gov/cedselementdetails.aspx?termid=13904</v>
      </c>
      <c r="Q3663" s="9" t="str">
        <f>HYPERLINK("https://ceds.ed.gov/elementComment.aspx?elementName=Assessment Item Possible Response Feedback Message &amp;elementID=13904", "Click here to submit comment")</f>
        <v>Click here to submit comment</v>
      </c>
    </row>
    <row r="3664" spans="1:17" ht="45" x14ac:dyDescent="0.25">
      <c r="A3664" s="9" t="s">
        <v>6892</v>
      </c>
      <c r="B3664" s="9" t="s">
        <v>6898</v>
      </c>
      <c r="C3664" s="9" t="s">
        <v>6900</v>
      </c>
      <c r="D3664" s="9" t="s">
        <v>6742</v>
      </c>
      <c r="E3664" s="9" t="s">
        <v>867</v>
      </c>
      <c r="F3664" s="9" t="s">
        <v>868</v>
      </c>
      <c r="G3664" s="9" t="s">
        <v>12</v>
      </c>
      <c r="H3664" s="9"/>
      <c r="I3664" s="9"/>
      <c r="J3664" s="9" t="s">
        <v>73</v>
      </c>
      <c r="K3664" s="9"/>
      <c r="L3664" s="9"/>
      <c r="M3664" s="9" t="s">
        <v>869</v>
      </c>
      <c r="N3664" s="9"/>
      <c r="O3664" s="9" t="s">
        <v>870</v>
      </c>
      <c r="P3664" s="9" t="str">
        <f>HYPERLINK("https://ceds.ed.gov/cedselementdetails.aspx?termid=13960")</f>
        <v>https://ceds.ed.gov/cedselementdetails.aspx?termid=13960</v>
      </c>
      <c r="Q3664" s="9" t="str">
        <f>HYPERLINK("https://ceds.ed.gov/elementComment.aspx?elementName=Assessment Item Response Start Date &amp;elementID=13960", "Click here to submit comment")</f>
        <v>Click here to submit comment</v>
      </c>
    </row>
    <row r="3665" spans="1:17" ht="45" x14ac:dyDescent="0.25">
      <c r="A3665" s="9" t="s">
        <v>6892</v>
      </c>
      <c r="B3665" s="9" t="s">
        <v>6898</v>
      </c>
      <c r="C3665" s="9" t="s">
        <v>6900</v>
      </c>
      <c r="D3665" s="9" t="s">
        <v>6742</v>
      </c>
      <c r="E3665" s="9" t="s">
        <v>871</v>
      </c>
      <c r="F3665" s="9" t="s">
        <v>872</v>
      </c>
      <c r="G3665" s="9" t="s">
        <v>12</v>
      </c>
      <c r="H3665" s="9"/>
      <c r="I3665" s="9"/>
      <c r="J3665" s="9" t="s">
        <v>833</v>
      </c>
      <c r="K3665" s="9"/>
      <c r="L3665" s="9"/>
      <c r="M3665" s="9" t="s">
        <v>873</v>
      </c>
      <c r="N3665" s="9"/>
      <c r="O3665" s="9" t="s">
        <v>874</v>
      </c>
      <c r="P3665" s="9" t="str">
        <f>HYPERLINK("https://ceds.ed.gov/cedselementdetails.aspx?termid=13959")</f>
        <v>https://ceds.ed.gov/cedselementdetails.aspx?termid=13959</v>
      </c>
      <c r="Q3665" s="9" t="str">
        <f>HYPERLINK("https://ceds.ed.gov/elementComment.aspx?elementName=Assessment Item Response Start Time &amp;elementID=13959", "Click here to submit comment")</f>
        <v>Click here to submit comment</v>
      </c>
    </row>
    <row r="3666" spans="1:17" ht="105" x14ac:dyDescent="0.25">
      <c r="A3666" s="9" t="s">
        <v>6892</v>
      </c>
      <c r="B3666" s="9" t="s">
        <v>6898</v>
      </c>
      <c r="C3666" s="9" t="s">
        <v>6900</v>
      </c>
      <c r="D3666" s="9" t="s">
        <v>6742</v>
      </c>
      <c r="E3666" s="9" t="s">
        <v>836</v>
      </c>
      <c r="F3666" s="9" t="s">
        <v>837</v>
      </c>
      <c r="G3666" s="9" t="s">
        <v>12</v>
      </c>
      <c r="H3666" s="9"/>
      <c r="I3666" s="9"/>
      <c r="J3666" s="9" t="s">
        <v>833</v>
      </c>
      <c r="K3666" s="9"/>
      <c r="L3666" s="9" t="s">
        <v>838</v>
      </c>
      <c r="M3666" s="9" t="s">
        <v>839</v>
      </c>
      <c r="N3666" s="9"/>
      <c r="O3666" s="9" t="s">
        <v>840</v>
      </c>
      <c r="P3666" s="9" t="str">
        <f>HYPERLINK("https://ceds.ed.gov/cedselementdetails.aspx?termid=13958")</f>
        <v>https://ceds.ed.gov/cedselementdetails.aspx?termid=13958</v>
      </c>
      <c r="Q3666" s="9" t="str">
        <f>HYPERLINK("https://ceds.ed.gov/elementComment.aspx?elementName=Assessment Item Response First Attempt Duration &amp;elementID=13958", "Click here to submit comment")</f>
        <v>Click here to submit comment</v>
      </c>
    </row>
    <row r="3667" spans="1:17" ht="60" x14ac:dyDescent="0.25">
      <c r="A3667" s="9" t="s">
        <v>6892</v>
      </c>
      <c r="B3667" s="9" t="s">
        <v>6898</v>
      </c>
      <c r="C3667" s="9" t="s">
        <v>6900</v>
      </c>
      <c r="D3667" s="9" t="s">
        <v>6742</v>
      </c>
      <c r="E3667" s="9" t="s">
        <v>831</v>
      </c>
      <c r="F3667" s="9" t="s">
        <v>832</v>
      </c>
      <c r="G3667" s="9" t="s">
        <v>12</v>
      </c>
      <c r="H3667" s="9" t="s">
        <v>6135</v>
      </c>
      <c r="I3667" s="9"/>
      <c r="J3667" s="9" t="s">
        <v>833</v>
      </c>
      <c r="K3667" s="9"/>
      <c r="L3667" s="9"/>
      <c r="M3667" s="9" t="s">
        <v>834</v>
      </c>
      <c r="N3667" s="9"/>
      <c r="O3667" s="9" t="s">
        <v>835</v>
      </c>
      <c r="P3667" s="9" t="str">
        <f>HYPERLINK("https://ceds.ed.gov/cedselementdetails.aspx?termid=13394")</f>
        <v>https://ceds.ed.gov/cedselementdetails.aspx?termid=13394</v>
      </c>
      <c r="Q3667" s="9" t="str">
        <f>HYPERLINK("https://ceds.ed.gov/elementComment.aspx?elementName=Assessment Item Response Duration &amp;elementID=13394", "Click here to submit comment")</f>
        <v>Click here to submit comment</v>
      </c>
    </row>
    <row r="3668" spans="1:17" ht="60" x14ac:dyDescent="0.25">
      <c r="A3668" s="9" t="s">
        <v>6892</v>
      </c>
      <c r="B3668" s="9" t="s">
        <v>6898</v>
      </c>
      <c r="C3668" s="9" t="s">
        <v>6900</v>
      </c>
      <c r="D3668" s="9" t="s">
        <v>6742</v>
      </c>
      <c r="E3668" s="9" t="s">
        <v>812</v>
      </c>
      <c r="F3668" s="9" t="s">
        <v>813</v>
      </c>
      <c r="G3668" s="9" t="s">
        <v>12</v>
      </c>
      <c r="H3668" s="9" t="s">
        <v>6135</v>
      </c>
      <c r="I3668" s="9"/>
      <c r="J3668" s="9" t="s">
        <v>87</v>
      </c>
      <c r="K3668" s="9"/>
      <c r="L3668" s="9" t="s">
        <v>815</v>
      </c>
      <c r="M3668" s="9" t="s">
        <v>816</v>
      </c>
      <c r="N3668" s="9"/>
      <c r="O3668" s="9" t="s">
        <v>817</v>
      </c>
      <c r="P3668" s="9" t="str">
        <f>HYPERLINK("https://ceds.ed.gov/cedselementdetails.aspx?termid=13397")</f>
        <v>https://ceds.ed.gov/cedselementdetails.aspx?termid=13397</v>
      </c>
      <c r="Q3668" s="9" t="str">
        <f>HYPERLINK("https://ceds.ed.gov/elementComment.aspx?elementName=Assessment Item Response Aid Set Used &amp;elementID=13397", "Click here to submit comment")</f>
        <v>Click here to submit comment</v>
      </c>
    </row>
    <row r="3669" spans="1:17" ht="45" x14ac:dyDescent="0.25">
      <c r="A3669" s="9" t="s">
        <v>6892</v>
      </c>
      <c r="B3669" s="9" t="s">
        <v>6898</v>
      </c>
      <c r="C3669" s="9" t="s">
        <v>6900</v>
      </c>
      <c r="D3669" s="9" t="s">
        <v>6742</v>
      </c>
      <c r="E3669" s="9" t="s">
        <v>818</v>
      </c>
      <c r="F3669" s="9" t="s">
        <v>819</v>
      </c>
      <c r="G3669" s="9" t="s">
        <v>12</v>
      </c>
      <c r="H3669" s="9" t="s">
        <v>6135</v>
      </c>
      <c r="I3669" s="9"/>
      <c r="J3669" s="9" t="s">
        <v>762</v>
      </c>
      <c r="K3669" s="9"/>
      <c r="L3669" s="9"/>
      <c r="M3669" s="9" t="s">
        <v>820</v>
      </c>
      <c r="N3669" s="9"/>
      <c r="O3669" s="9" t="s">
        <v>821</v>
      </c>
      <c r="P3669" s="9" t="str">
        <f>HYPERLINK("https://ceds.ed.gov/cedselementdetails.aspx?termid=13385")</f>
        <v>https://ceds.ed.gov/cedselementdetails.aspx?termid=13385</v>
      </c>
      <c r="Q3669" s="9" t="str">
        <f>HYPERLINK("https://ceds.ed.gov/elementComment.aspx?elementName=Assessment Item Response Choice Pattern &amp;elementID=13385", "Click here to submit comment")</f>
        <v>Click here to submit comment</v>
      </c>
    </row>
    <row r="3670" spans="1:17" ht="135" x14ac:dyDescent="0.25">
      <c r="A3670" s="9" t="s">
        <v>6892</v>
      </c>
      <c r="B3670" s="9" t="s">
        <v>6898</v>
      </c>
      <c r="C3670" s="9" t="s">
        <v>6900</v>
      </c>
      <c r="D3670" s="9" t="s">
        <v>6742</v>
      </c>
      <c r="E3670" s="9" t="s">
        <v>841</v>
      </c>
      <c r="F3670" s="9" t="s">
        <v>842</v>
      </c>
      <c r="G3670" s="9" t="s">
        <v>12</v>
      </c>
      <c r="H3670" s="9"/>
      <c r="I3670" s="9"/>
      <c r="J3670" s="9" t="s">
        <v>10489</v>
      </c>
      <c r="K3670" s="9"/>
      <c r="L3670" s="9"/>
      <c r="M3670" s="9" t="s">
        <v>843</v>
      </c>
      <c r="N3670" s="9"/>
      <c r="O3670" s="9" t="s">
        <v>844</v>
      </c>
      <c r="P3670" s="9" t="str">
        <f>HYPERLINK("https://ceds.ed.gov/cedselementdetails.aspx?termid=13956")</f>
        <v>https://ceds.ed.gov/cedselementdetails.aspx?termid=13956</v>
      </c>
      <c r="Q3670" s="9" t="str">
        <f>HYPERLINK("https://ceds.ed.gov/elementComment.aspx?elementName=Assessment Item Response Hint Count &amp;elementID=13956", "Click here to submit comment")</f>
        <v>Click here to submit comment</v>
      </c>
    </row>
    <row r="3671" spans="1:17" ht="135" x14ac:dyDescent="0.25">
      <c r="A3671" s="9" t="s">
        <v>6892</v>
      </c>
      <c r="B3671" s="9" t="s">
        <v>6898</v>
      </c>
      <c r="C3671" s="9" t="s">
        <v>6900</v>
      </c>
      <c r="D3671" s="9" t="s">
        <v>6742</v>
      </c>
      <c r="E3671" s="9" t="s">
        <v>845</v>
      </c>
      <c r="F3671" s="9" t="s">
        <v>846</v>
      </c>
      <c r="G3671" s="9" t="s">
        <v>6106</v>
      </c>
      <c r="H3671" s="9"/>
      <c r="I3671" s="9"/>
      <c r="J3671" s="9"/>
      <c r="K3671" s="9"/>
      <c r="L3671" s="9" t="s">
        <v>847</v>
      </c>
      <c r="M3671" s="9" t="s">
        <v>848</v>
      </c>
      <c r="N3671" s="9"/>
      <c r="O3671" s="9" t="s">
        <v>849</v>
      </c>
      <c r="P3671" s="9" t="str">
        <f>HYPERLINK("https://ceds.ed.gov/cedselementdetails.aspx?termid=13957")</f>
        <v>https://ceds.ed.gov/cedselementdetails.aspx?termid=13957</v>
      </c>
      <c r="Q3671" s="9" t="str">
        <f>HYPERLINK("https://ceds.ed.gov/elementComment.aspx?elementName=Assessment Item Response Hint Included Answer &amp;elementID=13957", "Click here to submit comment")</f>
        <v>Click here to submit comment</v>
      </c>
    </row>
    <row r="3672" spans="1:17" ht="180" x14ac:dyDescent="0.25">
      <c r="A3672" s="9" t="s">
        <v>6892</v>
      </c>
      <c r="B3672" s="9" t="s">
        <v>6898</v>
      </c>
      <c r="C3672" s="9" t="s">
        <v>6900</v>
      </c>
      <c r="D3672" s="9" t="s">
        <v>6742</v>
      </c>
      <c r="E3672" s="9" t="s">
        <v>875</v>
      </c>
      <c r="F3672" s="9" t="s">
        <v>876</v>
      </c>
      <c r="G3672" s="10" t="s">
        <v>6353</v>
      </c>
      <c r="H3672" s="9" t="s">
        <v>6135</v>
      </c>
      <c r="I3672" s="9"/>
      <c r="J3672" s="9"/>
      <c r="K3672" s="9"/>
      <c r="L3672" s="9"/>
      <c r="M3672" s="9" t="s">
        <v>877</v>
      </c>
      <c r="N3672" s="9"/>
      <c r="O3672" s="9" t="s">
        <v>878</v>
      </c>
      <c r="P3672" s="9" t="str">
        <f>HYPERLINK("https://ceds.ed.gov/cedselementdetails.aspx?termid=13396")</f>
        <v>https://ceds.ed.gov/cedselementdetails.aspx?termid=13396</v>
      </c>
      <c r="Q3672" s="9" t="str">
        <f>HYPERLINK("https://ceds.ed.gov/elementComment.aspx?elementName=Assessment Item Response Status &amp;elementID=13396", "Click here to submit comment")</f>
        <v>Click here to submit comment</v>
      </c>
    </row>
    <row r="3673" spans="1:17" ht="45" x14ac:dyDescent="0.25">
      <c r="A3673" s="9" t="s">
        <v>6892</v>
      </c>
      <c r="B3673" s="9" t="s">
        <v>6898</v>
      </c>
      <c r="C3673" s="9" t="s">
        <v>6900</v>
      </c>
      <c r="D3673" s="9" t="s">
        <v>6742</v>
      </c>
      <c r="E3673" s="9" t="s">
        <v>935</v>
      </c>
      <c r="F3673" s="9" t="s">
        <v>936</v>
      </c>
      <c r="G3673" s="9" t="s">
        <v>12</v>
      </c>
      <c r="H3673" s="9" t="s">
        <v>795</v>
      </c>
      <c r="I3673" s="9"/>
      <c r="J3673" s="9" t="s">
        <v>68</v>
      </c>
      <c r="K3673" s="9"/>
      <c r="L3673" s="9"/>
      <c r="M3673" s="9" t="s">
        <v>937</v>
      </c>
      <c r="N3673" s="9"/>
      <c r="O3673" s="9" t="s">
        <v>938</v>
      </c>
      <c r="P3673" s="9" t="str">
        <f>HYPERLINK("https://ceds.ed.gov/cedselementdetails.aspx?termid=14069")</f>
        <v>https://ceds.ed.gov/cedselementdetails.aspx?termid=14069</v>
      </c>
      <c r="Q3673" s="9" t="str">
        <f>HYPERLINK("https://ceds.ed.gov/elementComment.aspx?elementName=Assessment Item Response Value &amp;elementID=14069", "Click here to submit comment")</f>
        <v>Click here to submit comment</v>
      </c>
    </row>
    <row r="3674" spans="1:17" ht="90" x14ac:dyDescent="0.25">
      <c r="A3674" s="9" t="s">
        <v>6892</v>
      </c>
      <c r="B3674" s="9" t="s">
        <v>6898</v>
      </c>
      <c r="C3674" s="9" t="s">
        <v>6900</v>
      </c>
      <c r="D3674" s="9" t="s">
        <v>6742</v>
      </c>
      <c r="E3674" s="9" t="s">
        <v>854</v>
      </c>
      <c r="F3674" s="9" t="s">
        <v>855</v>
      </c>
      <c r="G3674" s="10" t="s">
        <v>6352</v>
      </c>
      <c r="H3674" s="9"/>
      <c r="I3674" s="9"/>
      <c r="J3674" s="9"/>
      <c r="K3674" s="9"/>
      <c r="L3674" s="9"/>
      <c r="M3674" s="9" t="s">
        <v>856</v>
      </c>
      <c r="N3674" s="9"/>
      <c r="O3674" s="9" t="s">
        <v>857</v>
      </c>
      <c r="P3674" s="9" t="str">
        <f>HYPERLINK("https://ceds.ed.gov/cedselementdetails.aspx?termid=14513")</f>
        <v>https://ceds.ed.gov/cedselementdetails.aspx?termid=14513</v>
      </c>
      <c r="Q3674" s="9" t="str">
        <f>HYPERLINK("https://ceds.ed.gov/elementComment.aspx?elementName=Assessment Item Response Score Status &amp;elementID=14513", "Click here to submit comment")</f>
        <v>Click here to submit comment</v>
      </c>
    </row>
    <row r="3675" spans="1:17" ht="45" x14ac:dyDescent="0.25">
      <c r="A3675" s="9" t="s">
        <v>6892</v>
      </c>
      <c r="B3675" s="9" t="s">
        <v>6898</v>
      </c>
      <c r="C3675" s="9" t="s">
        <v>6900</v>
      </c>
      <c r="D3675" s="9" t="s">
        <v>6742</v>
      </c>
      <c r="E3675" s="9" t="s">
        <v>858</v>
      </c>
      <c r="F3675" s="9" t="s">
        <v>859</v>
      </c>
      <c r="G3675" s="9" t="s">
        <v>12</v>
      </c>
      <c r="H3675" s="9" t="s">
        <v>795</v>
      </c>
      <c r="I3675" s="9"/>
      <c r="J3675" s="9" t="s">
        <v>92</v>
      </c>
      <c r="K3675" s="9"/>
      <c r="L3675" s="9"/>
      <c r="M3675" s="9" t="s">
        <v>860</v>
      </c>
      <c r="N3675" s="9"/>
      <c r="O3675" s="9" t="s">
        <v>861</v>
      </c>
      <c r="P3675" s="9" t="str">
        <f>HYPERLINK("https://ceds.ed.gov/cedselementdetails.aspx?termid=13700")</f>
        <v>https://ceds.ed.gov/cedselementdetails.aspx?termid=13700</v>
      </c>
      <c r="Q3675" s="9" t="str">
        <f>HYPERLINK("https://ceds.ed.gov/elementComment.aspx?elementName=Assessment Item Response Score Value &amp;elementID=13700", "Click here to submit comment")</f>
        <v>Click here to submit comment</v>
      </c>
    </row>
    <row r="3676" spans="1:17" ht="45" x14ac:dyDescent="0.25">
      <c r="A3676" s="9" t="s">
        <v>6892</v>
      </c>
      <c r="B3676" s="9" t="s">
        <v>6898</v>
      </c>
      <c r="C3676" s="9" t="s">
        <v>6900</v>
      </c>
      <c r="D3676" s="9" t="s">
        <v>6742</v>
      </c>
      <c r="E3676" s="9" t="s">
        <v>4884</v>
      </c>
      <c r="F3676" s="9" t="s">
        <v>4885</v>
      </c>
      <c r="G3676" s="10" t="s">
        <v>6661</v>
      </c>
      <c r="H3676" s="9" t="s">
        <v>199</v>
      </c>
      <c r="I3676" s="9"/>
      <c r="J3676" s="9"/>
      <c r="K3676" s="9"/>
      <c r="L3676" s="9"/>
      <c r="M3676" s="9" t="s">
        <v>4886</v>
      </c>
      <c r="N3676" s="9"/>
      <c r="O3676" s="9" t="s">
        <v>4887</v>
      </c>
      <c r="P3676" s="9" t="str">
        <f>HYPERLINK("https://ceds.ed.gov/cedselementdetails.aspx?termid=13565")</f>
        <v>https://ceds.ed.gov/cedselementdetails.aspx?termid=13565</v>
      </c>
      <c r="Q3676" s="9" t="str">
        <f>HYPERLINK("https://ceds.ed.gov/elementComment.aspx?elementName=Proficiency Status &amp;elementID=13565", "Click here to submit comment")</f>
        <v>Click here to submit comment</v>
      </c>
    </row>
    <row r="3677" spans="1:17" ht="135" x14ac:dyDescent="0.25">
      <c r="A3677" s="9" t="s">
        <v>6892</v>
      </c>
      <c r="B3677" s="9" t="s">
        <v>6898</v>
      </c>
      <c r="C3677" s="9" t="s">
        <v>6900</v>
      </c>
      <c r="D3677" s="9" t="s">
        <v>6742</v>
      </c>
      <c r="E3677" s="9" t="s">
        <v>850</v>
      </c>
      <c r="F3677" s="9" t="s">
        <v>851</v>
      </c>
      <c r="G3677" s="9" t="s">
        <v>6106</v>
      </c>
      <c r="H3677" s="9"/>
      <c r="I3677" s="9"/>
      <c r="J3677" s="9"/>
      <c r="K3677" s="9"/>
      <c r="L3677" s="9"/>
      <c r="M3677" s="9" t="s">
        <v>852</v>
      </c>
      <c r="N3677" s="9"/>
      <c r="O3677" s="9" t="s">
        <v>853</v>
      </c>
      <c r="P3677" s="9" t="str">
        <f>HYPERLINK("https://ceds.ed.gov/cedselementdetails.aspx?termid=13955")</f>
        <v>https://ceds.ed.gov/cedselementdetails.aspx?termid=13955</v>
      </c>
      <c r="Q3677" s="9" t="str">
        <f>HYPERLINK("https://ceds.ed.gov/elementComment.aspx?elementName=Assessment Item Response Scaffolding Item Flag &amp;elementID=13955", "Click here to submit comment")</f>
        <v>Click here to submit comment</v>
      </c>
    </row>
    <row r="3678" spans="1:17" ht="60" x14ac:dyDescent="0.25">
      <c r="A3678" s="9" t="s">
        <v>6892</v>
      </c>
      <c r="B3678" s="9" t="s">
        <v>6898</v>
      </c>
      <c r="C3678" s="9" t="s">
        <v>6900</v>
      </c>
      <c r="D3678" s="9" t="s">
        <v>6742</v>
      </c>
      <c r="E3678" s="9" t="s">
        <v>822</v>
      </c>
      <c r="F3678" s="9" t="s">
        <v>823</v>
      </c>
      <c r="G3678" s="9" t="s">
        <v>12</v>
      </c>
      <c r="H3678" s="9" t="s">
        <v>795</v>
      </c>
      <c r="I3678" s="9"/>
      <c r="J3678" s="9" t="s">
        <v>68</v>
      </c>
      <c r="K3678" s="9"/>
      <c r="L3678" s="9"/>
      <c r="M3678" s="9" t="s">
        <v>824</v>
      </c>
      <c r="N3678" s="9"/>
      <c r="O3678" s="9" t="s">
        <v>825</v>
      </c>
      <c r="P3678" s="9" t="str">
        <f>HYPERLINK("https://ceds.ed.gov/cedselementdetails.aspx?termid=13891")</f>
        <v>https://ceds.ed.gov/cedselementdetails.aspx?termid=13891</v>
      </c>
      <c r="Q3678" s="9" t="str">
        <f>HYPERLINK("https://ceds.ed.gov/elementComment.aspx?elementName=Assessment Item Response Descriptive Feedback &amp;elementID=13891", "Click here to submit comment")</f>
        <v>Click here to submit comment</v>
      </c>
    </row>
    <row r="3679" spans="1:17" ht="60" x14ac:dyDescent="0.25">
      <c r="A3679" s="9" t="s">
        <v>6892</v>
      </c>
      <c r="B3679" s="9" t="s">
        <v>6898</v>
      </c>
      <c r="C3679" s="9" t="s">
        <v>6900</v>
      </c>
      <c r="D3679" s="9" t="s">
        <v>6742</v>
      </c>
      <c r="E3679" s="9" t="s">
        <v>826</v>
      </c>
      <c r="F3679" s="9" t="s">
        <v>827</v>
      </c>
      <c r="G3679" s="9" t="s">
        <v>12</v>
      </c>
      <c r="H3679" s="9"/>
      <c r="I3679" s="9"/>
      <c r="J3679" s="9" t="s">
        <v>828</v>
      </c>
      <c r="K3679" s="9"/>
      <c r="L3679" s="9"/>
      <c r="M3679" s="9" t="s">
        <v>829</v>
      </c>
      <c r="N3679" s="9"/>
      <c r="O3679" s="9" t="s">
        <v>830</v>
      </c>
      <c r="P3679" s="9" t="str">
        <f>HYPERLINK("https://ceds.ed.gov/cedselementdetails.aspx?termid=14512")</f>
        <v>https://ceds.ed.gov/cedselementdetails.aspx?termid=14512</v>
      </c>
      <c r="Q3679" s="9" t="str">
        <f>HYPERLINK("https://ceds.ed.gov/elementComment.aspx?elementName=Assessment Item Response Descriptive Feedback Date &amp;elementID=14512", "Click here to submit comment")</f>
        <v>Click here to submit comment</v>
      </c>
    </row>
    <row r="3680" spans="1:17" ht="60" x14ac:dyDescent="0.25">
      <c r="A3680" s="9" t="s">
        <v>6892</v>
      </c>
      <c r="B3680" s="9" t="s">
        <v>6898</v>
      </c>
      <c r="C3680" s="9" t="s">
        <v>6900</v>
      </c>
      <c r="D3680" s="9" t="s">
        <v>6742</v>
      </c>
      <c r="E3680" s="9" t="s">
        <v>1270</v>
      </c>
      <c r="F3680" s="9" t="s">
        <v>1271</v>
      </c>
      <c r="G3680" s="9" t="s">
        <v>12</v>
      </c>
      <c r="H3680" s="9"/>
      <c r="I3680" s="9"/>
      <c r="J3680" s="9" t="s">
        <v>828</v>
      </c>
      <c r="K3680" s="9"/>
      <c r="L3680" s="9"/>
      <c r="M3680" s="9" t="s">
        <v>1272</v>
      </c>
      <c r="N3680" s="9"/>
      <c r="O3680" s="9" t="s">
        <v>1273</v>
      </c>
      <c r="P3680" s="9" t="str">
        <f>HYPERLINK("https://ceds.ed.gov/cedselementdetails.aspx?termid=14520")</f>
        <v>https://ceds.ed.gov/cedselementdetails.aspx?termid=14520</v>
      </c>
      <c r="Q3680" s="9" t="str">
        <f>HYPERLINK("https://ceds.ed.gov/elementComment.aspx?elementName=Assessment Result Descriptive Feedback Date Time &amp;elementID=14520", "Click here to submit comment")</f>
        <v>Click here to submit comment</v>
      </c>
    </row>
    <row r="3681" spans="1:17" ht="120" x14ac:dyDescent="0.25">
      <c r="A3681" s="9" t="s">
        <v>6892</v>
      </c>
      <c r="B3681" s="9" t="s">
        <v>6898</v>
      </c>
      <c r="C3681" s="9" t="s">
        <v>6901</v>
      </c>
      <c r="D3681" s="9" t="s">
        <v>6742</v>
      </c>
      <c r="E3681" s="9" t="s">
        <v>892</v>
      </c>
      <c r="F3681" s="9" t="s">
        <v>893</v>
      </c>
      <c r="G3681" s="9" t="s">
        <v>12</v>
      </c>
      <c r="H3681" s="9"/>
      <c r="I3681" s="9"/>
      <c r="J3681" s="9" t="s">
        <v>134</v>
      </c>
      <c r="K3681" s="9"/>
      <c r="L3681" s="9"/>
      <c r="M3681" s="9" t="s">
        <v>894</v>
      </c>
      <c r="N3681" s="9"/>
      <c r="O3681" s="9" t="s">
        <v>895</v>
      </c>
      <c r="P3681" s="9" t="str">
        <f>HYPERLINK("https://ceds.ed.gov/cedselementdetails.aspx?termid=14217")</f>
        <v>https://ceds.ed.gov/cedselementdetails.aspx?termid=14217</v>
      </c>
      <c r="Q3681" s="9" t="str">
        <f>HYPERLINK("https://ceds.ed.gov/elementComment.aspx?elementName=Assessment Item Response Theory Parameter A &amp;elementID=14217", "Click here to submit comment")</f>
        <v>Click here to submit comment</v>
      </c>
    </row>
    <row r="3682" spans="1:17" ht="75" x14ac:dyDescent="0.25">
      <c r="A3682" s="9" t="s">
        <v>6892</v>
      </c>
      <c r="B3682" s="9" t="s">
        <v>6898</v>
      </c>
      <c r="C3682" s="9" t="s">
        <v>6901</v>
      </c>
      <c r="D3682" s="9" t="s">
        <v>6742</v>
      </c>
      <c r="E3682" s="9" t="s">
        <v>896</v>
      </c>
      <c r="F3682" s="9" t="s">
        <v>897</v>
      </c>
      <c r="G3682" s="9" t="s">
        <v>12</v>
      </c>
      <c r="H3682" s="9"/>
      <c r="I3682" s="9"/>
      <c r="J3682" s="9" t="s">
        <v>134</v>
      </c>
      <c r="K3682" s="9"/>
      <c r="L3682" s="9"/>
      <c r="M3682" s="9" t="s">
        <v>898</v>
      </c>
      <c r="N3682" s="9"/>
      <c r="O3682" s="9" t="s">
        <v>899</v>
      </c>
      <c r="P3682" s="9" t="str">
        <f>HYPERLINK("https://ceds.ed.gov/cedselementdetails.aspx?termid=14218")</f>
        <v>https://ceds.ed.gov/cedselementdetails.aspx?termid=14218</v>
      </c>
      <c r="Q3682" s="9" t="str">
        <f>HYPERLINK("https://ceds.ed.gov/elementComment.aspx?elementName=Assessment Item Response Theory Parameter B &amp;elementID=14218", "Click here to submit comment")</f>
        <v>Click here to submit comment</v>
      </c>
    </row>
    <row r="3683" spans="1:17" ht="120" x14ac:dyDescent="0.25">
      <c r="A3683" s="9" t="s">
        <v>6892</v>
      </c>
      <c r="B3683" s="9" t="s">
        <v>6898</v>
      </c>
      <c r="C3683" s="9" t="s">
        <v>6901</v>
      </c>
      <c r="D3683" s="9" t="s">
        <v>6742</v>
      </c>
      <c r="E3683" s="9" t="s">
        <v>927</v>
      </c>
      <c r="F3683" s="9" t="s">
        <v>928</v>
      </c>
      <c r="G3683" s="10" t="s">
        <v>6355</v>
      </c>
      <c r="H3683" s="9"/>
      <c r="I3683" s="9"/>
      <c r="J3683" s="9"/>
      <c r="K3683" s="9"/>
      <c r="L3683" s="9"/>
      <c r="M3683" s="9" t="s">
        <v>929</v>
      </c>
      <c r="N3683" s="9"/>
      <c r="O3683" s="9" t="s">
        <v>930</v>
      </c>
      <c r="P3683" s="9" t="str">
        <f>HYPERLINK("https://ceds.ed.gov/cedselementdetails.aspx?termid=14219")</f>
        <v>https://ceds.ed.gov/cedselementdetails.aspx?termid=14219</v>
      </c>
      <c r="Q3683" s="9" t="str">
        <f>HYPERLINK("https://ceds.ed.gov/elementComment.aspx?elementName=Assessment Item Response Theory Parameter Difficulty Category &amp;elementID=14219", "Click here to submit comment")</f>
        <v>Click here to submit comment</v>
      </c>
    </row>
    <row r="3684" spans="1:17" ht="120" x14ac:dyDescent="0.25">
      <c r="A3684" s="9" t="s">
        <v>6892</v>
      </c>
      <c r="B3684" s="9" t="s">
        <v>6898</v>
      </c>
      <c r="C3684" s="9" t="s">
        <v>6901</v>
      </c>
      <c r="D3684" s="9" t="s">
        <v>6742</v>
      </c>
      <c r="E3684" s="9" t="s">
        <v>900</v>
      </c>
      <c r="F3684" s="9" t="s">
        <v>10497</v>
      </c>
      <c r="G3684" s="9" t="s">
        <v>12</v>
      </c>
      <c r="H3684" s="9"/>
      <c r="I3684" s="9"/>
      <c r="J3684" s="9" t="s">
        <v>134</v>
      </c>
      <c r="K3684" s="9"/>
      <c r="L3684" s="9"/>
      <c r="M3684" s="9" t="s">
        <v>901</v>
      </c>
      <c r="N3684" s="9"/>
      <c r="O3684" s="9" t="s">
        <v>902</v>
      </c>
      <c r="P3684" s="9" t="str">
        <f>HYPERLINK("https://ceds.ed.gov/cedselementdetails.aspx?termid=14220")</f>
        <v>https://ceds.ed.gov/cedselementdetails.aspx?termid=14220</v>
      </c>
      <c r="Q3684" s="9" t="str">
        <f>HYPERLINK("https://ceds.ed.gov/elementComment.aspx?elementName=Assessment Item Response Theory Parameter C &amp;elementID=14220", "Click here to submit comment")</f>
        <v>Click here to submit comment</v>
      </c>
    </row>
    <row r="3685" spans="1:17" ht="90" x14ac:dyDescent="0.25">
      <c r="A3685" s="9" t="s">
        <v>6892</v>
      </c>
      <c r="B3685" s="9" t="s">
        <v>6898</v>
      </c>
      <c r="C3685" s="9" t="s">
        <v>6901</v>
      </c>
      <c r="D3685" s="9" t="s">
        <v>6742</v>
      </c>
      <c r="E3685" s="9" t="s">
        <v>903</v>
      </c>
      <c r="F3685" s="9" t="s">
        <v>904</v>
      </c>
      <c r="G3685" s="9" t="s">
        <v>12</v>
      </c>
      <c r="H3685" s="9"/>
      <c r="I3685" s="9"/>
      <c r="J3685" s="9" t="s">
        <v>134</v>
      </c>
      <c r="K3685" s="9"/>
      <c r="L3685" s="9"/>
      <c r="M3685" s="9" t="s">
        <v>905</v>
      </c>
      <c r="N3685" s="9"/>
      <c r="O3685" s="9" t="s">
        <v>906</v>
      </c>
      <c r="P3685" s="9" t="str">
        <f>HYPERLINK("https://ceds.ed.gov/cedselementdetails.aspx?termid=14221")</f>
        <v>https://ceds.ed.gov/cedselementdetails.aspx?termid=14221</v>
      </c>
      <c r="Q3685" s="9" t="str">
        <f>HYPERLINK("https://ceds.ed.gov/elementComment.aspx?elementName=Assessment Item Response Theory Parameter D1 &amp;elementID=14221", "Click here to submit comment")</f>
        <v>Click here to submit comment</v>
      </c>
    </row>
    <row r="3686" spans="1:17" ht="90" x14ac:dyDescent="0.25">
      <c r="A3686" s="9" t="s">
        <v>6892</v>
      </c>
      <c r="B3686" s="9" t="s">
        <v>6898</v>
      </c>
      <c r="C3686" s="9" t="s">
        <v>6901</v>
      </c>
      <c r="D3686" s="9" t="s">
        <v>6742</v>
      </c>
      <c r="E3686" s="9" t="s">
        <v>907</v>
      </c>
      <c r="F3686" s="9" t="s">
        <v>908</v>
      </c>
      <c r="G3686" s="9" t="s">
        <v>12</v>
      </c>
      <c r="H3686" s="9"/>
      <c r="I3686" s="9"/>
      <c r="J3686" s="9" t="s">
        <v>134</v>
      </c>
      <c r="K3686" s="9"/>
      <c r="L3686" s="9"/>
      <c r="M3686" s="9" t="s">
        <v>909</v>
      </c>
      <c r="N3686" s="9"/>
      <c r="O3686" s="9" t="s">
        <v>910</v>
      </c>
      <c r="P3686" s="9" t="str">
        <f>HYPERLINK("https://ceds.ed.gov/cedselementdetails.aspx?termid=14222")</f>
        <v>https://ceds.ed.gov/cedselementdetails.aspx?termid=14222</v>
      </c>
      <c r="Q3686" s="9" t="str">
        <f>HYPERLINK("https://ceds.ed.gov/elementComment.aspx?elementName=Assessment Item Response Theory Parameter D2 &amp;elementID=14222", "Click here to submit comment")</f>
        <v>Click here to submit comment</v>
      </c>
    </row>
    <row r="3687" spans="1:17" ht="90" x14ac:dyDescent="0.25">
      <c r="A3687" s="9" t="s">
        <v>6892</v>
      </c>
      <c r="B3687" s="9" t="s">
        <v>6898</v>
      </c>
      <c r="C3687" s="9" t="s">
        <v>6901</v>
      </c>
      <c r="D3687" s="9" t="s">
        <v>6742</v>
      </c>
      <c r="E3687" s="9" t="s">
        <v>911</v>
      </c>
      <c r="F3687" s="9" t="s">
        <v>912</v>
      </c>
      <c r="G3687" s="9" t="s">
        <v>12</v>
      </c>
      <c r="H3687" s="9"/>
      <c r="I3687" s="9"/>
      <c r="J3687" s="9" t="s">
        <v>134</v>
      </c>
      <c r="K3687" s="9"/>
      <c r="L3687" s="9"/>
      <c r="M3687" s="9" t="s">
        <v>913</v>
      </c>
      <c r="N3687" s="9"/>
      <c r="O3687" s="9" t="s">
        <v>914</v>
      </c>
      <c r="P3687" s="9" t="str">
        <f>HYPERLINK("https://ceds.ed.gov/cedselementdetails.aspx?termid=14223")</f>
        <v>https://ceds.ed.gov/cedselementdetails.aspx?termid=14223</v>
      </c>
      <c r="Q3687" s="9" t="str">
        <f>HYPERLINK("https://ceds.ed.gov/elementComment.aspx?elementName=Assessment Item Response Theory Parameter D3 &amp;elementID=14223", "Click here to submit comment")</f>
        <v>Click here to submit comment</v>
      </c>
    </row>
    <row r="3688" spans="1:17" ht="90" x14ac:dyDescent="0.25">
      <c r="A3688" s="9" t="s">
        <v>6892</v>
      </c>
      <c r="B3688" s="9" t="s">
        <v>6898</v>
      </c>
      <c r="C3688" s="9" t="s">
        <v>6901</v>
      </c>
      <c r="D3688" s="9" t="s">
        <v>6742</v>
      </c>
      <c r="E3688" s="9" t="s">
        <v>915</v>
      </c>
      <c r="F3688" s="9" t="s">
        <v>916</v>
      </c>
      <c r="G3688" s="9" t="s">
        <v>12</v>
      </c>
      <c r="H3688" s="9"/>
      <c r="I3688" s="9"/>
      <c r="J3688" s="9" t="s">
        <v>134</v>
      </c>
      <c r="K3688" s="9"/>
      <c r="L3688" s="9"/>
      <c r="M3688" s="9" t="s">
        <v>917</v>
      </c>
      <c r="N3688" s="9"/>
      <c r="O3688" s="9" t="s">
        <v>918</v>
      </c>
      <c r="P3688" s="9" t="str">
        <f>HYPERLINK("https://ceds.ed.gov/cedselementdetails.aspx?termid=14224")</f>
        <v>https://ceds.ed.gov/cedselementdetails.aspx?termid=14224</v>
      </c>
      <c r="Q3688" s="9" t="str">
        <f>HYPERLINK("https://ceds.ed.gov/elementComment.aspx?elementName=Assessment Item Response Theory Parameter D4 &amp;elementID=14224", "Click here to submit comment")</f>
        <v>Click here to submit comment</v>
      </c>
    </row>
    <row r="3689" spans="1:17" ht="90" x14ac:dyDescent="0.25">
      <c r="A3689" s="9" t="s">
        <v>6892</v>
      </c>
      <c r="B3689" s="9" t="s">
        <v>6898</v>
      </c>
      <c r="C3689" s="9" t="s">
        <v>6901</v>
      </c>
      <c r="D3689" s="9" t="s">
        <v>6742</v>
      </c>
      <c r="E3689" s="9" t="s">
        <v>919</v>
      </c>
      <c r="F3689" s="9" t="s">
        <v>920</v>
      </c>
      <c r="G3689" s="9" t="s">
        <v>12</v>
      </c>
      <c r="H3689" s="9"/>
      <c r="I3689" s="9"/>
      <c r="J3689" s="9" t="s">
        <v>134</v>
      </c>
      <c r="K3689" s="9"/>
      <c r="L3689" s="9"/>
      <c r="M3689" s="9" t="s">
        <v>921</v>
      </c>
      <c r="N3689" s="9"/>
      <c r="O3689" s="9" t="s">
        <v>922</v>
      </c>
      <c r="P3689" s="9" t="str">
        <f>HYPERLINK("https://ceds.ed.gov/cedselementdetails.aspx?termid=14225")</f>
        <v>https://ceds.ed.gov/cedselementdetails.aspx?termid=14225</v>
      </c>
      <c r="Q3689" s="9" t="str">
        <f>HYPERLINK("https://ceds.ed.gov/elementComment.aspx?elementName=Assessment Item Response Theory Parameter D5 &amp;elementID=14225", "Click here to submit comment")</f>
        <v>Click here to submit comment</v>
      </c>
    </row>
    <row r="3690" spans="1:17" ht="90" x14ac:dyDescent="0.25">
      <c r="A3690" s="9" t="s">
        <v>6892</v>
      </c>
      <c r="B3690" s="9" t="s">
        <v>6898</v>
      </c>
      <c r="C3690" s="9" t="s">
        <v>6901</v>
      </c>
      <c r="D3690" s="9" t="s">
        <v>6742</v>
      </c>
      <c r="E3690" s="9" t="s">
        <v>923</v>
      </c>
      <c r="F3690" s="9" t="s">
        <v>924</v>
      </c>
      <c r="G3690" s="9" t="s">
        <v>12</v>
      </c>
      <c r="H3690" s="9"/>
      <c r="I3690" s="9"/>
      <c r="J3690" s="9" t="s">
        <v>134</v>
      </c>
      <c r="K3690" s="9"/>
      <c r="L3690" s="9"/>
      <c r="M3690" s="9" t="s">
        <v>925</v>
      </c>
      <c r="N3690" s="9"/>
      <c r="O3690" s="9" t="s">
        <v>926</v>
      </c>
      <c r="P3690" s="9" t="str">
        <f>HYPERLINK("https://ceds.ed.gov/cedselementdetails.aspx?termid=14226")</f>
        <v>https://ceds.ed.gov/cedselementdetails.aspx?termid=14226</v>
      </c>
      <c r="Q3690" s="9" t="str">
        <f>HYPERLINK("https://ceds.ed.gov/elementComment.aspx?elementName=Assessment Item Response Theory Parameter D6 &amp;elementID=14226", "Click here to submit comment")</f>
        <v>Click here to submit comment</v>
      </c>
    </row>
    <row r="3691" spans="1:17" ht="60" x14ac:dyDescent="0.25">
      <c r="A3691" s="9" t="s">
        <v>6892</v>
      </c>
      <c r="B3691" s="9" t="s">
        <v>6898</v>
      </c>
      <c r="C3691" s="9" t="s">
        <v>6901</v>
      </c>
      <c r="D3691" s="9" t="s">
        <v>6742</v>
      </c>
      <c r="E3691" s="9" t="s">
        <v>931</v>
      </c>
      <c r="F3691" s="9" t="s">
        <v>932</v>
      </c>
      <c r="G3691" s="9" t="s">
        <v>12</v>
      </c>
      <c r="H3691" s="9"/>
      <c r="I3691" s="9"/>
      <c r="J3691" s="9" t="s">
        <v>134</v>
      </c>
      <c r="K3691" s="9"/>
      <c r="L3691" s="9"/>
      <c r="M3691" s="9" t="s">
        <v>933</v>
      </c>
      <c r="N3691" s="9"/>
      <c r="O3691" s="9" t="s">
        <v>934</v>
      </c>
      <c r="P3691" s="9" t="str">
        <f>HYPERLINK("https://ceds.ed.gov/cedselementdetails.aspx?termid=14228")</f>
        <v>https://ceds.ed.gov/cedselementdetails.aspx?termid=14228</v>
      </c>
      <c r="Q3691" s="9" t="str">
        <f>HYPERLINK("https://ceds.ed.gov/elementComment.aspx?elementName=Assessment Item Response Theory Point Biserial Correlation Value &amp;elementID=14228", "Click here to submit comment")</f>
        <v>Click here to submit comment</v>
      </c>
    </row>
    <row r="3692" spans="1:17" ht="165" x14ac:dyDescent="0.25">
      <c r="A3692" s="9" t="s">
        <v>6892</v>
      </c>
      <c r="B3692" s="9" t="s">
        <v>6898</v>
      </c>
      <c r="C3692" s="9" t="s">
        <v>6901</v>
      </c>
      <c r="D3692" s="9" t="s">
        <v>6742</v>
      </c>
      <c r="E3692" s="9" t="s">
        <v>879</v>
      </c>
      <c r="F3692" s="9" t="s">
        <v>880</v>
      </c>
      <c r="G3692" s="9" t="s">
        <v>12</v>
      </c>
      <c r="H3692" s="9"/>
      <c r="I3692" s="9"/>
      <c r="J3692" s="9" t="s">
        <v>134</v>
      </c>
      <c r="K3692" s="9"/>
      <c r="L3692" s="9"/>
      <c r="M3692" s="9" t="s">
        <v>882</v>
      </c>
      <c r="N3692" s="9"/>
      <c r="O3692" s="9" t="s">
        <v>883</v>
      </c>
      <c r="P3692" s="9" t="str">
        <f>HYPERLINK("https://ceds.ed.gov/cedselementdetails.aspx?termid=14230")</f>
        <v>https://ceds.ed.gov/cedselementdetails.aspx?termid=14230</v>
      </c>
      <c r="Q3692" s="9" t="str">
        <f>HYPERLINK("https://ceds.ed.gov/elementComment.aspx?elementName=Assessment Item Response Theory DIF Value &amp;elementID=14230", "Click here to submit comment")</f>
        <v>Click here to submit comment</v>
      </c>
    </row>
    <row r="3693" spans="1:17" ht="45" x14ac:dyDescent="0.25">
      <c r="A3693" s="9" t="s">
        <v>6892</v>
      </c>
      <c r="B3693" s="9" t="s">
        <v>6898</v>
      </c>
      <c r="C3693" s="9" t="s">
        <v>6901</v>
      </c>
      <c r="D3693" s="9" t="s">
        <v>6742</v>
      </c>
      <c r="E3693" s="9" t="s">
        <v>888</v>
      </c>
      <c r="F3693" s="9" t="s">
        <v>889</v>
      </c>
      <c r="G3693" s="9" t="s">
        <v>12</v>
      </c>
      <c r="H3693" s="9"/>
      <c r="I3693" s="9"/>
      <c r="J3693" s="9" t="s">
        <v>134</v>
      </c>
      <c r="K3693" s="9"/>
      <c r="L3693" s="9"/>
      <c r="M3693" s="9" t="s">
        <v>890</v>
      </c>
      <c r="N3693" s="9"/>
      <c r="O3693" s="9" t="s">
        <v>891</v>
      </c>
      <c r="P3693" s="9" t="str">
        <f>HYPERLINK("https://ceds.ed.gov/cedselementdetails.aspx?termid=14231")</f>
        <v>https://ceds.ed.gov/cedselementdetails.aspx?termid=14231</v>
      </c>
      <c r="Q3693" s="9" t="str">
        <f>HYPERLINK("https://ceds.ed.gov/elementComment.aspx?elementName=Assessment Item Response Theory Kappa Value &amp;elementID=14231", "Click here to submit comment")</f>
        <v>Click here to submit comment</v>
      </c>
    </row>
    <row r="3694" spans="1:17" ht="90" x14ac:dyDescent="0.25">
      <c r="A3694" s="9" t="s">
        <v>6892</v>
      </c>
      <c r="B3694" s="9" t="s">
        <v>6898</v>
      </c>
      <c r="C3694" s="9" t="s">
        <v>6901</v>
      </c>
      <c r="D3694" s="9" t="s">
        <v>6742</v>
      </c>
      <c r="E3694" s="9" t="s">
        <v>884</v>
      </c>
      <c r="F3694" s="9" t="s">
        <v>885</v>
      </c>
      <c r="G3694" s="10" t="s">
        <v>6354</v>
      </c>
      <c r="H3694" s="9"/>
      <c r="I3694" s="9"/>
      <c r="J3694" s="9"/>
      <c r="K3694" s="9"/>
      <c r="L3694" s="9"/>
      <c r="M3694" s="9" t="s">
        <v>886</v>
      </c>
      <c r="N3694" s="9"/>
      <c r="O3694" s="9" t="s">
        <v>887</v>
      </c>
      <c r="P3694" s="9" t="str">
        <f>HYPERLINK("https://ceds.ed.gov/cedselementdetails.aspx?termid=14232")</f>
        <v>https://ceds.ed.gov/cedselementdetails.aspx?termid=14232</v>
      </c>
      <c r="Q3694" s="9" t="str">
        <f>HYPERLINK("https://ceds.ed.gov/elementComment.aspx?elementName=Assessment Item Response Theory Kappa Algorithm &amp;elementID=14232", "Click here to submit comment")</f>
        <v>Click here to submit comment</v>
      </c>
    </row>
    <row r="3695" spans="1:17" ht="90" x14ac:dyDescent="0.25">
      <c r="A3695" s="9" t="s">
        <v>6892</v>
      </c>
      <c r="B3695" s="9" t="s">
        <v>6898</v>
      </c>
      <c r="C3695" s="9" t="s">
        <v>6902</v>
      </c>
      <c r="D3695" s="9" t="s">
        <v>6742</v>
      </c>
      <c r="E3695" s="9" t="s">
        <v>666</v>
      </c>
      <c r="F3695" s="9" t="s">
        <v>667</v>
      </c>
      <c r="G3695" s="9" t="s">
        <v>12</v>
      </c>
      <c r="H3695" s="9"/>
      <c r="I3695" s="9"/>
      <c r="J3695" s="9" t="s">
        <v>303</v>
      </c>
      <c r="K3695" s="9"/>
      <c r="L3695" s="9"/>
      <c r="M3695" s="9" t="s">
        <v>669</v>
      </c>
      <c r="N3695" s="9"/>
      <c r="O3695" s="9" t="s">
        <v>670</v>
      </c>
      <c r="P3695" s="9" t="str">
        <f>HYPERLINK("https://ceds.ed.gov/cedselementdetails.aspx?termid=14079")</f>
        <v>https://ceds.ed.gov/cedselementdetails.aspx?termid=14079</v>
      </c>
      <c r="Q3695" s="9" t="str">
        <f>HYPERLINK("https://ceds.ed.gov/elementComment.aspx?elementName=Assessment Item Body Custom Interaction XML &amp;elementID=14079", "Click here to submit comment")</f>
        <v>Click here to submit comment</v>
      </c>
    </row>
    <row r="3696" spans="1:17" ht="45" x14ac:dyDescent="0.25">
      <c r="A3696" s="9" t="s">
        <v>6892</v>
      </c>
      <c r="B3696" s="9" t="s">
        <v>6898</v>
      </c>
      <c r="C3696" s="9" t="s">
        <v>6903</v>
      </c>
      <c r="D3696" s="9" t="s">
        <v>6742</v>
      </c>
      <c r="E3696" s="9" t="s">
        <v>752</v>
      </c>
      <c r="F3696" s="9" t="s">
        <v>753</v>
      </c>
      <c r="G3696" s="9" t="s">
        <v>12</v>
      </c>
      <c r="H3696" s="9"/>
      <c r="I3696" s="9"/>
      <c r="J3696" s="9" t="s">
        <v>87</v>
      </c>
      <c r="K3696" s="9"/>
      <c r="L3696" s="9"/>
      <c r="M3696" s="9" t="s">
        <v>754</v>
      </c>
      <c r="N3696" s="9"/>
      <c r="O3696" s="9" t="s">
        <v>755</v>
      </c>
      <c r="P3696" s="9" t="str">
        <f>HYPERLINK("https://ceds.ed.gov/cedselementdetails.aspx?termid=13685")</f>
        <v>https://ceds.ed.gov/cedselementdetails.aspx?termid=13685</v>
      </c>
      <c r="Q3696" s="9" t="str">
        <f>HYPERLINK("https://ceds.ed.gov/elementComment.aspx?elementName=Assessment Item Characteristic Value &amp;elementID=13685", "Click here to submit comment")</f>
        <v>Click here to submit comment</v>
      </c>
    </row>
    <row r="3697" spans="1:17" ht="390" x14ac:dyDescent="0.25">
      <c r="A3697" s="9" t="s">
        <v>6892</v>
      </c>
      <c r="B3697" s="9" t="s">
        <v>6898</v>
      </c>
      <c r="C3697" s="9" t="s">
        <v>6903</v>
      </c>
      <c r="D3697" s="9" t="s">
        <v>6742</v>
      </c>
      <c r="E3697" s="9" t="s">
        <v>747</v>
      </c>
      <c r="F3697" s="9" t="s">
        <v>748</v>
      </c>
      <c r="G3697" s="10" t="s">
        <v>6350</v>
      </c>
      <c r="H3697" s="9" t="s">
        <v>6135</v>
      </c>
      <c r="I3697" s="9"/>
      <c r="J3697" s="9"/>
      <c r="K3697" s="9"/>
      <c r="L3697" s="9"/>
      <c r="M3697" s="9" t="s">
        <v>750</v>
      </c>
      <c r="N3697" s="9"/>
      <c r="O3697" s="9" t="s">
        <v>751</v>
      </c>
      <c r="P3697" s="9" t="str">
        <f>HYPERLINK("https://ceds.ed.gov/cedselementdetails.aspx?termid=13384")</f>
        <v>https://ceds.ed.gov/cedselementdetails.aspx?termid=13384</v>
      </c>
      <c r="Q3697" s="9" t="str">
        <f>HYPERLINK("https://ceds.ed.gov/elementComment.aspx?elementName=Assessment Item Characteristic Type &amp;elementID=13384", "Click here to submit comment")</f>
        <v>Click here to submit comment</v>
      </c>
    </row>
    <row r="3698" spans="1:17" ht="105" x14ac:dyDescent="0.25">
      <c r="A3698" s="18" t="s">
        <v>6892</v>
      </c>
      <c r="B3698" s="18" t="s">
        <v>6898</v>
      </c>
      <c r="C3698" s="18" t="s">
        <v>6904</v>
      </c>
      <c r="D3698" s="18" t="s">
        <v>6742</v>
      </c>
      <c r="E3698" s="18" t="s">
        <v>5232</v>
      </c>
      <c r="F3698" s="18" t="s">
        <v>5233</v>
      </c>
      <c r="G3698" s="18" t="s">
        <v>12</v>
      </c>
      <c r="H3698" s="18" t="s">
        <v>6135</v>
      </c>
      <c r="I3698" s="18"/>
      <c r="J3698" s="18" t="s">
        <v>119</v>
      </c>
      <c r="K3698" s="18"/>
      <c r="L3698" s="9" t="s">
        <v>120</v>
      </c>
      <c r="M3698" s="18" t="s">
        <v>5234</v>
      </c>
      <c r="N3698" s="18"/>
      <c r="O3698" s="18" t="s">
        <v>5235</v>
      </c>
      <c r="P3698" s="18" t="str">
        <f>HYPERLINK("https://ceds.ed.gov/cedselementdetails.aspx?termid=13412")</f>
        <v>https://ceds.ed.gov/cedselementdetails.aspx?termid=13412</v>
      </c>
      <c r="Q3698" s="18" t="str">
        <f>HYPERLINK("https://ceds.ed.gov/elementComment.aspx?elementName=Rubric Identifier &amp;elementID=13412", "Click here to submit comment")</f>
        <v>Click here to submit comment</v>
      </c>
    </row>
    <row r="3699" spans="1:17" x14ac:dyDescent="0.25">
      <c r="A3699" s="18"/>
      <c r="B3699" s="18"/>
      <c r="C3699" s="18"/>
      <c r="D3699" s="18"/>
      <c r="E3699" s="18"/>
      <c r="F3699" s="18"/>
      <c r="G3699" s="18"/>
      <c r="H3699" s="18"/>
      <c r="I3699" s="18"/>
      <c r="J3699" s="18"/>
      <c r="K3699" s="18"/>
      <c r="L3699" s="9"/>
      <c r="M3699" s="18"/>
      <c r="N3699" s="18"/>
      <c r="O3699" s="18"/>
      <c r="P3699" s="18"/>
      <c r="Q3699" s="18"/>
    </row>
    <row r="3700" spans="1:17" ht="90" x14ac:dyDescent="0.25">
      <c r="A3700" s="18"/>
      <c r="B3700" s="18"/>
      <c r="C3700" s="18"/>
      <c r="D3700" s="18"/>
      <c r="E3700" s="18"/>
      <c r="F3700" s="18"/>
      <c r="G3700" s="18"/>
      <c r="H3700" s="18"/>
      <c r="I3700" s="18"/>
      <c r="J3700" s="18"/>
      <c r="K3700" s="18"/>
      <c r="L3700" s="9" t="s">
        <v>121</v>
      </c>
      <c r="M3700" s="18"/>
      <c r="N3700" s="18"/>
      <c r="O3700" s="18"/>
      <c r="P3700" s="18"/>
      <c r="Q3700" s="18"/>
    </row>
    <row r="3701" spans="1:17" ht="45" x14ac:dyDescent="0.25">
      <c r="A3701" s="9" t="s">
        <v>6892</v>
      </c>
      <c r="B3701" s="9" t="s">
        <v>6898</v>
      </c>
      <c r="C3701" s="9" t="s">
        <v>6904</v>
      </c>
      <c r="D3701" s="9" t="s">
        <v>6742</v>
      </c>
      <c r="E3701" s="9" t="s">
        <v>5236</v>
      </c>
      <c r="F3701" s="9" t="s">
        <v>5237</v>
      </c>
      <c r="G3701" s="9" t="s">
        <v>12</v>
      </c>
      <c r="H3701" s="9" t="s">
        <v>6135</v>
      </c>
      <c r="I3701" s="9"/>
      <c r="J3701" s="9" t="s">
        <v>87</v>
      </c>
      <c r="K3701" s="9"/>
      <c r="L3701" s="9"/>
      <c r="M3701" s="9" t="s">
        <v>5238</v>
      </c>
      <c r="N3701" s="9"/>
      <c r="O3701" s="9" t="s">
        <v>5239</v>
      </c>
      <c r="P3701" s="9" t="str">
        <f>HYPERLINK("https://ceds.ed.gov/cedselementdetails.aspx?termid=13411")</f>
        <v>https://ceds.ed.gov/cedselementdetails.aspx?termid=13411</v>
      </c>
      <c r="Q3701" s="9" t="str">
        <f>HYPERLINK("https://ceds.ed.gov/elementComment.aspx?elementName=Rubric Title &amp;elementID=13411", "Click here to submit comment")</f>
        <v>Click here to submit comment</v>
      </c>
    </row>
    <row r="3702" spans="1:17" ht="45" x14ac:dyDescent="0.25">
      <c r="A3702" s="9" t="s">
        <v>6892</v>
      </c>
      <c r="B3702" s="9" t="s">
        <v>6898</v>
      </c>
      <c r="C3702" s="9" t="s">
        <v>6904</v>
      </c>
      <c r="D3702" s="9" t="s">
        <v>6742</v>
      </c>
      <c r="E3702" s="9" t="s">
        <v>5228</v>
      </c>
      <c r="F3702" s="9" t="s">
        <v>5229</v>
      </c>
      <c r="G3702" s="9" t="s">
        <v>12</v>
      </c>
      <c r="H3702" s="9"/>
      <c r="I3702" s="9"/>
      <c r="J3702" s="9" t="s">
        <v>303</v>
      </c>
      <c r="K3702" s="9"/>
      <c r="L3702" s="9"/>
      <c r="M3702" s="9" t="s">
        <v>5230</v>
      </c>
      <c r="N3702" s="9"/>
      <c r="O3702" s="9" t="s">
        <v>5231</v>
      </c>
      <c r="P3702" s="9" t="str">
        <f>HYPERLINK("https://ceds.ed.gov/cedselementdetails.aspx?termid=14451")</f>
        <v>https://ceds.ed.gov/cedselementdetails.aspx?termid=14451</v>
      </c>
      <c r="Q3702" s="9" t="str">
        <f>HYPERLINK("https://ceds.ed.gov/elementComment.aspx?elementName=Rubric Description &amp;elementID=14451", "Click here to submit comment")</f>
        <v>Click here to submit comment</v>
      </c>
    </row>
    <row r="3703" spans="1:17" ht="45" x14ac:dyDescent="0.25">
      <c r="A3703" s="9" t="s">
        <v>6892</v>
      </c>
      <c r="B3703" s="9" t="s">
        <v>6898</v>
      </c>
      <c r="C3703" s="9" t="s">
        <v>6904</v>
      </c>
      <c r="D3703" s="9" t="s">
        <v>6742</v>
      </c>
      <c r="E3703" s="9" t="s">
        <v>5240</v>
      </c>
      <c r="F3703" s="9" t="s">
        <v>5241</v>
      </c>
      <c r="G3703" s="9" t="s">
        <v>12</v>
      </c>
      <c r="H3703" s="9" t="s">
        <v>6135</v>
      </c>
      <c r="I3703" s="9"/>
      <c r="J3703" s="9" t="s">
        <v>1143</v>
      </c>
      <c r="K3703" s="9"/>
      <c r="L3703" s="9"/>
      <c r="M3703" s="9" t="s">
        <v>5242</v>
      </c>
      <c r="N3703" s="9"/>
      <c r="O3703" s="9" t="s">
        <v>5243</v>
      </c>
      <c r="P3703" s="9" t="str">
        <f>HYPERLINK("https://ceds.ed.gov/cedselementdetails.aspx?termid=13413")</f>
        <v>https://ceds.ed.gov/cedselementdetails.aspx?termid=13413</v>
      </c>
      <c r="Q3703" s="9" t="str">
        <f>HYPERLINK("https://ceds.ed.gov/elementComment.aspx?elementName=Rubric URL Reference &amp;elementID=13413", "Click here to submit comment")</f>
        <v>Click here to submit comment</v>
      </c>
    </row>
    <row r="3704" spans="1:17" ht="45" x14ac:dyDescent="0.25">
      <c r="A3704" s="9" t="s">
        <v>6892</v>
      </c>
      <c r="B3704" s="9" t="s">
        <v>6898</v>
      </c>
      <c r="C3704" s="9" t="s">
        <v>6904</v>
      </c>
      <c r="D3704" s="9" t="s">
        <v>6742</v>
      </c>
      <c r="E3704" s="9" t="s">
        <v>5220</v>
      </c>
      <c r="F3704" s="9" t="s">
        <v>5221</v>
      </c>
      <c r="G3704" s="9" t="s">
        <v>12</v>
      </c>
      <c r="H3704" s="9"/>
      <c r="I3704" s="9"/>
      <c r="J3704" s="9" t="s">
        <v>92</v>
      </c>
      <c r="K3704" s="9"/>
      <c r="L3704" s="9"/>
      <c r="M3704" s="9" t="s">
        <v>5222</v>
      </c>
      <c r="N3704" s="9"/>
      <c r="O3704" s="9" t="s">
        <v>5223</v>
      </c>
      <c r="P3704" s="9" t="str">
        <f>HYPERLINK("https://ceds.ed.gov/cedselementdetails.aspx?termid=14449")</f>
        <v>https://ceds.ed.gov/cedselementdetails.aspx?termid=14449</v>
      </c>
      <c r="Q3704" s="9" t="str">
        <f>HYPERLINK("https://ceds.ed.gov/elementComment.aspx?elementName=Rubric Criterion Title &amp;elementID=14449", "Click here to submit comment")</f>
        <v>Click here to submit comment</v>
      </c>
    </row>
    <row r="3705" spans="1:17" ht="45" x14ac:dyDescent="0.25">
      <c r="A3705" s="9" t="s">
        <v>6892</v>
      </c>
      <c r="B3705" s="9" t="s">
        <v>6898</v>
      </c>
      <c r="C3705" s="9" t="s">
        <v>6904</v>
      </c>
      <c r="D3705" s="9" t="s">
        <v>6742</v>
      </c>
      <c r="E3705" s="9" t="s">
        <v>5192</v>
      </c>
      <c r="F3705" s="9" t="s">
        <v>5193</v>
      </c>
      <c r="G3705" s="9" t="s">
        <v>12</v>
      </c>
      <c r="H3705" s="9"/>
      <c r="I3705" s="9"/>
      <c r="J3705" s="9" t="s">
        <v>303</v>
      </c>
      <c r="K3705" s="9"/>
      <c r="L3705" s="9"/>
      <c r="M3705" s="9" t="s">
        <v>5194</v>
      </c>
      <c r="N3705" s="9"/>
      <c r="O3705" s="9" t="s">
        <v>5195</v>
      </c>
      <c r="P3705" s="9" t="str">
        <f>HYPERLINK("https://ceds.ed.gov/cedselementdetails.aspx?termid=14442")</f>
        <v>https://ceds.ed.gov/cedselementdetails.aspx?termid=14442</v>
      </c>
      <c r="Q3705" s="9" t="str">
        <f>HYPERLINK("https://ceds.ed.gov/elementComment.aspx?elementName=Rubric Criterion Description &amp;elementID=14442", "Click here to submit comment")</f>
        <v>Click here to submit comment</v>
      </c>
    </row>
    <row r="3706" spans="1:17" ht="45" x14ac:dyDescent="0.25">
      <c r="A3706" s="9" t="s">
        <v>6892</v>
      </c>
      <c r="B3706" s="9" t="s">
        <v>6898</v>
      </c>
      <c r="C3706" s="9" t="s">
        <v>6904</v>
      </c>
      <c r="D3706" s="9" t="s">
        <v>6742</v>
      </c>
      <c r="E3706" s="9" t="s">
        <v>5188</v>
      </c>
      <c r="F3706" s="9" t="s">
        <v>5189</v>
      </c>
      <c r="G3706" s="9" t="s">
        <v>12</v>
      </c>
      <c r="H3706" s="9"/>
      <c r="I3706" s="9"/>
      <c r="J3706" s="9" t="s">
        <v>87</v>
      </c>
      <c r="K3706" s="9"/>
      <c r="L3706" s="9"/>
      <c r="M3706" s="9" t="s">
        <v>5190</v>
      </c>
      <c r="N3706" s="9"/>
      <c r="O3706" s="9" t="s">
        <v>5191</v>
      </c>
      <c r="P3706" s="9" t="str">
        <f>HYPERLINK("https://ceds.ed.gov/cedselementdetails.aspx?termid=14441")</f>
        <v>https://ceds.ed.gov/cedselementdetails.aspx?termid=14441</v>
      </c>
      <c r="Q3706" s="9" t="str">
        <f>HYPERLINK("https://ceds.ed.gov/elementComment.aspx?elementName=Rubric Criterion Category &amp;elementID=14441", "Click here to submit comment")</f>
        <v>Click here to submit comment</v>
      </c>
    </row>
    <row r="3707" spans="1:17" ht="45" x14ac:dyDescent="0.25">
      <c r="A3707" s="9" t="s">
        <v>6892</v>
      </c>
      <c r="B3707" s="9" t="s">
        <v>6898</v>
      </c>
      <c r="C3707" s="9" t="s">
        <v>6904</v>
      </c>
      <c r="D3707" s="9" t="s">
        <v>6742</v>
      </c>
      <c r="E3707" s="9" t="s">
        <v>5216</v>
      </c>
      <c r="F3707" s="9" t="s">
        <v>5217</v>
      </c>
      <c r="G3707" s="9" t="s">
        <v>12</v>
      </c>
      <c r="H3707" s="9"/>
      <c r="I3707" s="9"/>
      <c r="J3707" s="9" t="s">
        <v>134</v>
      </c>
      <c r="K3707" s="9"/>
      <c r="L3707" s="9"/>
      <c r="M3707" s="9" t="s">
        <v>5218</v>
      </c>
      <c r="N3707" s="9"/>
      <c r="O3707" s="9" t="s">
        <v>5219</v>
      </c>
      <c r="P3707" s="9" t="str">
        <f>HYPERLINK("https://ceds.ed.gov/cedselementdetails.aspx?termid=14448")</f>
        <v>https://ceds.ed.gov/cedselementdetails.aspx?termid=14448</v>
      </c>
      <c r="Q3707" s="9" t="str">
        <f>HYPERLINK("https://ceds.ed.gov/elementComment.aspx?elementName=Rubric Criterion Position &amp;elementID=14448", "Click here to submit comment")</f>
        <v>Click here to submit comment</v>
      </c>
    </row>
    <row r="3708" spans="1:17" ht="60" x14ac:dyDescent="0.25">
      <c r="A3708" s="9" t="s">
        <v>6892</v>
      </c>
      <c r="B3708" s="9" t="s">
        <v>6898</v>
      </c>
      <c r="C3708" s="9" t="s">
        <v>6904</v>
      </c>
      <c r="D3708" s="9" t="s">
        <v>6742</v>
      </c>
      <c r="E3708" s="9" t="s">
        <v>5196</v>
      </c>
      <c r="F3708" s="9" t="s">
        <v>5197</v>
      </c>
      <c r="G3708" s="9" t="s">
        <v>12</v>
      </c>
      <c r="H3708" s="9"/>
      <c r="I3708" s="9"/>
      <c r="J3708" s="9" t="s">
        <v>303</v>
      </c>
      <c r="K3708" s="9"/>
      <c r="L3708" s="9"/>
      <c r="M3708" s="9" t="s">
        <v>5198</v>
      </c>
      <c r="N3708" s="9"/>
      <c r="O3708" s="9" t="s">
        <v>5199</v>
      </c>
      <c r="P3708" s="9" t="str">
        <f>HYPERLINK("https://ceds.ed.gov/cedselementdetails.aspx?termid=14443")</f>
        <v>https://ceds.ed.gov/cedselementdetails.aspx?termid=14443</v>
      </c>
      <c r="Q3708" s="9" t="str">
        <f>HYPERLINK("https://ceds.ed.gov/elementComment.aspx?elementName=Rubric Criterion Level Description &amp;elementID=14443", "Click here to submit comment")</f>
        <v>Click here to submit comment</v>
      </c>
    </row>
    <row r="3709" spans="1:17" ht="75" x14ac:dyDescent="0.25">
      <c r="A3709" s="9" t="s">
        <v>6892</v>
      </c>
      <c r="B3709" s="9" t="s">
        <v>6898</v>
      </c>
      <c r="C3709" s="9" t="s">
        <v>6904</v>
      </c>
      <c r="D3709" s="9" t="s">
        <v>6742</v>
      </c>
      <c r="E3709" s="9" t="s">
        <v>5200</v>
      </c>
      <c r="F3709" s="9" t="s">
        <v>5201</v>
      </c>
      <c r="G3709" s="9" t="s">
        <v>12</v>
      </c>
      <c r="H3709" s="9"/>
      <c r="I3709" s="9"/>
      <c r="J3709" s="9" t="s">
        <v>303</v>
      </c>
      <c r="K3709" s="9"/>
      <c r="L3709" s="9"/>
      <c r="M3709" s="9" t="s">
        <v>5202</v>
      </c>
      <c r="N3709" s="9"/>
      <c r="O3709" s="9" t="s">
        <v>5203</v>
      </c>
      <c r="P3709" s="9" t="str">
        <f>HYPERLINK("https://ceds.ed.gov/cedselementdetails.aspx?termid=14444")</f>
        <v>https://ceds.ed.gov/cedselementdetails.aspx?termid=14444</v>
      </c>
      <c r="Q3709" s="9" t="str">
        <f>HYPERLINK("https://ceds.ed.gov/elementComment.aspx?elementName=Rubric Criterion Level Feedback &amp;elementID=14444", "Click here to submit comment")</f>
        <v>Click here to submit comment</v>
      </c>
    </row>
    <row r="3710" spans="1:17" ht="45" x14ac:dyDescent="0.25">
      <c r="A3710" s="9" t="s">
        <v>6892</v>
      </c>
      <c r="B3710" s="9" t="s">
        <v>6898</v>
      </c>
      <c r="C3710" s="9" t="s">
        <v>6904</v>
      </c>
      <c r="D3710" s="9" t="s">
        <v>6742</v>
      </c>
      <c r="E3710" s="9" t="s">
        <v>5204</v>
      </c>
      <c r="F3710" s="9" t="s">
        <v>5205</v>
      </c>
      <c r="G3710" s="9" t="s">
        <v>12</v>
      </c>
      <c r="H3710" s="9"/>
      <c r="I3710" s="9"/>
      <c r="J3710" s="9" t="s">
        <v>134</v>
      </c>
      <c r="K3710" s="9"/>
      <c r="L3710" s="9"/>
      <c r="M3710" s="9" t="s">
        <v>5206</v>
      </c>
      <c r="N3710" s="9"/>
      <c r="O3710" s="9" t="s">
        <v>5207</v>
      </c>
      <c r="P3710" s="9" t="str">
        <f>HYPERLINK("https://ceds.ed.gov/cedselementdetails.aspx?termid=14445")</f>
        <v>https://ceds.ed.gov/cedselementdetails.aspx?termid=14445</v>
      </c>
      <c r="Q3710" s="9" t="str">
        <f>HYPERLINK("https://ceds.ed.gov/elementComment.aspx?elementName=Rubric Criterion Level Position &amp;elementID=14445", "Click here to submit comment")</f>
        <v>Click here to submit comment</v>
      </c>
    </row>
    <row r="3711" spans="1:17" ht="60" x14ac:dyDescent="0.25">
      <c r="A3711" s="9" t="s">
        <v>6892</v>
      </c>
      <c r="B3711" s="9" t="s">
        <v>6898</v>
      </c>
      <c r="C3711" s="9" t="s">
        <v>6904</v>
      </c>
      <c r="D3711" s="9" t="s">
        <v>6742</v>
      </c>
      <c r="E3711" s="9" t="s">
        <v>5208</v>
      </c>
      <c r="F3711" s="9" t="s">
        <v>5209</v>
      </c>
      <c r="G3711" s="9" t="s">
        <v>12</v>
      </c>
      <c r="H3711" s="9"/>
      <c r="I3711" s="9"/>
      <c r="J3711" s="9" t="s">
        <v>92</v>
      </c>
      <c r="K3711" s="9"/>
      <c r="L3711" s="9"/>
      <c r="M3711" s="9" t="s">
        <v>5210</v>
      </c>
      <c r="N3711" s="9"/>
      <c r="O3711" s="9" t="s">
        <v>5211</v>
      </c>
      <c r="P3711" s="9" t="str">
        <f>HYPERLINK("https://ceds.ed.gov/cedselementdetails.aspx?termid=14446")</f>
        <v>https://ceds.ed.gov/cedselementdetails.aspx?termid=14446</v>
      </c>
      <c r="Q3711" s="9" t="str">
        <f>HYPERLINK("https://ceds.ed.gov/elementComment.aspx?elementName=Rubric Criterion Level Quality Label &amp;elementID=14446", "Click here to submit comment")</f>
        <v>Click here to submit comment</v>
      </c>
    </row>
    <row r="3712" spans="1:17" ht="45" x14ac:dyDescent="0.25">
      <c r="A3712" s="9" t="s">
        <v>6892</v>
      </c>
      <c r="B3712" s="9" t="s">
        <v>6898</v>
      </c>
      <c r="C3712" s="9" t="s">
        <v>6904</v>
      </c>
      <c r="D3712" s="9" t="s">
        <v>6742</v>
      </c>
      <c r="E3712" s="9" t="s">
        <v>5212</v>
      </c>
      <c r="F3712" s="9" t="s">
        <v>5213</v>
      </c>
      <c r="G3712" s="9" t="s">
        <v>12</v>
      </c>
      <c r="H3712" s="9"/>
      <c r="I3712" s="9"/>
      <c r="J3712" s="9" t="s">
        <v>134</v>
      </c>
      <c r="K3712" s="9"/>
      <c r="L3712" s="9"/>
      <c r="M3712" s="9" t="s">
        <v>5214</v>
      </c>
      <c r="N3712" s="9"/>
      <c r="O3712" s="9" t="s">
        <v>5215</v>
      </c>
      <c r="P3712" s="9" t="str">
        <f>HYPERLINK("https://ceds.ed.gov/cedselementdetails.aspx?termid=14447")</f>
        <v>https://ceds.ed.gov/cedselementdetails.aspx?termid=14447</v>
      </c>
      <c r="Q3712" s="9" t="str">
        <f>HYPERLINK("https://ceds.ed.gov/elementComment.aspx?elementName=Rubric Criterion Level Score &amp;elementID=14447", "Click here to submit comment")</f>
        <v>Click here to submit comment</v>
      </c>
    </row>
    <row r="3713" spans="1:17" ht="45" x14ac:dyDescent="0.25">
      <c r="A3713" s="9" t="s">
        <v>6892</v>
      </c>
      <c r="B3713" s="9" t="s">
        <v>6898</v>
      </c>
      <c r="C3713" s="9" t="s">
        <v>6904</v>
      </c>
      <c r="D3713" s="9" t="s">
        <v>6742</v>
      </c>
      <c r="E3713" s="9" t="s">
        <v>5224</v>
      </c>
      <c r="F3713" s="9" t="s">
        <v>5225</v>
      </c>
      <c r="G3713" s="9" t="s">
        <v>12</v>
      </c>
      <c r="H3713" s="9"/>
      <c r="I3713" s="9"/>
      <c r="J3713" s="9" t="s">
        <v>134</v>
      </c>
      <c r="K3713" s="9"/>
      <c r="L3713" s="9"/>
      <c r="M3713" s="9" t="s">
        <v>5226</v>
      </c>
      <c r="N3713" s="9"/>
      <c r="O3713" s="9" t="s">
        <v>5227</v>
      </c>
      <c r="P3713" s="9" t="str">
        <f>HYPERLINK("https://ceds.ed.gov/cedselementdetails.aspx?termid=14450")</f>
        <v>https://ceds.ed.gov/cedselementdetails.aspx?termid=14450</v>
      </c>
      <c r="Q3713" s="9" t="str">
        <f>HYPERLINK("https://ceds.ed.gov/elementComment.aspx?elementName=Rubric Criterion Weight &amp;elementID=14450", "Click here to submit comment")</f>
        <v>Click here to submit comment</v>
      </c>
    </row>
    <row r="3714" spans="1:17" ht="45" x14ac:dyDescent="0.25">
      <c r="A3714" s="9" t="s">
        <v>6892</v>
      </c>
      <c r="B3714" s="9" t="s">
        <v>6898</v>
      </c>
      <c r="C3714" s="9" t="s">
        <v>6905</v>
      </c>
      <c r="D3714" s="9" t="s">
        <v>6742</v>
      </c>
      <c r="E3714" s="9" t="s">
        <v>608</v>
      </c>
      <c r="F3714" s="9" t="s">
        <v>609</v>
      </c>
      <c r="G3714" s="9" t="s">
        <v>6106</v>
      </c>
      <c r="H3714" s="9"/>
      <c r="I3714" s="9"/>
      <c r="J3714" s="9"/>
      <c r="K3714" s="9"/>
      <c r="L3714" s="9"/>
      <c r="M3714" s="9" t="s">
        <v>611</v>
      </c>
      <c r="N3714" s="9"/>
      <c r="O3714" s="9" t="s">
        <v>612</v>
      </c>
      <c r="P3714" s="9" t="str">
        <f>HYPERLINK("https://ceds.ed.gov/cedselementdetails.aspx?termid=14111")</f>
        <v>https://ceds.ed.gov/cedselementdetails.aspx?termid=14111</v>
      </c>
      <c r="Q3714" s="9" t="str">
        <f>HYPERLINK("https://ceds.ed.gov/elementComment.aspx?elementName=Assessment Item Adaptive Indicator &amp;elementID=14111", "Click here to submit comment")</f>
        <v>Click here to submit comment</v>
      </c>
    </row>
    <row r="3715" spans="1:17" ht="195" x14ac:dyDescent="0.25">
      <c r="A3715" s="9" t="s">
        <v>6892</v>
      </c>
      <c r="B3715" s="9" t="s">
        <v>6898</v>
      </c>
      <c r="C3715" s="9" t="s">
        <v>6905</v>
      </c>
      <c r="D3715" s="9" t="s">
        <v>6742</v>
      </c>
      <c r="E3715" s="9" t="s">
        <v>618</v>
      </c>
      <c r="F3715" s="9" t="s">
        <v>619</v>
      </c>
      <c r="G3715" s="9" t="s">
        <v>12</v>
      </c>
      <c r="H3715" s="9"/>
      <c r="I3715" s="9"/>
      <c r="J3715" s="9" t="s">
        <v>303</v>
      </c>
      <c r="K3715" s="9"/>
      <c r="L3715" s="9"/>
      <c r="M3715" s="9" t="s">
        <v>620</v>
      </c>
      <c r="N3715" s="9"/>
      <c r="O3715" s="9" t="s">
        <v>621</v>
      </c>
      <c r="P3715" s="9" t="str">
        <f>HYPERLINK("https://ceds.ed.gov/cedselementdetails.aspx?termid=14110")</f>
        <v>https://ceds.ed.gov/cedselementdetails.aspx?termid=14110</v>
      </c>
      <c r="Q3715" s="9" t="str">
        <f>HYPERLINK("https://ceds.ed.gov/elementComment.aspx?elementName=Assessment Item APIP Item Body XML &amp;elementID=14110", "Click here to submit comment")</f>
        <v>Click here to submit comment</v>
      </c>
    </row>
    <row r="3716" spans="1:17" ht="150" x14ac:dyDescent="0.25">
      <c r="A3716" s="9" t="s">
        <v>6892</v>
      </c>
      <c r="B3716" s="9" t="s">
        <v>6898</v>
      </c>
      <c r="C3716" s="9" t="s">
        <v>6905</v>
      </c>
      <c r="D3716" s="9" t="s">
        <v>6742</v>
      </c>
      <c r="E3716" s="9" t="s">
        <v>622</v>
      </c>
      <c r="F3716" s="9" t="s">
        <v>623</v>
      </c>
      <c r="G3716" s="9" t="s">
        <v>12</v>
      </c>
      <c r="H3716" s="9"/>
      <c r="I3716" s="9"/>
      <c r="J3716" s="9" t="s">
        <v>303</v>
      </c>
      <c r="K3716" s="9"/>
      <c r="L3716" s="9"/>
      <c r="M3716" s="9" t="s">
        <v>624</v>
      </c>
      <c r="N3716" s="9"/>
      <c r="O3716" s="9" t="s">
        <v>625</v>
      </c>
      <c r="P3716" s="9" t="str">
        <f>HYPERLINK("https://ceds.ed.gov/cedselementdetails.aspx?termid=14109")</f>
        <v>https://ceds.ed.gov/cedselementdetails.aspx?termid=14109</v>
      </c>
      <c r="Q3716" s="9" t="str">
        <f>HYPERLINK("https://ceds.ed.gov/elementComment.aspx?elementName=Assessment Item APIP Modal Feedback XML &amp;elementID=14109", "Click here to submit comment")</f>
        <v>Click here to submit comment</v>
      </c>
    </row>
    <row r="3717" spans="1:17" ht="105" x14ac:dyDescent="0.25">
      <c r="A3717" s="9" t="s">
        <v>6892</v>
      </c>
      <c r="B3717" s="9" t="s">
        <v>6898</v>
      </c>
      <c r="C3717" s="9" t="s">
        <v>6905</v>
      </c>
      <c r="D3717" s="9" t="s">
        <v>6742</v>
      </c>
      <c r="E3717" s="9" t="s">
        <v>626</v>
      </c>
      <c r="F3717" s="9" t="s">
        <v>627</v>
      </c>
      <c r="G3717" s="9" t="s">
        <v>12</v>
      </c>
      <c r="H3717" s="9"/>
      <c r="I3717" s="9"/>
      <c r="J3717" s="9" t="s">
        <v>303</v>
      </c>
      <c r="K3717" s="9"/>
      <c r="L3717" s="9"/>
      <c r="M3717" s="9" t="s">
        <v>628</v>
      </c>
      <c r="N3717" s="9"/>
      <c r="O3717" s="9" t="s">
        <v>629</v>
      </c>
      <c r="P3717" s="9" t="str">
        <f>HYPERLINK("https://ceds.ed.gov/cedselementdetails.aspx?termid=14106")</f>
        <v>https://ceds.ed.gov/cedselementdetails.aspx?termid=14106</v>
      </c>
      <c r="Q3717" s="9" t="str">
        <f>HYPERLINK("https://ceds.ed.gov/elementComment.aspx?elementName=Assessment Item APIP Outcome Declaration XML &amp;elementID=14106", "Click here to submit comment")</f>
        <v>Click here to submit comment</v>
      </c>
    </row>
    <row r="3718" spans="1:17" ht="90" x14ac:dyDescent="0.25">
      <c r="A3718" s="9" t="s">
        <v>6892</v>
      </c>
      <c r="B3718" s="9" t="s">
        <v>6898</v>
      </c>
      <c r="C3718" s="9" t="s">
        <v>6905</v>
      </c>
      <c r="D3718" s="9" t="s">
        <v>6742</v>
      </c>
      <c r="E3718" s="9" t="s">
        <v>630</v>
      </c>
      <c r="F3718" s="9" t="s">
        <v>631</v>
      </c>
      <c r="G3718" s="9" t="s">
        <v>12</v>
      </c>
      <c r="H3718" s="9"/>
      <c r="I3718" s="9"/>
      <c r="J3718" s="9" t="s">
        <v>303</v>
      </c>
      <c r="K3718" s="9"/>
      <c r="L3718" s="9"/>
      <c r="M3718" s="9" t="s">
        <v>632</v>
      </c>
      <c r="N3718" s="9"/>
      <c r="O3718" s="9" t="s">
        <v>633</v>
      </c>
      <c r="P3718" s="9" t="str">
        <f>HYPERLINK("https://ceds.ed.gov/cedselementdetails.aspx?termid=14105")</f>
        <v>https://ceds.ed.gov/cedselementdetails.aspx?termid=14105</v>
      </c>
      <c r="Q3718" s="9" t="str">
        <f>HYPERLINK("https://ceds.ed.gov/elementComment.aspx?elementName=Assessment Item APIP Response Declaration XML &amp;elementID=14105", "Click here to submit comment")</f>
        <v>Click here to submit comment</v>
      </c>
    </row>
    <row r="3719" spans="1:17" ht="180" x14ac:dyDescent="0.25">
      <c r="A3719" s="9" t="s">
        <v>6892</v>
      </c>
      <c r="B3719" s="9" t="s">
        <v>6898</v>
      </c>
      <c r="C3719" s="9" t="s">
        <v>6905</v>
      </c>
      <c r="D3719" s="9" t="s">
        <v>6742</v>
      </c>
      <c r="E3719" s="9" t="s">
        <v>634</v>
      </c>
      <c r="F3719" s="9" t="s">
        <v>635</v>
      </c>
      <c r="G3719" s="9" t="s">
        <v>12</v>
      </c>
      <c r="H3719" s="9"/>
      <c r="I3719" s="9"/>
      <c r="J3719" s="9" t="s">
        <v>1143</v>
      </c>
      <c r="K3719" s="9"/>
      <c r="L3719" s="9"/>
      <c r="M3719" s="9" t="s">
        <v>636</v>
      </c>
      <c r="N3719" s="9"/>
      <c r="O3719" s="9" t="s">
        <v>637</v>
      </c>
      <c r="P3719" s="9" t="str">
        <f>HYPERLINK("https://ceds.ed.gov/cedselementdetails.aspx?termid=14103")</f>
        <v>https://ceds.ed.gov/cedselementdetails.aspx?termid=14103</v>
      </c>
      <c r="Q3719" s="9" t="str">
        <f>HYPERLINK("https://ceds.ed.gov/elementComment.aspx?elementName=Assessment Item APIP Response Processing Template URL &amp;elementID=14103", "Click here to submit comment")</f>
        <v>Click here to submit comment</v>
      </c>
    </row>
    <row r="3720" spans="1:17" ht="180" x14ac:dyDescent="0.25">
      <c r="A3720" s="9" t="s">
        <v>6892</v>
      </c>
      <c r="B3720" s="9" t="s">
        <v>6898</v>
      </c>
      <c r="C3720" s="9" t="s">
        <v>6905</v>
      </c>
      <c r="D3720" s="9" t="s">
        <v>6742</v>
      </c>
      <c r="E3720" s="9" t="s">
        <v>638</v>
      </c>
      <c r="F3720" s="9" t="s">
        <v>639</v>
      </c>
      <c r="G3720" s="9" t="s">
        <v>12</v>
      </c>
      <c r="H3720" s="9"/>
      <c r="I3720" s="9"/>
      <c r="J3720" s="9" t="s">
        <v>303</v>
      </c>
      <c r="K3720" s="9"/>
      <c r="L3720" s="9"/>
      <c r="M3720" s="9" t="s">
        <v>640</v>
      </c>
      <c r="N3720" s="9"/>
      <c r="O3720" s="9" t="s">
        <v>641</v>
      </c>
      <c r="P3720" s="9" t="str">
        <f>HYPERLINK("https://ceds.ed.gov/cedselementdetails.aspx?termid=14104")</f>
        <v>https://ceds.ed.gov/cedselementdetails.aspx?termid=14104</v>
      </c>
      <c r="Q3720" s="9" t="str">
        <f>HYPERLINK("https://ceds.ed.gov/elementComment.aspx?elementName=Assessment Item APIP Response Processing XML &amp;elementID=14104", "Click here to submit comment")</f>
        <v>Click here to submit comment</v>
      </c>
    </row>
    <row r="3721" spans="1:17" ht="180" x14ac:dyDescent="0.25">
      <c r="A3721" s="9" t="s">
        <v>6892</v>
      </c>
      <c r="B3721" s="9" t="s">
        <v>6898</v>
      </c>
      <c r="C3721" s="9" t="s">
        <v>6905</v>
      </c>
      <c r="D3721" s="9" t="s">
        <v>6742</v>
      </c>
      <c r="E3721" s="9" t="s">
        <v>642</v>
      </c>
      <c r="F3721" s="9" t="s">
        <v>643</v>
      </c>
      <c r="G3721" s="9" t="s">
        <v>12</v>
      </c>
      <c r="H3721" s="9"/>
      <c r="I3721" s="9"/>
      <c r="J3721" s="9" t="s">
        <v>303</v>
      </c>
      <c r="K3721" s="9"/>
      <c r="L3721" s="9"/>
      <c r="M3721" s="9" t="s">
        <v>644</v>
      </c>
      <c r="N3721" s="9"/>
      <c r="O3721" s="9" t="s">
        <v>645</v>
      </c>
      <c r="P3721" s="9" t="str">
        <f>HYPERLINK("https://ceds.ed.gov/cedselementdetails.aspx?termid=14107")</f>
        <v>https://ceds.ed.gov/cedselementdetails.aspx?termid=14107</v>
      </c>
      <c r="Q3721" s="9" t="str">
        <f>HYPERLINK("https://ceds.ed.gov/elementComment.aspx?elementName=Assessment Item APIP Template Declaration XML &amp;elementID=14107", "Click here to submit comment")</f>
        <v>Click here to submit comment</v>
      </c>
    </row>
    <row r="3722" spans="1:17" ht="165" x14ac:dyDescent="0.25">
      <c r="A3722" s="9" t="s">
        <v>6892</v>
      </c>
      <c r="B3722" s="9" t="s">
        <v>6898</v>
      </c>
      <c r="C3722" s="9" t="s">
        <v>6905</v>
      </c>
      <c r="D3722" s="9" t="s">
        <v>6742</v>
      </c>
      <c r="E3722" s="9" t="s">
        <v>646</v>
      </c>
      <c r="F3722" s="9" t="s">
        <v>647</v>
      </c>
      <c r="G3722" s="9" t="s">
        <v>12</v>
      </c>
      <c r="H3722" s="9"/>
      <c r="I3722" s="9"/>
      <c r="J3722" s="9" t="s">
        <v>303</v>
      </c>
      <c r="K3722" s="9"/>
      <c r="L3722" s="9"/>
      <c r="M3722" s="9" t="s">
        <v>648</v>
      </c>
      <c r="N3722" s="9"/>
      <c r="O3722" s="9" t="s">
        <v>649</v>
      </c>
      <c r="P3722" s="9" t="str">
        <f>HYPERLINK("https://ceds.ed.gov/cedselementdetails.aspx?termid=14108")</f>
        <v>https://ceds.ed.gov/cedselementdetails.aspx?termid=14108</v>
      </c>
      <c r="Q3722" s="9" t="str">
        <f>HYPERLINK("https://ceds.ed.gov/elementComment.aspx?elementName=Assessment Item APIP Template Processing XML &amp;elementID=14108", "Click here to submit comment")</f>
        <v>Click here to submit comment</v>
      </c>
    </row>
    <row r="3723" spans="1:17" ht="60" x14ac:dyDescent="0.25">
      <c r="A3723" s="9" t="s">
        <v>6892</v>
      </c>
      <c r="B3723" s="9" t="s">
        <v>6898</v>
      </c>
      <c r="C3723" s="9" t="s">
        <v>6905</v>
      </c>
      <c r="D3723" s="9" t="s">
        <v>6742</v>
      </c>
      <c r="E3723" s="9" t="s">
        <v>939</v>
      </c>
      <c r="F3723" s="9" t="s">
        <v>940</v>
      </c>
      <c r="G3723" s="9" t="s">
        <v>12</v>
      </c>
      <c r="H3723" s="9"/>
      <c r="I3723" s="9"/>
      <c r="J3723" s="9" t="s">
        <v>303</v>
      </c>
      <c r="K3723" s="9"/>
      <c r="L3723" s="9" t="s">
        <v>941</v>
      </c>
      <c r="M3723" s="9" t="s">
        <v>942</v>
      </c>
      <c r="N3723" s="9"/>
      <c r="O3723" s="9" t="s">
        <v>943</v>
      </c>
      <c r="P3723" s="9" t="str">
        <f>HYPERLINK("https://ceds.ed.gov/cedselementdetails.aspx?termid=14250")</f>
        <v>https://ceds.ed.gov/cedselementdetails.aspx?termid=14250</v>
      </c>
      <c r="Q3723" s="9" t="str">
        <f>HYPERLINK("https://ceds.ed.gov/elementComment.aspx?elementName=Assessment Item Result XML &amp;elementID=14250", "Click here to submit comment")</f>
        <v>Click here to submit comment</v>
      </c>
    </row>
    <row r="3724" spans="1:17" ht="45" x14ac:dyDescent="0.25">
      <c r="A3724" s="9" t="s">
        <v>6892</v>
      </c>
      <c r="B3724" s="9" t="s">
        <v>6898</v>
      </c>
      <c r="C3724" s="9" t="s">
        <v>6906</v>
      </c>
      <c r="D3724" s="9" t="s">
        <v>6742</v>
      </c>
      <c r="E3724" s="9" t="s">
        <v>362</v>
      </c>
      <c r="F3724" s="9" t="s">
        <v>363</v>
      </c>
      <c r="G3724" s="9" t="s">
        <v>12</v>
      </c>
      <c r="H3724" s="9"/>
      <c r="I3724" s="9"/>
      <c r="J3724" s="9" t="s">
        <v>134</v>
      </c>
      <c r="K3724" s="9"/>
      <c r="L3724" s="9"/>
      <c r="M3724" s="9" t="s">
        <v>365</v>
      </c>
      <c r="N3724" s="9"/>
      <c r="O3724" s="9" t="s">
        <v>366</v>
      </c>
      <c r="P3724" s="9" t="str">
        <f>HYPERLINK("https://ceds.ed.gov/cedselementdetails.aspx?termid=14504")</f>
        <v>https://ceds.ed.gov/cedselementdetails.aspx?termid=14504</v>
      </c>
      <c r="Q3724" s="9" t="str">
        <f>HYPERLINK("https://ceds.ed.gov/elementComment.aspx?elementName=APIP Interaction Sequence Number &amp;elementID=14504", "Click here to submit comment")</f>
        <v>Click here to submit comment</v>
      </c>
    </row>
    <row r="3725" spans="1:17" ht="90" x14ac:dyDescent="0.25">
      <c r="A3725" s="9" t="s">
        <v>6892</v>
      </c>
      <c r="B3725" s="9" t="s">
        <v>6898</v>
      </c>
      <c r="C3725" s="9" t="s">
        <v>6906</v>
      </c>
      <c r="D3725" s="9" t="s">
        <v>6742</v>
      </c>
      <c r="E3725" s="9" t="s">
        <v>658</v>
      </c>
      <c r="F3725" s="9" t="s">
        <v>659</v>
      </c>
      <c r="G3725" s="9" t="s">
        <v>12</v>
      </c>
      <c r="H3725" s="9"/>
      <c r="I3725" s="9"/>
      <c r="J3725" s="9" t="s">
        <v>303</v>
      </c>
      <c r="K3725" s="9"/>
      <c r="L3725" s="9"/>
      <c r="M3725" s="9" t="s">
        <v>660</v>
      </c>
      <c r="N3725" s="9"/>
      <c r="O3725" s="9" t="s">
        <v>661</v>
      </c>
      <c r="P3725" s="9" t="str">
        <f>HYPERLINK("https://ceds.ed.gov/cedselementdetails.aspx?termid=14100")</f>
        <v>https://ceds.ed.gov/cedselementdetails.aspx?termid=14100</v>
      </c>
      <c r="Q3725" s="9" t="str">
        <f>HYPERLINK("https://ceds.ed.gov/elementComment.aspx?elementName=Assessment Item Body Associate Interaction XML &amp;elementID=14100", "Click here to submit comment")</f>
        <v>Click here to submit comment</v>
      </c>
    </row>
    <row r="3726" spans="1:17" ht="120" x14ac:dyDescent="0.25">
      <c r="A3726" s="9" t="s">
        <v>6892</v>
      </c>
      <c r="B3726" s="9" t="s">
        <v>6898</v>
      </c>
      <c r="C3726" s="9" t="s">
        <v>6906</v>
      </c>
      <c r="D3726" s="9" t="s">
        <v>6742</v>
      </c>
      <c r="E3726" s="9" t="s">
        <v>662</v>
      </c>
      <c r="F3726" s="9" t="s">
        <v>663</v>
      </c>
      <c r="G3726" s="9" t="s">
        <v>12</v>
      </c>
      <c r="H3726" s="9"/>
      <c r="I3726" s="9"/>
      <c r="J3726" s="9" t="s">
        <v>303</v>
      </c>
      <c r="K3726" s="9"/>
      <c r="L3726" s="9"/>
      <c r="M3726" s="9" t="s">
        <v>664</v>
      </c>
      <c r="N3726" s="9"/>
      <c r="O3726" s="9" t="s">
        <v>665</v>
      </c>
      <c r="P3726" s="9" t="str">
        <f>HYPERLINK("https://ceds.ed.gov/cedselementdetails.aspx?termid=14090")</f>
        <v>https://ceds.ed.gov/cedselementdetails.aspx?termid=14090</v>
      </c>
      <c r="Q3726" s="9" t="str">
        <f>HYPERLINK("https://ceds.ed.gov/elementComment.aspx?elementName=Assessment Item Body Choice Interaction XML &amp;elementID=14090", "Click here to submit comment")</f>
        <v>Click here to submit comment</v>
      </c>
    </row>
    <row r="3727" spans="1:17" ht="150" x14ac:dyDescent="0.25">
      <c r="A3727" s="9" t="s">
        <v>6892</v>
      </c>
      <c r="B3727" s="9" t="s">
        <v>6898</v>
      </c>
      <c r="C3727" s="9" t="s">
        <v>6906</v>
      </c>
      <c r="D3727" s="9" t="s">
        <v>6742</v>
      </c>
      <c r="E3727" s="9" t="s">
        <v>671</v>
      </c>
      <c r="F3727" s="9" t="s">
        <v>672</v>
      </c>
      <c r="G3727" s="9" t="s">
        <v>12</v>
      </c>
      <c r="H3727" s="9"/>
      <c r="I3727" s="9"/>
      <c r="J3727" s="9" t="s">
        <v>303</v>
      </c>
      <c r="K3727" s="9"/>
      <c r="L3727" s="9"/>
      <c r="M3727" s="9" t="s">
        <v>673</v>
      </c>
      <c r="N3727" s="9"/>
      <c r="O3727" s="9" t="s">
        <v>674</v>
      </c>
      <c r="P3727" s="9" t="str">
        <f>HYPERLINK("https://ceds.ed.gov/cedselementdetails.aspx?termid=14080")</f>
        <v>https://ceds.ed.gov/cedselementdetails.aspx?termid=14080</v>
      </c>
      <c r="Q3727" s="9" t="str">
        <f>HYPERLINK("https://ceds.ed.gov/elementComment.aspx?elementName=Assessment Item Body Drawing Interaction XML &amp;elementID=14080", "Click here to submit comment")</f>
        <v>Click here to submit comment</v>
      </c>
    </row>
    <row r="3728" spans="1:17" ht="195" x14ac:dyDescent="0.25">
      <c r="A3728" s="9" t="s">
        <v>6892</v>
      </c>
      <c r="B3728" s="9" t="s">
        <v>6898</v>
      </c>
      <c r="C3728" s="9" t="s">
        <v>6906</v>
      </c>
      <c r="D3728" s="9" t="s">
        <v>6742</v>
      </c>
      <c r="E3728" s="9" t="s">
        <v>675</v>
      </c>
      <c r="F3728" s="9" t="s">
        <v>676</v>
      </c>
      <c r="G3728" s="9" t="s">
        <v>12</v>
      </c>
      <c r="H3728" s="9"/>
      <c r="I3728" s="9"/>
      <c r="J3728" s="9" t="s">
        <v>303</v>
      </c>
      <c r="K3728" s="9"/>
      <c r="L3728" s="9"/>
      <c r="M3728" s="9" t="s">
        <v>677</v>
      </c>
      <c r="N3728" s="9"/>
      <c r="O3728" s="9" t="s">
        <v>678</v>
      </c>
      <c r="P3728" s="9" t="str">
        <f>HYPERLINK("https://ceds.ed.gov/cedselementdetails.aspx?termid=14098")</f>
        <v>https://ceds.ed.gov/cedselementdetails.aspx?termid=14098</v>
      </c>
      <c r="Q3728" s="9" t="str">
        <f>HYPERLINK("https://ceds.ed.gov/elementComment.aspx?elementName=Assessment Item Body End Attempt Interaction XML &amp;elementID=14098", "Click here to submit comment")</f>
        <v>Click here to submit comment</v>
      </c>
    </row>
    <row r="3729" spans="1:17" ht="75" x14ac:dyDescent="0.25">
      <c r="A3729" s="9" t="s">
        <v>6892</v>
      </c>
      <c r="B3729" s="9" t="s">
        <v>6898</v>
      </c>
      <c r="C3729" s="9" t="s">
        <v>6906</v>
      </c>
      <c r="D3729" s="9" t="s">
        <v>6742</v>
      </c>
      <c r="E3729" s="9" t="s">
        <v>679</v>
      </c>
      <c r="F3729" s="9" t="s">
        <v>680</v>
      </c>
      <c r="G3729" s="9" t="s">
        <v>12</v>
      </c>
      <c r="H3729" s="9"/>
      <c r="I3729" s="9"/>
      <c r="J3729" s="9" t="s">
        <v>303</v>
      </c>
      <c r="K3729" s="9"/>
      <c r="L3729" s="9"/>
      <c r="M3729" s="9" t="s">
        <v>681</v>
      </c>
      <c r="N3729" s="9"/>
      <c r="O3729" s="9" t="s">
        <v>682</v>
      </c>
      <c r="P3729" s="9" t="str">
        <f>HYPERLINK("https://ceds.ed.gov/cedselementdetails.aspx?termid=14097")</f>
        <v>https://ceds.ed.gov/cedselementdetails.aspx?termid=14097</v>
      </c>
      <c r="Q3729" s="9" t="str">
        <f>HYPERLINK("https://ceds.ed.gov/elementComment.aspx?elementName=Assessment Item Body Extended Text Interaction XML &amp;elementID=14097", "Click here to submit comment")</f>
        <v>Click here to submit comment</v>
      </c>
    </row>
    <row r="3730" spans="1:17" ht="120" x14ac:dyDescent="0.25">
      <c r="A3730" s="9" t="s">
        <v>6892</v>
      </c>
      <c r="B3730" s="9" t="s">
        <v>6898</v>
      </c>
      <c r="C3730" s="9" t="s">
        <v>6906</v>
      </c>
      <c r="D3730" s="9" t="s">
        <v>6742</v>
      </c>
      <c r="E3730" s="9" t="s">
        <v>683</v>
      </c>
      <c r="F3730" s="9" t="s">
        <v>684</v>
      </c>
      <c r="G3730" s="9" t="s">
        <v>12</v>
      </c>
      <c r="H3730" s="9"/>
      <c r="I3730" s="9"/>
      <c r="J3730" s="9" t="s">
        <v>303</v>
      </c>
      <c r="K3730" s="9"/>
      <c r="L3730" s="9"/>
      <c r="M3730" s="9" t="s">
        <v>685</v>
      </c>
      <c r="N3730" s="9"/>
      <c r="O3730" s="9" t="s">
        <v>686</v>
      </c>
      <c r="P3730" s="9" t="str">
        <f>HYPERLINK("https://ceds.ed.gov/cedselementdetails.aspx?termid=14081")</f>
        <v>https://ceds.ed.gov/cedselementdetails.aspx?termid=14081</v>
      </c>
      <c r="Q3730" s="9" t="str">
        <f>HYPERLINK("https://ceds.ed.gov/elementComment.aspx?elementName=Assessment Item Body Gap Match Interaction XML &amp;elementID=14081", "Click here to submit comment")</f>
        <v>Click here to submit comment</v>
      </c>
    </row>
    <row r="3731" spans="1:17" ht="409.5" x14ac:dyDescent="0.25">
      <c r="A3731" s="9" t="s">
        <v>6892</v>
      </c>
      <c r="B3731" s="9" t="s">
        <v>6898</v>
      </c>
      <c r="C3731" s="9" t="s">
        <v>6906</v>
      </c>
      <c r="D3731" s="9" t="s">
        <v>6742</v>
      </c>
      <c r="E3731" s="9" t="s">
        <v>687</v>
      </c>
      <c r="F3731" s="9" t="s">
        <v>688</v>
      </c>
      <c r="G3731" s="9" t="s">
        <v>12</v>
      </c>
      <c r="H3731" s="9"/>
      <c r="I3731" s="9"/>
      <c r="J3731" s="9" t="s">
        <v>303</v>
      </c>
      <c r="K3731" s="9"/>
      <c r="L3731" s="9"/>
      <c r="M3731" s="9" t="s">
        <v>689</v>
      </c>
      <c r="N3731" s="9"/>
      <c r="O3731" s="9" t="s">
        <v>690</v>
      </c>
      <c r="P3731" s="9" t="str">
        <f>HYPERLINK("https://ceds.ed.gov/cedselementdetails.aspx?termid=14083")</f>
        <v>https://ceds.ed.gov/cedselementdetails.aspx?termid=14083</v>
      </c>
      <c r="Q3731" s="9" t="str">
        <f>HYPERLINK("https://ceds.ed.gov/elementComment.aspx?elementName=Assessment Item Body Graphic Gap Match Interaction XML &amp;elementID=14083", "Click here to submit comment")</f>
        <v>Click here to submit comment</v>
      </c>
    </row>
    <row r="3732" spans="1:17" ht="240" x14ac:dyDescent="0.25">
      <c r="A3732" s="9" t="s">
        <v>6892</v>
      </c>
      <c r="B3732" s="9" t="s">
        <v>6898</v>
      </c>
      <c r="C3732" s="9" t="s">
        <v>6906</v>
      </c>
      <c r="D3732" s="9" t="s">
        <v>6742</v>
      </c>
      <c r="E3732" s="9" t="s">
        <v>691</v>
      </c>
      <c r="F3732" s="9" t="s">
        <v>692</v>
      </c>
      <c r="G3732" s="9" t="s">
        <v>12</v>
      </c>
      <c r="H3732" s="9"/>
      <c r="I3732" s="9"/>
      <c r="J3732" s="9" t="s">
        <v>303</v>
      </c>
      <c r="K3732" s="9"/>
      <c r="L3732" s="9"/>
      <c r="M3732" s="9" t="s">
        <v>693</v>
      </c>
      <c r="N3732" s="9"/>
      <c r="O3732" s="9" t="s">
        <v>694</v>
      </c>
      <c r="P3732" s="9" t="str">
        <f>HYPERLINK("https://ceds.ed.gov/cedselementdetails.aspx?termid=14085")</f>
        <v>https://ceds.ed.gov/cedselementdetails.aspx?termid=14085</v>
      </c>
      <c r="Q3732" s="9" t="str">
        <f>HYPERLINK("https://ceds.ed.gov/elementComment.aspx?elementName=Assessment Item Body Graphic Order Interaction XML &amp;elementID=14085", "Click here to submit comment")</f>
        <v>Click here to submit comment</v>
      </c>
    </row>
    <row r="3733" spans="1:17" ht="225" x14ac:dyDescent="0.25">
      <c r="A3733" s="9" t="s">
        <v>6892</v>
      </c>
      <c r="B3733" s="9" t="s">
        <v>6898</v>
      </c>
      <c r="C3733" s="9" t="s">
        <v>6906</v>
      </c>
      <c r="D3733" s="9" t="s">
        <v>6742</v>
      </c>
      <c r="E3733" s="9" t="s">
        <v>695</v>
      </c>
      <c r="F3733" s="9" t="s">
        <v>696</v>
      </c>
      <c r="G3733" s="9" t="s">
        <v>12</v>
      </c>
      <c r="H3733" s="9"/>
      <c r="I3733" s="9"/>
      <c r="J3733" s="9" t="s">
        <v>303</v>
      </c>
      <c r="K3733" s="9"/>
      <c r="L3733" s="9"/>
      <c r="M3733" s="9" t="s">
        <v>697</v>
      </c>
      <c r="N3733" s="9"/>
      <c r="O3733" s="9" t="s">
        <v>698</v>
      </c>
      <c r="P3733" s="9" t="str">
        <f>HYPERLINK("https://ceds.ed.gov/cedselementdetails.aspx?termid=14084")</f>
        <v>https://ceds.ed.gov/cedselementdetails.aspx?termid=14084</v>
      </c>
      <c r="Q3733" s="9" t="str">
        <f>HYPERLINK("https://ceds.ed.gov/elementComment.aspx?elementName=Assessment Item Body Hot Spot Interaction XML &amp;elementID=14084", "Click here to submit comment")</f>
        <v>Click here to submit comment</v>
      </c>
    </row>
    <row r="3734" spans="1:17" ht="225" x14ac:dyDescent="0.25">
      <c r="A3734" s="9" t="s">
        <v>6892</v>
      </c>
      <c r="B3734" s="9" t="s">
        <v>6898</v>
      </c>
      <c r="C3734" s="9" t="s">
        <v>6906</v>
      </c>
      <c r="D3734" s="9" t="s">
        <v>6742</v>
      </c>
      <c r="E3734" s="9" t="s">
        <v>699</v>
      </c>
      <c r="F3734" s="9" t="s">
        <v>700</v>
      </c>
      <c r="G3734" s="9" t="s">
        <v>12</v>
      </c>
      <c r="H3734" s="9"/>
      <c r="I3734" s="9"/>
      <c r="J3734" s="9" t="s">
        <v>303</v>
      </c>
      <c r="K3734" s="9"/>
      <c r="L3734" s="9"/>
      <c r="M3734" s="9" t="s">
        <v>701</v>
      </c>
      <c r="N3734" s="9"/>
      <c r="O3734" s="9" t="s">
        <v>702</v>
      </c>
      <c r="P3734" s="9" t="str">
        <f>HYPERLINK("https://ceds.ed.gov/cedselementdetails.aspx?termid=14093")</f>
        <v>https://ceds.ed.gov/cedselementdetails.aspx?termid=14093</v>
      </c>
      <c r="Q3734" s="9" t="str">
        <f>HYPERLINK("https://ceds.ed.gov/elementComment.aspx?elementName=Assessment Item Body Hottext Interaction XML &amp;elementID=14093", "Click here to submit comment")</f>
        <v>Click here to submit comment</v>
      </c>
    </row>
    <row r="3735" spans="1:17" ht="135" x14ac:dyDescent="0.25">
      <c r="A3735" s="9" t="s">
        <v>6892</v>
      </c>
      <c r="B3735" s="9" t="s">
        <v>6898</v>
      </c>
      <c r="C3735" s="9" t="s">
        <v>6906</v>
      </c>
      <c r="D3735" s="9" t="s">
        <v>6742</v>
      </c>
      <c r="E3735" s="9" t="s">
        <v>703</v>
      </c>
      <c r="F3735" s="9" t="s">
        <v>704</v>
      </c>
      <c r="G3735" s="9" t="s">
        <v>12</v>
      </c>
      <c r="H3735" s="9"/>
      <c r="I3735" s="9"/>
      <c r="J3735" s="9" t="s">
        <v>303</v>
      </c>
      <c r="K3735" s="9"/>
      <c r="L3735" s="9"/>
      <c r="M3735" s="9" t="s">
        <v>705</v>
      </c>
      <c r="N3735" s="9"/>
      <c r="O3735" s="9" t="s">
        <v>706</v>
      </c>
      <c r="P3735" s="9" t="str">
        <f>HYPERLINK("https://ceds.ed.gov/cedselementdetails.aspx?termid=14091")</f>
        <v>https://ceds.ed.gov/cedselementdetails.aspx?termid=14091</v>
      </c>
      <c r="Q3735" s="9" t="str">
        <f>HYPERLINK("https://ceds.ed.gov/elementComment.aspx?elementName=Assessment Item Body Inline Choice Interaction XML &amp;elementID=14091", "Click here to submit comment")</f>
        <v>Click here to submit comment</v>
      </c>
    </row>
    <row r="3736" spans="1:17" ht="165" x14ac:dyDescent="0.25">
      <c r="A3736" s="9" t="s">
        <v>6892</v>
      </c>
      <c r="B3736" s="9" t="s">
        <v>6898</v>
      </c>
      <c r="C3736" s="9" t="s">
        <v>6906</v>
      </c>
      <c r="D3736" s="9" t="s">
        <v>6742</v>
      </c>
      <c r="E3736" s="9" t="s">
        <v>707</v>
      </c>
      <c r="F3736" s="9" t="s">
        <v>708</v>
      </c>
      <c r="G3736" s="9" t="s">
        <v>12</v>
      </c>
      <c r="H3736" s="9"/>
      <c r="I3736" s="9"/>
      <c r="J3736" s="9" t="s">
        <v>303</v>
      </c>
      <c r="K3736" s="9"/>
      <c r="L3736" s="9"/>
      <c r="M3736" s="9" t="s">
        <v>709</v>
      </c>
      <c r="N3736" s="9"/>
      <c r="O3736" s="9" t="s">
        <v>710</v>
      </c>
      <c r="P3736" s="9" t="str">
        <f>HYPERLINK("https://ceds.ed.gov/cedselementdetails.aspx?termid=14082")</f>
        <v>https://ceds.ed.gov/cedselementdetails.aspx?termid=14082</v>
      </c>
      <c r="Q3736" s="9" t="str">
        <f>HYPERLINK("https://ceds.ed.gov/elementComment.aspx?elementName=Assessment Item Body Match Interaction XML &amp;elementID=14082", "Click here to submit comment")</f>
        <v>Click here to submit comment</v>
      </c>
    </row>
    <row r="3737" spans="1:17" ht="165" x14ac:dyDescent="0.25">
      <c r="A3737" s="9" t="s">
        <v>6892</v>
      </c>
      <c r="B3737" s="9" t="s">
        <v>6898</v>
      </c>
      <c r="C3737" s="9" t="s">
        <v>6906</v>
      </c>
      <c r="D3737" s="9" t="s">
        <v>6742</v>
      </c>
      <c r="E3737" s="9" t="s">
        <v>711</v>
      </c>
      <c r="F3737" s="9" t="s">
        <v>712</v>
      </c>
      <c r="G3737" s="9" t="s">
        <v>12</v>
      </c>
      <c r="H3737" s="9"/>
      <c r="I3737" s="9"/>
      <c r="J3737" s="9" t="s">
        <v>303</v>
      </c>
      <c r="K3737" s="9"/>
      <c r="L3737" s="9"/>
      <c r="M3737" s="9" t="s">
        <v>713</v>
      </c>
      <c r="N3737" s="9"/>
      <c r="O3737" s="9" t="s">
        <v>714</v>
      </c>
      <c r="P3737" s="9" t="str">
        <f>HYPERLINK("https://ceds.ed.gov/cedselementdetails.aspx?termid=14092")</f>
        <v>https://ceds.ed.gov/cedselementdetails.aspx?termid=14092</v>
      </c>
      <c r="Q3737" s="9" t="str">
        <f>HYPERLINK("https://ceds.ed.gov/elementComment.aspx?elementName=Assessment Item Body Media Interaction XML &amp;elementID=14092", "Click here to submit comment")</f>
        <v>Click here to submit comment</v>
      </c>
    </row>
    <row r="3738" spans="1:17" ht="195" x14ac:dyDescent="0.25">
      <c r="A3738" s="9" t="s">
        <v>6892</v>
      </c>
      <c r="B3738" s="9" t="s">
        <v>6898</v>
      </c>
      <c r="C3738" s="9" t="s">
        <v>6906</v>
      </c>
      <c r="D3738" s="9" t="s">
        <v>6742</v>
      </c>
      <c r="E3738" s="9" t="s">
        <v>715</v>
      </c>
      <c r="F3738" s="9" t="s">
        <v>716</v>
      </c>
      <c r="G3738" s="9" t="s">
        <v>12</v>
      </c>
      <c r="H3738" s="9"/>
      <c r="I3738" s="9"/>
      <c r="J3738" s="9" t="s">
        <v>303</v>
      </c>
      <c r="K3738" s="9"/>
      <c r="L3738" s="9"/>
      <c r="M3738" s="9" t="s">
        <v>717</v>
      </c>
      <c r="N3738" s="9"/>
      <c r="O3738" s="9" t="s">
        <v>718</v>
      </c>
      <c r="P3738" s="9" t="str">
        <f>HYPERLINK("https://ceds.ed.gov/cedselementdetails.aspx?termid=14094")</f>
        <v>https://ceds.ed.gov/cedselementdetails.aspx?termid=14094</v>
      </c>
      <c r="Q3738" s="9" t="str">
        <f>HYPERLINK("https://ceds.ed.gov/elementComment.aspx?elementName=Assessment Item Body Order Interaction XML &amp;elementID=14094", "Click here to submit comment")</f>
        <v>Click here to submit comment</v>
      </c>
    </row>
    <row r="3739" spans="1:17" ht="210" x14ac:dyDescent="0.25">
      <c r="A3739" s="9" t="s">
        <v>6892</v>
      </c>
      <c r="B3739" s="9" t="s">
        <v>6898</v>
      </c>
      <c r="C3739" s="9" t="s">
        <v>6906</v>
      </c>
      <c r="D3739" s="9" t="s">
        <v>6742</v>
      </c>
      <c r="E3739" s="9" t="s">
        <v>719</v>
      </c>
      <c r="F3739" s="9" t="s">
        <v>720</v>
      </c>
      <c r="G3739" s="9" t="s">
        <v>12</v>
      </c>
      <c r="H3739" s="9"/>
      <c r="I3739" s="9"/>
      <c r="J3739" s="9" t="s">
        <v>303</v>
      </c>
      <c r="K3739" s="9"/>
      <c r="L3739" s="9"/>
      <c r="M3739" s="9" t="s">
        <v>721</v>
      </c>
      <c r="N3739" s="9"/>
      <c r="O3739" s="9" t="s">
        <v>722</v>
      </c>
      <c r="P3739" s="9" t="str">
        <f>HYPERLINK("https://ceds.ed.gov/cedselementdetails.aspx?termid=14095")</f>
        <v>https://ceds.ed.gov/cedselementdetails.aspx?termid=14095</v>
      </c>
      <c r="Q3739" s="9" t="str">
        <f>HYPERLINK("https://ceds.ed.gov/elementComment.aspx?elementName=Assessment Item Body Position Object Interaction XML &amp;elementID=14095", "Click here to submit comment")</f>
        <v>Click here to submit comment</v>
      </c>
    </row>
    <row r="3740" spans="1:17" ht="240" x14ac:dyDescent="0.25">
      <c r="A3740" s="9" t="s">
        <v>6892</v>
      </c>
      <c r="B3740" s="9" t="s">
        <v>6898</v>
      </c>
      <c r="C3740" s="9" t="s">
        <v>6906</v>
      </c>
      <c r="D3740" s="9" t="s">
        <v>6742</v>
      </c>
      <c r="E3740" s="9" t="s">
        <v>723</v>
      </c>
      <c r="F3740" s="9" t="s">
        <v>724</v>
      </c>
      <c r="G3740" s="9" t="s">
        <v>12</v>
      </c>
      <c r="H3740" s="9"/>
      <c r="I3740" s="9"/>
      <c r="J3740" s="9" t="s">
        <v>303</v>
      </c>
      <c r="K3740" s="9"/>
      <c r="L3740" s="9"/>
      <c r="M3740" s="9" t="s">
        <v>725</v>
      </c>
      <c r="N3740" s="9"/>
      <c r="O3740" s="9" t="s">
        <v>726</v>
      </c>
      <c r="P3740" s="9" t="str">
        <f>HYPERLINK("https://ceds.ed.gov/cedselementdetails.aspx?termid=14088")</f>
        <v>https://ceds.ed.gov/cedselementdetails.aspx?termid=14088</v>
      </c>
      <c r="Q3740" s="9" t="str">
        <f>HYPERLINK("https://ceds.ed.gov/elementComment.aspx?elementName=Assessment Item Body Select Point Interaction &amp;elementID=14088", "Click here to submit comment")</f>
        <v>Click here to submit comment</v>
      </c>
    </row>
    <row r="3741" spans="1:17" ht="195" x14ac:dyDescent="0.25">
      <c r="A3741" s="9" t="s">
        <v>6892</v>
      </c>
      <c r="B3741" s="9" t="s">
        <v>6898</v>
      </c>
      <c r="C3741" s="9" t="s">
        <v>6906</v>
      </c>
      <c r="D3741" s="9" t="s">
        <v>6742</v>
      </c>
      <c r="E3741" s="9" t="s">
        <v>727</v>
      </c>
      <c r="F3741" s="9" t="s">
        <v>728</v>
      </c>
      <c r="G3741" s="9" t="s">
        <v>12</v>
      </c>
      <c r="H3741" s="9"/>
      <c r="I3741" s="9"/>
      <c r="J3741" s="9" t="s">
        <v>303</v>
      </c>
      <c r="K3741" s="9"/>
      <c r="L3741" s="9"/>
      <c r="M3741" s="9" t="s">
        <v>729</v>
      </c>
      <c r="N3741" s="9"/>
      <c r="O3741" s="9" t="s">
        <v>730</v>
      </c>
      <c r="P3741" s="9" t="str">
        <f>HYPERLINK("https://ceds.ed.gov/cedselementdetails.aspx?termid=14087")</f>
        <v>https://ceds.ed.gov/cedselementdetails.aspx?termid=14087</v>
      </c>
      <c r="Q3741" s="9" t="str">
        <f>HYPERLINK("https://ceds.ed.gov/elementComment.aspx?elementName=Assessment Item Body Select Point Interaction XML &amp;elementID=14087", "Click here to submit comment")</f>
        <v>Click here to submit comment</v>
      </c>
    </row>
    <row r="3742" spans="1:17" ht="135" x14ac:dyDescent="0.25">
      <c r="A3742" s="9" t="s">
        <v>6892</v>
      </c>
      <c r="B3742" s="9" t="s">
        <v>6898</v>
      </c>
      <c r="C3742" s="9" t="s">
        <v>6906</v>
      </c>
      <c r="D3742" s="9" t="s">
        <v>6742</v>
      </c>
      <c r="E3742" s="9" t="s">
        <v>731</v>
      </c>
      <c r="F3742" s="9" t="s">
        <v>732</v>
      </c>
      <c r="G3742" s="9" t="s">
        <v>12</v>
      </c>
      <c r="H3742" s="9"/>
      <c r="I3742" s="9"/>
      <c r="J3742" s="9" t="s">
        <v>303</v>
      </c>
      <c r="K3742" s="9"/>
      <c r="L3742" s="9"/>
      <c r="M3742" s="9" t="s">
        <v>733</v>
      </c>
      <c r="N3742" s="9"/>
      <c r="O3742" s="9" t="s">
        <v>734</v>
      </c>
      <c r="P3742" s="9" t="str">
        <f>HYPERLINK("https://ceds.ed.gov/cedselementdetails.aspx?termid=14089")</f>
        <v>https://ceds.ed.gov/cedselementdetails.aspx?termid=14089</v>
      </c>
      <c r="Q3742" s="9" t="str">
        <f>HYPERLINK("https://ceds.ed.gov/elementComment.aspx?elementName=Assessment Item Body Slider Interaction XML &amp;elementID=14089", "Click here to submit comment")</f>
        <v>Click here to submit comment</v>
      </c>
    </row>
    <row r="3743" spans="1:17" ht="135" x14ac:dyDescent="0.25">
      <c r="A3743" s="9" t="s">
        <v>6892</v>
      </c>
      <c r="B3743" s="9" t="s">
        <v>6898</v>
      </c>
      <c r="C3743" s="9" t="s">
        <v>6906</v>
      </c>
      <c r="D3743" s="9" t="s">
        <v>6742</v>
      </c>
      <c r="E3743" s="9" t="s">
        <v>739</v>
      </c>
      <c r="F3743" s="9" t="s">
        <v>740</v>
      </c>
      <c r="G3743" s="9" t="s">
        <v>12</v>
      </c>
      <c r="H3743" s="9"/>
      <c r="I3743" s="9"/>
      <c r="J3743" s="9" t="s">
        <v>303</v>
      </c>
      <c r="K3743" s="9"/>
      <c r="L3743" s="9"/>
      <c r="M3743" s="9" t="s">
        <v>741</v>
      </c>
      <c r="N3743" s="9"/>
      <c r="O3743" s="9" t="s">
        <v>742</v>
      </c>
      <c r="P3743" s="9" t="str">
        <f>HYPERLINK("https://ceds.ed.gov/cedselementdetails.aspx?termid=14096")</f>
        <v>https://ceds.ed.gov/cedselementdetails.aspx?termid=14096</v>
      </c>
      <c r="Q3743" s="9" t="str">
        <f>HYPERLINK("https://ceds.ed.gov/elementComment.aspx?elementName=Assessment Item Body Text Entry Interaction XML &amp;elementID=14096", "Click here to submit comment")</f>
        <v>Click here to submit comment</v>
      </c>
    </row>
    <row r="3744" spans="1:17" ht="105" x14ac:dyDescent="0.25">
      <c r="A3744" s="9" t="s">
        <v>6892</v>
      </c>
      <c r="B3744" s="9" t="s">
        <v>6898</v>
      </c>
      <c r="C3744" s="9" t="s">
        <v>6906</v>
      </c>
      <c r="D3744" s="9" t="s">
        <v>6742</v>
      </c>
      <c r="E3744" s="9" t="s">
        <v>743</v>
      </c>
      <c r="F3744" s="9" t="s">
        <v>744</v>
      </c>
      <c r="G3744" s="9" t="s">
        <v>12</v>
      </c>
      <c r="H3744" s="9"/>
      <c r="I3744" s="9"/>
      <c r="J3744" s="9" t="s">
        <v>303</v>
      </c>
      <c r="K3744" s="9"/>
      <c r="L3744" s="9"/>
      <c r="M3744" s="9" t="s">
        <v>745</v>
      </c>
      <c r="N3744" s="9"/>
      <c r="O3744" s="9" t="s">
        <v>746</v>
      </c>
      <c r="P3744" s="9" t="str">
        <f>HYPERLINK("https://ceds.ed.gov/cedselementdetails.aspx?termid=14099")</f>
        <v>https://ceds.ed.gov/cedselementdetails.aspx?termid=14099</v>
      </c>
      <c r="Q3744" s="9" t="str">
        <f>HYPERLINK("https://ceds.ed.gov/elementComment.aspx?elementName=Assessment Item Body Upload Interaction XML &amp;elementID=14099", "Click here to submit comment")</f>
        <v>Click here to submit comment</v>
      </c>
    </row>
    <row r="3745" spans="1:17" ht="409.5" x14ac:dyDescent="0.25">
      <c r="A3745" s="9" t="s">
        <v>6892</v>
      </c>
      <c r="B3745" s="9" t="s">
        <v>6898</v>
      </c>
      <c r="C3745" s="9" t="s">
        <v>6906</v>
      </c>
      <c r="D3745" s="9" t="s">
        <v>6742</v>
      </c>
      <c r="E3745" s="9" t="s">
        <v>769</v>
      </c>
      <c r="F3745" s="9" t="s">
        <v>770</v>
      </c>
      <c r="G3745" s="10" t="s">
        <v>6351</v>
      </c>
      <c r="H3745" s="9"/>
      <c r="I3745" s="9"/>
      <c r="J3745" s="9"/>
      <c r="K3745" s="9"/>
      <c r="L3745" s="9"/>
      <c r="M3745" s="9" t="s">
        <v>771</v>
      </c>
      <c r="N3745" s="9"/>
      <c r="O3745" s="9" t="s">
        <v>772</v>
      </c>
      <c r="P3745" s="9" t="str">
        <f>HYPERLINK("https://ceds.ed.gov/cedselementdetails.aspx?termid=14117")</f>
        <v>https://ceds.ed.gov/cedselementdetails.aspx?termid=14117</v>
      </c>
      <c r="Q3745" s="9" t="str">
        <f>HYPERLINK("https://ceds.ed.gov/elementComment.aspx?elementName=Assessment Item Interaction Type &amp;elementID=14117", "Click here to submit comment")</f>
        <v>Click here to submit comment</v>
      </c>
    </row>
    <row r="3746" spans="1:17" ht="105" x14ac:dyDescent="0.25">
      <c r="A3746" s="18" t="s">
        <v>6892</v>
      </c>
      <c r="B3746" s="18" t="s">
        <v>6907</v>
      </c>
      <c r="C3746" s="18"/>
      <c r="D3746" s="18" t="s">
        <v>6742</v>
      </c>
      <c r="E3746" s="18" t="s">
        <v>442</v>
      </c>
      <c r="F3746" s="18" t="s">
        <v>443</v>
      </c>
      <c r="G3746" s="18" t="s">
        <v>12</v>
      </c>
      <c r="H3746" s="18"/>
      <c r="I3746" s="18"/>
      <c r="J3746" s="18" t="s">
        <v>119</v>
      </c>
      <c r="K3746" s="18"/>
      <c r="L3746" s="9" t="s">
        <v>120</v>
      </c>
      <c r="M3746" s="18" t="s">
        <v>444</v>
      </c>
      <c r="N3746" s="18"/>
      <c r="O3746" s="18" t="s">
        <v>445</v>
      </c>
      <c r="P3746" s="18" t="str">
        <f>HYPERLINK("https://ceds.ed.gov/cedselementdetails.aspx?termid=14149")</f>
        <v>https://ceds.ed.gov/cedselementdetails.aspx?termid=14149</v>
      </c>
      <c r="Q3746" s="18" t="str">
        <f>HYPERLINK("https://ceds.ed.gov/elementComment.aspx?elementName=Assessment Asset Identifier &amp;elementID=14149", "Click here to submit comment")</f>
        <v>Click here to submit comment</v>
      </c>
    </row>
    <row r="3747" spans="1:17" x14ac:dyDescent="0.25">
      <c r="A3747" s="18"/>
      <c r="B3747" s="18"/>
      <c r="C3747" s="18"/>
      <c r="D3747" s="18"/>
      <c r="E3747" s="18"/>
      <c r="F3747" s="18"/>
      <c r="G3747" s="18"/>
      <c r="H3747" s="18"/>
      <c r="I3747" s="18"/>
      <c r="J3747" s="18"/>
      <c r="K3747" s="18"/>
      <c r="L3747" s="9"/>
      <c r="M3747" s="18"/>
      <c r="N3747" s="18"/>
      <c r="O3747" s="18"/>
      <c r="P3747" s="18"/>
      <c r="Q3747" s="18"/>
    </row>
    <row r="3748" spans="1:17" ht="90" x14ac:dyDescent="0.25">
      <c r="A3748" s="18"/>
      <c r="B3748" s="18"/>
      <c r="C3748" s="18"/>
      <c r="D3748" s="18"/>
      <c r="E3748" s="18"/>
      <c r="F3748" s="18"/>
      <c r="G3748" s="18"/>
      <c r="H3748" s="18"/>
      <c r="I3748" s="18"/>
      <c r="J3748" s="18"/>
      <c r="K3748" s="18"/>
      <c r="L3748" s="9" t="s">
        <v>121</v>
      </c>
      <c r="M3748" s="18"/>
      <c r="N3748" s="18"/>
      <c r="O3748" s="18"/>
      <c r="P3748" s="18"/>
      <c r="Q3748" s="18"/>
    </row>
    <row r="3749" spans="1:17" ht="105" x14ac:dyDescent="0.25">
      <c r="A3749" s="9" t="s">
        <v>6892</v>
      </c>
      <c r="B3749" s="9" t="s">
        <v>6907</v>
      </c>
      <c r="C3749" s="9"/>
      <c r="D3749" s="9" t="s">
        <v>6742</v>
      </c>
      <c r="E3749" s="9" t="s">
        <v>446</v>
      </c>
      <c r="F3749" s="9" t="s">
        <v>447</v>
      </c>
      <c r="G3749" s="10" t="s">
        <v>6345</v>
      </c>
      <c r="H3749" s="9"/>
      <c r="I3749" s="9"/>
      <c r="J3749" s="9"/>
      <c r="K3749" s="9"/>
      <c r="L3749" s="9"/>
      <c r="M3749" s="9" t="s">
        <v>448</v>
      </c>
      <c r="N3749" s="9"/>
      <c r="O3749" s="9" t="s">
        <v>449</v>
      </c>
      <c r="P3749" s="9" t="str">
        <f>HYPERLINK("https://ceds.ed.gov/cedselementdetails.aspx?termid=14150")</f>
        <v>https://ceds.ed.gov/cedselementdetails.aspx?termid=14150</v>
      </c>
      <c r="Q3749" s="9" t="str">
        <f>HYPERLINK("https://ceds.ed.gov/elementComment.aspx?elementName=Assessment Asset Identifier Type &amp;elementID=14150", "Click here to submit comment")</f>
        <v>Click here to submit comment</v>
      </c>
    </row>
    <row r="3750" spans="1:17" ht="45" x14ac:dyDescent="0.25">
      <c r="A3750" s="9" t="s">
        <v>6892</v>
      </c>
      <c r="B3750" s="9" t="s">
        <v>6907</v>
      </c>
      <c r="C3750" s="9"/>
      <c r="D3750" s="9" t="s">
        <v>6742</v>
      </c>
      <c r="E3750" s="9" t="s">
        <v>450</v>
      </c>
      <c r="F3750" s="9" t="s">
        <v>451</v>
      </c>
      <c r="G3750" s="9" t="s">
        <v>12</v>
      </c>
      <c r="H3750" s="9"/>
      <c r="I3750" s="9"/>
      <c r="J3750" s="9" t="s">
        <v>92</v>
      </c>
      <c r="K3750" s="9"/>
      <c r="L3750" s="9"/>
      <c r="M3750" s="9" t="s">
        <v>452</v>
      </c>
      <c r="N3750" s="9"/>
      <c r="O3750" s="9" t="s">
        <v>453</v>
      </c>
      <c r="P3750" s="9" t="str">
        <f>HYPERLINK("https://ceds.ed.gov/cedselementdetails.aspx?termid=14151")</f>
        <v>https://ceds.ed.gov/cedselementdetails.aspx?termid=14151</v>
      </c>
      <c r="Q3750" s="9" t="str">
        <f>HYPERLINK("https://ceds.ed.gov/elementComment.aspx?elementName=Assessment Asset Name &amp;elementID=14151", "Click here to submit comment")</f>
        <v>Click here to submit comment</v>
      </c>
    </row>
    <row r="3751" spans="1:17" ht="409.5" x14ac:dyDescent="0.25">
      <c r="A3751" s="9" t="s">
        <v>6892</v>
      </c>
      <c r="B3751" s="9" t="s">
        <v>6907</v>
      </c>
      <c r="C3751" s="9"/>
      <c r="D3751" s="9" t="s">
        <v>6742</v>
      </c>
      <c r="E3751" s="9" t="s">
        <v>462</v>
      </c>
      <c r="F3751" s="9" t="s">
        <v>463</v>
      </c>
      <c r="G3751" s="10" t="s">
        <v>6346</v>
      </c>
      <c r="H3751" s="9"/>
      <c r="I3751" s="9"/>
      <c r="J3751" s="9"/>
      <c r="K3751" s="9"/>
      <c r="L3751" s="9" t="s">
        <v>464</v>
      </c>
      <c r="M3751" s="9" t="s">
        <v>465</v>
      </c>
      <c r="N3751" s="9"/>
      <c r="O3751" s="9" t="s">
        <v>466</v>
      </c>
      <c r="P3751" s="9" t="str">
        <f>HYPERLINK("https://ceds.ed.gov/cedselementdetails.aspx?termid=14147")</f>
        <v>https://ceds.ed.gov/cedselementdetails.aspx?termid=14147</v>
      </c>
      <c r="Q3751" s="9" t="str">
        <f>HYPERLINK("https://ceds.ed.gov/elementComment.aspx?elementName=Assessment Asset Type &amp;elementID=14147", "Click here to submit comment")</f>
        <v>Click here to submit comment</v>
      </c>
    </row>
    <row r="3752" spans="1:17" ht="150" x14ac:dyDescent="0.25">
      <c r="A3752" s="9" t="s">
        <v>6892</v>
      </c>
      <c r="B3752" s="9" t="s">
        <v>6907</v>
      </c>
      <c r="C3752" s="9"/>
      <c r="D3752" s="9" t="s">
        <v>6742</v>
      </c>
      <c r="E3752" s="9" t="s">
        <v>467</v>
      </c>
      <c r="F3752" s="9" t="s">
        <v>468</v>
      </c>
      <c r="G3752" s="9" t="s">
        <v>12</v>
      </c>
      <c r="H3752" s="9"/>
      <c r="I3752" s="9"/>
      <c r="J3752" s="9" t="s">
        <v>87</v>
      </c>
      <c r="K3752" s="9"/>
      <c r="L3752" s="9" t="s">
        <v>469</v>
      </c>
      <c r="M3752" s="9" t="s">
        <v>470</v>
      </c>
      <c r="N3752" s="9"/>
      <c r="O3752" s="9" t="s">
        <v>471</v>
      </c>
      <c r="P3752" s="9" t="str">
        <f>HYPERLINK("https://ceds.ed.gov/cedselementdetails.aspx?termid=14146")</f>
        <v>https://ceds.ed.gov/cedselementdetails.aspx?termid=14146</v>
      </c>
      <c r="Q3752" s="9" t="str">
        <f>HYPERLINK("https://ceds.ed.gov/elementComment.aspx?elementName=Assessment Asset Version &amp;elementID=14146", "Click here to submit comment")</f>
        <v>Click here to submit comment</v>
      </c>
    </row>
    <row r="3753" spans="1:17" ht="45" x14ac:dyDescent="0.25">
      <c r="A3753" s="9" t="s">
        <v>6892</v>
      </c>
      <c r="B3753" s="9" t="s">
        <v>6907</v>
      </c>
      <c r="C3753" s="9"/>
      <c r="D3753" s="9" t="s">
        <v>6742</v>
      </c>
      <c r="E3753" s="9" t="s">
        <v>454</v>
      </c>
      <c r="F3753" s="9" t="s">
        <v>455</v>
      </c>
      <c r="G3753" s="9" t="s">
        <v>12</v>
      </c>
      <c r="H3753" s="9"/>
      <c r="I3753" s="9"/>
      <c r="J3753" s="9" t="s">
        <v>92</v>
      </c>
      <c r="K3753" s="9"/>
      <c r="L3753" s="9"/>
      <c r="M3753" s="9" t="s">
        <v>456</v>
      </c>
      <c r="N3753" s="9"/>
      <c r="O3753" s="9" t="s">
        <v>457</v>
      </c>
      <c r="P3753" s="9" t="str">
        <f>HYPERLINK("https://ceds.ed.gov/cedselementdetails.aspx?termid=14152")</f>
        <v>https://ceds.ed.gov/cedselementdetails.aspx?termid=14152</v>
      </c>
      <c r="Q3753" s="9" t="str">
        <f>HYPERLINK("https://ceds.ed.gov/elementComment.aspx?elementName=Assessment Asset Owner &amp;elementID=14152", "Click here to submit comment")</f>
        <v>Click here to submit comment</v>
      </c>
    </row>
    <row r="3754" spans="1:17" ht="45" x14ac:dyDescent="0.25">
      <c r="A3754" s="9" t="s">
        <v>6892</v>
      </c>
      <c r="B3754" s="9" t="s">
        <v>6907</v>
      </c>
      <c r="C3754" s="9"/>
      <c r="D3754" s="9" t="s">
        <v>6742</v>
      </c>
      <c r="E3754" s="9" t="s">
        <v>458</v>
      </c>
      <c r="F3754" s="9" t="s">
        <v>459</v>
      </c>
      <c r="G3754" s="9" t="s">
        <v>12</v>
      </c>
      <c r="H3754" s="9"/>
      <c r="I3754" s="9"/>
      <c r="J3754" s="9" t="s">
        <v>73</v>
      </c>
      <c r="K3754" s="9"/>
      <c r="L3754" s="9"/>
      <c r="M3754" s="9" t="s">
        <v>460</v>
      </c>
      <c r="N3754" s="9"/>
      <c r="O3754" s="9" t="s">
        <v>461</v>
      </c>
      <c r="P3754" s="9" t="str">
        <f>HYPERLINK("https://ceds.ed.gov/cedselementdetails.aspx?termid=14148")</f>
        <v>https://ceds.ed.gov/cedselementdetails.aspx?termid=14148</v>
      </c>
      <c r="Q3754" s="9" t="str">
        <f>HYPERLINK("https://ceds.ed.gov/elementComment.aspx?elementName=Assessment Asset Published Date &amp;elementID=14148", "Click here to submit comment")</f>
        <v>Click here to submit comment</v>
      </c>
    </row>
    <row r="3755" spans="1:17" ht="45" x14ac:dyDescent="0.25">
      <c r="A3755" s="9" t="s">
        <v>6892</v>
      </c>
      <c r="B3755" s="9" t="s">
        <v>6907</v>
      </c>
      <c r="C3755" s="9"/>
      <c r="D3755" s="9" t="s">
        <v>6742</v>
      </c>
      <c r="E3755" s="9" t="s">
        <v>434</v>
      </c>
      <c r="F3755" s="9" t="s">
        <v>435</v>
      </c>
      <c r="G3755" s="9" t="s">
        <v>12</v>
      </c>
      <c r="H3755" s="9"/>
      <c r="I3755" s="9"/>
      <c r="J3755" s="9" t="s">
        <v>1143</v>
      </c>
      <c r="K3755" s="9"/>
      <c r="L3755" s="9"/>
      <c r="M3755" s="9" t="s">
        <v>436</v>
      </c>
      <c r="N3755" s="9"/>
      <c r="O3755" s="9" t="s">
        <v>437</v>
      </c>
      <c r="P3755" s="9" t="str">
        <f>HYPERLINK("https://ceds.ed.gov/cedselementdetails.aspx?termid=14155")</f>
        <v>https://ceds.ed.gov/cedselementdetails.aspx?termid=14155</v>
      </c>
      <c r="Q3755" s="9" t="str">
        <f>HYPERLINK("https://ceds.ed.gov/elementComment.aspx?elementName=Assessment Asset Content URL &amp;elementID=14155", "Click here to submit comment")</f>
        <v>Click here to submit comment</v>
      </c>
    </row>
    <row r="3756" spans="1:17" ht="45" x14ac:dyDescent="0.25">
      <c r="A3756" s="9" t="s">
        <v>6892</v>
      </c>
      <c r="B3756" s="9" t="s">
        <v>6907</v>
      </c>
      <c r="C3756" s="9"/>
      <c r="D3756" s="9" t="s">
        <v>6742</v>
      </c>
      <c r="E3756" s="9" t="s">
        <v>438</v>
      </c>
      <c r="F3756" s="9" t="s">
        <v>439</v>
      </c>
      <c r="G3756" s="9" t="s">
        <v>12</v>
      </c>
      <c r="H3756" s="9"/>
      <c r="I3756" s="9"/>
      <c r="J3756" s="9" t="s">
        <v>303</v>
      </c>
      <c r="K3756" s="9"/>
      <c r="L3756" s="9"/>
      <c r="M3756" s="9" t="s">
        <v>440</v>
      </c>
      <c r="N3756" s="9"/>
      <c r="O3756" s="9" t="s">
        <v>441</v>
      </c>
      <c r="P3756" s="9" t="str">
        <f>HYPERLINK("https://ceds.ed.gov/cedselementdetails.aspx?termid=14153")</f>
        <v>https://ceds.ed.gov/cedselementdetails.aspx?termid=14153</v>
      </c>
      <c r="Q3756" s="9" t="str">
        <f>HYPERLINK("https://ceds.ed.gov/elementComment.aspx?elementName=Assessment Asset Content XML &amp;elementID=14153", "Click here to submit comment")</f>
        <v>Click here to submit comment</v>
      </c>
    </row>
    <row r="3757" spans="1:17" ht="45" x14ac:dyDescent="0.25">
      <c r="A3757" s="9" t="s">
        <v>6892</v>
      </c>
      <c r="B3757" s="9" t="s">
        <v>6907</v>
      </c>
      <c r="C3757" s="9"/>
      <c r="D3757" s="9" t="s">
        <v>6742</v>
      </c>
      <c r="E3757" s="9" t="s">
        <v>429</v>
      </c>
      <c r="F3757" s="9" t="s">
        <v>430</v>
      </c>
      <c r="G3757" s="9" t="s">
        <v>12</v>
      </c>
      <c r="H3757" s="9"/>
      <c r="I3757" s="9"/>
      <c r="J3757" s="9" t="s">
        <v>303</v>
      </c>
      <c r="K3757" s="9"/>
      <c r="L3757" s="9"/>
      <c r="M3757" s="9" t="s">
        <v>432</v>
      </c>
      <c r="N3757" s="9"/>
      <c r="O3757" s="9" t="s">
        <v>433</v>
      </c>
      <c r="P3757" s="9" t="str">
        <f>HYPERLINK("https://ceds.ed.gov/cedselementdetails.aspx?termid=14154")</f>
        <v>https://ceds.ed.gov/cedselementdetails.aspx?termid=14154</v>
      </c>
      <c r="Q3757" s="9" t="str">
        <f>HYPERLINK("https://ceds.ed.gov/elementComment.aspx?elementName=Assessment Asset Content Mime Type &amp;elementID=14154", "Click here to submit comment")</f>
        <v>Click here to submit comment</v>
      </c>
    </row>
    <row r="3758" spans="1:17" ht="330" x14ac:dyDescent="0.25">
      <c r="A3758" s="9" t="s">
        <v>6892</v>
      </c>
      <c r="B3758" s="9" t="s">
        <v>6907</v>
      </c>
      <c r="C3758" s="9"/>
      <c r="D3758" s="9" t="s">
        <v>6742</v>
      </c>
      <c r="E3758" s="9" t="s">
        <v>379</v>
      </c>
      <c r="F3758" s="9" t="s">
        <v>380</v>
      </c>
      <c r="G3758" s="10" t="s">
        <v>6344</v>
      </c>
      <c r="H3758" s="9" t="s">
        <v>6126</v>
      </c>
      <c r="I3758" s="9"/>
      <c r="J3758" s="9"/>
      <c r="K3758" s="9"/>
      <c r="L3758" s="9"/>
      <c r="M3758" s="9" t="s">
        <v>381</v>
      </c>
      <c r="N3758" s="9"/>
      <c r="O3758" s="9" t="s">
        <v>382</v>
      </c>
      <c r="P3758" s="9" t="str">
        <f>HYPERLINK("https://ceds.ed.gov/cedselementdetails.aspx?termid=13021")</f>
        <v>https://ceds.ed.gov/cedselementdetails.aspx?termid=13021</v>
      </c>
      <c r="Q3758" s="9" t="str">
        <f>HYPERLINK("https://ceds.ed.gov/elementComment.aspx?elementName=Assessment Academic Subject &amp;elementID=13021", "Click here to submit comment")</f>
        <v>Click here to submit comment</v>
      </c>
    </row>
    <row r="3759" spans="1:17" ht="360" x14ac:dyDescent="0.25">
      <c r="A3759" s="9" t="s">
        <v>6892</v>
      </c>
      <c r="B3759" s="9" t="s">
        <v>6907</v>
      </c>
      <c r="C3759" s="9"/>
      <c r="D3759" s="9" t="s">
        <v>6742</v>
      </c>
      <c r="E3759" s="9" t="s">
        <v>970</v>
      </c>
      <c r="F3759" s="9" t="s">
        <v>971</v>
      </c>
      <c r="G3759" s="10" t="s">
        <v>6358</v>
      </c>
      <c r="H3759" s="9" t="s">
        <v>6137</v>
      </c>
      <c r="I3759" s="9"/>
      <c r="J3759" s="9"/>
      <c r="K3759" s="9"/>
      <c r="L3759" s="9"/>
      <c r="M3759" s="9" t="s">
        <v>972</v>
      </c>
      <c r="N3759" s="9"/>
      <c r="O3759" s="9" t="s">
        <v>973</v>
      </c>
      <c r="P3759" s="9" t="str">
        <f>HYPERLINK("https://ceds.ed.gov/cedselementdetails.aspx?termid=13177")</f>
        <v>https://ceds.ed.gov/cedselementdetails.aspx?termid=13177</v>
      </c>
      <c r="Q3759" s="9" t="str">
        <f>HYPERLINK("https://ceds.ed.gov/elementComment.aspx?elementName=Assessment Level for Which Designed &amp;elementID=13177", "Click here to submit comment")</f>
        <v>Click here to submit comment</v>
      </c>
    </row>
    <row r="3760" spans="1:17" ht="90" x14ac:dyDescent="0.25">
      <c r="A3760" s="9" t="s">
        <v>6892</v>
      </c>
      <c r="B3760" s="9" t="s">
        <v>6907</v>
      </c>
      <c r="C3760" s="9"/>
      <c r="D3760" s="9" t="s">
        <v>6742</v>
      </c>
      <c r="E3760" s="9" t="s">
        <v>3545</v>
      </c>
      <c r="F3760" s="9" t="s">
        <v>3546</v>
      </c>
      <c r="G3760" s="11" t="s">
        <v>966</v>
      </c>
      <c r="H3760" s="9" t="s">
        <v>6235</v>
      </c>
      <c r="I3760" s="9"/>
      <c r="J3760" s="9"/>
      <c r="K3760" s="9"/>
      <c r="L3760" s="11" t="s">
        <v>967</v>
      </c>
      <c r="M3760" s="9" t="s">
        <v>3547</v>
      </c>
      <c r="N3760" s="9"/>
      <c r="O3760" s="9" t="s">
        <v>3548</v>
      </c>
      <c r="P3760" s="9" t="str">
        <f>HYPERLINK("https://ceds.ed.gov/cedselementdetails.aspx?termid=13317")</f>
        <v>https://ceds.ed.gov/cedselementdetails.aspx?termid=13317</v>
      </c>
      <c r="Q3760" s="9" t="str">
        <f>HYPERLINK("https://ceds.ed.gov/elementComment.aspx?elementName=ISO 639-2 Language Code &amp;elementID=13317", "Click here to submit comment")</f>
        <v>Click here to submit comment</v>
      </c>
    </row>
    <row r="3761" spans="1:17" ht="105" x14ac:dyDescent="0.25">
      <c r="A3761" s="9" t="s">
        <v>6892</v>
      </c>
      <c r="B3761" s="9" t="s">
        <v>6907</v>
      </c>
      <c r="C3761" s="9"/>
      <c r="D3761" s="9" t="s">
        <v>6742</v>
      </c>
      <c r="E3761" s="9" t="s">
        <v>3549</v>
      </c>
      <c r="F3761" s="9" t="s">
        <v>3546</v>
      </c>
      <c r="G3761" s="11" t="s">
        <v>11618</v>
      </c>
      <c r="H3761" s="9"/>
      <c r="I3761" s="9"/>
      <c r="J3761" s="9"/>
      <c r="K3761" s="9"/>
      <c r="L3761" s="11" t="s">
        <v>3550</v>
      </c>
      <c r="M3761" s="9" t="s">
        <v>3551</v>
      </c>
      <c r="N3761" s="9"/>
      <c r="O3761" s="9" t="s">
        <v>3552</v>
      </c>
      <c r="P3761" s="9" t="str">
        <f>HYPERLINK("https://ceds.ed.gov/cedselementdetails.aspx?termid=14618")</f>
        <v>https://ceds.ed.gov/cedselementdetails.aspx?termid=14618</v>
      </c>
      <c r="Q3761" s="9" t="str">
        <f>HYPERLINK("https://ceds.ed.gov/elementComment.aspx?elementName=ISO 639-3 Language Code &amp;elementID=14618", "Click here to submit comment")</f>
        <v>Click here to submit comment</v>
      </c>
    </row>
    <row r="3762" spans="1:17" ht="409.5" x14ac:dyDescent="0.25">
      <c r="A3762" s="9" t="s">
        <v>6892</v>
      </c>
      <c r="B3762" s="9" t="s">
        <v>6907</v>
      </c>
      <c r="C3762" s="9"/>
      <c r="D3762" s="9" t="s">
        <v>6742</v>
      </c>
      <c r="E3762" s="9" t="s">
        <v>3553</v>
      </c>
      <c r="F3762" s="9" t="s">
        <v>3554</v>
      </c>
      <c r="G3762" s="10" t="s">
        <v>6568</v>
      </c>
      <c r="H3762" s="9"/>
      <c r="I3762" s="9"/>
      <c r="J3762" s="9"/>
      <c r="K3762" s="9"/>
      <c r="L3762" s="11" t="s">
        <v>3555</v>
      </c>
      <c r="M3762" s="9" t="s">
        <v>3556</v>
      </c>
      <c r="N3762" s="9"/>
      <c r="O3762" s="9" t="s">
        <v>3557</v>
      </c>
      <c r="P3762" s="9" t="str">
        <f>HYPERLINK("https://ceds.ed.gov/cedselementdetails.aspx?termid=14619")</f>
        <v>https://ceds.ed.gov/cedselementdetails.aspx?termid=14619</v>
      </c>
      <c r="Q3762" s="9" t="str">
        <f>HYPERLINK("https://ceds.ed.gov/elementComment.aspx?elementName=ISO 639-5 Language Family &amp;elementID=14619", "Click here to submit comment")</f>
        <v>Click here to submit comment</v>
      </c>
    </row>
    <row r="3763" spans="1:17" ht="105" x14ac:dyDescent="0.25">
      <c r="A3763" s="18" t="s">
        <v>6892</v>
      </c>
      <c r="B3763" s="18" t="s">
        <v>6904</v>
      </c>
      <c r="C3763" s="18"/>
      <c r="D3763" s="18" t="s">
        <v>6742</v>
      </c>
      <c r="E3763" s="18" t="s">
        <v>5232</v>
      </c>
      <c r="F3763" s="18" t="s">
        <v>5233</v>
      </c>
      <c r="G3763" s="18" t="s">
        <v>12</v>
      </c>
      <c r="H3763" s="18" t="s">
        <v>6135</v>
      </c>
      <c r="I3763" s="18"/>
      <c r="J3763" s="18" t="s">
        <v>119</v>
      </c>
      <c r="K3763" s="18"/>
      <c r="L3763" s="9" t="s">
        <v>120</v>
      </c>
      <c r="M3763" s="18" t="s">
        <v>5234</v>
      </c>
      <c r="N3763" s="18"/>
      <c r="O3763" s="18" t="s">
        <v>5235</v>
      </c>
      <c r="P3763" s="18" t="str">
        <f>HYPERLINK("https://ceds.ed.gov/cedselementdetails.aspx?termid=13412")</f>
        <v>https://ceds.ed.gov/cedselementdetails.aspx?termid=13412</v>
      </c>
      <c r="Q3763" s="18" t="str">
        <f>HYPERLINK("https://ceds.ed.gov/elementComment.aspx?elementName=Rubric Identifier &amp;elementID=13412", "Click here to submit comment")</f>
        <v>Click here to submit comment</v>
      </c>
    </row>
    <row r="3764" spans="1:17" x14ac:dyDescent="0.25">
      <c r="A3764" s="18"/>
      <c r="B3764" s="18"/>
      <c r="C3764" s="18"/>
      <c r="D3764" s="18"/>
      <c r="E3764" s="18"/>
      <c r="F3764" s="18"/>
      <c r="G3764" s="18"/>
      <c r="H3764" s="18"/>
      <c r="I3764" s="18"/>
      <c r="J3764" s="18"/>
      <c r="K3764" s="18"/>
      <c r="L3764" s="9"/>
      <c r="M3764" s="18"/>
      <c r="N3764" s="18"/>
      <c r="O3764" s="18"/>
      <c r="P3764" s="18"/>
      <c r="Q3764" s="18"/>
    </row>
    <row r="3765" spans="1:17" ht="90" x14ac:dyDescent="0.25">
      <c r="A3765" s="18"/>
      <c r="B3765" s="18"/>
      <c r="C3765" s="18"/>
      <c r="D3765" s="18"/>
      <c r="E3765" s="18"/>
      <c r="F3765" s="18"/>
      <c r="G3765" s="18"/>
      <c r="H3765" s="18"/>
      <c r="I3765" s="18"/>
      <c r="J3765" s="18"/>
      <c r="K3765" s="18"/>
      <c r="L3765" s="9" t="s">
        <v>121</v>
      </c>
      <c r="M3765" s="18"/>
      <c r="N3765" s="18"/>
      <c r="O3765" s="18"/>
      <c r="P3765" s="18"/>
      <c r="Q3765" s="18"/>
    </row>
    <row r="3766" spans="1:17" ht="45" x14ac:dyDescent="0.25">
      <c r="A3766" s="9" t="s">
        <v>6892</v>
      </c>
      <c r="B3766" s="9" t="s">
        <v>6904</v>
      </c>
      <c r="C3766" s="9"/>
      <c r="D3766" s="9" t="s">
        <v>6742</v>
      </c>
      <c r="E3766" s="9" t="s">
        <v>5236</v>
      </c>
      <c r="F3766" s="9" t="s">
        <v>5237</v>
      </c>
      <c r="G3766" s="9" t="s">
        <v>12</v>
      </c>
      <c r="H3766" s="9" t="s">
        <v>6135</v>
      </c>
      <c r="I3766" s="9"/>
      <c r="J3766" s="9" t="s">
        <v>87</v>
      </c>
      <c r="K3766" s="9"/>
      <c r="L3766" s="9"/>
      <c r="M3766" s="9" t="s">
        <v>5238</v>
      </c>
      <c r="N3766" s="9"/>
      <c r="O3766" s="9" t="s">
        <v>5239</v>
      </c>
      <c r="P3766" s="9" t="str">
        <f>HYPERLINK("https://ceds.ed.gov/cedselementdetails.aspx?termid=13411")</f>
        <v>https://ceds.ed.gov/cedselementdetails.aspx?termid=13411</v>
      </c>
      <c r="Q3766" s="9" t="str">
        <f>HYPERLINK("https://ceds.ed.gov/elementComment.aspx?elementName=Rubric Title &amp;elementID=13411", "Click here to submit comment")</f>
        <v>Click here to submit comment</v>
      </c>
    </row>
    <row r="3767" spans="1:17" ht="45" x14ac:dyDescent="0.25">
      <c r="A3767" s="9" t="s">
        <v>6892</v>
      </c>
      <c r="B3767" s="9" t="s">
        <v>6904</v>
      </c>
      <c r="C3767" s="9"/>
      <c r="D3767" s="9" t="s">
        <v>6742</v>
      </c>
      <c r="E3767" s="9" t="s">
        <v>5228</v>
      </c>
      <c r="F3767" s="9" t="s">
        <v>5229</v>
      </c>
      <c r="G3767" s="9" t="s">
        <v>12</v>
      </c>
      <c r="H3767" s="9"/>
      <c r="I3767" s="9"/>
      <c r="J3767" s="9" t="s">
        <v>303</v>
      </c>
      <c r="K3767" s="9"/>
      <c r="L3767" s="9"/>
      <c r="M3767" s="9" t="s">
        <v>5230</v>
      </c>
      <c r="N3767" s="9"/>
      <c r="O3767" s="9" t="s">
        <v>5231</v>
      </c>
      <c r="P3767" s="9" t="str">
        <f>HYPERLINK("https://ceds.ed.gov/cedselementdetails.aspx?termid=14451")</f>
        <v>https://ceds.ed.gov/cedselementdetails.aspx?termid=14451</v>
      </c>
      <c r="Q3767" s="9" t="str">
        <f>HYPERLINK("https://ceds.ed.gov/elementComment.aspx?elementName=Rubric Description &amp;elementID=14451", "Click here to submit comment")</f>
        <v>Click here to submit comment</v>
      </c>
    </row>
    <row r="3768" spans="1:17" ht="45" x14ac:dyDescent="0.25">
      <c r="A3768" s="9" t="s">
        <v>6892</v>
      </c>
      <c r="B3768" s="9" t="s">
        <v>6904</v>
      </c>
      <c r="C3768" s="9"/>
      <c r="D3768" s="9" t="s">
        <v>6742</v>
      </c>
      <c r="E3768" s="9" t="s">
        <v>5240</v>
      </c>
      <c r="F3768" s="9" t="s">
        <v>5241</v>
      </c>
      <c r="G3768" s="9" t="s">
        <v>12</v>
      </c>
      <c r="H3768" s="9" t="s">
        <v>6135</v>
      </c>
      <c r="I3768" s="9"/>
      <c r="J3768" s="9" t="s">
        <v>1143</v>
      </c>
      <c r="K3768" s="9"/>
      <c r="L3768" s="9"/>
      <c r="M3768" s="9" t="s">
        <v>5242</v>
      </c>
      <c r="N3768" s="9"/>
      <c r="O3768" s="9" t="s">
        <v>5243</v>
      </c>
      <c r="P3768" s="9" t="str">
        <f>HYPERLINK("https://ceds.ed.gov/cedselementdetails.aspx?termid=13413")</f>
        <v>https://ceds.ed.gov/cedselementdetails.aspx?termid=13413</v>
      </c>
      <c r="Q3768" s="9" t="str">
        <f>HYPERLINK("https://ceds.ed.gov/elementComment.aspx?elementName=Rubric URL Reference &amp;elementID=13413", "Click here to submit comment")</f>
        <v>Click here to submit comment</v>
      </c>
    </row>
    <row r="3769" spans="1:17" ht="45" x14ac:dyDescent="0.25">
      <c r="A3769" s="9" t="s">
        <v>6892</v>
      </c>
      <c r="B3769" s="9" t="s">
        <v>6904</v>
      </c>
      <c r="C3769" s="9"/>
      <c r="D3769" s="9" t="s">
        <v>6742</v>
      </c>
      <c r="E3769" s="9" t="s">
        <v>5220</v>
      </c>
      <c r="F3769" s="9" t="s">
        <v>5221</v>
      </c>
      <c r="G3769" s="9" t="s">
        <v>12</v>
      </c>
      <c r="H3769" s="9"/>
      <c r="I3769" s="9"/>
      <c r="J3769" s="9" t="s">
        <v>92</v>
      </c>
      <c r="K3769" s="9"/>
      <c r="L3769" s="9"/>
      <c r="M3769" s="9" t="s">
        <v>5222</v>
      </c>
      <c r="N3769" s="9"/>
      <c r="O3769" s="9" t="s">
        <v>5223</v>
      </c>
      <c r="P3769" s="9" t="str">
        <f>HYPERLINK("https://ceds.ed.gov/cedselementdetails.aspx?termid=14449")</f>
        <v>https://ceds.ed.gov/cedselementdetails.aspx?termid=14449</v>
      </c>
      <c r="Q3769" s="9" t="str">
        <f>HYPERLINK("https://ceds.ed.gov/elementComment.aspx?elementName=Rubric Criterion Title &amp;elementID=14449", "Click here to submit comment")</f>
        <v>Click here to submit comment</v>
      </c>
    </row>
    <row r="3770" spans="1:17" ht="45" x14ac:dyDescent="0.25">
      <c r="A3770" s="9" t="s">
        <v>6892</v>
      </c>
      <c r="B3770" s="9" t="s">
        <v>6904</v>
      </c>
      <c r="C3770" s="9"/>
      <c r="D3770" s="9" t="s">
        <v>6742</v>
      </c>
      <c r="E3770" s="9" t="s">
        <v>5192</v>
      </c>
      <c r="F3770" s="9" t="s">
        <v>5193</v>
      </c>
      <c r="G3770" s="9" t="s">
        <v>12</v>
      </c>
      <c r="H3770" s="9"/>
      <c r="I3770" s="9"/>
      <c r="J3770" s="9" t="s">
        <v>303</v>
      </c>
      <c r="K3770" s="9"/>
      <c r="L3770" s="9"/>
      <c r="M3770" s="9" t="s">
        <v>5194</v>
      </c>
      <c r="N3770" s="9"/>
      <c r="O3770" s="9" t="s">
        <v>5195</v>
      </c>
      <c r="P3770" s="9" t="str">
        <f>HYPERLINK("https://ceds.ed.gov/cedselementdetails.aspx?termid=14442")</f>
        <v>https://ceds.ed.gov/cedselementdetails.aspx?termid=14442</v>
      </c>
      <c r="Q3770" s="9" t="str">
        <f>HYPERLINK("https://ceds.ed.gov/elementComment.aspx?elementName=Rubric Criterion Description &amp;elementID=14442", "Click here to submit comment")</f>
        <v>Click here to submit comment</v>
      </c>
    </row>
    <row r="3771" spans="1:17" ht="45" x14ac:dyDescent="0.25">
      <c r="A3771" s="9" t="s">
        <v>6892</v>
      </c>
      <c r="B3771" s="9" t="s">
        <v>6904</v>
      </c>
      <c r="C3771" s="9"/>
      <c r="D3771" s="9" t="s">
        <v>6742</v>
      </c>
      <c r="E3771" s="9" t="s">
        <v>5188</v>
      </c>
      <c r="F3771" s="9" t="s">
        <v>5189</v>
      </c>
      <c r="G3771" s="9" t="s">
        <v>12</v>
      </c>
      <c r="H3771" s="9"/>
      <c r="I3771" s="9"/>
      <c r="J3771" s="9" t="s">
        <v>87</v>
      </c>
      <c r="K3771" s="9"/>
      <c r="L3771" s="9"/>
      <c r="M3771" s="9" t="s">
        <v>5190</v>
      </c>
      <c r="N3771" s="9"/>
      <c r="O3771" s="9" t="s">
        <v>5191</v>
      </c>
      <c r="P3771" s="9" t="str">
        <f>HYPERLINK("https://ceds.ed.gov/cedselementdetails.aspx?termid=14441")</f>
        <v>https://ceds.ed.gov/cedselementdetails.aspx?termid=14441</v>
      </c>
      <c r="Q3771" s="9" t="str">
        <f>HYPERLINK("https://ceds.ed.gov/elementComment.aspx?elementName=Rubric Criterion Category &amp;elementID=14441", "Click here to submit comment")</f>
        <v>Click here to submit comment</v>
      </c>
    </row>
    <row r="3772" spans="1:17" ht="45" x14ac:dyDescent="0.25">
      <c r="A3772" s="9" t="s">
        <v>6892</v>
      </c>
      <c r="B3772" s="9" t="s">
        <v>6904</v>
      </c>
      <c r="C3772" s="9"/>
      <c r="D3772" s="9" t="s">
        <v>6742</v>
      </c>
      <c r="E3772" s="9" t="s">
        <v>5216</v>
      </c>
      <c r="F3772" s="9" t="s">
        <v>5217</v>
      </c>
      <c r="G3772" s="9" t="s">
        <v>12</v>
      </c>
      <c r="H3772" s="9"/>
      <c r="I3772" s="9"/>
      <c r="J3772" s="9" t="s">
        <v>134</v>
      </c>
      <c r="K3772" s="9"/>
      <c r="L3772" s="9"/>
      <c r="M3772" s="9" t="s">
        <v>5218</v>
      </c>
      <c r="N3772" s="9"/>
      <c r="O3772" s="9" t="s">
        <v>5219</v>
      </c>
      <c r="P3772" s="9" t="str">
        <f>HYPERLINK("https://ceds.ed.gov/cedselementdetails.aspx?termid=14448")</f>
        <v>https://ceds.ed.gov/cedselementdetails.aspx?termid=14448</v>
      </c>
      <c r="Q3772" s="9" t="str">
        <f>HYPERLINK("https://ceds.ed.gov/elementComment.aspx?elementName=Rubric Criterion Position &amp;elementID=14448", "Click here to submit comment")</f>
        <v>Click here to submit comment</v>
      </c>
    </row>
    <row r="3773" spans="1:17" ht="60" x14ac:dyDescent="0.25">
      <c r="A3773" s="9" t="s">
        <v>6892</v>
      </c>
      <c r="B3773" s="9" t="s">
        <v>6904</v>
      </c>
      <c r="C3773" s="9"/>
      <c r="D3773" s="9" t="s">
        <v>6742</v>
      </c>
      <c r="E3773" s="9" t="s">
        <v>5196</v>
      </c>
      <c r="F3773" s="9" t="s">
        <v>5197</v>
      </c>
      <c r="G3773" s="9" t="s">
        <v>12</v>
      </c>
      <c r="H3773" s="9"/>
      <c r="I3773" s="9"/>
      <c r="J3773" s="9" t="s">
        <v>303</v>
      </c>
      <c r="K3773" s="9"/>
      <c r="L3773" s="9"/>
      <c r="M3773" s="9" t="s">
        <v>5198</v>
      </c>
      <c r="N3773" s="9"/>
      <c r="O3773" s="9" t="s">
        <v>5199</v>
      </c>
      <c r="P3773" s="9" t="str">
        <f>HYPERLINK("https://ceds.ed.gov/cedselementdetails.aspx?termid=14443")</f>
        <v>https://ceds.ed.gov/cedselementdetails.aspx?termid=14443</v>
      </c>
      <c r="Q3773" s="9" t="str">
        <f>HYPERLINK("https://ceds.ed.gov/elementComment.aspx?elementName=Rubric Criterion Level Description &amp;elementID=14443", "Click here to submit comment")</f>
        <v>Click here to submit comment</v>
      </c>
    </row>
    <row r="3774" spans="1:17" ht="75" x14ac:dyDescent="0.25">
      <c r="A3774" s="9" t="s">
        <v>6892</v>
      </c>
      <c r="B3774" s="9" t="s">
        <v>6904</v>
      </c>
      <c r="C3774" s="9"/>
      <c r="D3774" s="9" t="s">
        <v>6742</v>
      </c>
      <c r="E3774" s="9" t="s">
        <v>5200</v>
      </c>
      <c r="F3774" s="9" t="s">
        <v>5201</v>
      </c>
      <c r="G3774" s="9" t="s">
        <v>12</v>
      </c>
      <c r="H3774" s="9"/>
      <c r="I3774" s="9"/>
      <c r="J3774" s="9" t="s">
        <v>303</v>
      </c>
      <c r="K3774" s="9"/>
      <c r="L3774" s="9"/>
      <c r="M3774" s="9" t="s">
        <v>5202</v>
      </c>
      <c r="N3774" s="9"/>
      <c r="O3774" s="9" t="s">
        <v>5203</v>
      </c>
      <c r="P3774" s="9" t="str">
        <f>HYPERLINK("https://ceds.ed.gov/cedselementdetails.aspx?termid=14444")</f>
        <v>https://ceds.ed.gov/cedselementdetails.aspx?termid=14444</v>
      </c>
      <c r="Q3774" s="9" t="str">
        <f>HYPERLINK("https://ceds.ed.gov/elementComment.aspx?elementName=Rubric Criterion Level Feedback &amp;elementID=14444", "Click here to submit comment")</f>
        <v>Click here to submit comment</v>
      </c>
    </row>
    <row r="3775" spans="1:17" ht="45" x14ac:dyDescent="0.25">
      <c r="A3775" s="9" t="s">
        <v>6892</v>
      </c>
      <c r="B3775" s="9" t="s">
        <v>6904</v>
      </c>
      <c r="C3775" s="9"/>
      <c r="D3775" s="9" t="s">
        <v>6742</v>
      </c>
      <c r="E3775" s="9" t="s">
        <v>5204</v>
      </c>
      <c r="F3775" s="9" t="s">
        <v>5205</v>
      </c>
      <c r="G3775" s="9" t="s">
        <v>12</v>
      </c>
      <c r="H3775" s="9"/>
      <c r="I3775" s="9"/>
      <c r="J3775" s="9" t="s">
        <v>134</v>
      </c>
      <c r="K3775" s="9"/>
      <c r="L3775" s="9"/>
      <c r="M3775" s="9" t="s">
        <v>5206</v>
      </c>
      <c r="N3775" s="9"/>
      <c r="O3775" s="9" t="s">
        <v>5207</v>
      </c>
      <c r="P3775" s="9" t="str">
        <f>HYPERLINK("https://ceds.ed.gov/cedselementdetails.aspx?termid=14445")</f>
        <v>https://ceds.ed.gov/cedselementdetails.aspx?termid=14445</v>
      </c>
      <c r="Q3775" s="9" t="str">
        <f>HYPERLINK("https://ceds.ed.gov/elementComment.aspx?elementName=Rubric Criterion Level Position &amp;elementID=14445", "Click here to submit comment")</f>
        <v>Click here to submit comment</v>
      </c>
    </row>
    <row r="3776" spans="1:17" ht="60" x14ac:dyDescent="0.25">
      <c r="A3776" s="9" t="s">
        <v>6892</v>
      </c>
      <c r="B3776" s="9" t="s">
        <v>6904</v>
      </c>
      <c r="C3776" s="9"/>
      <c r="D3776" s="9" t="s">
        <v>6742</v>
      </c>
      <c r="E3776" s="9" t="s">
        <v>5208</v>
      </c>
      <c r="F3776" s="9" t="s">
        <v>5209</v>
      </c>
      <c r="G3776" s="9" t="s">
        <v>12</v>
      </c>
      <c r="H3776" s="9"/>
      <c r="I3776" s="9"/>
      <c r="J3776" s="9" t="s">
        <v>92</v>
      </c>
      <c r="K3776" s="9"/>
      <c r="L3776" s="9"/>
      <c r="M3776" s="9" t="s">
        <v>5210</v>
      </c>
      <c r="N3776" s="9"/>
      <c r="O3776" s="9" t="s">
        <v>5211</v>
      </c>
      <c r="P3776" s="9" t="str">
        <f>HYPERLINK("https://ceds.ed.gov/cedselementdetails.aspx?termid=14446")</f>
        <v>https://ceds.ed.gov/cedselementdetails.aspx?termid=14446</v>
      </c>
      <c r="Q3776" s="9" t="str">
        <f>HYPERLINK("https://ceds.ed.gov/elementComment.aspx?elementName=Rubric Criterion Level Quality Label &amp;elementID=14446", "Click here to submit comment")</f>
        <v>Click here to submit comment</v>
      </c>
    </row>
    <row r="3777" spans="1:17" ht="45" x14ac:dyDescent="0.25">
      <c r="A3777" s="9" t="s">
        <v>6892</v>
      </c>
      <c r="B3777" s="9" t="s">
        <v>6904</v>
      </c>
      <c r="C3777" s="9"/>
      <c r="D3777" s="9" t="s">
        <v>6742</v>
      </c>
      <c r="E3777" s="9" t="s">
        <v>5212</v>
      </c>
      <c r="F3777" s="9" t="s">
        <v>5213</v>
      </c>
      <c r="G3777" s="9" t="s">
        <v>12</v>
      </c>
      <c r="H3777" s="9"/>
      <c r="I3777" s="9"/>
      <c r="J3777" s="9" t="s">
        <v>134</v>
      </c>
      <c r="K3777" s="9"/>
      <c r="L3777" s="9"/>
      <c r="M3777" s="9" t="s">
        <v>5214</v>
      </c>
      <c r="N3777" s="9"/>
      <c r="O3777" s="9" t="s">
        <v>5215</v>
      </c>
      <c r="P3777" s="9" t="str">
        <f>HYPERLINK("https://ceds.ed.gov/cedselementdetails.aspx?termid=14447")</f>
        <v>https://ceds.ed.gov/cedselementdetails.aspx?termid=14447</v>
      </c>
      <c r="Q3777" s="9" t="str">
        <f>HYPERLINK("https://ceds.ed.gov/elementComment.aspx?elementName=Rubric Criterion Level Score &amp;elementID=14447", "Click here to submit comment")</f>
        <v>Click here to submit comment</v>
      </c>
    </row>
    <row r="3778" spans="1:17" ht="45" x14ac:dyDescent="0.25">
      <c r="A3778" s="9" t="s">
        <v>6892</v>
      </c>
      <c r="B3778" s="9" t="s">
        <v>6904</v>
      </c>
      <c r="C3778" s="9"/>
      <c r="D3778" s="9" t="s">
        <v>6742</v>
      </c>
      <c r="E3778" s="9" t="s">
        <v>5224</v>
      </c>
      <c r="F3778" s="9" t="s">
        <v>5225</v>
      </c>
      <c r="G3778" s="9" t="s">
        <v>12</v>
      </c>
      <c r="H3778" s="9"/>
      <c r="I3778" s="9"/>
      <c r="J3778" s="9" t="s">
        <v>134</v>
      </c>
      <c r="K3778" s="9"/>
      <c r="L3778" s="9"/>
      <c r="M3778" s="9" t="s">
        <v>5226</v>
      </c>
      <c r="N3778" s="9"/>
      <c r="O3778" s="9" t="s">
        <v>5227</v>
      </c>
      <c r="P3778" s="9" t="str">
        <f>HYPERLINK("https://ceds.ed.gov/cedselementdetails.aspx?termid=14450")</f>
        <v>https://ceds.ed.gov/cedselementdetails.aspx?termid=14450</v>
      </c>
      <c r="Q3778" s="9" t="str">
        <f>HYPERLINK("https://ceds.ed.gov/elementComment.aspx?elementName=Rubric Criterion Weight &amp;elementID=14450", "Click here to submit comment")</f>
        <v>Click here to submit comment</v>
      </c>
    </row>
    <row r="3779" spans="1:17" ht="105" x14ac:dyDescent="0.25">
      <c r="A3779" s="18" t="s">
        <v>6892</v>
      </c>
      <c r="B3779" s="18" t="s">
        <v>6908</v>
      </c>
      <c r="C3779" s="18"/>
      <c r="D3779" s="18" t="s">
        <v>6742</v>
      </c>
      <c r="E3779" s="18" t="s">
        <v>1399</v>
      </c>
      <c r="F3779" s="18" t="s">
        <v>1400</v>
      </c>
      <c r="G3779" s="18" t="s">
        <v>12</v>
      </c>
      <c r="H3779" s="18" t="s">
        <v>6145</v>
      </c>
      <c r="I3779" s="18"/>
      <c r="J3779" s="18" t="s">
        <v>119</v>
      </c>
      <c r="K3779" s="18"/>
      <c r="L3779" s="9" t="s">
        <v>120</v>
      </c>
      <c r="M3779" s="18" t="s">
        <v>1401</v>
      </c>
      <c r="N3779" s="18"/>
      <c r="O3779" s="18" t="s">
        <v>1402</v>
      </c>
      <c r="P3779" s="18" t="str">
        <f>HYPERLINK("https://ceds.ed.gov/cedselementdetails.aspx?termid=13366")</f>
        <v>https://ceds.ed.gov/cedselementdetails.aspx?termid=13366</v>
      </c>
      <c r="Q3779" s="18" t="str">
        <f>HYPERLINK("https://ceds.ed.gov/elementComment.aspx?elementName=Assessment Subtest Identifier &amp;elementID=13366", "Click here to submit comment")</f>
        <v>Click here to submit comment</v>
      </c>
    </row>
    <row r="3780" spans="1:17" x14ac:dyDescent="0.25">
      <c r="A3780" s="18"/>
      <c r="B3780" s="18"/>
      <c r="C3780" s="18"/>
      <c r="D3780" s="18"/>
      <c r="E3780" s="18"/>
      <c r="F3780" s="18"/>
      <c r="G3780" s="18"/>
      <c r="H3780" s="18"/>
      <c r="I3780" s="18"/>
      <c r="J3780" s="18"/>
      <c r="K3780" s="18"/>
      <c r="L3780" s="9"/>
      <c r="M3780" s="18"/>
      <c r="N3780" s="18"/>
      <c r="O3780" s="18"/>
      <c r="P3780" s="18"/>
      <c r="Q3780" s="18"/>
    </row>
    <row r="3781" spans="1:17" ht="90" x14ac:dyDescent="0.25">
      <c r="A3781" s="18"/>
      <c r="B3781" s="18"/>
      <c r="C3781" s="18"/>
      <c r="D3781" s="18"/>
      <c r="E3781" s="18"/>
      <c r="F3781" s="18"/>
      <c r="G3781" s="18"/>
      <c r="H3781" s="18"/>
      <c r="I3781" s="18"/>
      <c r="J3781" s="18"/>
      <c r="K3781" s="18"/>
      <c r="L3781" s="9" t="s">
        <v>121</v>
      </c>
      <c r="M3781" s="18"/>
      <c r="N3781" s="18"/>
      <c r="O3781" s="18"/>
      <c r="P3781" s="18"/>
      <c r="Q3781" s="18"/>
    </row>
    <row r="3782" spans="1:17" ht="75" x14ac:dyDescent="0.25">
      <c r="A3782" s="9" t="s">
        <v>6892</v>
      </c>
      <c r="B3782" s="9" t="s">
        <v>6908</v>
      </c>
      <c r="C3782" s="9"/>
      <c r="D3782" s="9" t="s">
        <v>6742</v>
      </c>
      <c r="E3782" s="9" t="s">
        <v>1403</v>
      </c>
      <c r="F3782" s="9" t="s">
        <v>1404</v>
      </c>
      <c r="G3782" s="10" t="s">
        <v>6386</v>
      </c>
      <c r="H3782" s="9"/>
      <c r="I3782" s="9"/>
      <c r="J3782" s="9"/>
      <c r="K3782" s="9"/>
      <c r="L3782" s="9"/>
      <c r="M3782" s="9" t="s">
        <v>1405</v>
      </c>
      <c r="N3782" s="9"/>
      <c r="O3782" s="9" t="s">
        <v>1406</v>
      </c>
      <c r="P3782" s="9" t="str">
        <f>HYPERLINK("https://ceds.ed.gov/cedselementdetails.aspx?termid=14016")</f>
        <v>https://ceds.ed.gov/cedselementdetails.aspx?termid=14016</v>
      </c>
      <c r="Q3782" s="9" t="str">
        <f>HYPERLINK("https://ceds.ed.gov/elementComment.aspx?elementName=Assessment Subtest Identifier Type &amp;elementID=14016", "Click here to submit comment")</f>
        <v>Click here to submit comment</v>
      </c>
    </row>
    <row r="3783" spans="1:17" ht="165" x14ac:dyDescent="0.25">
      <c r="A3783" s="9" t="s">
        <v>6892</v>
      </c>
      <c r="B3783" s="9" t="s">
        <v>6908</v>
      </c>
      <c r="C3783" s="9"/>
      <c r="D3783" s="9" t="s">
        <v>6742</v>
      </c>
      <c r="E3783" s="9" t="s">
        <v>1428</v>
      </c>
      <c r="F3783" s="9" t="s">
        <v>1429</v>
      </c>
      <c r="G3783" s="9" t="s">
        <v>12</v>
      </c>
      <c r="H3783" s="9" t="s">
        <v>6149</v>
      </c>
      <c r="I3783" s="9"/>
      <c r="J3783" s="9" t="s">
        <v>92</v>
      </c>
      <c r="K3783" s="9"/>
      <c r="L3783" s="9"/>
      <c r="M3783" s="9" t="s">
        <v>1430</v>
      </c>
      <c r="N3783" s="9"/>
      <c r="O3783" s="9" t="s">
        <v>1431</v>
      </c>
      <c r="P3783" s="9" t="str">
        <f>HYPERLINK("https://ceds.ed.gov/cedselementdetails.aspx?termid=13275")</f>
        <v>https://ceds.ed.gov/cedselementdetails.aspx?termid=13275</v>
      </c>
      <c r="Q3783" s="9" t="str">
        <f>HYPERLINK("https://ceds.ed.gov/elementComment.aspx?elementName=Assessment Subtest Title &amp;elementID=13275", "Click here to submit comment")</f>
        <v>Click here to submit comment</v>
      </c>
    </row>
    <row r="3784" spans="1:17" ht="45" x14ac:dyDescent="0.25">
      <c r="A3784" s="9" t="s">
        <v>6892</v>
      </c>
      <c r="B3784" s="9" t="s">
        <v>6908</v>
      </c>
      <c r="C3784" s="9"/>
      <c r="D3784" s="9" t="s">
        <v>6742</v>
      </c>
      <c r="E3784" s="9" t="s">
        <v>1391</v>
      </c>
      <c r="F3784" s="9" t="s">
        <v>1392</v>
      </c>
      <c r="G3784" s="9" t="s">
        <v>12</v>
      </c>
      <c r="H3784" s="9" t="s">
        <v>6148</v>
      </c>
      <c r="I3784" s="9"/>
      <c r="J3784" s="9" t="s">
        <v>87</v>
      </c>
      <c r="K3784" s="9"/>
      <c r="L3784" s="9"/>
      <c r="M3784" s="9" t="s">
        <v>1393</v>
      </c>
      <c r="N3784" s="9"/>
      <c r="O3784" s="9" t="s">
        <v>1394</v>
      </c>
      <c r="P3784" s="9" t="str">
        <f>HYPERLINK("https://ceds.ed.gov/cedselementdetails.aspx?termid=13367")</f>
        <v>https://ceds.ed.gov/cedselementdetails.aspx?termid=13367</v>
      </c>
      <c r="Q3784" s="9" t="str">
        <f>HYPERLINK("https://ceds.ed.gov/elementComment.aspx?elementName=Assessment Subtest Abbreviation &amp;elementID=13367", "Click here to submit comment")</f>
        <v>Click here to submit comment</v>
      </c>
    </row>
    <row r="3785" spans="1:17" ht="150" x14ac:dyDescent="0.25">
      <c r="A3785" s="9" t="s">
        <v>6892</v>
      </c>
      <c r="B3785" s="9" t="s">
        <v>6908</v>
      </c>
      <c r="C3785" s="9"/>
      <c r="D3785" s="9" t="s">
        <v>6742</v>
      </c>
      <c r="E3785" s="9" t="s">
        <v>1395</v>
      </c>
      <c r="F3785" s="9" t="s">
        <v>1396</v>
      </c>
      <c r="G3785" s="9" t="s">
        <v>12</v>
      </c>
      <c r="H3785" s="9" t="s">
        <v>6131</v>
      </c>
      <c r="I3785" s="9"/>
      <c r="J3785" s="9" t="s">
        <v>92</v>
      </c>
      <c r="K3785" s="9"/>
      <c r="L3785" s="9"/>
      <c r="M3785" s="9" t="s">
        <v>1397</v>
      </c>
      <c r="N3785" s="9"/>
      <c r="O3785" s="9" t="s">
        <v>1398</v>
      </c>
      <c r="P3785" s="9" t="str">
        <f>HYPERLINK("https://ceds.ed.gov/cedselementdetails.aspx?termid=13274")</f>
        <v>https://ceds.ed.gov/cedselementdetails.aspx?termid=13274</v>
      </c>
      <c r="Q3785" s="9" t="str">
        <f>HYPERLINK("https://ceds.ed.gov/elementComment.aspx?elementName=Assessment Subtest Description &amp;elementID=13274", "Click here to submit comment")</f>
        <v>Click here to submit comment</v>
      </c>
    </row>
    <row r="3786" spans="1:17" ht="45" x14ac:dyDescent="0.25">
      <c r="A3786" s="9" t="s">
        <v>6892</v>
      </c>
      <c r="B3786" s="9" t="s">
        <v>6908</v>
      </c>
      <c r="C3786" s="9"/>
      <c r="D3786" s="9" t="s">
        <v>6742</v>
      </c>
      <c r="E3786" s="9" t="s">
        <v>1432</v>
      </c>
      <c r="F3786" s="9" t="s">
        <v>1433</v>
      </c>
      <c r="G3786" s="9" t="s">
        <v>12</v>
      </c>
      <c r="H3786" s="9" t="s">
        <v>6145</v>
      </c>
      <c r="I3786" s="9"/>
      <c r="J3786" s="9" t="s">
        <v>87</v>
      </c>
      <c r="K3786" s="9"/>
      <c r="L3786" s="9"/>
      <c r="M3786" s="9" t="s">
        <v>1434</v>
      </c>
      <c r="N3786" s="9"/>
      <c r="O3786" s="9" t="s">
        <v>1435</v>
      </c>
      <c r="P3786" s="9" t="str">
        <f>HYPERLINK("https://ceds.ed.gov/cedselementdetails.aspx?termid=13379")</f>
        <v>https://ceds.ed.gov/cedselementdetails.aspx?termid=13379</v>
      </c>
      <c r="Q3786" s="9" t="str">
        <f>HYPERLINK("https://ceds.ed.gov/elementComment.aspx?elementName=Assessment Subtest Version &amp;elementID=13379", "Click here to submit comment")</f>
        <v>Click here to submit comment</v>
      </c>
    </row>
    <row r="3787" spans="1:17" ht="360" x14ac:dyDescent="0.25">
      <c r="A3787" s="9" t="s">
        <v>6892</v>
      </c>
      <c r="B3787" s="9" t="s">
        <v>6908</v>
      </c>
      <c r="C3787" s="9"/>
      <c r="D3787" s="9" t="s">
        <v>6742</v>
      </c>
      <c r="E3787" s="9" t="s">
        <v>970</v>
      </c>
      <c r="F3787" s="9" t="s">
        <v>971</v>
      </c>
      <c r="G3787" s="10" t="s">
        <v>6358</v>
      </c>
      <c r="H3787" s="9" t="s">
        <v>6137</v>
      </c>
      <c r="I3787" s="9"/>
      <c r="J3787" s="9"/>
      <c r="K3787" s="9"/>
      <c r="L3787" s="9"/>
      <c r="M3787" s="9" t="s">
        <v>972</v>
      </c>
      <c r="N3787" s="9"/>
      <c r="O3787" s="9" t="s">
        <v>973</v>
      </c>
      <c r="P3787" s="9" t="str">
        <f>HYPERLINK("https://ceds.ed.gov/cedselementdetails.aspx?termid=13177")</f>
        <v>https://ceds.ed.gov/cedselementdetails.aspx?termid=13177</v>
      </c>
      <c r="Q3787" s="9" t="str">
        <f>HYPERLINK("https://ceds.ed.gov/elementComment.aspx?elementName=Assessment Level for Which Designed &amp;elementID=13177", "Click here to submit comment")</f>
        <v>Click here to submit comment</v>
      </c>
    </row>
    <row r="3788" spans="1:17" ht="60" x14ac:dyDescent="0.25">
      <c r="A3788" s="18" t="s">
        <v>6892</v>
      </c>
      <c r="B3788" s="18" t="s">
        <v>6908</v>
      </c>
      <c r="C3788" s="18"/>
      <c r="D3788" s="18" t="s">
        <v>6742</v>
      </c>
      <c r="E3788" s="18" t="s">
        <v>477</v>
      </c>
      <c r="F3788" s="18" t="s">
        <v>478</v>
      </c>
      <c r="G3788" s="19" t="s">
        <v>6348</v>
      </c>
      <c r="H3788" s="18" t="s">
        <v>6139</v>
      </c>
      <c r="I3788" s="18"/>
      <c r="J3788" s="18"/>
      <c r="K3788" s="18"/>
      <c r="L3788" s="9" t="s">
        <v>479</v>
      </c>
      <c r="M3788" s="18" t="s">
        <v>484</v>
      </c>
      <c r="N3788" s="18"/>
      <c r="O3788" s="18" t="s">
        <v>485</v>
      </c>
      <c r="P3788" s="18" t="str">
        <f>HYPERLINK("https://ceds.ed.gov/cedselementdetails.aspx?termid=14003")</f>
        <v>https://ceds.ed.gov/cedselementdetails.aspx?termid=14003</v>
      </c>
      <c r="Q3788" s="18" t="str">
        <f>HYPERLINK("https://ceds.ed.gov/elementComment.aspx?elementName=Assessment Early Learning Developmental Domain &amp;elementID=14003", "Click here to submit comment")</f>
        <v>Click here to submit comment</v>
      </c>
    </row>
    <row r="3789" spans="1:17" x14ac:dyDescent="0.25">
      <c r="A3789" s="18"/>
      <c r="B3789" s="18"/>
      <c r="C3789" s="18"/>
      <c r="D3789" s="18"/>
      <c r="E3789" s="18"/>
      <c r="F3789" s="18"/>
      <c r="G3789" s="18"/>
      <c r="H3789" s="18"/>
      <c r="I3789" s="18"/>
      <c r="J3789" s="18"/>
      <c r="K3789" s="18"/>
      <c r="L3789" s="9"/>
      <c r="M3789" s="18"/>
      <c r="N3789" s="18"/>
      <c r="O3789" s="18"/>
      <c r="P3789" s="18"/>
      <c r="Q3789" s="18"/>
    </row>
    <row r="3790" spans="1:17" ht="30" x14ac:dyDescent="0.25">
      <c r="A3790" s="18"/>
      <c r="B3790" s="18"/>
      <c r="C3790" s="18"/>
      <c r="D3790" s="18"/>
      <c r="E3790" s="18"/>
      <c r="F3790" s="18"/>
      <c r="G3790" s="18"/>
      <c r="H3790" s="18"/>
      <c r="I3790" s="18"/>
      <c r="J3790" s="18"/>
      <c r="K3790" s="18"/>
      <c r="L3790" s="9" t="s">
        <v>480</v>
      </c>
      <c r="M3790" s="18"/>
      <c r="N3790" s="18"/>
      <c r="O3790" s="18"/>
      <c r="P3790" s="18"/>
      <c r="Q3790" s="18"/>
    </row>
    <row r="3791" spans="1:17" ht="45" x14ac:dyDescent="0.25">
      <c r="A3791" s="18"/>
      <c r="B3791" s="18"/>
      <c r="C3791" s="18"/>
      <c r="D3791" s="18"/>
      <c r="E3791" s="18"/>
      <c r="F3791" s="18"/>
      <c r="G3791" s="18"/>
      <c r="H3791" s="18"/>
      <c r="I3791" s="18"/>
      <c r="J3791" s="18"/>
      <c r="K3791" s="18"/>
      <c r="L3791" s="9" t="s">
        <v>481</v>
      </c>
      <c r="M3791" s="18"/>
      <c r="N3791" s="18"/>
      <c r="O3791" s="18"/>
      <c r="P3791" s="18"/>
      <c r="Q3791" s="18"/>
    </row>
    <row r="3792" spans="1:17" ht="75" x14ac:dyDescent="0.25">
      <c r="A3792" s="18"/>
      <c r="B3792" s="18"/>
      <c r="C3792" s="18"/>
      <c r="D3792" s="18"/>
      <c r="E3792" s="18"/>
      <c r="F3792" s="18"/>
      <c r="G3792" s="18"/>
      <c r="H3792" s="18"/>
      <c r="I3792" s="18"/>
      <c r="J3792" s="18"/>
      <c r="K3792" s="18"/>
      <c r="L3792" s="9" t="s">
        <v>482</v>
      </c>
      <c r="M3792" s="18"/>
      <c r="N3792" s="18"/>
      <c r="O3792" s="18"/>
      <c r="P3792" s="18"/>
      <c r="Q3792" s="18"/>
    </row>
    <row r="3793" spans="1:17" x14ac:dyDescent="0.25">
      <c r="A3793" s="18"/>
      <c r="B3793" s="18"/>
      <c r="C3793" s="18"/>
      <c r="D3793" s="18"/>
      <c r="E3793" s="18"/>
      <c r="F3793" s="18"/>
      <c r="G3793" s="18"/>
      <c r="H3793" s="18"/>
      <c r="I3793" s="18"/>
      <c r="J3793" s="18"/>
      <c r="K3793" s="18"/>
      <c r="L3793" s="9"/>
      <c r="M3793" s="18"/>
      <c r="N3793" s="18"/>
      <c r="O3793" s="18"/>
      <c r="P3793" s="18"/>
      <c r="Q3793" s="18"/>
    </row>
    <row r="3794" spans="1:17" ht="105" x14ac:dyDescent="0.25">
      <c r="A3794" s="18"/>
      <c r="B3794" s="18"/>
      <c r="C3794" s="18"/>
      <c r="D3794" s="18"/>
      <c r="E3794" s="18"/>
      <c r="F3794" s="18"/>
      <c r="G3794" s="18"/>
      <c r="H3794" s="18"/>
      <c r="I3794" s="18"/>
      <c r="J3794" s="18"/>
      <c r="K3794" s="18"/>
      <c r="L3794" s="9" t="s">
        <v>483</v>
      </c>
      <c r="M3794" s="18"/>
      <c r="N3794" s="18"/>
      <c r="O3794" s="18"/>
      <c r="P3794" s="18"/>
      <c r="Q3794" s="18"/>
    </row>
    <row r="3795" spans="1:17" ht="45" x14ac:dyDescent="0.25">
      <c r="A3795" s="9" t="s">
        <v>6892</v>
      </c>
      <c r="B3795" s="9" t="s">
        <v>6908</v>
      </c>
      <c r="C3795" s="9"/>
      <c r="D3795" s="9" t="s">
        <v>6742</v>
      </c>
      <c r="E3795" s="9" t="s">
        <v>1420</v>
      </c>
      <c r="F3795" s="9" t="s">
        <v>1421</v>
      </c>
      <c r="G3795" s="9" t="s">
        <v>12</v>
      </c>
      <c r="H3795" s="9"/>
      <c r="I3795" s="9"/>
      <c r="J3795" s="9" t="s">
        <v>73</v>
      </c>
      <c r="K3795" s="9"/>
      <c r="L3795" s="9"/>
      <c r="M3795" s="9" t="s">
        <v>1422</v>
      </c>
      <c r="N3795" s="9"/>
      <c r="O3795" s="9" t="s">
        <v>1423</v>
      </c>
      <c r="P3795" s="9" t="str">
        <f>HYPERLINK("https://ceds.ed.gov/cedselementdetails.aspx?termid=14075")</f>
        <v>https://ceds.ed.gov/cedselementdetails.aspx?termid=14075</v>
      </c>
      <c r="Q3795" s="9" t="str">
        <f>HYPERLINK("https://ceds.ed.gov/elementComment.aspx?elementName=Assessment Subtest Published Date &amp;elementID=14075", "Click here to submit comment")</f>
        <v>Click here to submit comment</v>
      </c>
    </row>
    <row r="3796" spans="1:17" ht="45" x14ac:dyDescent="0.25">
      <c r="A3796" s="9" t="s">
        <v>6892</v>
      </c>
      <c r="B3796" s="9" t="s">
        <v>6908</v>
      </c>
      <c r="C3796" s="9"/>
      <c r="D3796" s="9" t="s">
        <v>6742</v>
      </c>
      <c r="E3796" s="9" t="s">
        <v>1411</v>
      </c>
      <c r="F3796" s="9" t="s">
        <v>1412</v>
      </c>
      <c r="G3796" s="9" t="s">
        <v>12</v>
      </c>
      <c r="H3796" s="9" t="s">
        <v>6127</v>
      </c>
      <c r="I3796" s="9"/>
      <c r="J3796" s="9" t="s">
        <v>87</v>
      </c>
      <c r="K3796" s="9"/>
      <c r="L3796" s="9"/>
      <c r="M3796" s="9" t="s">
        <v>1413</v>
      </c>
      <c r="N3796" s="9"/>
      <c r="O3796" s="9" t="s">
        <v>1414</v>
      </c>
      <c r="P3796" s="9" t="str">
        <f>HYPERLINK("https://ceds.ed.gov/cedselementdetails.aspx?termid=13387")</f>
        <v>https://ceds.ed.gov/cedselementdetails.aspx?termid=13387</v>
      </c>
      <c r="Q3796" s="9" t="str">
        <f>HYPERLINK("https://ceds.ed.gov/elementComment.aspx?elementName=Assessment Subtest Minimum Value &amp;elementID=13387", "Click here to submit comment")</f>
        <v>Click here to submit comment</v>
      </c>
    </row>
    <row r="3797" spans="1:17" ht="45" x14ac:dyDescent="0.25">
      <c r="A3797" s="9" t="s">
        <v>6892</v>
      </c>
      <c r="B3797" s="9" t="s">
        <v>6908</v>
      </c>
      <c r="C3797" s="9"/>
      <c r="D3797" s="9" t="s">
        <v>6742</v>
      </c>
      <c r="E3797" s="9" t="s">
        <v>1407</v>
      </c>
      <c r="F3797" s="9" t="s">
        <v>1408</v>
      </c>
      <c r="G3797" s="9" t="s">
        <v>12</v>
      </c>
      <c r="H3797" s="9" t="s">
        <v>6127</v>
      </c>
      <c r="I3797" s="9"/>
      <c r="J3797" s="9" t="s">
        <v>87</v>
      </c>
      <c r="K3797" s="9"/>
      <c r="L3797" s="9"/>
      <c r="M3797" s="9" t="s">
        <v>1409</v>
      </c>
      <c r="N3797" s="9"/>
      <c r="O3797" s="9" t="s">
        <v>1410</v>
      </c>
      <c r="P3797" s="9" t="str">
        <f>HYPERLINK("https://ceds.ed.gov/cedselementdetails.aspx?termid=13388")</f>
        <v>https://ceds.ed.gov/cedselementdetails.aspx?termid=13388</v>
      </c>
      <c r="Q3797" s="9" t="str">
        <f>HYPERLINK("https://ceds.ed.gov/elementComment.aspx?elementName=Assessment Subtest Maximum Value &amp;elementID=13388", "Click here to submit comment")</f>
        <v>Click here to submit comment</v>
      </c>
    </row>
    <row r="3798" spans="1:17" ht="45" x14ac:dyDescent="0.25">
      <c r="A3798" s="9" t="s">
        <v>6892</v>
      </c>
      <c r="B3798" s="9" t="s">
        <v>6908</v>
      </c>
      <c r="C3798" s="9"/>
      <c r="D3798" s="9" t="s">
        <v>6742</v>
      </c>
      <c r="E3798" s="9" t="s">
        <v>1415</v>
      </c>
      <c r="F3798" s="9" t="s">
        <v>1416</v>
      </c>
      <c r="G3798" s="9" t="s">
        <v>12</v>
      </c>
      <c r="H3798" s="9" t="s">
        <v>6135</v>
      </c>
      <c r="I3798" s="9"/>
      <c r="J3798" s="9" t="s">
        <v>87</v>
      </c>
      <c r="K3798" s="9"/>
      <c r="L3798" s="9" t="s">
        <v>1417</v>
      </c>
      <c r="M3798" s="9" t="s">
        <v>1418</v>
      </c>
      <c r="N3798" s="9"/>
      <c r="O3798" s="9" t="s">
        <v>1419</v>
      </c>
      <c r="P3798" s="9" t="str">
        <f>HYPERLINK("https://ceds.ed.gov/cedselementdetails.aspx?termid=13389")</f>
        <v>https://ceds.ed.gov/cedselementdetails.aspx?termid=13389</v>
      </c>
      <c r="Q3798" s="9" t="str">
        <f>HYPERLINK("https://ceds.ed.gov/elementComment.aspx?elementName=Assessment Subtest Optimal Value &amp;elementID=13389", "Click here to submit comment")</f>
        <v>Click here to submit comment</v>
      </c>
    </row>
    <row r="3799" spans="1:17" ht="330" x14ac:dyDescent="0.25">
      <c r="A3799" s="9" t="s">
        <v>6892</v>
      </c>
      <c r="B3799" s="9" t="s">
        <v>6908</v>
      </c>
      <c r="C3799" s="9"/>
      <c r="D3799" s="9" t="s">
        <v>6742</v>
      </c>
      <c r="E3799" s="9" t="s">
        <v>379</v>
      </c>
      <c r="F3799" s="9" t="s">
        <v>380</v>
      </c>
      <c r="G3799" s="10" t="s">
        <v>6344</v>
      </c>
      <c r="H3799" s="9" t="s">
        <v>6126</v>
      </c>
      <c r="I3799" s="9"/>
      <c r="J3799" s="9"/>
      <c r="K3799" s="9"/>
      <c r="L3799" s="9"/>
      <c r="M3799" s="9" t="s">
        <v>381</v>
      </c>
      <c r="N3799" s="9"/>
      <c r="O3799" s="9" t="s">
        <v>382</v>
      </c>
      <c r="P3799" s="9" t="str">
        <f>HYPERLINK("https://ceds.ed.gov/cedselementdetails.aspx?termid=13021")</f>
        <v>https://ceds.ed.gov/cedselementdetails.aspx?termid=13021</v>
      </c>
      <c r="Q3799" s="9" t="str">
        <f>HYPERLINK("https://ceds.ed.gov/elementComment.aspx?elementName=Assessment Academic Subject &amp;elementID=13021", "Click here to submit comment")</f>
        <v>Click here to submit comment</v>
      </c>
    </row>
    <row r="3800" spans="1:17" ht="165" x14ac:dyDescent="0.25">
      <c r="A3800" s="9" t="s">
        <v>6892</v>
      </c>
      <c r="B3800" s="9" t="s">
        <v>6908</v>
      </c>
      <c r="C3800" s="9"/>
      <c r="D3800" s="9" t="s">
        <v>6742</v>
      </c>
      <c r="E3800" s="9" t="s">
        <v>472</v>
      </c>
      <c r="F3800" s="9" t="s">
        <v>473</v>
      </c>
      <c r="G3800" s="10" t="s">
        <v>6347</v>
      </c>
      <c r="H3800" s="9" t="s">
        <v>6129</v>
      </c>
      <c r="I3800" s="9"/>
      <c r="J3800" s="9"/>
      <c r="K3800" s="9"/>
      <c r="L3800" s="9"/>
      <c r="M3800" s="9" t="s">
        <v>475</v>
      </c>
      <c r="N3800" s="9"/>
      <c r="O3800" s="9" t="s">
        <v>476</v>
      </c>
      <c r="P3800" s="9" t="str">
        <f>HYPERLINK("https://ceds.ed.gov/cedselementdetails.aspx?termid=13598")</f>
        <v>https://ceds.ed.gov/cedselementdetails.aspx?termid=13598</v>
      </c>
      <c r="Q3800" s="9" t="str">
        <f>HYPERLINK("https://ceds.ed.gov/elementComment.aspx?elementName=Assessment Content Standard Type &amp;elementID=13598", "Click here to submit comment")</f>
        <v>Click here to submit comment</v>
      </c>
    </row>
    <row r="3801" spans="1:17" ht="390" x14ac:dyDescent="0.25">
      <c r="A3801" s="9" t="s">
        <v>6892</v>
      </c>
      <c r="B3801" s="9" t="s">
        <v>6908</v>
      </c>
      <c r="C3801" s="9"/>
      <c r="D3801" s="9" t="s">
        <v>6742</v>
      </c>
      <c r="E3801" s="9" t="s">
        <v>1193</v>
      </c>
      <c r="F3801" s="9" t="s">
        <v>1194</v>
      </c>
      <c r="G3801" s="10" t="s">
        <v>6375</v>
      </c>
      <c r="H3801" s="9" t="s">
        <v>6129</v>
      </c>
      <c r="I3801" s="9"/>
      <c r="J3801" s="9"/>
      <c r="K3801" s="9"/>
      <c r="L3801" s="9" t="s">
        <v>1195</v>
      </c>
      <c r="M3801" s="9" t="s">
        <v>1196</v>
      </c>
      <c r="N3801" s="9"/>
      <c r="O3801" s="9" t="s">
        <v>1197</v>
      </c>
      <c r="P3801" s="9" t="str">
        <f>HYPERLINK("https://ceds.ed.gov/cedselementdetails.aspx?termid=13026")</f>
        <v>https://ceds.ed.gov/cedselementdetails.aspx?termid=13026</v>
      </c>
      <c r="Q3801" s="9" t="str">
        <f>HYPERLINK("https://ceds.ed.gov/elementComment.aspx?elementName=Assessment Purpose &amp;elementID=13026", "Click here to submit comment")</f>
        <v>Click here to submit comment</v>
      </c>
    </row>
    <row r="3802" spans="1:17" ht="45" x14ac:dyDescent="0.25">
      <c r="A3802" s="9" t="s">
        <v>6892</v>
      </c>
      <c r="B3802" s="9" t="s">
        <v>6908</v>
      </c>
      <c r="C3802" s="9"/>
      <c r="D3802" s="9" t="s">
        <v>6742</v>
      </c>
      <c r="E3802" s="9" t="s">
        <v>1424</v>
      </c>
      <c r="F3802" s="9" t="s">
        <v>1425</v>
      </c>
      <c r="G3802" s="9" t="s">
        <v>12</v>
      </c>
      <c r="H3802" s="9"/>
      <c r="I3802" s="9"/>
      <c r="J3802" s="9" t="s">
        <v>303</v>
      </c>
      <c r="K3802" s="9"/>
      <c r="L3802" s="9"/>
      <c r="M3802" s="9" t="s">
        <v>1426</v>
      </c>
      <c r="N3802" s="9"/>
      <c r="O3802" s="9" t="s">
        <v>1427</v>
      </c>
      <c r="P3802" s="9" t="str">
        <f>HYPERLINK("https://ceds.ed.gov/cedselementdetails.aspx?termid=13695")</f>
        <v>https://ceds.ed.gov/cedselementdetails.aspx?termid=13695</v>
      </c>
      <c r="Q3802" s="9" t="str">
        <f>HYPERLINK("https://ceds.ed.gov/elementComment.aspx?elementName=Assessment Subtest Rules &amp;elementID=13695", "Click here to submit comment")</f>
        <v>Click here to submit comment</v>
      </c>
    </row>
    <row r="3803" spans="1:17" ht="60" x14ac:dyDescent="0.25">
      <c r="A3803" s="9" t="s">
        <v>6892</v>
      </c>
      <c r="B3803" s="9" t="s">
        <v>6908</v>
      </c>
      <c r="C3803" s="9"/>
      <c r="D3803" s="9" t="s">
        <v>6742</v>
      </c>
      <c r="E3803" s="9" t="s">
        <v>587</v>
      </c>
      <c r="F3803" s="9" t="s">
        <v>588</v>
      </c>
      <c r="G3803" s="9" t="s">
        <v>12</v>
      </c>
      <c r="H3803" s="9"/>
      <c r="I3803" s="9"/>
      <c r="J3803" s="9" t="s">
        <v>10489</v>
      </c>
      <c r="K3803" s="9"/>
      <c r="L3803" s="9"/>
      <c r="M3803" s="9" t="s">
        <v>590</v>
      </c>
      <c r="N3803" s="9"/>
      <c r="O3803" s="9" t="s">
        <v>591</v>
      </c>
      <c r="P3803" s="9" t="str">
        <f>HYPERLINK("https://ceds.ed.gov/cedselementdetails.aspx?termid=14180")</f>
        <v>https://ceds.ed.gov/cedselementdetails.aspx?termid=14180</v>
      </c>
      <c r="Q3803" s="9" t="str">
        <f>HYPERLINK("https://ceds.ed.gov/elementComment.aspx?elementName=Assessment Form Subtest Tier &amp;elementID=14180", "Click here to submit comment")</f>
        <v>Click here to submit comment</v>
      </c>
    </row>
    <row r="3804" spans="1:17" ht="60" x14ac:dyDescent="0.25">
      <c r="A3804" s="9" t="s">
        <v>6892</v>
      </c>
      <c r="B3804" s="9" t="s">
        <v>6908</v>
      </c>
      <c r="C3804" s="9"/>
      <c r="D3804" s="9" t="s">
        <v>6742</v>
      </c>
      <c r="E3804" s="9" t="s">
        <v>570</v>
      </c>
      <c r="F3804" s="9" t="s">
        <v>571</v>
      </c>
      <c r="G3804" s="9" t="s">
        <v>6106</v>
      </c>
      <c r="H3804" s="9"/>
      <c r="I3804" s="9"/>
      <c r="J3804" s="9"/>
      <c r="K3804" s="9"/>
      <c r="L3804" s="9"/>
      <c r="M3804" s="9" t="s">
        <v>572</v>
      </c>
      <c r="N3804" s="9"/>
      <c r="O3804" s="9" t="s">
        <v>573</v>
      </c>
      <c r="P3804" s="9" t="str">
        <f>HYPERLINK("https://ceds.ed.gov/cedselementdetails.aspx?termid=14181")</f>
        <v>https://ceds.ed.gov/cedselementdetails.aspx?termid=14181</v>
      </c>
      <c r="Q3804" s="9" t="str">
        <f>HYPERLINK("https://ceds.ed.gov/elementComment.aspx?elementName=Assessment Form Subtest Container Only &amp;elementID=14181", "Click here to submit comment")</f>
        <v>Click here to submit comment</v>
      </c>
    </row>
    <row r="3805" spans="1:17" ht="409.5" x14ac:dyDescent="0.25">
      <c r="A3805" s="9" t="s">
        <v>6892</v>
      </c>
      <c r="B3805" s="9" t="s">
        <v>6908</v>
      </c>
      <c r="C3805" s="9"/>
      <c r="D3805" s="9" t="s">
        <v>6742</v>
      </c>
      <c r="E3805" s="9" t="s">
        <v>1318</v>
      </c>
      <c r="F3805" s="9" t="s">
        <v>1319</v>
      </c>
      <c r="G3805" s="10" t="s">
        <v>6374</v>
      </c>
      <c r="H3805" s="9" t="s">
        <v>6145</v>
      </c>
      <c r="I3805" s="9"/>
      <c r="J3805" s="9"/>
      <c r="K3805" s="9"/>
      <c r="L3805" s="9"/>
      <c r="M3805" s="9" t="s">
        <v>1320</v>
      </c>
      <c r="N3805" s="9"/>
      <c r="O3805" s="9" t="s">
        <v>1321</v>
      </c>
      <c r="P3805" s="9" t="str">
        <f>HYPERLINK("https://ceds.ed.gov/cedselementdetails.aspx?termid=13368")</f>
        <v>https://ceds.ed.gov/cedselementdetails.aspx?termid=13368</v>
      </c>
      <c r="Q3805" s="9" t="str">
        <f>HYPERLINK("https://ceds.ed.gov/elementComment.aspx?elementName=Assessment Score Metric Type &amp;elementID=13368", "Click here to submit comment")</f>
        <v>Click here to submit comment</v>
      </c>
    </row>
    <row r="3806" spans="1:17" ht="105" x14ac:dyDescent="0.25">
      <c r="A3806" s="18" t="s">
        <v>6892</v>
      </c>
      <c r="B3806" s="18" t="s">
        <v>6908</v>
      </c>
      <c r="C3806" s="18" t="s">
        <v>6923</v>
      </c>
      <c r="D3806" s="18" t="s">
        <v>6742</v>
      </c>
      <c r="E3806" s="18" t="s">
        <v>1159</v>
      </c>
      <c r="F3806" s="18" t="s">
        <v>1160</v>
      </c>
      <c r="G3806" s="18" t="s">
        <v>12</v>
      </c>
      <c r="H3806" s="18" t="s">
        <v>795</v>
      </c>
      <c r="I3806" s="18"/>
      <c r="J3806" s="18" t="s">
        <v>119</v>
      </c>
      <c r="K3806" s="18"/>
      <c r="L3806" s="9" t="s">
        <v>120</v>
      </c>
      <c r="M3806" s="18" t="s">
        <v>1161</v>
      </c>
      <c r="N3806" s="18"/>
      <c r="O3806" s="18" t="s">
        <v>1162</v>
      </c>
      <c r="P3806" s="18" t="str">
        <f>HYPERLINK("https://ceds.ed.gov/cedselementdetails.aspx?termid=13693")</f>
        <v>https://ceds.ed.gov/cedselementdetails.aspx?termid=13693</v>
      </c>
      <c r="Q3806" s="18" t="str">
        <f>HYPERLINK("https://ceds.ed.gov/elementComment.aspx?elementName=Assessment Performance Level Identifier &amp;elementID=13693", "Click here to submit comment")</f>
        <v>Click here to submit comment</v>
      </c>
    </row>
    <row r="3807" spans="1:17" x14ac:dyDescent="0.25">
      <c r="A3807" s="18"/>
      <c r="B3807" s="18"/>
      <c r="C3807" s="18"/>
      <c r="D3807" s="18"/>
      <c r="E3807" s="18"/>
      <c r="F3807" s="18"/>
      <c r="G3807" s="18"/>
      <c r="H3807" s="18"/>
      <c r="I3807" s="18"/>
      <c r="J3807" s="18"/>
      <c r="K3807" s="18"/>
      <c r="L3807" s="9"/>
      <c r="M3807" s="18"/>
      <c r="N3807" s="18"/>
      <c r="O3807" s="18"/>
      <c r="P3807" s="18"/>
      <c r="Q3807" s="18"/>
    </row>
    <row r="3808" spans="1:17" ht="90" x14ac:dyDescent="0.25">
      <c r="A3808" s="18"/>
      <c r="B3808" s="18"/>
      <c r="C3808" s="18"/>
      <c r="D3808" s="18"/>
      <c r="E3808" s="18"/>
      <c r="F3808" s="18"/>
      <c r="G3808" s="18"/>
      <c r="H3808" s="18"/>
      <c r="I3808" s="18"/>
      <c r="J3808" s="18"/>
      <c r="K3808" s="18"/>
      <c r="L3808" s="9" t="s">
        <v>121</v>
      </c>
      <c r="M3808" s="18"/>
      <c r="N3808" s="18"/>
      <c r="O3808" s="18"/>
      <c r="P3808" s="18"/>
      <c r="Q3808" s="18"/>
    </row>
    <row r="3809" spans="1:17" ht="45" x14ac:dyDescent="0.25">
      <c r="A3809" s="9" t="s">
        <v>6892</v>
      </c>
      <c r="B3809" s="9" t="s">
        <v>6908</v>
      </c>
      <c r="C3809" s="9" t="s">
        <v>6923</v>
      </c>
      <c r="D3809" s="9" t="s">
        <v>6742</v>
      </c>
      <c r="E3809" s="9" t="s">
        <v>1163</v>
      </c>
      <c r="F3809" s="9" t="s">
        <v>1164</v>
      </c>
      <c r="G3809" s="9" t="s">
        <v>12</v>
      </c>
      <c r="H3809" s="9" t="s">
        <v>795</v>
      </c>
      <c r="I3809" s="9"/>
      <c r="J3809" s="9" t="s">
        <v>1165</v>
      </c>
      <c r="K3809" s="9"/>
      <c r="L3809" s="9"/>
      <c r="M3809" s="9" t="s">
        <v>1166</v>
      </c>
      <c r="N3809" s="9"/>
      <c r="O3809" s="9" t="s">
        <v>1167</v>
      </c>
      <c r="P3809" s="9" t="str">
        <f>HYPERLINK("https://ceds.ed.gov/cedselementdetails.aspx?termid=13694")</f>
        <v>https://ceds.ed.gov/cedselementdetails.aspx?termid=13694</v>
      </c>
      <c r="Q3809" s="9" t="str">
        <f>HYPERLINK("https://ceds.ed.gov/elementComment.aspx?elementName=Assessment Performance Level Label &amp;elementID=13694", "Click here to submit comment")</f>
        <v>Click here to submit comment</v>
      </c>
    </row>
    <row r="3810" spans="1:17" ht="45" x14ac:dyDescent="0.25">
      <c r="A3810" s="9" t="s">
        <v>6892</v>
      </c>
      <c r="B3810" s="9" t="s">
        <v>6908</v>
      </c>
      <c r="C3810" s="9" t="s">
        <v>6923</v>
      </c>
      <c r="D3810" s="9" t="s">
        <v>6742</v>
      </c>
      <c r="E3810" s="9" t="s">
        <v>1168</v>
      </c>
      <c r="F3810" s="9" t="s">
        <v>1169</v>
      </c>
      <c r="G3810" s="9" t="s">
        <v>12</v>
      </c>
      <c r="H3810" s="9" t="s">
        <v>6127</v>
      </c>
      <c r="I3810" s="9"/>
      <c r="J3810" s="9" t="s">
        <v>87</v>
      </c>
      <c r="K3810" s="9"/>
      <c r="L3810" s="9"/>
      <c r="M3810" s="9" t="s">
        <v>1170</v>
      </c>
      <c r="N3810" s="9"/>
      <c r="O3810" s="9" t="s">
        <v>1171</v>
      </c>
      <c r="P3810" s="9" t="str">
        <f>HYPERLINK("https://ceds.ed.gov/cedselementdetails.aspx?termid=13408")</f>
        <v>https://ceds.ed.gov/cedselementdetails.aspx?termid=13408</v>
      </c>
      <c r="Q3810" s="9" t="str">
        <f>HYPERLINK("https://ceds.ed.gov/elementComment.aspx?elementName=Assessment Performance Level Lower Cut Score &amp;elementID=13408", "Click here to submit comment")</f>
        <v>Click here to submit comment</v>
      </c>
    </row>
    <row r="3811" spans="1:17" ht="45" x14ac:dyDescent="0.25">
      <c r="A3811" s="9" t="s">
        <v>6892</v>
      </c>
      <c r="B3811" s="9" t="s">
        <v>6908</v>
      </c>
      <c r="C3811" s="9" t="s">
        <v>6923</v>
      </c>
      <c r="D3811" s="9" t="s">
        <v>6742</v>
      </c>
      <c r="E3811" s="9" t="s">
        <v>1176</v>
      </c>
      <c r="F3811" s="9" t="s">
        <v>1177</v>
      </c>
      <c r="G3811" s="9" t="s">
        <v>12</v>
      </c>
      <c r="H3811" s="9" t="s">
        <v>6127</v>
      </c>
      <c r="I3811" s="9"/>
      <c r="J3811" s="9" t="s">
        <v>87</v>
      </c>
      <c r="K3811" s="9"/>
      <c r="L3811" s="9"/>
      <c r="M3811" s="9" t="s">
        <v>1178</v>
      </c>
      <c r="N3811" s="9"/>
      <c r="O3811" s="9" t="s">
        <v>1179</v>
      </c>
      <c r="P3811" s="9" t="str">
        <f>HYPERLINK("https://ceds.ed.gov/cedselementdetails.aspx?termid=13409")</f>
        <v>https://ceds.ed.gov/cedselementdetails.aspx?termid=13409</v>
      </c>
      <c r="Q3811" s="9" t="str">
        <f>HYPERLINK("https://ceds.ed.gov/elementComment.aspx?elementName=Assessment Performance Level Upper Cut Score &amp;elementID=13409", "Click here to submit comment")</f>
        <v>Click here to submit comment</v>
      </c>
    </row>
    <row r="3812" spans="1:17" ht="409.5" x14ac:dyDescent="0.25">
      <c r="A3812" s="9" t="s">
        <v>6892</v>
      </c>
      <c r="B3812" s="9" t="s">
        <v>6908</v>
      </c>
      <c r="C3812" s="9" t="s">
        <v>6923</v>
      </c>
      <c r="D3812" s="9" t="s">
        <v>6742</v>
      </c>
      <c r="E3812" s="9" t="s">
        <v>1172</v>
      </c>
      <c r="F3812" s="9" t="s">
        <v>1173</v>
      </c>
      <c r="G3812" s="10" t="s">
        <v>6374</v>
      </c>
      <c r="H3812" s="9" t="s">
        <v>6127</v>
      </c>
      <c r="I3812" s="9"/>
      <c r="J3812" s="9" t="s">
        <v>87</v>
      </c>
      <c r="K3812" s="9"/>
      <c r="L3812" s="9"/>
      <c r="M3812" s="9" t="s">
        <v>1174</v>
      </c>
      <c r="N3812" s="9"/>
      <c r="O3812" s="9" t="s">
        <v>1175</v>
      </c>
      <c r="P3812" s="9" t="str">
        <f>HYPERLINK("https://ceds.ed.gov/cedselementdetails.aspx?termid=13407")</f>
        <v>https://ceds.ed.gov/cedselementdetails.aspx?termid=13407</v>
      </c>
      <c r="Q3812" s="9" t="str">
        <f>HYPERLINK("https://ceds.ed.gov/elementComment.aspx?elementName=Assessment Performance Level Score Metric &amp;elementID=13407", "Click here to submit comment")</f>
        <v>Click here to submit comment</v>
      </c>
    </row>
    <row r="3813" spans="1:17" ht="45" x14ac:dyDescent="0.25">
      <c r="A3813" s="9" t="s">
        <v>6892</v>
      </c>
      <c r="B3813" s="9" t="s">
        <v>6908</v>
      </c>
      <c r="C3813" s="9" t="s">
        <v>6923</v>
      </c>
      <c r="D3813" s="9" t="s">
        <v>6742</v>
      </c>
      <c r="E3813" s="9" t="s">
        <v>1155</v>
      </c>
      <c r="F3813" s="9" t="s">
        <v>1156</v>
      </c>
      <c r="G3813" s="9" t="s">
        <v>12</v>
      </c>
      <c r="H3813" s="9"/>
      <c r="I3813" s="9"/>
      <c r="J3813" s="9" t="s">
        <v>303</v>
      </c>
      <c r="K3813" s="9"/>
      <c r="L3813" s="9"/>
      <c r="M3813" s="9" t="s">
        <v>1157</v>
      </c>
      <c r="N3813" s="9"/>
      <c r="O3813" s="9" t="s">
        <v>1158</v>
      </c>
      <c r="P3813" s="9" t="str">
        <f>HYPERLINK("https://ceds.ed.gov/cedselementdetails.aspx?termid=14184")</f>
        <v>https://ceds.ed.gov/cedselementdetails.aspx?termid=14184</v>
      </c>
      <c r="Q3813" s="9" t="str">
        <f>HYPERLINK("https://ceds.ed.gov/elementComment.aspx?elementName=Assessment Performance Level Descriptive Feedback &amp;elementID=14184", "Click here to submit comment")</f>
        <v>Click here to submit comment</v>
      </c>
    </row>
    <row r="3814" spans="1:17" ht="75" x14ac:dyDescent="0.25">
      <c r="A3814" s="9" t="s">
        <v>6892</v>
      </c>
      <c r="B3814" s="9" t="s">
        <v>6909</v>
      </c>
      <c r="C3814" s="9"/>
      <c r="D3814" s="9" t="s">
        <v>6742</v>
      </c>
      <c r="E3814" s="9" t="s">
        <v>1291</v>
      </c>
      <c r="F3814" s="9" t="s">
        <v>1292</v>
      </c>
      <c r="G3814" s="9" t="s">
        <v>6106</v>
      </c>
      <c r="H3814" s="9"/>
      <c r="I3814" s="9"/>
      <c r="J3814" s="9"/>
      <c r="K3814" s="9"/>
      <c r="L3814" s="9"/>
      <c r="M3814" s="9" t="s">
        <v>1293</v>
      </c>
      <c r="N3814" s="9"/>
      <c r="O3814" s="9" t="s">
        <v>1294</v>
      </c>
      <c r="P3814" s="9" t="str">
        <f>HYPERLINK("https://ceds.ed.gov/cedselementdetails.aspx?termid=14010")</f>
        <v>https://ceds.ed.gov/cedselementdetails.aspx?termid=14010</v>
      </c>
      <c r="Q3814" s="9" t="str">
        <f>HYPERLINK("https://ceds.ed.gov/elementComment.aspx?elementName=Assessment Result Preliminary Indicator &amp;elementID=14010", "Click here to submit comment")</f>
        <v>Click here to submit comment</v>
      </c>
    </row>
    <row r="3815" spans="1:17" ht="210" x14ac:dyDescent="0.25">
      <c r="A3815" s="9" t="s">
        <v>6892</v>
      </c>
      <c r="B3815" s="9" t="s">
        <v>6909</v>
      </c>
      <c r="C3815" s="9"/>
      <c r="D3815" s="9" t="s">
        <v>6742</v>
      </c>
      <c r="E3815" s="9" t="s">
        <v>1308</v>
      </c>
      <c r="F3815" s="9" t="s">
        <v>1309</v>
      </c>
      <c r="G3815" s="9" t="s">
        <v>12</v>
      </c>
      <c r="H3815" s="9" t="s">
        <v>6143</v>
      </c>
      <c r="I3815" s="9"/>
      <c r="J3815" s="9" t="s">
        <v>1310</v>
      </c>
      <c r="K3815" s="9"/>
      <c r="L3815" s="9" t="s">
        <v>1311</v>
      </c>
      <c r="M3815" s="9" t="s">
        <v>1312</v>
      </c>
      <c r="N3815" s="9"/>
      <c r="O3815" s="9" t="s">
        <v>1313</v>
      </c>
      <c r="P3815" s="9" t="str">
        <f>HYPERLINK("https://ceds.ed.gov/cedselementdetails.aspx?termid=13245")</f>
        <v>https://ceds.ed.gov/cedselementdetails.aspx?termid=13245</v>
      </c>
      <c r="Q3815" s="9" t="str">
        <f>HYPERLINK("https://ceds.ed.gov/elementComment.aspx?elementName=Assessment Result Score Value &amp;elementID=13245", "Click here to submit comment")</f>
        <v>Click here to submit comment</v>
      </c>
    </row>
    <row r="3816" spans="1:17" ht="180" x14ac:dyDescent="0.25">
      <c r="A3816" s="9" t="s">
        <v>6892</v>
      </c>
      <c r="B3816" s="9" t="s">
        <v>6909</v>
      </c>
      <c r="C3816" s="9"/>
      <c r="D3816" s="9" t="s">
        <v>6742</v>
      </c>
      <c r="E3816" s="9" t="s">
        <v>1251</v>
      </c>
      <c r="F3816" s="9" t="s">
        <v>1252</v>
      </c>
      <c r="G3816" s="10" t="s">
        <v>6380</v>
      </c>
      <c r="H3816" s="9"/>
      <c r="I3816" s="9"/>
      <c r="J3816" s="9"/>
      <c r="K3816" s="9"/>
      <c r="L3816" s="9" t="s">
        <v>1254</v>
      </c>
      <c r="M3816" s="9" t="s">
        <v>1255</v>
      </c>
      <c r="N3816" s="9"/>
      <c r="O3816" s="9" t="s">
        <v>1256</v>
      </c>
      <c r="P3816" s="9" t="str">
        <f>HYPERLINK("https://ceds.ed.gov/cedselementdetails.aspx?termid=14518")</f>
        <v>https://ceds.ed.gov/cedselementdetails.aspx?termid=14518</v>
      </c>
      <c r="Q3816" s="9" t="str">
        <f>HYPERLINK("https://ceds.ed.gov/elementComment.aspx?elementName=Assessment Result Data Type &amp;elementID=14518", "Click here to submit comment")</f>
        <v>Click here to submit comment</v>
      </c>
    </row>
    <row r="3817" spans="1:17" ht="240" x14ac:dyDescent="0.25">
      <c r="A3817" s="9" t="s">
        <v>6892</v>
      </c>
      <c r="B3817" s="9" t="s">
        <v>6909</v>
      </c>
      <c r="C3817" s="9"/>
      <c r="D3817" s="9" t="s">
        <v>6742</v>
      </c>
      <c r="E3817" s="9" t="s">
        <v>1304</v>
      </c>
      <c r="F3817" s="9" t="s">
        <v>1305</v>
      </c>
      <c r="G3817" s="10" t="s">
        <v>6382</v>
      </c>
      <c r="H3817" s="9"/>
      <c r="I3817" s="9"/>
      <c r="J3817" s="9"/>
      <c r="K3817" s="9"/>
      <c r="L3817" s="9"/>
      <c r="M3817" s="9" t="s">
        <v>1306</v>
      </c>
      <c r="N3817" s="9"/>
      <c r="O3817" s="9" t="s">
        <v>1307</v>
      </c>
      <c r="P3817" s="9" t="str">
        <f>HYPERLINK("https://ceds.ed.gov/cedselementdetails.aspx?termid=14523")</f>
        <v>https://ceds.ed.gov/cedselementdetails.aspx?termid=14523</v>
      </c>
      <c r="Q3817" s="9" t="str">
        <f>HYPERLINK("https://ceds.ed.gov/elementComment.aspx?elementName=Assessment Result Score Type &amp;elementID=14523", "Click here to submit comment")</f>
        <v>Click here to submit comment</v>
      </c>
    </row>
    <row r="3818" spans="1:17" ht="60" x14ac:dyDescent="0.25">
      <c r="A3818" s="9" t="s">
        <v>6892</v>
      </c>
      <c r="B3818" s="9" t="s">
        <v>6909</v>
      </c>
      <c r="C3818" s="9"/>
      <c r="D3818" s="9" t="s">
        <v>6742</v>
      </c>
      <c r="E3818" s="9" t="s">
        <v>1299</v>
      </c>
      <c r="F3818" s="9" t="s">
        <v>1300</v>
      </c>
      <c r="G3818" s="9" t="s">
        <v>12</v>
      </c>
      <c r="H3818" s="9"/>
      <c r="I3818" s="9"/>
      <c r="J3818" s="9" t="s">
        <v>134</v>
      </c>
      <c r="K3818" s="9"/>
      <c r="L3818" s="9" t="s">
        <v>1301</v>
      </c>
      <c r="M3818" s="9" t="s">
        <v>1302</v>
      </c>
      <c r="N3818" s="9"/>
      <c r="O3818" s="9" t="s">
        <v>1303</v>
      </c>
      <c r="P3818" s="9" t="str">
        <f>HYPERLINK("https://ceds.ed.gov/cedselementdetails.aspx?termid=14522")</f>
        <v>https://ceds.ed.gov/cedselementdetails.aspx?termid=14522</v>
      </c>
      <c r="Q3818" s="9" t="str">
        <f>HYPERLINK("https://ceds.ed.gov/elementComment.aspx?elementName=Assessment Result Score Standard Error &amp;elementID=14522", "Click here to submit comment")</f>
        <v>Click here to submit comment</v>
      </c>
    </row>
    <row r="3819" spans="1:17" ht="120" x14ac:dyDescent="0.25">
      <c r="A3819" s="9" t="s">
        <v>6892</v>
      </c>
      <c r="B3819" s="9" t="s">
        <v>6909</v>
      </c>
      <c r="C3819" s="9"/>
      <c r="D3819" s="9" t="s">
        <v>6742</v>
      </c>
      <c r="E3819" s="9" t="s">
        <v>1287</v>
      </c>
      <c r="F3819" s="9" t="s">
        <v>1288</v>
      </c>
      <c r="G3819" s="9" t="s">
        <v>12</v>
      </c>
      <c r="H3819" s="9"/>
      <c r="I3819" s="9"/>
      <c r="J3819" s="9" t="s">
        <v>10489</v>
      </c>
      <c r="K3819" s="9"/>
      <c r="L3819" s="9"/>
      <c r="M3819" s="9" t="s">
        <v>1289</v>
      </c>
      <c r="N3819" s="9"/>
      <c r="O3819" s="9" t="s">
        <v>1290</v>
      </c>
      <c r="P3819" s="9" t="str">
        <f>HYPERLINK("https://ceds.ed.gov/cedselementdetails.aspx?termid=14012")</f>
        <v>https://ceds.ed.gov/cedselementdetails.aspx?termid=14012</v>
      </c>
      <c r="Q3819" s="9" t="str">
        <f>HYPERLINK("https://ceds.ed.gov/elementComment.aspx?elementName=Assessment Result Number of Responses &amp;elementID=14012", "Click here to submit comment")</f>
        <v>Click here to submit comment</v>
      </c>
    </row>
    <row r="3820" spans="1:17" ht="75" x14ac:dyDescent="0.25">
      <c r="A3820" s="9" t="s">
        <v>6892</v>
      </c>
      <c r="B3820" s="9" t="s">
        <v>6909</v>
      </c>
      <c r="C3820" s="9"/>
      <c r="D3820" s="9" t="s">
        <v>6742</v>
      </c>
      <c r="E3820" s="9" t="s">
        <v>1266</v>
      </c>
      <c r="F3820" s="9" t="s">
        <v>1267</v>
      </c>
      <c r="G3820" s="9" t="s">
        <v>12</v>
      </c>
      <c r="H3820" s="9" t="s">
        <v>795</v>
      </c>
      <c r="I3820" s="9"/>
      <c r="J3820" s="9" t="s">
        <v>68</v>
      </c>
      <c r="K3820" s="9"/>
      <c r="L3820" s="9"/>
      <c r="M3820" s="9" t="s">
        <v>1268</v>
      </c>
      <c r="N3820" s="9"/>
      <c r="O3820" s="9" t="s">
        <v>1269</v>
      </c>
      <c r="P3820" s="9" t="str">
        <f>HYPERLINK("https://ceds.ed.gov/cedselementdetails.aspx?termid=13890")</f>
        <v>https://ceds.ed.gov/cedselementdetails.aspx?termid=13890</v>
      </c>
      <c r="Q3820" s="9" t="str">
        <f>HYPERLINK("https://ceds.ed.gov/elementComment.aspx?elementName=Assessment Result Descriptive Feedback &amp;elementID=13890", "Click here to submit comment")</f>
        <v>Click here to submit comment</v>
      </c>
    </row>
    <row r="3821" spans="1:17" ht="120" x14ac:dyDescent="0.25">
      <c r="A3821" s="9" t="s">
        <v>6892</v>
      </c>
      <c r="B3821" s="9" t="s">
        <v>6909</v>
      </c>
      <c r="C3821" s="9"/>
      <c r="D3821" s="9" t="s">
        <v>6742</v>
      </c>
      <c r="E3821" s="9" t="s">
        <v>1274</v>
      </c>
      <c r="F3821" s="9" t="s">
        <v>1275</v>
      </c>
      <c r="G3821" s="9" t="s">
        <v>12</v>
      </c>
      <c r="H3821" s="9"/>
      <c r="I3821" s="9"/>
      <c r="J3821" s="9" t="s">
        <v>92</v>
      </c>
      <c r="K3821" s="9"/>
      <c r="L3821" s="9"/>
      <c r="M3821" s="9" t="s">
        <v>1276</v>
      </c>
      <c r="N3821" s="9"/>
      <c r="O3821" s="9" t="s">
        <v>1277</v>
      </c>
      <c r="P3821" s="9" t="str">
        <f>HYPERLINK("https://ceds.ed.gov/cedselementdetails.aspx?termid=14076")</f>
        <v>https://ceds.ed.gov/cedselementdetails.aspx?termid=14076</v>
      </c>
      <c r="Q3821" s="9" t="str">
        <f>HYPERLINK("https://ceds.ed.gov/elementComment.aspx?elementName=Assessment Result Descriptive Feedback Source &amp;elementID=14076", "Click here to submit comment")</f>
        <v>Click here to submit comment</v>
      </c>
    </row>
    <row r="3822" spans="1:17" ht="60" x14ac:dyDescent="0.25">
      <c r="A3822" s="9" t="s">
        <v>6892</v>
      </c>
      <c r="B3822" s="9" t="s">
        <v>6909</v>
      </c>
      <c r="C3822" s="9"/>
      <c r="D3822" s="9" t="s">
        <v>6742</v>
      </c>
      <c r="E3822" s="9" t="s">
        <v>1270</v>
      </c>
      <c r="F3822" s="9" t="s">
        <v>1271</v>
      </c>
      <c r="G3822" s="9" t="s">
        <v>12</v>
      </c>
      <c r="H3822" s="9"/>
      <c r="I3822" s="9"/>
      <c r="J3822" s="9" t="s">
        <v>828</v>
      </c>
      <c r="K3822" s="9"/>
      <c r="L3822" s="9"/>
      <c r="M3822" s="9" t="s">
        <v>1272</v>
      </c>
      <c r="N3822" s="9"/>
      <c r="O3822" s="9" t="s">
        <v>1273</v>
      </c>
      <c r="P3822" s="9" t="str">
        <f>HYPERLINK("https://ceds.ed.gov/cedselementdetails.aspx?termid=14520")</f>
        <v>https://ceds.ed.gov/cedselementdetails.aspx?termid=14520</v>
      </c>
      <c r="Q3822" s="9" t="str">
        <f>HYPERLINK("https://ceds.ed.gov/elementComment.aspx?elementName=Assessment Result Descriptive Feedback Date Time &amp;elementID=14520", "Click here to submit comment")</f>
        <v>Click here to submit comment</v>
      </c>
    </row>
    <row r="3823" spans="1:17" ht="409.5" x14ac:dyDescent="0.25">
      <c r="A3823" s="9" t="s">
        <v>6892</v>
      </c>
      <c r="B3823" s="9" t="s">
        <v>6909</v>
      </c>
      <c r="C3823" s="9"/>
      <c r="D3823" s="9" t="s">
        <v>6742</v>
      </c>
      <c r="E3823" s="9" t="s">
        <v>1318</v>
      </c>
      <c r="F3823" s="9" t="s">
        <v>1319</v>
      </c>
      <c r="G3823" s="10" t="s">
        <v>6374</v>
      </c>
      <c r="H3823" s="9" t="s">
        <v>6145</v>
      </c>
      <c r="I3823" s="9"/>
      <c r="J3823" s="9"/>
      <c r="K3823" s="9"/>
      <c r="L3823" s="9"/>
      <c r="M3823" s="9" t="s">
        <v>1320</v>
      </c>
      <c r="N3823" s="9"/>
      <c r="O3823" s="9" t="s">
        <v>1321</v>
      </c>
      <c r="P3823" s="9" t="str">
        <f>HYPERLINK("https://ceds.ed.gov/cedselementdetails.aspx?termid=13368")</f>
        <v>https://ceds.ed.gov/cedselementdetails.aspx?termid=13368</v>
      </c>
      <c r="Q3823" s="9" t="str">
        <f>HYPERLINK("https://ceds.ed.gov/elementComment.aspx?elementName=Assessment Score Metric Type &amp;elementID=13368", "Click here to submit comment")</f>
        <v>Click here to submit comment</v>
      </c>
    </row>
    <row r="3824" spans="1:17" ht="135" x14ac:dyDescent="0.25">
      <c r="A3824" s="9" t="s">
        <v>6892</v>
      </c>
      <c r="B3824" s="9" t="s">
        <v>6909</v>
      </c>
      <c r="C3824" s="9"/>
      <c r="D3824" s="9" t="s">
        <v>6742</v>
      </c>
      <c r="E3824" s="9" t="s">
        <v>1261</v>
      </c>
      <c r="F3824" s="9" t="s">
        <v>1262</v>
      </c>
      <c r="G3824" s="9" t="s">
        <v>12</v>
      </c>
      <c r="H3824" s="9"/>
      <c r="I3824" s="9"/>
      <c r="J3824" s="9" t="s">
        <v>73</v>
      </c>
      <c r="K3824" s="9"/>
      <c r="L3824" s="9" t="s">
        <v>1263</v>
      </c>
      <c r="M3824" s="9" t="s">
        <v>1264</v>
      </c>
      <c r="N3824" s="9"/>
      <c r="O3824" s="9" t="s">
        <v>1265</v>
      </c>
      <c r="P3824" s="9" t="str">
        <f>HYPERLINK("https://ceds.ed.gov/cedselementdetails.aspx?termid=13971")</f>
        <v>https://ceds.ed.gov/cedselementdetails.aspx?termid=13971</v>
      </c>
      <c r="Q3824" s="9" t="str">
        <f>HYPERLINK("https://ceds.ed.gov/elementComment.aspx?elementName=Assessment Result Date Updated &amp;elementID=13971", "Click here to submit comment")</f>
        <v>Click here to submit comment</v>
      </c>
    </row>
    <row r="3825" spans="1:17" ht="45" x14ac:dyDescent="0.25">
      <c r="A3825" s="9" t="s">
        <v>6892</v>
      </c>
      <c r="B3825" s="9" t="s">
        <v>6909</v>
      </c>
      <c r="C3825" s="9"/>
      <c r="D3825" s="9" t="s">
        <v>6742</v>
      </c>
      <c r="E3825" s="9" t="s">
        <v>1257</v>
      </c>
      <c r="F3825" s="9" t="s">
        <v>1258</v>
      </c>
      <c r="G3825" s="9" t="s">
        <v>12</v>
      </c>
      <c r="H3825" s="9"/>
      <c r="I3825" s="9"/>
      <c r="J3825" s="9" t="s">
        <v>73</v>
      </c>
      <c r="K3825" s="9"/>
      <c r="L3825" s="9"/>
      <c r="M3825" s="9" t="s">
        <v>1259</v>
      </c>
      <c r="N3825" s="9"/>
      <c r="O3825" s="9" t="s">
        <v>1260</v>
      </c>
      <c r="P3825" s="9" t="str">
        <f>HYPERLINK("https://ceds.ed.gov/cedselementdetails.aspx?termid=13972")</f>
        <v>https://ceds.ed.gov/cedselementdetails.aspx?termid=13972</v>
      </c>
      <c r="Q3825" s="9" t="str">
        <f>HYPERLINK("https://ceds.ed.gov/elementComment.aspx?elementName=Assessment Result Date Created &amp;elementID=13972", "Click here to submit comment")</f>
        <v>Click here to submit comment</v>
      </c>
    </row>
    <row r="3826" spans="1:17" ht="120" x14ac:dyDescent="0.25">
      <c r="A3826" s="9" t="s">
        <v>6892</v>
      </c>
      <c r="B3826" s="9" t="s">
        <v>6909</v>
      </c>
      <c r="C3826" s="9"/>
      <c r="D3826" s="9" t="s">
        <v>6742</v>
      </c>
      <c r="E3826" s="9" t="s">
        <v>1278</v>
      </c>
      <c r="F3826" s="9" t="s">
        <v>1279</v>
      </c>
      <c r="G3826" s="9" t="s">
        <v>12</v>
      </c>
      <c r="H3826" s="9"/>
      <c r="I3826" s="9"/>
      <c r="J3826" s="9" t="s">
        <v>303</v>
      </c>
      <c r="K3826" s="9"/>
      <c r="L3826" s="9"/>
      <c r="M3826" s="9" t="s">
        <v>1280</v>
      </c>
      <c r="N3826" s="9"/>
      <c r="O3826" s="9" t="s">
        <v>1281</v>
      </c>
      <c r="P3826" s="9" t="str">
        <f>HYPERLINK("https://ceds.ed.gov/cedselementdetails.aspx?termid=14185")</f>
        <v>https://ceds.ed.gov/cedselementdetails.aspx?termid=14185</v>
      </c>
      <c r="Q3826" s="9" t="str">
        <f>HYPERLINK("https://ceds.ed.gov/elementComment.aspx?elementName=Assessment Result Diagnostic Statement &amp;elementID=14185", "Click here to submit comment")</f>
        <v>Click here to submit comment</v>
      </c>
    </row>
    <row r="3827" spans="1:17" ht="60" x14ac:dyDescent="0.25">
      <c r="A3827" s="9" t="s">
        <v>6892</v>
      </c>
      <c r="B3827" s="9" t="s">
        <v>6909</v>
      </c>
      <c r="C3827" s="9"/>
      <c r="D3827" s="9" t="s">
        <v>6742</v>
      </c>
      <c r="E3827" s="9" t="s">
        <v>1295</v>
      </c>
      <c r="F3827" s="9" t="s">
        <v>1296</v>
      </c>
      <c r="G3827" s="10" t="s">
        <v>6381</v>
      </c>
      <c r="H3827" s="9" t="s">
        <v>6142</v>
      </c>
      <c r="I3827" s="9"/>
      <c r="J3827" s="9"/>
      <c r="K3827" s="9"/>
      <c r="L3827" s="9"/>
      <c r="M3827" s="9" t="s">
        <v>1297</v>
      </c>
      <c r="N3827" s="9"/>
      <c r="O3827" s="9" t="s">
        <v>1298</v>
      </c>
      <c r="P3827" s="9" t="str">
        <f>HYPERLINK("https://ceds.ed.gov/cedselementdetails.aspx?termid=13564")</f>
        <v>https://ceds.ed.gov/cedselementdetails.aspx?termid=13564</v>
      </c>
      <c r="Q3827" s="9" t="str">
        <f>HYPERLINK("https://ceds.ed.gov/elementComment.aspx?elementName=Assessment Result Pretest Outcome &amp;elementID=13564", "Click here to submit comment")</f>
        <v>Click here to submit comment</v>
      </c>
    </row>
    <row r="3828" spans="1:17" ht="60" x14ac:dyDescent="0.25">
      <c r="A3828" s="9" t="s">
        <v>6892</v>
      </c>
      <c r="B3828" s="9" t="s">
        <v>6909</v>
      </c>
      <c r="C3828" s="9"/>
      <c r="D3828" s="9" t="s">
        <v>6742</v>
      </c>
      <c r="E3828" s="9" t="s">
        <v>2259</v>
      </c>
      <c r="F3828" s="9" t="s">
        <v>2260</v>
      </c>
      <c r="G3828" s="9" t="s">
        <v>12</v>
      </c>
      <c r="H3828" s="9"/>
      <c r="I3828" s="9"/>
      <c r="J3828" s="9" t="s">
        <v>68</v>
      </c>
      <c r="K3828" s="9"/>
      <c r="L3828" s="9"/>
      <c r="M3828" s="9" t="s">
        <v>2261</v>
      </c>
      <c r="N3828" s="9"/>
      <c r="O3828" s="9" t="s">
        <v>2262</v>
      </c>
      <c r="P3828" s="9" t="str">
        <f>HYPERLINK("https://ceds.ed.gov/cedselementdetails.aspx?termid=14011")</f>
        <v>https://ceds.ed.gov/cedselementdetails.aspx?termid=14011</v>
      </c>
      <c r="Q3828" s="9" t="str">
        <f>HYPERLINK("https://ceds.ed.gov/elementComment.aspx?elementName=Diagnostic Statement Source &amp;elementID=14011", "Click here to submit comment")</f>
        <v>Click here to submit comment</v>
      </c>
    </row>
    <row r="3829" spans="1:17" ht="60" x14ac:dyDescent="0.25">
      <c r="A3829" s="9" t="s">
        <v>6892</v>
      </c>
      <c r="B3829" s="9" t="s">
        <v>6909</v>
      </c>
      <c r="C3829" s="9"/>
      <c r="D3829" s="9" t="s">
        <v>6742</v>
      </c>
      <c r="E3829" s="9" t="s">
        <v>3479</v>
      </c>
      <c r="F3829" s="9" t="s">
        <v>3480</v>
      </c>
      <c r="G3829" s="9" t="s">
        <v>12</v>
      </c>
      <c r="H3829" s="9" t="s">
        <v>6135</v>
      </c>
      <c r="I3829" s="9"/>
      <c r="J3829" s="9" t="s">
        <v>762</v>
      </c>
      <c r="K3829" s="9"/>
      <c r="L3829" s="9"/>
      <c r="M3829" s="9" t="s">
        <v>3481</v>
      </c>
      <c r="N3829" s="9"/>
      <c r="O3829" s="9" t="s">
        <v>3482</v>
      </c>
      <c r="P3829" s="9" t="str">
        <f>HYPERLINK("https://ceds.ed.gov/cedselementdetails.aspx?termid=13369")</f>
        <v>https://ceds.ed.gov/cedselementdetails.aspx?termid=13369</v>
      </c>
      <c r="Q3829" s="9" t="str">
        <f>HYPERLINK("https://ceds.ed.gov/elementComment.aspx?elementName=Instructional Recommendation &amp;elementID=13369", "Click here to submit comment")</f>
        <v>Click here to submit comment</v>
      </c>
    </row>
    <row r="3830" spans="1:17" ht="195" x14ac:dyDescent="0.25">
      <c r="A3830" s="9" t="s">
        <v>6892</v>
      </c>
      <c r="B3830" s="9" t="s">
        <v>6909</v>
      </c>
      <c r="C3830" s="9" t="s">
        <v>6910</v>
      </c>
      <c r="D3830" s="9" t="s">
        <v>6742</v>
      </c>
      <c r="E3830" s="9" t="s">
        <v>2935</v>
      </c>
      <c r="F3830" s="9" t="s">
        <v>2936</v>
      </c>
      <c r="G3830" s="9" t="s">
        <v>12</v>
      </c>
      <c r="H3830" s="9" t="s">
        <v>6211</v>
      </c>
      <c r="I3830" s="9"/>
      <c r="J3830" s="9" t="s">
        <v>1310</v>
      </c>
      <c r="K3830" s="9"/>
      <c r="L3830" s="9" t="s">
        <v>2937</v>
      </c>
      <c r="M3830" s="9" t="s">
        <v>2938</v>
      </c>
      <c r="N3830" s="9"/>
      <c r="O3830" s="9" t="s">
        <v>2939</v>
      </c>
      <c r="P3830" s="9" t="str">
        <f>HYPERLINK("https://ceds.ed.gov/cedselementdetails.aspx?termid=13115")</f>
        <v>https://ceds.ed.gov/cedselementdetails.aspx?termid=13115</v>
      </c>
      <c r="Q3830" s="9" t="str">
        <f>HYPERLINK("https://ceds.ed.gov/elementComment.aspx?elementName=First Name &amp;elementID=13115", "Click here to submit comment")</f>
        <v>Click here to submit comment</v>
      </c>
    </row>
    <row r="3831" spans="1:17" ht="90" customHeight="1" x14ac:dyDescent="0.25">
      <c r="A3831" s="18" t="s">
        <v>6892</v>
      </c>
      <c r="B3831" s="18" t="s">
        <v>6909</v>
      </c>
      <c r="C3831" s="18" t="s">
        <v>6910</v>
      </c>
      <c r="D3831" s="18" t="s">
        <v>6742</v>
      </c>
      <c r="E3831" s="18" t="s">
        <v>3597</v>
      </c>
      <c r="F3831" s="18" t="s">
        <v>3598</v>
      </c>
      <c r="G3831" s="18" t="s">
        <v>12</v>
      </c>
      <c r="H3831" s="18" t="s">
        <v>6211</v>
      </c>
      <c r="I3831" s="18"/>
      <c r="J3831" s="18" t="s">
        <v>1310</v>
      </c>
      <c r="K3831" s="18"/>
      <c r="L3831" s="9" t="s">
        <v>2996</v>
      </c>
      <c r="M3831" s="18" t="s">
        <v>3599</v>
      </c>
      <c r="N3831" s="18" t="s">
        <v>3600</v>
      </c>
      <c r="O3831" s="18" t="s">
        <v>3601</v>
      </c>
      <c r="P3831" s="18" t="str">
        <f>HYPERLINK("https://ceds.ed.gov/cedselementdetails.aspx?termid=13172")</f>
        <v>https://ceds.ed.gov/cedselementdetails.aspx?termid=13172</v>
      </c>
      <c r="Q3831" s="18" t="str">
        <f>HYPERLINK("https://ceds.ed.gov/elementComment.aspx?elementName=Last or Surname &amp;elementID=13172", "Click here to submit comment")</f>
        <v>Click here to submit comment</v>
      </c>
    </row>
    <row r="3832" spans="1:17" ht="90" x14ac:dyDescent="0.25">
      <c r="A3832" s="18"/>
      <c r="B3832" s="18"/>
      <c r="C3832" s="18"/>
      <c r="D3832" s="18"/>
      <c r="E3832" s="18"/>
      <c r="F3832" s="18"/>
      <c r="G3832" s="18"/>
      <c r="H3832" s="18"/>
      <c r="I3832" s="18"/>
      <c r="J3832" s="18"/>
      <c r="K3832" s="18"/>
      <c r="L3832" s="9" t="s">
        <v>2997</v>
      </c>
      <c r="M3832" s="18"/>
      <c r="N3832" s="18"/>
      <c r="O3832" s="18"/>
      <c r="P3832" s="18"/>
      <c r="Q3832" s="18"/>
    </row>
    <row r="3833" spans="1:17" ht="105" x14ac:dyDescent="0.25">
      <c r="A3833" s="18" t="s">
        <v>6892</v>
      </c>
      <c r="B3833" s="18" t="s">
        <v>6909</v>
      </c>
      <c r="C3833" s="18" t="s">
        <v>6910</v>
      </c>
      <c r="D3833" s="18" t="s">
        <v>6742</v>
      </c>
      <c r="E3833" s="18" t="s">
        <v>4587</v>
      </c>
      <c r="F3833" s="18" t="s">
        <v>4588</v>
      </c>
      <c r="G3833" s="18" t="s">
        <v>12</v>
      </c>
      <c r="H3833" s="18"/>
      <c r="I3833" s="18"/>
      <c r="J3833" s="18" t="s">
        <v>119</v>
      </c>
      <c r="K3833" s="18"/>
      <c r="L3833" s="9" t="s">
        <v>120</v>
      </c>
      <c r="M3833" s="18" t="s">
        <v>4589</v>
      </c>
      <c r="N3833" s="18"/>
      <c r="O3833" s="18" t="s">
        <v>4590</v>
      </c>
      <c r="P3833" s="18" t="str">
        <f>HYPERLINK("https://ceds.ed.gov/cedselementdetails.aspx?termid=14551")</f>
        <v>https://ceds.ed.gov/cedselementdetails.aspx?termid=14551</v>
      </c>
      <c r="Q3833" s="18" t="str">
        <f>HYPERLINK("https://ceds.ed.gov/elementComment.aspx?elementName=Person Identifier &amp;elementID=14551", "Click here to submit comment")</f>
        <v>Click here to submit comment</v>
      </c>
    </row>
    <row r="3834" spans="1:17" x14ac:dyDescent="0.25">
      <c r="A3834" s="18"/>
      <c r="B3834" s="18"/>
      <c r="C3834" s="18"/>
      <c r="D3834" s="18"/>
      <c r="E3834" s="18"/>
      <c r="F3834" s="18"/>
      <c r="G3834" s="18"/>
      <c r="H3834" s="18"/>
      <c r="I3834" s="18"/>
      <c r="J3834" s="18"/>
      <c r="K3834" s="18"/>
      <c r="L3834" s="9"/>
      <c r="M3834" s="18"/>
      <c r="N3834" s="18"/>
      <c r="O3834" s="18"/>
      <c r="P3834" s="18"/>
      <c r="Q3834" s="18"/>
    </row>
    <row r="3835" spans="1:17" ht="90" x14ac:dyDescent="0.25">
      <c r="A3835" s="18"/>
      <c r="B3835" s="18"/>
      <c r="C3835" s="18"/>
      <c r="D3835" s="18"/>
      <c r="E3835" s="18"/>
      <c r="F3835" s="18"/>
      <c r="G3835" s="18"/>
      <c r="H3835" s="18"/>
      <c r="I3835" s="18"/>
      <c r="J3835" s="18"/>
      <c r="K3835" s="18"/>
      <c r="L3835" s="9" t="s">
        <v>121</v>
      </c>
      <c r="M3835" s="18"/>
      <c r="N3835" s="18"/>
      <c r="O3835" s="18"/>
      <c r="P3835" s="18"/>
      <c r="Q3835" s="18"/>
    </row>
    <row r="3836" spans="1:17" ht="375" x14ac:dyDescent="0.25">
      <c r="A3836" s="9" t="s">
        <v>6892</v>
      </c>
      <c r="B3836" s="9" t="s">
        <v>6909</v>
      </c>
      <c r="C3836" s="9" t="s">
        <v>6910</v>
      </c>
      <c r="D3836" s="9" t="s">
        <v>6742</v>
      </c>
      <c r="E3836" s="9" t="s">
        <v>4583</v>
      </c>
      <c r="F3836" s="9" t="s">
        <v>4584</v>
      </c>
      <c r="G3836" s="10" t="s">
        <v>6635</v>
      </c>
      <c r="H3836" s="9"/>
      <c r="I3836" s="9"/>
      <c r="J3836" s="9"/>
      <c r="K3836" s="9"/>
      <c r="L3836" s="9"/>
      <c r="M3836" s="9" t="s">
        <v>4585</v>
      </c>
      <c r="N3836" s="9"/>
      <c r="O3836" s="9" t="s">
        <v>4586</v>
      </c>
      <c r="P3836" s="9" t="str">
        <f>HYPERLINK("https://ceds.ed.gov/cedselementdetails.aspx?termid=14550")</f>
        <v>https://ceds.ed.gov/cedselementdetails.aspx?termid=14550</v>
      </c>
      <c r="Q3836" s="9" t="str">
        <f>HYPERLINK("https://ceds.ed.gov/elementComment.aspx?elementName=Person Identification System &amp;elementID=14550", "Click here to submit comment")</f>
        <v>Click here to submit comment</v>
      </c>
    </row>
    <row r="3837" spans="1:17" ht="105" x14ac:dyDescent="0.25">
      <c r="A3837" s="18" t="s">
        <v>6892</v>
      </c>
      <c r="B3837" s="18" t="s">
        <v>6909</v>
      </c>
      <c r="C3837" s="18" t="s">
        <v>6923</v>
      </c>
      <c r="D3837" s="18" t="s">
        <v>6742</v>
      </c>
      <c r="E3837" s="18" t="s">
        <v>1159</v>
      </c>
      <c r="F3837" s="18" t="s">
        <v>1160</v>
      </c>
      <c r="G3837" s="18" t="s">
        <v>12</v>
      </c>
      <c r="H3837" s="18" t="s">
        <v>795</v>
      </c>
      <c r="I3837" s="18"/>
      <c r="J3837" s="18" t="s">
        <v>119</v>
      </c>
      <c r="K3837" s="18"/>
      <c r="L3837" s="9" t="s">
        <v>120</v>
      </c>
      <c r="M3837" s="18" t="s">
        <v>1161</v>
      </c>
      <c r="N3837" s="18"/>
      <c r="O3837" s="18" t="s">
        <v>1162</v>
      </c>
      <c r="P3837" s="18" t="str">
        <f>HYPERLINK("https://ceds.ed.gov/cedselementdetails.aspx?termid=13693")</f>
        <v>https://ceds.ed.gov/cedselementdetails.aspx?termid=13693</v>
      </c>
      <c r="Q3837" s="18" t="str">
        <f>HYPERLINK("https://ceds.ed.gov/elementComment.aspx?elementName=Assessment Performance Level Identifier &amp;elementID=13693", "Click here to submit comment")</f>
        <v>Click here to submit comment</v>
      </c>
    </row>
    <row r="3838" spans="1:17" x14ac:dyDescent="0.25">
      <c r="A3838" s="18"/>
      <c r="B3838" s="18"/>
      <c r="C3838" s="18"/>
      <c r="D3838" s="18"/>
      <c r="E3838" s="18"/>
      <c r="F3838" s="18"/>
      <c r="G3838" s="18"/>
      <c r="H3838" s="18"/>
      <c r="I3838" s="18"/>
      <c r="J3838" s="18"/>
      <c r="K3838" s="18"/>
      <c r="L3838" s="9"/>
      <c r="M3838" s="18"/>
      <c r="N3838" s="18"/>
      <c r="O3838" s="18"/>
      <c r="P3838" s="18"/>
      <c r="Q3838" s="18"/>
    </row>
    <row r="3839" spans="1:17" ht="90" x14ac:dyDescent="0.25">
      <c r="A3839" s="18"/>
      <c r="B3839" s="18"/>
      <c r="C3839" s="18"/>
      <c r="D3839" s="18"/>
      <c r="E3839" s="18"/>
      <c r="F3839" s="18"/>
      <c r="G3839" s="18"/>
      <c r="H3839" s="18"/>
      <c r="I3839" s="18"/>
      <c r="J3839" s="18"/>
      <c r="K3839" s="18"/>
      <c r="L3839" s="9" t="s">
        <v>121</v>
      </c>
      <c r="M3839" s="18"/>
      <c r="N3839" s="18"/>
      <c r="O3839" s="18"/>
      <c r="P3839" s="18"/>
      <c r="Q3839" s="18"/>
    </row>
    <row r="3840" spans="1:17" ht="45" x14ac:dyDescent="0.25">
      <c r="A3840" s="9" t="s">
        <v>6892</v>
      </c>
      <c r="B3840" s="9" t="s">
        <v>6909</v>
      </c>
      <c r="C3840" s="9" t="s">
        <v>6923</v>
      </c>
      <c r="D3840" s="9" t="s">
        <v>6742</v>
      </c>
      <c r="E3840" s="9" t="s">
        <v>1163</v>
      </c>
      <c r="F3840" s="9" t="s">
        <v>1164</v>
      </c>
      <c r="G3840" s="9" t="s">
        <v>12</v>
      </c>
      <c r="H3840" s="9" t="s">
        <v>795</v>
      </c>
      <c r="I3840" s="9"/>
      <c r="J3840" s="9" t="s">
        <v>1165</v>
      </c>
      <c r="K3840" s="9"/>
      <c r="L3840" s="9"/>
      <c r="M3840" s="9" t="s">
        <v>1166</v>
      </c>
      <c r="N3840" s="9"/>
      <c r="O3840" s="9" t="s">
        <v>1167</v>
      </c>
      <c r="P3840" s="9" t="str">
        <f>HYPERLINK("https://ceds.ed.gov/cedselementdetails.aspx?termid=13694")</f>
        <v>https://ceds.ed.gov/cedselementdetails.aspx?termid=13694</v>
      </c>
      <c r="Q3840" s="9" t="str">
        <f>HYPERLINK("https://ceds.ed.gov/elementComment.aspx?elementName=Assessment Performance Level Label &amp;elementID=13694", "Click here to submit comment")</f>
        <v>Click here to submit comment</v>
      </c>
    </row>
    <row r="3841" spans="1:17" ht="45" x14ac:dyDescent="0.25">
      <c r="A3841" s="9" t="s">
        <v>6892</v>
      </c>
      <c r="B3841" s="9" t="s">
        <v>6909</v>
      </c>
      <c r="C3841" s="9" t="s">
        <v>6923</v>
      </c>
      <c r="D3841" s="9" t="s">
        <v>6742</v>
      </c>
      <c r="E3841" s="9" t="s">
        <v>1168</v>
      </c>
      <c r="F3841" s="9" t="s">
        <v>1169</v>
      </c>
      <c r="G3841" s="9" t="s">
        <v>12</v>
      </c>
      <c r="H3841" s="9" t="s">
        <v>6127</v>
      </c>
      <c r="I3841" s="9"/>
      <c r="J3841" s="9" t="s">
        <v>87</v>
      </c>
      <c r="K3841" s="9"/>
      <c r="L3841" s="9"/>
      <c r="M3841" s="9" t="s">
        <v>1170</v>
      </c>
      <c r="N3841" s="9"/>
      <c r="O3841" s="9" t="s">
        <v>1171</v>
      </c>
      <c r="P3841" s="9" t="str">
        <f>HYPERLINK("https://ceds.ed.gov/cedselementdetails.aspx?termid=13408")</f>
        <v>https://ceds.ed.gov/cedselementdetails.aspx?termid=13408</v>
      </c>
      <c r="Q3841" s="9" t="str">
        <f>HYPERLINK("https://ceds.ed.gov/elementComment.aspx?elementName=Assessment Performance Level Lower Cut Score &amp;elementID=13408", "Click here to submit comment")</f>
        <v>Click here to submit comment</v>
      </c>
    </row>
    <row r="3842" spans="1:17" ht="45" x14ac:dyDescent="0.25">
      <c r="A3842" s="9" t="s">
        <v>6892</v>
      </c>
      <c r="B3842" s="9" t="s">
        <v>6909</v>
      </c>
      <c r="C3842" s="9" t="s">
        <v>6923</v>
      </c>
      <c r="D3842" s="9" t="s">
        <v>6742</v>
      </c>
      <c r="E3842" s="9" t="s">
        <v>1176</v>
      </c>
      <c r="F3842" s="9" t="s">
        <v>1177</v>
      </c>
      <c r="G3842" s="9" t="s">
        <v>12</v>
      </c>
      <c r="H3842" s="9" t="s">
        <v>6127</v>
      </c>
      <c r="I3842" s="9"/>
      <c r="J3842" s="9" t="s">
        <v>87</v>
      </c>
      <c r="K3842" s="9"/>
      <c r="L3842" s="9"/>
      <c r="M3842" s="9" t="s">
        <v>1178</v>
      </c>
      <c r="N3842" s="9"/>
      <c r="O3842" s="9" t="s">
        <v>1179</v>
      </c>
      <c r="P3842" s="9" t="str">
        <f>HYPERLINK("https://ceds.ed.gov/cedselementdetails.aspx?termid=13409")</f>
        <v>https://ceds.ed.gov/cedselementdetails.aspx?termid=13409</v>
      </c>
      <c r="Q3842" s="9" t="str">
        <f>HYPERLINK("https://ceds.ed.gov/elementComment.aspx?elementName=Assessment Performance Level Upper Cut Score &amp;elementID=13409", "Click here to submit comment")</f>
        <v>Click here to submit comment</v>
      </c>
    </row>
    <row r="3843" spans="1:17" ht="409.5" x14ac:dyDescent="0.25">
      <c r="A3843" s="9" t="s">
        <v>6892</v>
      </c>
      <c r="B3843" s="9" t="s">
        <v>6909</v>
      </c>
      <c r="C3843" s="9" t="s">
        <v>6923</v>
      </c>
      <c r="D3843" s="9" t="s">
        <v>6742</v>
      </c>
      <c r="E3843" s="9" t="s">
        <v>1172</v>
      </c>
      <c r="F3843" s="9" t="s">
        <v>1173</v>
      </c>
      <c r="G3843" s="10" t="s">
        <v>6374</v>
      </c>
      <c r="H3843" s="9" t="s">
        <v>6127</v>
      </c>
      <c r="I3843" s="9"/>
      <c r="J3843" s="9" t="s">
        <v>87</v>
      </c>
      <c r="K3843" s="9"/>
      <c r="L3843" s="9"/>
      <c r="M3843" s="9" t="s">
        <v>1174</v>
      </c>
      <c r="N3843" s="9"/>
      <c r="O3843" s="9" t="s">
        <v>1175</v>
      </c>
      <c r="P3843" s="9" t="str">
        <f>HYPERLINK("https://ceds.ed.gov/cedselementdetails.aspx?termid=13407")</f>
        <v>https://ceds.ed.gov/cedselementdetails.aspx?termid=13407</v>
      </c>
      <c r="Q3843" s="9" t="str">
        <f>HYPERLINK("https://ceds.ed.gov/elementComment.aspx?elementName=Assessment Performance Level Score Metric &amp;elementID=13407", "Click here to submit comment")</f>
        <v>Click here to submit comment</v>
      </c>
    </row>
    <row r="3844" spans="1:17" ht="45" x14ac:dyDescent="0.25">
      <c r="A3844" s="9" t="s">
        <v>6892</v>
      </c>
      <c r="B3844" s="9" t="s">
        <v>6909</v>
      </c>
      <c r="C3844" s="9" t="s">
        <v>6923</v>
      </c>
      <c r="D3844" s="9" t="s">
        <v>6742</v>
      </c>
      <c r="E3844" s="9" t="s">
        <v>1155</v>
      </c>
      <c r="F3844" s="9" t="s">
        <v>1156</v>
      </c>
      <c r="G3844" s="9" t="s">
        <v>12</v>
      </c>
      <c r="H3844" s="9"/>
      <c r="I3844" s="9"/>
      <c r="J3844" s="9" t="s">
        <v>303</v>
      </c>
      <c r="K3844" s="9"/>
      <c r="L3844" s="9"/>
      <c r="M3844" s="9" t="s">
        <v>1157</v>
      </c>
      <c r="N3844" s="9"/>
      <c r="O3844" s="9" t="s">
        <v>1158</v>
      </c>
      <c r="P3844" s="9" t="str">
        <f>HYPERLINK("https://ceds.ed.gov/cedselementdetails.aspx?termid=14184")</f>
        <v>https://ceds.ed.gov/cedselementdetails.aspx?termid=14184</v>
      </c>
      <c r="Q3844" s="9" t="str">
        <f>HYPERLINK("https://ceds.ed.gov/elementComment.aspx?elementName=Assessment Performance Level Descriptive Feedback &amp;elementID=14184", "Click here to submit comment")</f>
        <v>Click here to submit comment</v>
      </c>
    </row>
    <row r="3845" spans="1:17" ht="75" x14ac:dyDescent="0.25">
      <c r="A3845" s="9" t="s">
        <v>6892</v>
      </c>
      <c r="B3845" s="9" t="s">
        <v>6911</v>
      </c>
      <c r="C3845" s="9"/>
      <c r="D3845" s="9" t="s">
        <v>6742</v>
      </c>
      <c r="E3845" s="9" t="s">
        <v>1246</v>
      </c>
      <c r="F3845" s="9" t="s">
        <v>1247</v>
      </c>
      <c r="G3845" s="9" t="s">
        <v>12</v>
      </c>
      <c r="H3845" s="9"/>
      <c r="I3845" s="9"/>
      <c r="J3845" s="9" t="s">
        <v>68</v>
      </c>
      <c r="K3845" s="9"/>
      <c r="L3845" s="9" t="s">
        <v>1248</v>
      </c>
      <c r="M3845" s="9" t="s">
        <v>1249</v>
      </c>
      <c r="N3845" s="9"/>
      <c r="O3845" s="9" t="s">
        <v>1250</v>
      </c>
      <c r="P3845" s="9" t="str">
        <f>HYPERLINK("https://ceds.ed.gov/cedselementdetails.aspx?termid=14061")</f>
        <v>https://ceds.ed.gov/cedselementdetails.aspx?termid=14061</v>
      </c>
      <c r="Q3845" s="9" t="str">
        <f>HYPERLINK("https://ceds.ed.gov/elementComment.aspx?elementName=Assessment Registration Testing Indicator &amp;elementID=14061", "Click here to submit comment")</f>
        <v>Click here to submit comment</v>
      </c>
    </row>
    <row r="3846" spans="1:17" ht="165" x14ac:dyDescent="0.25">
      <c r="A3846" s="9" t="s">
        <v>6892</v>
      </c>
      <c r="B3846" s="9" t="s">
        <v>6911</v>
      </c>
      <c r="C3846" s="9"/>
      <c r="D3846" s="9" t="s">
        <v>6742</v>
      </c>
      <c r="E3846" s="9" t="s">
        <v>600</v>
      </c>
      <c r="F3846" s="9" t="s">
        <v>601</v>
      </c>
      <c r="G3846" s="10" t="s">
        <v>6349</v>
      </c>
      <c r="H3846" s="9" t="s">
        <v>6133</v>
      </c>
      <c r="I3846" s="9"/>
      <c r="J3846" s="9"/>
      <c r="K3846" s="9"/>
      <c r="L3846" s="9"/>
      <c r="M3846" s="9" t="s">
        <v>602</v>
      </c>
      <c r="N3846" s="9"/>
      <c r="O3846" s="9" t="s">
        <v>603</v>
      </c>
      <c r="P3846" s="9" t="str">
        <f>HYPERLINK("https://ceds.ed.gov/cedselementdetails.aspx?termid=13158")</f>
        <v>https://ceds.ed.gov/cedselementdetails.aspx?termid=13158</v>
      </c>
      <c r="Q3846" s="9" t="str">
        <f>HYPERLINK("https://ceds.ed.gov/elementComment.aspx?elementName=Assessment Identification System &amp;elementID=13158", "Click here to submit comment")</f>
        <v>Click here to submit comment</v>
      </c>
    </row>
    <row r="3847" spans="1:17" ht="45" x14ac:dyDescent="0.25">
      <c r="A3847" s="9" t="s">
        <v>6892</v>
      </c>
      <c r="B3847" s="9" t="s">
        <v>6911</v>
      </c>
      <c r="C3847" s="9"/>
      <c r="D3847" s="9" t="s">
        <v>6742</v>
      </c>
      <c r="E3847" s="9" t="s">
        <v>1212</v>
      </c>
      <c r="F3847" s="9" t="s">
        <v>1213</v>
      </c>
      <c r="G3847" s="9" t="s">
        <v>12</v>
      </c>
      <c r="H3847" s="9"/>
      <c r="I3847" s="9"/>
      <c r="J3847" s="9" t="s">
        <v>828</v>
      </c>
      <c r="K3847" s="9"/>
      <c r="L3847" s="9"/>
      <c r="M3847" s="9" t="s">
        <v>1214</v>
      </c>
      <c r="N3847" s="9"/>
      <c r="O3847" s="9" t="s">
        <v>1215</v>
      </c>
      <c r="P3847" s="9" t="str">
        <f>HYPERLINK("https://ceds.ed.gov/cedselementdetails.aspx?termid=14019")</f>
        <v>https://ceds.ed.gov/cedselementdetails.aspx?termid=14019</v>
      </c>
      <c r="Q3847" s="9" t="str">
        <f>HYPERLINK("https://ceds.ed.gov/elementComment.aspx?elementName=Assessment Registration Creation Date &amp;elementID=14019", "Click here to submit comment")</f>
        <v>Click here to submit comment</v>
      </c>
    </row>
    <row r="3848" spans="1:17" ht="75" x14ac:dyDescent="0.25">
      <c r="A3848" s="9" t="s">
        <v>6892</v>
      </c>
      <c r="B3848" s="9" t="s">
        <v>6911</v>
      </c>
      <c r="C3848" s="9"/>
      <c r="D3848" s="9" t="s">
        <v>6742</v>
      </c>
      <c r="E3848" s="9" t="s">
        <v>1233</v>
      </c>
      <c r="F3848" s="9" t="s">
        <v>1234</v>
      </c>
      <c r="G3848" s="9" t="s">
        <v>6106</v>
      </c>
      <c r="H3848" s="9"/>
      <c r="I3848" s="9"/>
      <c r="J3848" s="9"/>
      <c r="K3848" s="9"/>
      <c r="L3848" s="9"/>
      <c r="M3848" s="9" t="s">
        <v>1235</v>
      </c>
      <c r="N3848" s="9"/>
      <c r="O3848" s="9" t="s">
        <v>1236</v>
      </c>
      <c r="P3848" s="9" t="str">
        <f>HYPERLINK("https://ceds.ed.gov/cedselementdetails.aspx?termid=14018")</f>
        <v>https://ceds.ed.gov/cedselementdetails.aspx?termid=14018</v>
      </c>
      <c r="Q3848" s="9" t="str">
        <f>HYPERLINK("https://ceds.ed.gov/elementComment.aspx?elementName=Assessment Registration Retest Indicator &amp;elementID=14018", "Click here to submit comment")</f>
        <v>Click here to submit comment</v>
      </c>
    </row>
    <row r="3849" spans="1:17" ht="75" x14ac:dyDescent="0.25">
      <c r="A3849" s="18" t="s">
        <v>6892</v>
      </c>
      <c r="B3849" s="18" t="s">
        <v>6911</v>
      </c>
      <c r="C3849" s="18"/>
      <c r="D3849" s="18" t="s">
        <v>6742</v>
      </c>
      <c r="E3849" s="18" t="s">
        <v>1241</v>
      </c>
      <c r="F3849" s="18" t="s">
        <v>1242</v>
      </c>
      <c r="G3849" s="18" t="s">
        <v>12</v>
      </c>
      <c r="H3849" s="18"/>
      <c r="I3849" s="18"/>
      <c r="J3849" s="18" t="s">
        <v>119</v>
      </c>
      <c r="K3849" s="18"/>
      <c r="L3849" s="9" t="s">
        <v>1243</v>
      </c>
      <c r="M3849" s="18" t="s">
        <v>1244</v>
      </c>
      <c r="N3849" s="18"/>
      <c r="O3849" s="18" t="s">
        <v>1245</v>
      </c>
      <c r="P3849" s="18" t="str">
        <f>HYPERLINK("https://ceds.ed.gov/cedselementdetails.aspx?termid=14119")</f>
        <v>https://ceds.ed.gov/cedselementdetails.aspx?termid=14119</v>
      </c>
      <c r="Q3849" s="18" t="str">
        <f>HYPERLINK("https://ceds.ed.gov/elementComment.aspx?elementName=Assessment Registration Test Attempt Identifier &amp;elementID=14119", "Click here to submit comment")</f>
        <v>Click here to submit comment</v>
      </c>
    </row>
    <row r="3850" spans="1:17" x14ac:dyDescent="0.25">
      <c r="A3850" s="18"/>
      <c r="B3850" s="18"/>
      <c r="C3850" s="18"/>
      <c r="D3850" s="18"/>
      <c r="E3850" s="18"/>
      <c r="F3850" s="18"/>
      <c r="G3850" s="18"/>
      <c r="H3850" s="18"/>
      <c r="I3850" s="18"/>
      <c r="J3850" s="18"/>
      <c r="K3850" s="18"/>
      <c r="L3850" s="9"/>
      <c r="M3850" s="18"/>
      <c r="N3850" s="18"/>
      <c r="O3850" s="18"/>
      <c r="P3850" s="18"/>
      <c r="Q3850" s="18"/>
    </row>
    <row r="3851" spans="1:17" ht="105" x14ac:dyDescent="0.25">
      <c r="A3851" s="18"/>
      <c r="B3851" s="18"/>
      <c r="C3851" s="18"/>
      <c r="D3851" s="18"/>
      <c r="E3851" s="18"/>
      <c r="F3851" s="18"/>
      <c r="G3851" s="18"/>
      <c r="H3851" s="18"/>
      <c r="I3851" s="18"/>
      <c r="J3851" s="18"/>
      <c r="K3851" s="18"/>
      <c r="L3851" s="9" t="s">
        <v>120</v>
      </c>
      <c r="M3851" s="18"/>
      <c r="N3851" s="18"/>
      <c r="O3851" s="18"/>
      <c r="P3851" s="18"/>
      <c r="Q3851" s="18"/>
    </row>
    <row r="3852" spans="1:17" x14ac:dyDescent="0.25">
      <c r="A3852" s="18"/>
      <c r="B3852" s="18"/>
      <c r="C3852" s="18"/>
      <c r="D3852" s="18"/>
      <c r="E3852" s="18"/>
      <c r="F3852" s="18"/>
      <c r="G3852" s="18"/>
      <c r="H3852" s="18"/>
      <c r="I3852" s="18"/>
      <c r="J3852" s="18"/>
      <c r="K3852" s="18"/>
      <c r="L3852" s="9"/>
      <c r="M3852" s="18"/>
      <c r="N3852" s="18"/>
      <c r="O3852" s="18"/>
      <c r="P3852" s="18"/>
      <c r="Q3852" s="18"/>
    </row>
    <row r="3853" spans="1:17" ht="90" x14ac:dyDescent="0.25">
      <c r="A3853" s="18"/>
      <c r="B3853" s="18"/>
      <c r="C3853" s="18"/>
      <c r="D3853" s="18"/>
      <c r="E3853" s="18"/>
      <c r="F3853" s="18"/>
      <c r="G3853" s="18"/>
      <c r="H3853" s="18"/>
      <c r="I3853" s="18"/>
      <c r="J3853" s="18"/>
      <c r="K3853" s="18"/>
      <c r="L3853" s="9" t="s">
        <v>121</v>
      </c>
      <c r="M3853" s="18"/>
      <c r="N3853" s="18"/>
      <c r="O3853" s="18"/>
      <c r="P3853" s="18"/>
      <c r="Q3853" s="18"/>
    </row>
    <row r="3854" spans="1:17" ht="240" x14ac:dyDescent="0.25">
      <c r="A3854" s="9" t="s">
        <v>6892</v>
      </c>
      <c r="B3854" s="9" t="s">
        <v>6911</v>
      </c>
      <c r="C3854" s="9"/>
      <c r="D3854" s="9" t="s">
        <v>6742</v>
      </c>
      <c r="E3854" s="9" t="s">
        <v>383</v>
      </c>
      <c r="F3854" s="9" t="s">
        <v>384</v>
      </c>
      <c r="G3854" s="10" t="s">
        <v>11786</v>
      </c>
      <c r="H3854" s="9" t="s">
        <v>6127</v>
      </c>
      <c r="I3854" s="9" t="s">
        <v>91</v>
      </c>
      <c r="J3854" s="9"/>
      <c r="K3854" s="9"/>
      <c r="L3854" s="9"/>
      <c r="M3854" s="9" t="s">
        <v>385</v>
      </c>
      <c r="N3854" s="9"/>
      <c r="O3854" s="9" t="s">
        <v>386</v>
      </c>
      <c r="P3854" s="9" t="str">
        <f>HYPERLINK("https://ceds.ed.gov/cedselementdetails.aspx?termid=13374")</f>
        <v>https://ceds.ed.gov/cedselementdetails.aspx?termid=13374</v>
      </c>
      <c r="Q3854" s="9" t="str">
        <f>HYPERLINK("https://ceds.ed.gov/elementComment.aspx?elementName=Assessment Accommodation Category &amp;elementID=13374", "Click here to submit comment")</f>
        <v>Click here to submit comment</v>
      </c>
    </row>
    <row r="3855" spans="1:17" ht="45" x14ac:dyDescent="0.25">
      <c r="A3855" s="9" t="s">
        <v>6892</v>
      </c>
      <c r="B3855" s="9" t="s">
        <v>6911</v>
      </c>
      <c r="C3855" s="9"/>
      <c r="D3855" s="9" t="s">
        <v>6742</v>
      </c>
      <c r="E3855" s="9" t="s">
        <v>10474</v>
      </c>
      <c r="F3855" s="9" t="s">
        <v>10475</v>
      </c>
      <c r="G3855" s="9" t="s">
        <v>12</v>
      </c>
      <c r="H3855" s="9"/>
      <c r="I3855" s="9"/>
      <c r="J3855" s="9" t="s">
        <v>87</v>
      </c>
      <c r="K3855" s="9"/>
      <c r="L3855" s="9"/>
      <c r="M3855" s="9" t="s">
        <v>387</v>
      </c>
      <c r="N3855" s="9"/>
      <c r="O3855" s="9" t="s">
        <v>10477</v>
      </c>
      <c r="P3855" s="9" t="str">
        <f>HYPERLINK("https://ceds.ed.gov/cedselementdetails.aspx?termid=14116")</f>
        <v>https://ceds.ed.gov/cedselementdetails.aspx?termid=14116</v>
      </c>
      <c r="Q3855" s="9" t="str">
        <f>HYPERLINK("https://ceds.ed.gov/elementComment.aspx?elementName=Accommodation Other Description &amp;elementID=14116", "Click here to submit comment")</f>
        <v>Click here to submit comment</v>
      </c>
    </row>
    <row r="3856" spans="1:17" ht="105" x14ac:dyDescent="0.25">
      <c r="A3856" s="18" t="s">
        <v>6892</v>
      </c>
      <c r="B3856" s="18" t="s">
        <v>6911</v>
      </c>
      <c r="C3856" s="18"/>
      <c r="D3856" s="18" t="s">
        <v>6742</v>
      </c>
      <c r="E3856" s="18" t="s">
        <v>5340</v>
      </c>
      <c r="F3856" s="18" t="s">
        <v>256</v>
      </c>
      <c r="G3856" s="18" t="s">
        <v>12</v>
      </c>
      <c r="H3856" s="18" t="s">
        <v>6273</v>
      </c>
      <c r="I3856" s="18"/>
      <c r="J3856" s="18" t="s">
        <v>119</v>
      </c>
      <c r="K3856" s="18"/>
      <c r="L3856" s="9" t="s">
        <v>120</v>
      </c>
      <c r="M3856" s="18" t="s">
        <v>5341</v>
      </c>
      <c r="N3856" s="18"/>
      <c r="O3856" s="18" t="s">
        <v>5342</v>
      </c>
      <c r="P3856" s="18" t="str">
        <f>HYPERLINK("https://ceds.ed.gov/cedselementdetails.aspx?termid=13155")</f>
        <v>https://ceds.ed.gov/cedselementdetails.aspx?termid=13155</v>
      </c>
      <c r="Q3856" s="18" t="str">
        <f>HYPERLINK("https://ceds.ed.gov/elementComment.aspx?elementName=School Identifier &amp;elementID=13155", "Click here to submit comment")</f>
        <v>Click here to submit comment</v>
      </c>
    </row>
    <row r="3857" spans="1:17" x14ac:dyDescent="0.25">
      <c r="A3857" s="18"/>
      <c r="B3857" s="18"/>
      <c r="C3857" s="18"/>
      <c r="D3857" s="18"/>
      <c r="E3857" s="18"/>
      <c r="F3857" s="18"/>
      <c r="G3857" s="18"/>
      <c r="H3857" s="18"/>
      <c r="I3857" s="18"/>
      <c r="J3857" s="18"/>
      <c r="K3857" s="18"/>
      <c r="L3857" s="9"/>
      <c r="M3857" s="18"/>
      <c r="N3857" s="18"/>
      <c r="O3857" s="18"/>
      <c r="P3857" s="18"/>
      <c r="Q3857" s="18"/>
    </row>
    <row r="3858" spans="1:17" ht="90" x14ac:dyDescent="0.25">
      <c r="A3858" s="18"/>
      <c r="B3858" s="18"/>
      <c r="C3858" s="18"/>
      <c r="D3858" s="18"/>
      <c r="E3858" s="18"/>
      <c r="F3858" s="18"/>
      <c r="G3858" s="18"/>
      <c r="H3858" s="18"/>
      <c r="I3858" s="18"/>
      <c r="J3858" s="18"/>
      <c r="K3858" s="18"/>
      <c r="L3858" s="9" t="s">
        <v>121</v>
      </c>
      <c r="M3858" s="18"/>
      <c r="N3858" s="18"/>
      <c r="O3858" s="18"/>
      <c r="P3858" s="18"/>
      <c r="Q3858" s="18"/>
    </row>
    <row r="3859" spans="1:17" ht="270" x14ac:dyDescent="0.25">
      <c r="A3859" s="9" t="s">
        <v>6892</v>
      </c>
      <c r="B3859" s="9" t="s">
        <v>6911</v>
      </c>
      <c r="C3859" s="9"/>
      <c r="D3859" s="9" t="s">
        <v>6742</v>
      </c>
      <c r="E3859" s="9" t="s">
        <v>5337</v>
      </c>
      <c r="F3859" s="9" t="s">
        <v>252</v>
      </c>
      <c r="G3859" s="10" t="s">
        <v>6685</v>
      </c>
      <c r="H3859" s="9" t="s">
        <v>6273</v>
      </c>
      <c r="I3859" s="9"/>
      <c r="J3859" s="9"/>
      <c r="K3859" s="9"/>
      <c r="L3859" s="9"/>
      <c r="M3859" s="9" t="s">
        <v>5338</v>
      </c>
      <c r="N3859" s="9"/>
      <c r="O3859" s="9" t="s">
        <v>5339</v>
      </c>
      <c r="P3859" s="9" t="str">
        <f>HYPERLINK("https://ceds.ed.gov/cedselementdetails.aspx?termid=13161")</f>
        <v>https://ceds.ed.gov/cedselementdetails.aspx?termid=13161</v>
      </c>
      <c r="Q3859" s="9" t="str">
        <f>HYPERLINK("https://ceds.ed.gov/elementComment.aspx?elementName=School Identification System &amp;elementID=13161", "Click here to submit comment")</f>
        <v>Click here to submit comment</v>
      </c>
    </row>
    <row r="3860" spans="1:17" ht="105" x14ac:dyDescent="0.25">
      <c r="A3860" s="18" t="s">
        <v>6892</v>
      </c>
      <c r="B3860" s="18" t="s">
        <v>6911</v>
      </c>
      <c r="C3860" s="18"/>
      <c r="D3860" s="18" t="s">
        <v>6742</v>
      </c>
      <c r="E3860" s="18" t="s">
        <v>4106</v>
      </c>
      <c r="F3860" s="18" t="s">
        <v>4107</v>
      </c>
      <c r="G3860" s="18" t="s">
        <v>12</v>
      </c>
      <c r="H3860" s="18" t="s">
        <v>6241</v>
      </c>
      <c r="I3860" s="18"/>
      <c r="J3860" s="18" t="s">
        <v>119</v>
      </c>
      <c r="K3860" s="18"/>
      <c r="L3860" s="9" t="s">
        <v>120</v>
      </c>
      <c r="M3860" s="18" t="s">
        <v>4108</v>
      </c>
      <c r="N3860" s="18" t="s">
        <v>4109</v>
      </c>
      <c r="O3860" s="18" t="s">
        <v>4110</v>
      </c>
      <c r="P3860" s="18" t="str">
        <f>HYPERLINK("https://ceds.ed.gov/cedselementdetails.aspx?termid=13153")</f>
        <v>https://ceds.ed.gov/cedselementdetails.aspx?termid=13153</v>
      </c>
      <c r="Q3860" s="18" t="str">
        <f>HYPERLINK("https://ceds.ed.gov/elementComment.aspx?elementName=Local Education Agency Identifier &amp;elementID=13153", "Click here to submit comment")</f>
        <v>Click here to submit comment</v>
      </c>
    </row>
    <row r="3861" spans="1:17" x14ac:dyDescent="0.25">
      <c r="A3861" s="18"/>
      <c r="B3861" s="18"/>
      <c r="C3861" s="18"/>
      <c r="D3861" s="18"/>
      <c r="E3861" s="18"/>
      <c r="F3861" s="18"/>
      <c r="G3861" s="18"/>
      <c r="H3861" s="18"/>
      <c r="I3861" s="18"/>
      <c r="J3861" s="18"/>
      <c r="K3861" s="18"/>
      <c r="L3861" s="9"/>
      <c r="M3861" s="18"/>
      <c r="N3861" s="18"/>
      <c r="O3861" s="18"/>
      <c r="P3861" s="18"/>
      <c r="Q3861" s="18"/>
    </row>
    <row r="3862" spans="1:17" ht="90" x14ac:dyDescent="0.25">
      <c r="A3862" s="18"/>
      <c r="B3862" s="18"/>
      <c r="C3862" s="18"/>
      <c r="D3862" s="18"/>
      <c r="E3862" s="18"/>
      <c r="F3862" s="18"/>
      <c r="G3862" s="18"/>
      <c r="H3862" s="18"/>
      <c r="I3862" s="18"/>
      <c r="J3862" s="18"/>
      <c r="K3862" s="18"/>
      <c r="L3862" s="9" t="s">
        <v>121</v>
      </c>
      <c r="M3862" s="18"/>
      <c r="N3862" s="18"/>
      <c r="O3862" s="18"/>
      <c r="P3862" s="18"/>
      <c r="Q3862" s="18"/>
    </row>
    <row r="3863" spans="1:17" ht="240" x14ac:dyDescent="0.25">
      <c r="A3863" s="9" t="s">
        <v>6892</v>
      </c>
      <c r="B3863" s="9" t="s">
        <v>6911</v>
      </c>
      <c r="C3863" s="9"/>
      <c r="D3863" s="9" t="s">
        <v>6742</v>
      </c>
      <c r="E3863" s="9" t="s">
        <v>4101</v>
      </c>
      <c r="F3863" s="9" t="s">
        <v>4102</v>
      </c>
      <c r="G3863" s="10" t="s">
        <v>6605</v>
      </c>
      <c r="H3863" s="9" t="s">
        <v>6241</v>
      </c>
      <c r="I3863" s="9"/>
      <c r="J3863" s="9"/>
      <c r="K3863" s="9"/>
      <c r="L3863" s="9"/>
      <c r="M3863" s="9" t="s">
        <v>4103</v>
      </c>
      <c r="N3863" s="9" t="s">
        <v>4104</v>
      </c>
      <c r="O3863" s="9" t="s">
        <v>4105</v>
      </c>
      <c r="P3863" s="9" t="str">
        <f>HYPERLINK("https://ceds.ed.gov/cedselementdetails.aspx?termid=13159")</f>
        <v>https://ceds.ed.gov/cedselementdetails.aspx?termid=13159</v>
      </c>
      <c r="Q3863" s="9" t="str">
        <f>HYPERLINK("https://ceds.ed.gov/elementComment.aspx?elementName=Local Education Agency Identification System &amp;elementID=13159", "Click here to submit comment")</f>
        <v>Click here to submit comment</v>
      </c>
    </row>
    <row r="3864" spans="1:17" ht="105" x14ac:dyDescent="0.25">
      <c r="A3864" s="18" t="s">
        <v>6892</v>
      </c>
      <c r="B3864" s="18" t="s">
        <v>6911</v>
      </c>
      <c r="C3864" s="18"/>
      <c r="D3864" s="18" t="s">
        <v>6742</v>
      </c>
      <c r="E3864" s="18" t="s">
        <v>5655</v>
      </c>
      <c r="F3864" s="18" t="s">
        <v>5656</v>
      </c>
      <c r="G3864" s="18" t="s">
        <v>12</v>
      </c>
      <c r="H3864" s="18"/>
      <c r="I3864" s="18"/>
      <c r="J3864" s="18" t="s">
        <v>119</v>
      </c>
      <c r="K3864" s="18"/>
      <c r="L3864" s="9" t="s">
        <v>120</v>
      </c>
      <c r="M3864" s="18" t="s">
        <v>5657</v>
      </c>
      <c r="N3864" s="18"/>
      <c r="O3864" s="18" t="s">
        <v>5658</v>
      </c>
      <c r="P3864" s="18" t="str">
        <f>HYPERLINK("https://ceds.ed.gov/cedselementdetails.aspx?termid=14462")</f>
        <v>https://ceds.ed.gov/cedselementdetails.aspx?termid=14462</v>
      </c>
      <c r="Q3864" s="18" t="str">
        <f>HYPERLINK("https://ceds.ed.gov/elementComment.aspx?elementName=State Agency Identifier &amp;elementID=14462", "Click here to submit comment")</f>
        <v>Click here to submit comment</v>
      </c>
    </row>
    <row r="3865" spans="1:17" x14ac:dyDescent="0.25">
      <c r="A3865" s="18"/>
      <c r="B3865" s="18"/>
      <c r="C3865" s="18"/>
      <c r="D3865" s="18"/>
      <c r="E3865" s="18"/>
      <c r="F3865" s="18"/>
      <c r="G3865" s="18"/>
      <c r="H3865" s="18"/>
      <c r="I3865" s="18"/>
      <c r="J3865" s="18"/>
      <c r="K3865" s="18"/>
      <c r="L3865" s="9"/>
      <c r="M3865" s="18"/>
      <c r="N3865" s="18"/>
      <c r="O3865" s="18"/>
      <c r="P3865" s="18"/>
      <c r="Q3865" s="18"/>
    </row>
    <row r="3866" spans="1:17" ht="90" x14ac:dyDescent="0.25">
      <c r="A3866" s="18"/>
      <c r="B3866" s="18"/>
      <c r="C3866" s="18"/>
      <c r="D3866" s="18"/>
      <c r="E3866" s="18"/>
      <c r="F3866" s="18"/>
      <c r="G3866" s="18"/>
      <c r="H3866" s="18"/>
      <c r="I3866" s="18"/>
      <c r="J3866" s="18"/>
      <c r="K3866" s="18"/>
      <c r="L3866" s="9" t="s">
        <v>121</v>
      </c>
      <c r="M3866" s="18"/>
      <c r="N3866" s="18"/>
      <c r="O3866" s="18"/>
      <c r="P3866" s="18"/>
      <c r="Q3866" s="18"/>
    </row>
    <row r="3867" spans="1:17" ht="60" x14ac:dyDescent="0.25">
      <c r="A3867" s="9" t="s">
        <v>6892</v>
      </c>
      <c r="B3867" s="9" t="s">
        <v>6911</v>
      </c>
      <c r="C3867" s="9"/>
      <c r="D3867" s="9" t="s">
        <v>6742</v>
      </c>
      <c r="E3867" s="9" t="s">
        <v>5651</v>
      </c>
      <c r="F3867" s="9" t="s">
        <v>5652</v>
      </c>
      <c r="G3867" s="10" t="s">
        <v>6703</v>
      </c>
      <c r="H3867" s="9"/>
      <c r="I3867" s="9"/>
      <c r="J3867" s="9"/>
      <c r="K3867" s="9"/>
      <c r="L3867" s="9"/>
      <c r="M3867" s="9" t="s">
        <v>5653</v>
      </c>
      <c r="N3867" s="9"/>
      <c r="O3867" s="9" t="s">
        <v>5654</v>
      </c>
      <c r="P3867" s="9" t="str">
        <f>HYPERLINK("https://ceds.ed.gov/cedselementdetails.aspx?termid=14463")</f>
        <v>https://ceds.ed.gov/cedselementdetails.aspx?termid=14463</v>
      </c>
      <c r="Q3867" s="9" t="str">
        <f>HYPERLINK("https://ceds.ed.gov/elementComment.aspx?elementName=State Agency Identification System &amp;elementID=14463", "Click here to submit comment")</f>
        <v>Click here to submit comment</v>
      </c>
    </row>
    <row r="3868" spans="1:17" ht="45" x14ac:dyDescent="0.25">
      <c r="A3868" s="9" t="s">
        <v>6892</v>
      </c>
      <c r="B3868" s="9" t="s">
        <v>6911</v>
      </c>
      <c r="C3868" s="9"/>
      <c r="D3868" s="9" t="s">
        <v>6742</v>
      </c>
      <c r="E3868" s="9" t="s">
        <v>528</v>
      </c>
      <c r="F3868" s="9" t="s">
        <v>529</v>
      </c>
      <c r="G3868" s="9" t="s">
        <v>12</v>
      </c>
      <c r="H3868" s="9" t="s">
        <v>6127</v>
      </c>
      <c r="I3868" s="9"/>
      <c r="J3868" s="9" t="s">
        <v>87</v>
      </c>
      <c r="K3868" s="9"/>
      <c r="L3868" s="9"/>
      <c r="M3868" s="9" t="s">
        <v>530</v>
      </c>
      <c r="N3868" s="9"/>
      <c r="O3868" s="9" t="s">
        <v>531</v>
      </c>
      <c r="P3868" s="9" t="str">
        <f>HYPERLINK("https://ceds.ed.gov/cedselementdetails.aspx?termid=13365")</f>
        <v>https://ceds.ed.gov/cedselementdetails.aspx?termid=13365</v>
      </c>
      <c r="Q3868" s="9" t="str">
        <f>HYPERLINK("https://ceds.ed.gov/elementComment.aspx?elementName=Assessment Form Number &amp;elementID=13365", "Click here to submit comment")</f>
        <v>Click here to submit comment</v>
      </c>
    </row>
    <row r="3869" spans="1:17" ht="30" x14ac:dyDescent="0.25">
      <c r="A3869" s="18" t="s">
        <v>6892</v>
      </c>
      <c r="B3869" s="18" t="s">
        <v>6911</v>
      </c>
      <c r="C3869" s="18"/>
      <c r="D3869" s="18" t="s">
        <v>6742</v>
      </c>
      <c r="E3869" s="18" t="s">
        <v>1198</v>
      </c>
      <c r="F3869" s="18" t="s">
        <v>1199</v>
      </c>
      <c r="G3869" s="18" t="s">
        <v>12</v>
      </c>
      <c r="H3869" s="18"/>
      <c r="I3869" s="18"/>
      <c r="J3869" s="18" t="s">
        <v>119</v>
      </c>
      <c r="K3869" s="18"/>
      <c r="L3869" s="9" t="s">
        <v>1201</v>
      </c>
      <c r="M3869" s="18" t="s">
        <v>1202</v>
      </c>
      <c r="N3869" s="18"/>
      <c r="O3869" s="18" t="s">
        <v>1203</v>
      </c>
      <c r="P3869" s="18" t="str">
        <f>HYPERLINK("https://ceds.ed.gov/cedselementdetails.aspx?termid=13889")</f>
        <v>https://ceds.ed.gov/cedselementdetails.aspx?termid=13889</v>
      </c>
      <c r="Q3869" s="18" t="str">
        <f>HYPERLINK("https://ceds.ed.gov/elementComment.aspx?elementName=Assessment Registration Assignor Identifier &amp;elementID=13889", "Click here to submit comment")</f>
        <v>Click here to submit comment</v>
      </c>
    </row>
    <row r="3870" spans="1:17" x14ac:dyDescent="0.25">
      <c r="A3870" s="18"/>
      <c r="B3870" s="18"/>
      <c r="C3870" s="18"/>
      <c r="D3870" s="18"/>
      <c r="E3870" s="18"/>
      <c r="F3870" s="18"/>
      <c r="G3870" s="18"/>
      <c r="H3870" s="18"/>
      <c r="I3870" s="18"/>
      <c r="J3870" s="18"/>
      <c r="K3870" s="18"/>
      <c r="L3870" s="9"/>
      <c r="M3870" s="18"/>
      <c r="N3870" s="18"/>
      <c r="O3870" s="18"/>
      <c r="P3870" s="18"/>
      <c r="Q3870" s="18"/>
    </row>
    <row r="3871" spans="1:17" ht="105" x14ac:dyDescent="0.25">
      <c r="A3871" s="18"/>
      <c r="B3871" s="18"/>
      <c r="C3871" s="18"/>
      <c r="D3871" s="18"/>
      <c r="E3871" s="18"/>
      <c r="F3871" s="18"/>
      <c r="G3871" s="18"/>
      <c r="H3871" s="18"/>
      <c r="I3871" s="18"/>
      <c r="J3871" s="18"/>
      <c r="K3871" s="18"/>
      <c r="L3871" s="9" t="s">
        <v>120</v>
      </c>
      <c r="M3871" s="18"/>
      <c r="N3871" s="18"/>
      <c r="O3871" s="18"/>
      <c r="P3871" s="18"/>
      <c r="Q3871" s="18"/>
    </row>
    <row r="3872" spans="1:17" x14ac:dyDescent="0.25">
      <c r="A3872" s="18"/>
      <c r="B3872" s="18"/>
      <c r="C3872" s="18"/>
      <c r="D3872" s="18"/>
      <c r="E3872" s="18"/>
      <c r="F3872" s="18"/>
      <c r="G3872" s="18"/>
      <c r="H3872" s="18"/>
      <c r="I3872" s="18"/>
      <c r="J3872" s="18"/>
      <c r="K3872" s="18"/>
      <c r="L3872" s="9"/>
      <c r="M3872" s="18"/>
      <c r="N3872" s="18"/>
      <c r="O3872" s="18"/>
      <c r="P3872" s="18"/>
      <c r="Q3872" s="18"/>
    </row>
    <row r="3873" spans="1:17" ht="90" x14ac:dyDescent="0.25">
      <c r="A3873" s="18"/>
      <c r="B3873" s="18"/>
      <c r="C3873" s="18"/>
      <c r="D3873" s="18"/>
      <c r="E3873" s="18"/>
      <c r="F3873" s="18"/>
      <c r="G3873" s="18"/>
      <c r="H3873" s="18"/>
      <c r="I3873" s="18"/>
      <c r="J3873" s="18"/>
      <c r="K3873" s="18"/>
      <c r="L3873" s="9" t="s">
        <v>121</v>
      </c>
      <c r="M3873" s="18"/>
      <c r="N3873" s="18"/>
      <c r="O3873" s="18"/>
      <c r="P3873" s="18"/>
      <c r="Q3873" s="18"/>
    </row>
    <row r="3874" spans="1:17" ht="409.5" x14ac:dyDescent="0.25">
      <c r="A3874" s="9" t="s">
        <v>6892</v>
      </c>
      <c r="B3874" s="9" t="s">
        <v>6911</v>
      </c>
      <c r="C3874" s="9"/>
      <c r="D3874" s="9" t="s">
        <v>6742</v>
      </c>
      <c r="E3874" s="9" t="s">
        <v>12206</v>
      </c>
      <c r="F3874" s="9" t="s">
        <v>1220</v>
      </c>
      <c r="G3874" s="10" t="s">
        <v>6377</v>
      </c>
      <c r="H3874" s="9"/>
      <c r="I3874" s="9"/>
      <c r="J3874" s="9"/>
      <c r="K3874" s="9"/>
      <c r="L3874" s="9" t="s">
        <v>1221</v>
      </c>
      <c r="M3874" s="9" t="s">
        <v>1222</v>
      </c>
      <c r="N3874" s="9"/>
      <c r="O3874" s="9" t="s">
        <v>1223</v>
      </c>
      <c r="P3874" s="9" t="str">
        <f>HYPERLINK("https://ceds.ed.gov/cedselementdetails.aspx?termid=14063")</f>
        <v>https://ceds.ed.gov/cedselementdetails.aspx?termid=14063</v>
      </c>
      <c r="Q3874" s="9" t="str">
        <f>HYPERLINK("https://ceds.ed.gov/elementComment.aspx?elementName=Assessment Registration Grade Level to Be Assessed &amp;elementID=14063", "Click here to submit comment")</f>
        <v>Click here to submit comment</v>
      </c>
    </row>
    <row r="3875" spans="1:17" ht="45" x14ac:dyDescent="0.25">
      <c r="A3875" s="9" t="s">
        <v>6892</v>
      </c>
      <c r="B3875" s="9" t="s">
        <v>6911</v>
      </c>
      <c r="C3875" s="9"/>
      <c r="D3875" s="9" t="s">
        <v>6742</v>
      </c>
      <c r="E3875" s="9" t="s">
        <v>1216</v>
      </c>
      <c r="F3875" s="9" t="s">
        <v>1217</v>
      </c>
      <c r="G3875" s="9" t="s">
        <v>12</v>
      </c>
      <c r="H3875" s="9"/>
      <c r="I3875" s="9"/>
      <c r="J3875" s="9" t="s">
        <v>10489</v>
      </c>
      <c r="K3875" s="9"/>
      <c r="L3875" s="9"/>
      <c r="M3875" s="9" t="s">
        <v>1218</v>
      </c>
      <c r="N3875" s="9"/>
      <c r="O3875" s="9" t="s">
        <v>1219</v>
      </c>
      <c r="P3875" s="9" t="str">
        <f>HYPERLINK("https://ceds.ed.gov/cedselementdetails.aspx?termid=14017")</f>
        <v>https://ceds.ed.gov/cedselementdetails.aspx?termid=14017</v>
      </c>
      <c r="Q3875" s="9" t="str">
        <f>HYPERLINK("https://ceds.ed.gov/elementComment.aspx?elementName=Assessment Registration Days of Instruction &amp;elementID=14017", "Click here to submit comment")</f>
        <v>Click here to submit comment</v>
      </c>
    </row>
    <row r="3876" spans="1:17" ht="45" x14ac:dyDescent="0.25">
      <c r="A3876" s="9" t="s">
        <v>6892</v>
      </c>
      <c r="B3876" s="9" t="s">
        <v>6911</v>
      </c>
      <c r="C3876" s="9"/>
      <c r="D3876" s="9" t="s">
        <v>6742</v>
      </c>
      <c r="E3876" s="9" t="s">
        <v>1224</v>
      </c>
      <c r="F3876" s="9" t="s">
        <v>1225</v>
      </c>
      <c r="G3876" s="10" t="s">
        <v>6378</v>
      </c>
      <c r="H3876" s="9" t="s">
        <v>6139</v>
      </c>
      <c r="I3876" s="9"/>
      <c r="J3876" s="9"/>
      <c r="K3876" s="9"/>
      <c r="L3876" s="9"/>
      <c r="M3876" s="9" t="s">
        <v>1226</v>
      </c>
      <c r="N3876" s="9"/>
      <c r="O3876" s="9" t="s">
        <v>1227</v>
      </c>
      <c r="P3876" s="9" t="str">
        <f>HYPERLINK("https://ceds.ed.gov/cedselementdetails.aspx?termid=13025")</f>
        <v>https://ceds.ed.gov/cedselementdetails.aspx?termid=13025</v>
      </c>
      <c r="Q3876" s="9" t="str">
        <f>HYPERLINK("https://ceds.ed.gov/elementComment.aspx?elementName=Assessment Registration Participation Indicator &amp;elementID=13025", "Click here to submit comment")</f>
        <v>Click here to submit comment</v>
      </c>
    </row>
    <row r="3877" spans="1:17" ht="120" x14ac:dyDescent="0.25">
      <c r="A3877" s="9" t="s">
        <v>6892</v>
      </c>
      <c r="B3877" s="9" t="s">
        <v>6911</v>
      </c>
      <c r="C3877" s="9"/>
      <c r="D3877" s="9" t="s">
        <v>6742</v>
      </c>
      <c r="E3877" s="9" t="s">
        <v>1137</v>
      </c>
      <c r="F3877" s="9" t="s">
        <v>1138</v>
      </c>
      <c r="G3877" s="10" t="s">
        <v>6373</v>
      </c>
      <c r="H3877" s="9" t="s">
        <v>6135</v>
      </c>
      <c r="I3877" s="9"/>
      <c r="J3877" s="9"/>
      <c r="K3877" s="9"/>
      <c r="L3877" s="9"/>
      <c r="M3877" s="9" t="s">
        <v>1139</v>
      </c>
      <c r="N3877" s="9"/>
      <c r="O3877" s="9" t="s">
        <v>1140</v>
      </c>
      <c r="P3877" s="9" t="str">
        <f>HYPERLINK("https://ceds.ed.gov/cedselementdetails.aspx?termid=13377")</f>
        <v>https://ceds.ed.gov/cedselementdetails.aspx?termid=13377</v>
      </c>
      <c r="Q3877" s="9" t="str">
        <f>HYPERLINK("https://ceds.ed.gov/elementComment.aspx?elementName=Assessment Participant Session Platform Type &amp;elementID=13377", "Click here to submit comment")</f>
        <v>Click here to submit comment</v>
      </c>
    </row>
    <row r="3878" spans="1:17" ht="345" x14ac:dyDescent="0.25">
      <c r="A3878" s="9" t="s">
        <v>6892</v>
      </c>
      <c r="B3878" s="9" t="s">
        <v>6911</v>
      </c>
      <c r="C3878" s="9"/>
      <c r="D3878" s="9" t="s">
        <v>6742</v>
      </c>
      <c r="E3878" s="9" t="s">
        <v>3008</v>
      </c>
      <c r="F3878" s="9" t="s">
        <v>3009</v>
      </c>
      <c r="G3878" s="10" t="s">
        <v>6523</v>
      </c>
      <c r="H3878" s="9" t="s">
        <v>6214</v>
      </c>
      <c r="I3878" s="9"/>
      <c r="J3878" s="9"/>
      <c r="K3878" s="9"/>
      <c r="L3878" s="9"/>
      <c r="M3878" s="9" t="s">
        <v>3010</v>
      </c>
      <c r="N3878" s="9"/>
      <c r="O3878" s="9" t="s">
        <v>3011</v>
      </c>
      <c r="P3878" s="9" t="str">
        <f>HYPERLINK("https://ceds.ed.gov/cedselementdetails.aspx?termid=13126")</f>
        <v>https://ceds.ed.gov/cedselementdetails.aspx?termid=13126</v>
      </c>
      <c r="Q3878" s="9" t="str">
        <f>HYPERLINK("https://ceds.ed.gov/elementComment.aspx?elementName=Grade Level When Assessed &amp;elementID=13126", "Click here to submit comment")</f>
        <v>Click here to submit comment</v>
      </c>
    </row>
    <row r="3879" spans="1:17" ht="165" x14ac:dyDescent="0.25">
      <c r="A3879" s="9" t="s">
        <v>6892</v>
      </c>
      <c r="B3879" s="9" t="s">
        <v>6911</v>
      </c>
      <c r="C3879" s="9"/>
      <c r="D3879" s="9" t="s">
        <v>6742</v>
      </c>
      <c r="E3879" s="9" t="s">
        <v>1204</v>
      </c>
      <c r="F3879" s="9" t="s">
        <v>1205</v>
      </c>
      <c r="G3879" s="10" t="s">
        <v>6376</v>
      </c>
      <c r="H3879" s="9"/>
      <c r="I3879" s="9"/>
      <c r="J3879" s="9"/>
      <c r="K3879" s="9"/>
      <c r="L3879" s="9"/>
      <c r="M3879" s="9" t="s">
        <v>1206</v>
      </c>
      <c r="N3879" s="9"/>
      <c r="O3879" s="9" t="s">
        <v>1207</v>
      </c>
      <c r="P3879" s="9" t="str">
        <f>HYPERLINK("https://ceds.ed.gov/cedselementdetails.aspx?termid=14516")</f>
        <v>https://ceds.ed.gov/cedselementdetails.aspx?termid=14516</v>
      </c>
      <c r="Q3879" s="9" t="str">
        <f>HYPERLINK("https://ceds.ed.gov/elementComment.aspx?elementName=Assessment Registration Completion Status &amp;elementID=14516", "Click here to submit comment")</f>
        <v>Click here to submit comment</v>
      </c>
    </row>
    <row r="3880" spans="1:17" ht="60" x14ac:dyDescent="0.25">
      <c r="A3880" s="9" t="s">
        <v>6892</v>
      </c>
      <c r="B3880" s="9" t="s">
        <v>6911</v>
      </c>
      <c r="C3880" s="9"/>
      <c r="D3880" s="9" t="s">
        <v>6742</v>
      </c>
      <c r="E3880" s="9" t="s">
        <v>1208</v>
      </c>
      <c r="F3880" s="9" t="s">
        <v>1209</v>
      </c>
      <c r="G3880" s="9" t="s">
        <v>12</v>
      </c>
      <c r="H3880" s="9"/>
      <c r="I3880" s="9"/>
      <c r="J3880" s="9" t="s">
        <v>828</v>
      </c>
      <c r="K3880" s="9"/>
      <c r="L3880" s="9"/>
      <c r="M3880" s="9" t="s">
        <v>1210</v>
      </c>
      <c r="N3880" s="9"/>
      <c r="O3880" s="9" t="s">
        <v>1211</v>
      </c>
      <c r="P3880" s="9" t="str">
        <f>HYPERLINK("https://ceds.ed.gov/cedselementdetails.aspx?termid=14517")</f>
        <v>https://ceds.ed.gov/cedselementdetails.aspx?termid=14517</v>
      </c>
      <c r="Q3880" s="9" t="str">
        <f>HYPERLINK("https://ceds.ed.gov/elementComment.aspx?elementName=Assessment Registration Completion Status Date Time &amp;elementID=14517", "Click here to submit comment")</f>
        <v>Click here to submit comment</v>
      </c>
    </row>
    <row r="3881" spans="1:17" ht="180" x14ac:dyDescent="0.25">
      <c r="A3881" s="9" t="s">
        <v>6892</v>
      </c>
      <c r="B3881" s="9" t="s">
        <v>6911</v>
      </c>
      <c r="C3881" s="9"/>
      <c r="D3881" s="9" t="s">
        <v>6742</v>
      </c>
      <c r="E3881" s="9" t="s">
        <v>1228</v>
      </c>
      <c r="F3881" s="9" t="s">
        <v>1229</v>
      </c>
      <c r="G3881" s="10" t="s">
        <v>6379</v>
      </c>
      <c r="H3881" s="9" t="s">
        <v>6140</v>
      </c>
      <c r="I3881" s="9"/>
      <c r="J3881" s="9"/>
      <c r="K3881" s="9"/>
      <c r="L3881" s="9" t="s">
        <v>1230</v>
      </c>
      <c r="M3881" s="9" t="s">
        <v>1231</v>
      </c>
      <c r="N3881" s="9"/>
      <c r="O3881" s="9" t="s">
        <v>1232</v>
      </c>
      <c r="P3881" s="9" t="str">
        <f>HYPERLINK("https://ceds.ed.gov/cedselementdetails.aspx?termid=13531")</f>
        <v>https://ceds.ed.gov/cedselementdetails.aspx?termid=13531</v>
      </c>
      <c r="Q3881" s="9" t="str">
        <f>HYPERLINK("https://ceds.ed.gov/elementComment.aspx?elementName=Assessment Registration Reason Not Completing &amp;elementID=13531", "Click here to submit comment")</f>
        <v>Click here to submit comment</v>
      </c>
    </row>
    <row r="3882" spans="1:17" ht="135" x14ac:dyDescent="0.25">
      <c r="A3882" s="9" t="s">
        <v>6892</v>
      </c>
      <c r="B3882" s="9" t="s">
        <v>6911</v>
      </c>
      <c r="C3882" s="9"/>
      <c r="D3882" s="9" t="s">
        <v>6742</v>
      </c>
      <c r="E3882" s="9" t="s">
        <v>5085</v>
      </c>
      <c r="F3882" s="9" t="s">
        <v>5086</v>
      </c>
      <c r="G3882" s="10" t="s">
        <v>6675</v>
      </c>
      <c r="H3882" s="9"/>
      <c r="I3882" s="9"/>
      <c r="J3882" s="9"/>
      <c r="K3882" s="9"/>
      <c r="L3882" s="9"/>
      <c r="M3882" s="9" t="s">
        <v>5087</v>
      </c>
      <c r="N3882" s="9"/>
      <c r="O3882" s="9" t="s">
        <v>5088</v>
      </c>
      <c r="P3882" s="9" t="str">
        <f>HYPERLINK("https://ceds.ed.gov/cedselementdetails.aspx?termid=13228")</f>
        <v>https://ceds.ed.gov/cedselementdetails.aspx?termid=13228</v>
      </c>
      <c r="Q3882" s="9" t="str">
        <f>HYPERLINK("https://ceds.ed.gov/elementComment.aspx?elementName=Reason Not Tested &amp;elementID=13228", "Click here to submit comment")</f>
        <v>Click here to submit comment</v>
      </c>
    </row>
    <row r="3883" spans="1:17" ht="135" x14ac:dyDescent="0.25">
      <c r="A3883" s="9" t="s">
        <v>6892</v>
      </c>
      <c r="B3883" s="9" t="s">
        <v>6911</v>
      </c>
      <c r="C3883" s="9"/>
      <c r="D3883" s="9" t="s">
        <v>6742</v>
      </c>
      <c r="E3883" s="9" t="s">
        <v>1237</v>
      </c>
      <c r="F3883" s="9" t="s">
        <v>1238</v>
      </c>
      <c r="G3883" s="9" t="s">
        <v>12</v>
      </c>
      <c r="H3883" s="9"/>
      <c r="I3883" s="9"/>
      <c r="J3883" s="9" t="s">
        <v>73</v>
      </c>
      <c r="K3883" s="9"/>
      <c r="L3883" s="9"/>
      <c r="M3883" s="9" t="s">
        <v>1239</v>
      </c>
      <c r="N3883" s="9"/>
      <c r="O3883" s="9" t="s">
        <v>1240</v>
      </c>
      <c r="P3883" s="9" t="str">
        <f>HYPERLINK("https://ceds.ed.gov/cedselementdetails.aspx?termid=14062")</f>
        <v>https://ceds.ed.gov/cedselementdetails.aspx?termid=14062</v>
      </c>
      <c r="Q3883" s="9" t="str">
        <f>HYPERLINK("https://ceds.ed.gov/elementComment.aspx?elementName=Assessment Registration Score Publish Date &amp;elementID=14062", "Click here to submit comment")</f>
        <v>Click here to submit comment</v>
      </c>
    </row>
    <row r="3884" spans="1:17" ht="75" x14ac:dyDescent="0.25">
      <c r="A3884" s="9" t="s">
        <v>6892</v>
      </c>
      <c r="B3884" s="9" t="s">
        <v>6911</v>
      </c>
      <c r="C3884" s="9"/>
      <c r="D3884" s="9" t="s">
        <v>6742</v>
      </c>
      <c r="E3884" s="9" t="s">
        <v>11710</v>
      </c>
      <c r="F3884" s="9" t="s">
        <v>11711</v>
      </c>
      <c r="G3884" s="9" t="s">
        <v>6106</v>
      </c>
      <c r="H3884" s="9"/>
      <c r="I3884" s="9"/>
      <c r="J3884" s="9"/>
      <c r="K3884" s="9"/>
      <c r="L3884" s="9"/>
      <c r="M3884" s="9" t="s">
        <v>11712</v>
      </c>
      <c r="N3884" s="9"/>
      <c r="O3884" s="9" t="s">
        <v>11713</v>
      </c>
      <c r="P3884" s="9" t="str">
        <f>HYPERLINK("https://ceds.ed.gov/cedselementdetails.aspx?termid=14744")</f>
        <v>https://ceds.ed.gov/cedselementdetails.aspx?termid=14744</v>
      </c>
      <c r="Q3884" s="9" t="str">
        <f>HYPERLINK("https://ceds.ed.gov/elementComment.aspx?elementName=School Full Academic Year &amp;elementID=14744", "Click here to submit comment")</f>
        <v>Click here to submit comment</v>
      </c>
    </row>
    <row r="3885" spans="1:17" ht="75" x14ac:dyDescent="0.25">
      <c r="A3885" s="9" t="s">
        <v>6892</v>
      </c>
      <c r="B3885" s="9" t="s">
        <v>6911</v>
      </c>
      <c r="C3885" s="9"/>
      <c r="D3885" s="9" t="s">
        <v>6742</v>
      </c>
      <c r="E3885" s="9" t="s">
        <v>11621</v>
      </c>
      <c r="F3885" s="9" t="s">
        <v>11622</v>
      </c>
      <c r="G3885" s="9" t="s">
        <v>6106</v>
      </c>
      <c r="H3885" s="9"/>
      <c r="I3885" s="9"/>
      <c r="J3885" s="9"/>
      <c r="K3885" s="9"/>
      <c r="L3885" s="9"/>
      <c r="M3885" s="9" t="s">
        <v>11623</v>
      </c>
      <c r="N3885" s="9"/>
      <c r="O3885" s="9" t="s">
        <v>11624</v>
      </c>
      <c r="P3885" s="9" t="str">
        <f>HYPERLINK("https://ceds.ed.gov/cedselementdetails.aspx?termid=14743")</f>
        <v>https://ceds.ed.gov/cedselementdetails.aspx?termid=14743</v>
      </c>
      <c r="Q3885" s="9" t="str">
        <f>HYPERLINK("https://ceds.ed.gov/elementComment.aspx?elementName=LEA Full Academic Year &amp;elementID=14743", "Click here to submit comment")</f>
        <v>Click here to submit comment</v>
      </c>
    </row>
    <row r="3886" spans="1:17" ht="75" x14ac:dyDescent="0.25">
      <c r="A3886" s="9" t="s">
        <v>6892</v>
      </c>
      <c r="B3886" s="9" t="s">
        <v>6911</v>
      </c>
      <c r="C3886" s="9"/>
      <c r="D3886" s="9" t="s">
        <v>6742</v>
      </c>
      <c r="E3886" s="9" t="s">
        <v>11741</v>
      </c>
      <c r="F3886" s="9" t="s">
        <v>11742</v>
      </c>
      <c r="G3886" s="9" t="s">
        <v>6106</v>
      </c>
      <c r="H3886" s="9"/>
      <c r="I3886" s="9"/>
      <c r="J3886" s="9"/>
      <c r="K3886" s="9"/>
      <c r="L3886" s="9"/>
      <c r="M3886" s="9" t="s">
        <v>11743</v>
      </c>
      <c r="N3886" s="9"/>
      <c r="O3886" s="9" t="s">
        <v>11744</v>
      </c>
      <c r="P3886" s="9" t="str">
        <f>HYPERLINK("https://ceds.ed.gov/cedselementdetails.aspx?termid=14742")</f>
        <v>https://ceds.ed.gov/cedselementdetails.aspx?termid=14742</v>
      </c>
      <c r="Q3886" s="9" t="str">
        <f>HYPERLINK("https://ceds.ed.gov/elementComment.aspx?elementName=State Full Academic Year &amp;elementID=14742", "Click here to submit comment")</f>
        <v>Click here to submit comment</v>
      </c>
    </row>
    <row r="3887" spans="1:17" ht="90" x14ac:dyDescent="0.25">
      <c r="A3887" s="9" t="s">
        <v>6892</v>
      </c>
      <c r="B3887" s="9" t="s">
        <v>6913</v>
      </c>
      <c r="C3887" s="9"/>
      <c r="D3887" s="9" t="s">
        <v>6742</v>
      </c>
      <c r="E3887" s="9" t="s">
        <v>1030</v>
      </c>
      <c r="F3887" s="9" t="s">
        <v>1031</v>
      </c>
      <c r="G3887" s="11" t="s">
        <v>966</v>
      </c>
      <c r="H3887" s="9"/>
      <c r="I3887" s="9"/>
      <c r="J3887" s="9"/>
      <c r="K3887" s="9"/>
      <c r="L3887" s="11" t="s">
        <v>967</v>
      </c>
      <c r="M3887" s="9" t="s">
        <v>1033</v>
      </c>
      <c r="N3887" s="9"/>
      <c r="O3887" s="9" t="s">
        <v>1034</v>
      </c>
      <c r="P3887" s="9" t="str">
        <f>HYPERLINK("https://ceds.ed.gov/cedselementdetails.aspx?termid=14025")</f>
        <v>https://ceds.ed.gov/cedselementdetails.aspx?termid=14025</v>
      </c>
      <c r="Q3887" s="9" t="str">
        <f>HYPERLINK("https://ceds.ed.gov/elementComment.aspx?elementName=Assessment Need Language Type &amp;elementID=14025", "Click here to submit comment")</f>
        <v>Click here to submit comment</v>
      </c>
    </row>
    <row r="3888" spans="1:17" ht="45" x14ac:dyDescent="0.25">
      <c r="A3888" s="9" t="s">
        <v>6892</v>
      </c>
      <c r="B3888" s="9" t="s">
        <v>6913</v>
      </c>
      <c r="C3888" s="9"/>
      <c r="D3888" s="9" t="s">
        <v>6742</v>
      </c>
      <c r="E3888" s="9" t="s">
        <v>1100</v>
      </c>
      <c r="F3888" s="9" t="s">
        <v>1101</v>
      </c>
      <c r="G3888" s="9" t="s">
        <v>12</v>
      </c>
      <c r="H3888" s="9"/>
      <c r="I3888" s="9"/>
      <c r="J3888" s="9" t="s">
        <v>303</v>
      </c>
      <c r="K3888" s="9"/>
      <c r="L3888" s="9"/>
      <c r="M3888" s="9" t="s">
        <v>1102</v>
      </c>
      <c r="N3888" s="9"/>
      <c r="O3888" s="9" t="s">
        <v>1103</v>
      </c>
      <c r="P3888" s="9" t="str">
        <f>HYPERLINK("https://ceds.ed.gov/cedselementdetails.aspx?termid=14101")</f>
        <v>https://ceds.ed.gov/cedselementdetails.aspx?termid=14101</v>
      </c>
      <c r="Q3888" s="9" t="str">
        <f>HYPERLINK("https://ceds.ed.gov/elementComment.aspx?elementName=Assessment Need Type &amp;elementID=14101", "Click here to submit comment")</f>
        <v>Click here to submit comment</v>
      </c>
    </row>
    <row r="3889" spans="1:17" ht="45" x14ac:dyDescent="0.25">
      <c r="A3889" s="9" t="s">
        <v>6892</v>
      </c>
      <c r="B3889" s="9" t="s">
        <v>6913</v>
      </c>
      <c r="C3889" s="9"/>
      <c r="D3889" s="9" t="s">
        <v>6742</v>
      </c>
      <c r="E3889" s="9" t="s">
        <v>12205</v>
      </c>
      <c r="F3889" s="9" t="s">
        <v>1180</v>
      </c>
      <c r="G3889" s="9" t="s">
        <v>6106</v>
      </c>
      <c r="H3889" s="9"/>
      <c r="I3889" s="9"/>
      <c r="J3889" s="9"/>
      <c r="K3889" s="9"/>
      <c r="L3889" s="9" t="s">
        <v>1181</v>
      </c>
      <c r="M3889" s="9" t="s">
        <v>1182</v>
      </c>
      <c r="N3889" s="9"/>
      <c r="O3889" s="9" t="s">
        <v>1183</v>
      </c>
      <c r="P3889" s="9" t="str">
        <f>HYPERLINK("https://ceds.ed.gov/cedselementdetails.aspx?termid=14008")</f>
        <v>https://ceds.ed.gov/cedselementdetails.aspx?termid=14008</v>
      </c>
      <c r="Q3889" s="9" t="str">
        <f>HYPERLINK("https://ceds.ed.gov/elementComment.aspx?elementName=Assessment Personal Needs Profile Activate by Default &amp;elementID=14008", "Click here to submit comment")</f>
        <v>Click here to submit comment</v>
      </c>
    </row>
    <row r="3890" spans="1:17" ht="45" x14ac:dyDescent="0.25">
      <c r="A3890" s="9" t="s">
        <v>6892</v>
      </c>
      <c r="B3890" s="9" t="s">
        <v>6913</v>
      </c>
      <c r="C3890" s="9"/>
      <c r="D3890" s="9" t="s">
        <v>6742</v>
      </c>
      <c r="E3890" s="9" t="s">
        <v>1184</v>
      </c>
      <c r="F3890" s="9" t="s">
        <v>1185</v>
      </c>
      <c r="G3890" s="9" t="s">
        <v>6106</v>
      </c>
      <c r="H3890" s="9"/>
      <c r="I3890" s="9"/>
      <c r="J3890" s="9"/>
      <c r="K3890" s="9"/>
      <c r="L3890" s="9" t="s">
        <v>1181</v>
      </c>
      <c r="M3890" s="9" t="s">
        <v>1186</v>
      </c>
      <c r="N3890" s="9"/>
      <c r="O3890" s="9" t="s">
        <v>1187</v>
      </c>
      <c r="P3890" s="9" t="str">
        <f>HYPERLINK("https://ceds.ed.gov/cedselementdetails.aspx?termid=14007")</f>
        <v>https://ceds.ed.gov/cedselementdetails.aspx?termid=14007</v>
      </c>
      <c r="Q3890" s="9" t="str">
        <f>HYPERLINK("https://ceds.ed.gov/elementComment.aspx?elementName=Assessment Personal Needs Profile Assigned Support &amp;elementID=14007", "Click here to submit comment")</f>
        <v>Click here to submit comment</v>
      </c>
    </row>
    <row r="3891" spans="1:17" ht="90" x14ac:dyDescent="0.25">
      <c r="A3891" s="9" t="s">
        <v>6892</v>
      </c>
      <c r="B3891" s="9" t="s">
        <v>6913</v>
      </c>
      <c r="C3891" s="9" t="s">
        <v>6914</v>
      </c>
      <c r="D3891" s="9" t="s">
        <v>6742</v>
      </c>
      <c r="E3891" s="9" t="s">
        <v>974</v>
      </c>
      <c r="F3891" s="9" t="s">
        <v>975</v>
      </c>
      <c r="G3891" s="10" t="s">
        <v>6359</v>
      </c>
      <c r="H3891" s="9"/>
      <c r="I3891" s="9"/>
      <c r="J3891" s="9"/>
      <c r="K3891" s="9"/>
      <c r="L3891" s="9"/>
      <c r="M3891" s="9" t="s">
        <v>977</v>
      </c>
      <c r="N3891" s="9"/>
      <c r="O3891" s="9" t="s">
        <v>978</v>
      </c>
      <c r="P3891" s="9" t="str">
        <f>HYPERLINK("https://ceds.ed.gov/cedselementdetails.aspx?termid=14045")</f>
        <v>https://ceds.ed.gov/cedselementdetails.aspx?termid=14045</v>
      </c>
      <c r="Q3891" s="9" t="str">
        <f>HYPERLINK("https://ceds.ed.gov/elementComment.aspx?elementName=Assessment Need Alternative Representation Type &amp;elementID=14045", "Click here to submit comment")</f>
        <v>Click here to submit comment</v>
      </c>
    </row>
    <row r="3892" spans="1:17" ht="75" x14ac:dyDescent="0.25">
      <c r="A3892" s="9" t="s">
        <v>6892</v>
      </c>
      <c r="B3892" s="9" t="s">
        <v>6913</v>
      </c>
      <c r="C3892" s="9" t="s">
        <v>6914</v>
      </c>
      <c r="D3892" s="9" t="s">
        <v>6742</v>
      </c>
      <c r="E3892" s="9" t="s">
        <v>1002</v>
      </c>
      <c r="F3892" s="9" t="s">
        <v>1003</v>
      </c>
      <c r="G3892" s="9" t="s">
        <v>6106</v>
      </c>
      <c r="H3892" s="9"/>
      <c r="I3892" s="9"/>
      <c r="J3892" s="9"/>
      <c r="K3892" s="9"/>
      <c r="L3892" s="9"/>
      <c r="M3892" s="9" t="s">
        <v>1004</v>
      </c>
      <c r="N3892" s="9"/>
      <c r="O3892" s="9" t="s">
        <v>1005</v>
      </c>
      <c r="P3892" s="9" t="str">
        <f>HYPERLINK("https://ceds.ed.gov/cedselementdetails.aspx?termid=14050")</f>
        <v>https://ceds.ed.gov/cedselementdetails.aspx?termid=14050</v>
      </c>
      <c r="Q3892" s="9" t="str">
        <f>HYPERLINK("https://ceds.ed.gov/elementComment.aspx?elementName=Assessment Need Directions Only &amp;elementID=14050", "Click here to submit comment")</f>
        <v>Click here to submit comment</v>
      </c>
    </row>
    <row r="3893" spans="1:17" ht="75" x14ac:dyDescent="0.25">
      <c r="A3893" s="9" t="s">
        <v>6892</v>
      </c>
      <c r="B3893" s="9" t="s">
        <v>6913</v>
      </c>
      <c r="C3893" s="9" t="s">
        <v>6914</v>
      </c>
      <c r="D3893" s="9" t="s">
        <v>6742</v>
      </c>
      <c r="E3893" s="9" t="s">
        <v>1010</v>
      </c>
      <c r="F3893" s="9" t="s">
        <v>1011</v>
      </c>
      <c r="G3893" s="10" t="s">
        <v>6363</v>
      </c>
      <c r="H3893" s="9"/>
      <c r="I3893" s="9"/>
      <c r="J3893" s="9"/>
      <c r="K3893" s="9"/>
      <c r="L3893" s="9"/>
      <c r="M3893" s="9" t="s">
        <v>1012</v>
      </c>
      <c r="N3893" s="9"/>
      <c r="O3893" s="9" t="s">
        <v>1013</v>
      </c>
      <c r="P3893" s="9" t="str">
        <f>HYPERLINK("https://ceds.ed.gov/cedselementdetails.aspx?termid=14026")</f>
        <v>https://ceds.ed.gov/cedselementdetails.aspx?termid=14026</v>
      </c>
      <c r="Q3893" s="9" t="str">
        <f>HYPERLINK("https://ceds.ed.gov/elementComment.aspx?elementName=Assessment Need Hazard Type &amp;elementID=14026", "Click here to submit comment")</f>
        <v>Click here to submit comment</v>
      </c>
    </row>
    <row r="3894" spans="1:17" ht="90" x14ac:dyDescent="0.25">
      <c r="A3894" s="9" t="s">
        <v>6892</v>
      </c>
      <c r="B3894" s="9" t="s">
        <v>6913</v>
      </c>
      <c r="C3894" s="9" t="s">
        <v>6914</v>
      </c>
      <c r="D3894" s="9" t="s">
        <v>6742</v>
      </c>
      <c r="E3894" s="9" t="s">
        <v>1022</v>
      </c>
      <c r="F3894" s="9" t="s">
        <v>1023</v>
      </c>
      <c r="G3894" s="11" t="s">
        <v>966</v>
      </c>
      <c r="H3894" s="9"/>
      <c r="I3894" s="9"/>
      <c r="J3894" s="9"/>
      <c r="K3894" s="9"/>
      <c r="L3894" s="11" t="s">
        <v>967</v>
      </c>
      <c r="M3894" s="9" t="s">
        <v>1024</v>
      </c>
      <c r="N3894" s="9"/>
      <c r="O3894" s="9" t="s">
        <v>1025</v>
      </c>
      <c r="P3894" s="9" t="str">
        <f>HYPERLINK("https://ceds.ed.gov/cedselementdetails.aspx?termid=14042")</f>
        <v>https://ceds.ed.gov/cedselementdetails.aspx?termid=14042</v>
      </c>
      <c r="Q3894" s="9" t="str">
        <f>HYPERLINK("https://ceds.ed.gov/elementComment.aspx?elementName=Assessment Need Item Translation Display Language Type &amp;elementID=14042", "Click here to submit comment")</f>
        <v>Click here to submit comment</v>
      </c>
    </row>
    <row r="3895" spans="1:17" ht="90" x14ac:dyDescent="0.25">
      <c r="A3895" s="9" t="s">
        <v>6892</v>
      </c>
      <c r="B3895" s="9" t="s">
        <v>6913</v>
      </c>
      <c r="C3895" s="9" t="s">
        <v>6914</v>
      </c>
      <c r="D3895" s="9" t="s">
        <v>6742</v>
      </c>
      <c r="E3895" s="9" t="s">
        <v>1026</v>
      </c>
      <c r="F3895" s="9" t="s">
        <v>1027</v>
      </c>
      <c r="G3895" s="11" t="s">
        <v>966</v>
      </c>
      <c r="H3895" s="9"/>
      <c r="I3895" s="9"/>
      <c r="J3895" s="9"/>
      <c r="K3895" s="9"/>
      <c r="L3895" s="11" t="s">
        <v>967</v>
      </c>
      <c r="M3895" s="9" t="s">
        <v>1028</v>
      </c>
      <c r="N3895" s="9"/>
      <c r="O3895" s="9" t="s">
        <v>1029</v>
      </c>
      <c r="P3895" s="9" t="str">
        <f>HYPERLINK("https://ceds.ed.gov/cedselementdetails.aspx?termid=14043")</f>
        <v>https://ceds.ed.gov/cedselementdetails.aspx?termid=14043</v>
      </c>
      <c r="Q3895" s="9" t="str">
        <f>HYPERLINK("https://ceds.ed.gov/elementComment.aspx?elementName=Assessment Need Keyword Translation Language Type &amp;elementID=14043", "Click here to submit comment")</f>
        <v>Click here to submit comment</v>
      </c>
    </row>
    <row r="3896" spans="1:17" ht="180" x14ac:dyDescent="0.25">
      <c r="A3896" s="9" t="s">
        <v>6892</v>
      </c>
      <c r="B3896" s="9" t="s">
        <v>6913</v>
      </c>
      <c r="C3896" s="9" t="s">
        <v>6914</v>
      </c>
      <c r="D3896" s="9" t="s">
        <v>6742</v>
      </c>
      <c r="E3896" s="9" t="s">
        <v>1086</v>
      </c>
      <c r="F3896" s="9" t="s">
        <v>1087</v>
      </c>
      <c r="G3896" s="10" t="s">
        <v>6370</v>
      </c>
      <c r="H3896" s="9"/>
      <c r="I3896" s="9"/>
      <c r="J3896" s="9"/>
      <c r="K3896" s="9"/>
      <c r="L3896" s="9"/>
      <c r="M3896" s="9" t="s">
        <v>1088</v>
      </c>
      <c r="N3896" s="9"/>
      <c r="O3896" s="9" t="s">
        <v>1089</v>
      </c>
      <c r="P3896" s="9" t="str">
        <f>HYPERLINK("https://ceds.ed.gov/cedselementdetails.aspx?termid=14027")</f>
        <v>https://ceds.ed.gov/cedselementdetails.aspx?termid=14027</v>
      </c>
      <c r="Q3896" s="9" t="str">
        <f>HYPERLINK("https://ceds.ed.gov/elementComment.aspx?elementName=Assessment Need Support Tool Type &amp;elementID=14027", "Click here to submit comment")</f>
        <v>Click here to submit comment</v>
      </c>
    </row>
    <row r="3897" spans="1:17" ht="75" x14ac:dyDescent="0.25">
      <c r="A3897" s="9" t="s">
        <v>6892</v>
      </c>
      <c r="B3897" s="9" t="s">
        <v>6913</v>
      </c>
      <c r="C3897" s="9" t="s">
        <v>6914</v>
      </c>
      <c r="D3897" s="9" t="s">
        <v>6742</v>
      </c>
      <c r="E3897" s="9" t="s">
        <v>1108</v>
      </c>
      <c r="F3897" s="9" t="s">
        <v>1109</v>
      </c>
      <c r="G3897" s="10" t="s">
        <v>6372</v>
      </c>
      <c r="H3897" s="9"/>
      <c r="I3897" s="9"/>
      <c r="J3897" s="9"/>
      <c r="K3897" s="9"/>
      <c r="L3897" s="9"/>
      <c r="M3897" s="9" t="s">
        <v>1110</v>
      </c>
      <c r="N3897" s="9"/>
      <c r="O3897" s="9" t="s">
        <v>1111</v>
      </c>
      <c r="P3897" s="9" t="str">
        <f>HYPERLINK("https://ceds.ed.gov/cedselementdetails.aspx?termid=14049")</f>
        <v>https://ceds.ed.gov/cedselementdetails.aspx?termid=14049</v>
      </c>
      <c r="Q3897" s="9" t="str">
        <f>HYPERLINK("https://ceds.ed.gov/elementComment.aspx?elementName=Assessment Need User Spoken Preference Type &amp;elementID=14049", "Click here to submit comment")</f>
        <v>Click here to submit comment</v>
      </c>
    </row>
    <row r="3898" spans="1:17" ht="105" x14ac:dyDescent="0.25">
      <c r="A3898" s="9" t="s">
        <v>6892</v>
      </c>
      <c r="B3898" s="9" t="s">
        <v>6913</v>
      </c>
      <c r="C3898" s="9" t="s">
        <v>6915</v>
      </c>
      <c r="D3898" s="9" t="s">
        <v>6742</v>
      </c>
      <c r="E3898" s="9" t="s">
        <v>1094</v>
      </c>
      <c r="F3898" s="9" t="s">
        <v>1095</v>
      </c>
      <c r="G3898" s="9" t="s">
        <v>12</v>
      </c>
      <c r="H3898" s="9"/>
      <c r="I3898" s="9"/>
      <c r="J3898" s="9" t="s">
        <v>1097</v>
      </c>
      <c r="K3898" s="9"/>
      <c r="L3898" s="9"/>
      <c r="M3898" s="9" t="s">
        <v>1098</v>
      </c>
      <c r="N3898" s="9"/>
      <c r="O3898" s="9" t="s">
        <v>1099</v>
      </c>
      <c r="P3898" s="9" t="str">
        <f>HYPERLINK("https://ceds.ed.gov/cedselementdetails.aspx?termid=14055")</f>
        <v>https://ceds.ed.gov/cedselementdetails.aspx?termid=14055</v>
      </c>
      <c r="Q3898" s="9" t="str">
        <f>HYPERLINK("https://ceds.ed.gov/elementComment.aspx?elementName=Assessment Need Time Multiplier &amp;elementID=14055", "Click here to submit comment")</f>
        <v>Click here to submit comment</v>
      </c>
    </row>
    <row r="3899" spans="1:17" ht="45" x14ac:dyDescent="0.25">
      <c r="A3899" s="9" t="s">
        <v>6892</v>
      </c>
      <c r="B3899" s="9" t="s">
        <v>6913</v>
      </c>
      <c r="C3899" s="9" t="s">
        <v>6916</v>
      </c>
      <c r="D3899" s="9" t="s">
        <v>6742</v>
      </c>
      <c r="E3899" s="9" t="s">
        <v>1051</v>
      </c>
      <c r="F3899" s="9" t="s">
        <v>1052</v>
      </c>
      <c r="G3899" s="9" t="s">
        <v>12</v>
      </c>
      <c r="H3899" s="9"/>
      <c r="I3899" s="9"/>
      <c r="J3899" s="9" t="s">
        <v>10489</v>
      </c>
      <c r="K3899" s="9"/>
      <c r="L3899" s="9"/>
      <c r="M3899" s="9" t="s">
        <v>1053</v>
      </c>
      <c r="N3899" s="9"/>
      <c r="O3899" s="9" t="s">
        <v>1054</v>
      </c>
      <c r="P3899" s="9" t="str">
        <f>HYPERLINK("https://ceds.ed.gov/cedselementdetails.aspx?termid=14037")</f>
        <v>https://ceds.ed.gov/cedselementdetails.aspx?termid=14037</v>
      </c>
      <c r="Q3899" s="9" t="str">
        <f>HYPERLINK("https://ceds.ed.gov/elementComment.aspx?elementName=Assessment Need Number of Braille Cells &amp;elementID=14037", "Click here to submit comment")</f>
        <v>Click here to submit comment</v>
      </c>
    </row>
    <row r="3900" spans="1:17" ht="45" x14ac:dyDescent="0.25">
      <c r="A3900" s="9" t="s">
        <v>6892</v>
      </c>
      <c r="B3900" s="9" t="s">
        <v>6913</v>
      </c>
      <c r="C3900" s="9" t="s">
        <v>6916</v>
      </c>
      <c r="D3900" s="9" t="s">
        <v>6742</v>
      </c>
      <c r="E3900" s="9" t="s">
        <v>1055</v>
      </c>
      <c r="F3900" s="9" t="s">
        <v>1056</v>
      </c>
      <c r="G3900" s="10" t="s">
        <v>6367</v>
      </c>
      <c r="H3900" s="9"/>
      <c r="I3900" s="9"/>
      <c r="J3900" s="9"/>
      <c r="K3900" s="9"/>
      <c r="L3900" s="9"/>
      <c r="M3900" s="9" t="s">
        <v>1057</v>
      </c>
      <c r="N3900" s="9"/>
      <c r="O3900" s="9" t="s">
        <v>1058</v>
      </c>
      <c r="P3900" s="9" t="str">
        <f>HYPERLINK("https://ceds.ed.gov/cedselementdetails.aspx?termid=14036")</f>
        <v>https://ceds.ed.gov/cedselementdetails.aspx?termid=14036</v>
      </c>
      <c r="Q3900" s="9" t="str">
        <f>HYPERLINK("https://ceds.ed.gov/elementComment.aspx?elementName=Assessment Need Number of Braille Dots Type &amp;elementID=14036", "Click here to submit comment")</f>
        <v>Click here to submit comment</v>
      </c>
    </row>
    <row r="3901" spans="1:17" ht="45" x14ac:dyDescent="0.25">
      <c r="A3901" s="9" t="s">
        <v>6892</v>
      </c>
      <c r="B3901" s="9" t="s">
        <v>6913</v>
      </c>
      <c r="C3901" s="9" t="s">
        <v>6916</v>
      </c>
      <c r="D3901" s="9" t="s">
        <v>6742</v>
      </c>
      <c r="E3901" s="9" t="s">
        <v>985</v>
      </c>
      <c r="F3901" s="9" t="s">
        <v>986</v>
      </c>
      <c r="G3901" s="9" t="s">
        <v>12</v>
      </c>
      <c r="H3901" s="9"/>
      <c r="I3901" s="9"/>
      <c r="J3901" s="9" t="s">
        <v>3018</v>
      </c>
      <c r="K3901" s="9"/>
      <c r="L3901" s="9"/>
      <c r="M3901" s="9" t="s">
        <v>988</v>
      </c>
      <c r="N3901" s="9"/>
      <c r="O3901" s="9" t="s">
        <v>989</v>
      </c>
      <c r="P3901" s="9" t="str">
        <f>HYPERLINK("https://ceds.ed.gov/cedselementdetails.aspx?termid=14040")</f>
        <v>https://ceds.ed.gov/cedselementdetails.aspx?termid=14040</v>
      </c>
      <c r="Q3901" s="9" t="str">
        <f>HYPERLINK("https://ceds.ed.gov/elementComment.aspx?elementName=Assessment Need Braille Dot Pressure &amp;elementID=14040", "Click here to submit comment")</f>
        <v>Click here to submit comment</v>
      </c>
    </row>
    <row r="3902" spans="1:17" ht="60" x14ac:dyDescent="0.25">
      <c r="A3902" s="9" t="s">
        <v>6892</v>
      </c>
      <c r="B3902" s="9" t="s">
        <v>6913</v>
      </c>
      <c r="C3902" s="9" t="s">
        <v>6916</v>
      </c>
      <c r="D3902" s="9" t="s">
        <v>6742</v>
      </c>
      <c r="E3902" s="9" t="s">
        <v>990</v>
      </c>
      <c r="F3902" s="9" t="s">
        <v>991</v>
      </c>
      <c r="G3902" s="10" t="s">
        <v>6360</v>
      </c>
      <c r="H3902" s="9"/>
      <c r="I3902" s="9"/>
      <c r="J3902" s="9"/>
      <c r="K3902" s="9"/>
      <c r="L3902" s="9"/>
      <c r="M3902" s="9" t="s">
        <v>992</v>
      </c>
      <c r="N3902" s="9"/>
      <c r="O3902" s="9" t="s">
        <v>993</v>
      </c>
      <c r="P3902" s="9" t="str">
        <f>HYPERLINK("https://ceds.ed.gov/cedselementdetails.aspx?termid=14035")</f>
        <v>https://ceds.ed.gov/cedselementdetails.aspx?termid=14035</v>
      </c>
      <c r="Q3902" s="9" t="str">
        <f>HYPERLINK("https://ceds.ed.gov/elementComment.aspx?elementName=Assessment Need Braille Grade Type &amp;elementID=14035", "Click here to submit comment")</f>
        <v>Click here to submit comment</v>
      </c>
    </row>
    <row r="3903" spans="1:17" ht="105" x14ac:dyDescent="0.25">
      <c r="A3903" s="9" t="s">
        <v>6892</v>
      </c>
      <c r="B3903" s="9" t="s">
        <v>6913</v>
      </c>
      <c r="C3903" s="9" t="s">
        <v>6916</v>
      </c>
      <c r="D3903" s="9" t="s">
        <v>6742</v>
      </c>
      <c r="E3903" s="9" t="s">
        <v>994</v>
      </c>
      <c r="F3903" s="9" t="s">
        <v>995</v>
      </c>
      <c r="G3903" s="10" t="s">
        <v>6361</v>
      </c>
      <c r="H3903" s="9"/>
      <c r="I3903" s="9"/>
      <c r="J3903" s="9"/>
      <c r="K3903" s="9"/>
      <c r="L3903" s="9"/>
      <c r="M3903" s="9" t="s">
        <v>996</v>
      </c>
      <c r="N3903" s="9"/>
      <c r="O3903" s="9" t="s">
        <v>997</v>
      </c>
      <c r="P3903" s="9" t="str">
        <f>HYPERLINK("https://ceds.ed.gov/cedselementdetails.aspx?termid=14038")</f>
        <v>https://ceds.ed.gov/cedselementdetails.aspx?termid=14038</v>
      </c>
      <c r="Q3903" s="9" t="str">
        <f>HYPERLINK("https://ceds.ed.gov/elementComment.aspx?elementName=Assessment Need Braille Mark Type &amp;elementID=14038", "Click here to submit comment")</f>
        <v>Click here to submit comment</v>
      </c>
    </row>
    <row r="3904" spans="1:17" ht="60" x14ac:dyDescent="0.25">
      <c r="A3904" s="9" t="s">
        <v>6892</v>
      </c>
      <c r="B3904" s="9" t="s">
        <v>6913</v>
      </c>
      <c r="C3904" s="9" t="s">
        <v>6916</v>
      </c>
      <c r="D3904" s="9" t="s">
        <v>6742</v>
      </c>
      <c r="E3904" s="9" t="s">
        <v>998</v>
      </c>
      <c r="F3904" s="9" t="s">
        <v>999</v>
      </c>
      <c r="G3904" s="10" t="s">
        <v>6362</v>
      </c>
      <c r="H3904" s="9"/>
      <c r="I3904" s="9"/>
      <c r="J3904" s="9"/>
      <c r="K3904" s="9"/>
      <c r="L3904" s="9"/>
      <c r="M3904" s="9" t="s">
        <v>1000</v>
      </c>
      <c r="N3904" s="9"/>
      <c r="O3904" s="9" t="s">
        <v>1001</v>
      </c>
      <c r="P3904" s="9" t="str">
        <f>HYPERLINK("https://ceds.ed.gov/cedselementdetails.aspx?termid=14041")</f>
        <v>https://ceds.ed.gov/cedselementdetails.aspx?termid=14041</v>
      </c>
      <c r="Q3904" s="9" t="str">
        <f>HYPERLINK("https://ceds.ed.gov/elementComment.aspx?elementName=Assessment Need Braille Status Cell Type &amp;elementID=14041", "Click here to submit comment")</f>
        <v>Click here to submit comment</v>
      </c>
    </row>
    <row r="3905" spans="1:17" ht="60" x14ac:dyDescent="0.25">
      <c r="A3905" s="9" t="s">
        <v>6892</v>
      </c>
      <c r="B3905" s="9" t="s">
        <v>6913</v>
      </c>
      <c r="C3905" s="9" t="s">
        <v>6916</v>
      </c>
      <c r="D3905" s="9" t="s">
        <v>6742</v>
      </c>
      <c r="E3905" s="9" t="s">
        <v>1018</v>
      </c>
      <c r="F3905" s="9" t="s">
        <v>1019</v>
      </c>
      <c r="G3905" s="9" t="s">
        <v>6106</v>
      </c>
      <c r="H3905" s="9"/>
      <c r="I3905" s="9"/>
      <c r="J3905" s="9"/>
      <c r="K3905" s="9"/>
      <c r="L3905" s="9"/>
      <c r="M3905" s="9" t="s">
        <v>1020</v>
      </c>
      <c r="N3905" s="9"/>
      <c r="O3905" s="9" t="s">
        <v>1021</v>
      </c>
      <c r="P3905" s="9" t="str">
        <f>HYPERLINK("https://ceds.ed.gov/cedselementdetails.aspx?termid=14033")</f>
        <v>https://ceds.ed.gov/cedselementdetails.aspx?termid=14033</v>
      </c>
      <c r="Q3905" s="9" t="str">
        <f>HYPERLINK("https://ceds.ed.gov/elementComment.aspx?elementName=Assessment Need Invert Color Choice &amp;elementID=14033", "Click here to submit comment")</f>
        <v>Click here to submit comment</v>
      </c>
    </row>
    <row r="3906" spans="1:17" ht="60" x14ac:dyDescent="0.25">
      <c r="A3906" s="9" t="s">
        <v>6892</v>
      </c>
      <c r="B3906" s="9" t="s">
        <v>6913</v>
      </c>
      <c r="C3906" s="9" t="s">
        <v>6916</v>
      </c>
      <c r="D3906" s="9" t="s">
        <v>6742</v>
      </c>
      <c r="E3906" s="9" t="s">
        <v>1035</v>
      </c>
      <c r="F3906" s="9" t="s">
        <v>1036</v>
      </c>
      <c r="G3906" s="9" t="s">
        <v>12</v>
      </c>
      <c r="H3906" s="9"/>
      <c r="I3906" s="9"/>
      <c r="J3906" s="9" t="s">
        <v>982</v>
      </c>
      <c r="K3906" s="9"/>
      <c r="L3906" s="9"/>
      <c r="M3906" s="9" t="s">
        <v>1037</v>
      </c>
      <c r="N3906" s="9"/>
      <c r="O3906" s="9" t="s">
        <v>1038</v>
      </c>
      <c r="P3906" s="9" t="str">
        <f>HYPERLINK("https://ceds.ed.gov/cedselementdetails.aspx?termid=14056")</f>
        <v>https://ceds.ed.gov/cedselementdetails.aspx?termid=14056</v>
      </c>
      <c r="Q3906" s="9" t="str">
        <f>HYPERLINK("https://ceds.ed.gov/elementComment.aspx?elementName=Assessment Need Line Reader Highlight Color &amp;elementID=14056", "Click here to submit comment")</f>
        <v>Click here to submit comment</v>
      </c>
    </row>
    <row r="3907" spans="1:17" ht="75" x14ac:dyDescent="0.25">
      <c r="A3907" s="9" t="s">
        <v>6892</v>
      </c>
      <c r="B3907" s="9" t="s">
        <v>6913</v>
      </c>
      <c r="C3907" s="9" t="s">
        <v>6916</v>
      </c>
      <c r="D3907" s="9" t="s">
        <v>6742</v>
      </c>
      <c r="E3907" s="9" t="s">
        <v>1039</v>
      </c>
      <c r="F3907" s="9" t="s">
        <v>1040</v>
      </c>
      <c r="G3907" s="10" t="s">
        <v>6365</v>
      </c>
      <c r="H3907" s="9"/>
      <c r="I3907" s="9"/>
      <c r="J3907" s="9"/>
      <c r="K3907" s="9"/>
      <c r="L3907" s="9"/>
      <c r="M3907" s="9" t="s">
        <v>1041</v>
      </c>
      <c r="N3907" s="9"/>
      <c r="O3907" s="9" t="s">
        <v>1042</v>
      </c>
      <c r="P3907" s="9" t="str">
        <f>HYPERLINK("https://ceds.ed.gov/cedselementdetails.aspx?termid=14029")</f>
        <v>https://ceds.ed.gov/cedselementdetails.aspx?termid=14029</v>
      </c>
      <c r="Q3907" s="9" t="str">
        <f>HYPERLINK("https://ceds.ed.gov/elementComment.aspx?elementName=Assessment Need Link Indication Type &amp;elementID=14029", "Click here to submit comment")</f>
        <v>Click here to submit comment</v>
      </c>
    </row>
    <row r="3908" spans="1:17" ht="60" x14ac:dyDescent="0.25">
      <c r="A3908" s="9" t="s">
        <v>6892</v>
      </c>
      <c r="B3908" s="9" t="s">
        <v>6913</v>
      </c>
      <c r="C3908" s="9" t="s">
        <v>6916</v>
      </c>
      <c r="D3908" s="9" t="s">
        <v>6742</v>
      </c>
      <c r="E3908" s="9" t="s">
        <v>1043</v>
      </c>
      <c r="F3908" s="9" t="s">
        <v>1044</v>
      </c>
      <c r="G3908" s="9" t="s">
        <v>12</v>
      </c>
      <c r="H3908" s="9"/>
      <c r="I3908" s="9"/>
      <c r="J3908" s="9" t="s">
        <v>3018</v>
      </c>
      <c r="K3908" s="9"/>
      <c r="L3908" s="9"/>
      <c r="M3908" s="9" t="s">
        <v>1045</v>
      </c>
      <c r="N3908" s="9"/>
      <c r="O3908" s="9" t="s">
        <v>1046</v>
      </c>
      <c r="P3908" s="9" t="str">
        <f>HYPERLINK("https://ceds.ed.gov/cedselementdetails.aspx?termid=14034")</f>
        <v>https://ceds.ed.gov/cedselementdetails.aspx?termid=14034</v>
      </c>
      <c r="Q3908" s="9" t="str">
        <f>HYPERLINK("https://ceds.ed.gov/elementComment.aspx?elementName=Assessment Need Magnification &amp;elementID=14034", "Click here to submit comment")</f>
        <v>Click here to submit comment</v>
      </c>
    </row>
    <row r="3909" spans="1:17" ht="75" x14ac:dyDescent="0.25">
      <c r="A3909" s="9" t="s">
        <v>6892</v>
      </c>
      <c r="B3909" s="9" t="s">
        <v>6913</v>
      </c>
      <c r="C3909" s="9" t="s">
        <v>6916</v>
      </c>
      <c r="D3909" s="9" t="s">
        <v>6742</v>
      </c>
      <c r="E3909" s="9" t="s">
        <v>1047</v>
      </c>
      <c r="F3909" s="9" t="s">
        <v>1048</v>
      </c>
      <c r="G3909" s="10" t="s">
        <v>6366</v>
      </c>
      <c r="H3909" s="9"/>
      <c r="I3909" s="9"/>
      <c r="J3909" s="9"/>
      <c r="K3909" s="9"/>
      <c r="L3909" s="9"/>
      <c r="M3909" s="9" t="s">
        <v>1049</v>
      </c>
      <c r="N3909" s="9"/>
      <c r="O3909" s="9" t="s">
        <v>1050</v>
      </c>
      <c r="P3909" s="9" t="str">
        <f>HYPERLINK("https://ceds.ed.gov/cedselementdetails.aspx?termid=14051")</f>
        <v>https://ceds.ed.gov/cedselementdetails.aspx?termid=14051</v>
      </c>
      <c r="Q3909" s="9" t="str">
        <f>HYPERLINK("https://ceds.ed.gov/elementComment.aspx?elementName=Assessment Need Masking Type &amp;elementID=14051", "Click here to submit comment")</f>
        <v>Click here to submit comment</v>
      </c>
    </row>
    <row r="3910" spans="1:17" ht="45" x14ac:dyDescent="0.25">
      <c r="A3910" s="9" t="s">
        <v>6892</v>
      </c>
      <c r="B3910" s="9" t="s">
        <v>6913</v>
      </c>
      <c r="C3910" s="9" t="s">
        <v>6916</v>
      </c>
      <c r="D3910" s="9" t="s">
        <v>6742</v>
      </c>
      <c r="E3910" s="9" t="s">
        <v>1063</v>
      </c>
      <c r="F3910" s="9" t="s">
        <v>1064</v>
      </c>
      <c r="G3910" s="9" t="s">
        <v>12</v>
      </c>
      <c r="H3910" s="9"/>
      <c r="I3910" s="9"/>
      <c r="J3910" s="9" t="s">
        <v>3018</v>
      </c>
      <c r="K3910" s="9"/>
      <c r="L3910" s="9"/>
      <c r="M3910" s="9" t="s">
        <v>1065</v>
      </c>
      <c r="N3910" s="9"/>
      <c r="O3910" s="9" t="s">
        <v>1066</v>
      </c>
      <c r="P3910" s="9" t="str">
        <f>HYPERLINK("https://ceds.ed.gov/cedselementdetails.aspx?termid=14031")</f>
        <v>https://ceds.ed.gov/cedselementdetails.aspx?termid=14031</v>
      </c>
      <c r="Q3910" s="9" t="str">
        <f>HYPERLINK("https://ceds.ed.gov/elementComment.aspx?elementName=Assessment Need Pitch &amp;elementID=14031", "Click here to submit comment")</f>
        <v>Click here to submit comment</v>
      </c>
    </row>
    <row r="3911" spans="1:17" ht="60" x14ac:dyDescent="0.25">
      <c r="A3911" s="9" t="s">
        <v>6892</v>
      </c>
      <c r="B3911" s="9" t="s">
        <v>6913</v>
      </c>
      <c r="C3911" s="9" t="s">
        <v>6916</v>
      </c>
      <c r="D3911" s="9" t="s">
        <v>6742</v>
      </c>
      <c r="E3911" s="9" t="s">
        <v>12204</v>
      </c>
      <c r="F3911" s="9" t="s">
        <v>1067</v>
      </c>
      <c r="G3911" s="9" t="s">
        <v>6106</v>
      </c>
      <c r="H3911" s="9"/>
      <c r="I3911" s="9"/>
      <c r="J3911" s="9"/>
      <c r="K3911" s="9"/>
      <c r="L3911" s="9"/>
      <c r="M3911" s="9" t="s">
        <v>1068</v>
      </c>
      <c r="N3911" s="9"/>
      <c r="O3911" s="9" t="s">
        <v>1069</v>
      </c>
      <c r="P3911" s="9" t="str">
        <f>HYPERLINK("https://ceds.ed.gov/cedselementdetails.aspx?termid=14048")</f>
        <v>https://ceds.ed.gov/cedselementdetails.aspx?termid=14048</v>
      </c>
      <c r="Q3911" s="9" t="str">
        <f>HYPERLINK("https://ceds.ed.gov/elementComment.aspx?elementName=Assessment Need Read at Start Preference &amp;elementID=14048", "Click here to submit comment")</f>
        <v>Click here to submit comment</v>
      </c>
    </row>
    <row r="3912" spans="1:17" ht="45" x14ac:dyDescent="0.25">
      <c r="A3912" s="9" t="s">
        <v>6892</v>
      </c>
      <c r="B3912" s="9" t="s">
        <v>6913</v>
      </c>
      <c r="C3912" s="9" t="s">
        <v>6916</v>
      </c>
      <c r="D3912" s="9" t="s">
        <v>6742</v>
      </c>
      <c r="E3912" s="9" t="s">
        <v>1070</v>
      </c>
      <c r="F3912" s="9" t="s">
        <v>1071</v>
      </c>
      <c r="G3912" s="10" t="s">
        <v>6368</v>
      </c>
      <c r="H3912" s="9"/>
      <c r="I3912" s="9"/>
      <c r="J3912" s="9"/>
      <c r="K3912" s="9"/>
      <c r="L3912" s="9"/>
      <c r="M3912" s="9" t="s">
        <v>1072</v>
      </c>
      <c r="N3912" s="9"/>
      <c r="O3912" s="9" t="s">
        <v>1073</v>
      </c>
      <c r="P3912" s="9" t="str">
        <f>HYPERLINK("https://ceds.ed.gov/cedselementdetails.aspx?termid=14044")</f>
        <v>https://ceds.ed.gov/cedselementdetails.aspx?termid=14044</v>
      </c>
      <c r="Q3912" s="9" t="str">
        <f>HYPERLINK("https://ceds.ed.gov/elementComment.aspx?elementName=Assessment Need Signing Type &amp;elementID=14044", "Click here to submit comment")</f>
        <v>Click here to submit comment</v>
      </c>
    </row>
    <row r="3913" spans="1:17" ht="105" x14ac:dyDescent="0.25">
      <c r="A3913" s="9" t="s">
        <v>6892</v>
      </c>
      <c r="B3913" s="9" t="s">
        <v>6913</v>
      </c>
      <c r="C3913" s="9" t="s">
        <v>6916</v>
      </c>
      <c r="D3913" s="9" t="s">
        <v>6742</v>
      </c>
      <c r="E3913" s="9" t="s">
        <v>1074</v>
      </c>
      <c r="F3913" s="9" t="s">
        <v>1075</v>
      </c>
      <c r="G3913" s="9" t="s">
        <v>12</v>
      </c>
      <c r="H3913" s="9"/>
      <c r="I3913" s="9"/>
      <c r="J3913" s="9" t="s">
        <v>1143</v>
      </c>
      <c r="K3913" s="9"/>
      <c r="L3913" s="9"/>
      <c r="M3913" s="9" t="s">
        <v>1076</v>
      </c>
      <c r="N3913" s="9"/>
      <c r="O3913" s="9" t="s">
        <v>1077</v>
      </c>
      <c r="P3913" s="9" t="str">
        <f>HYPERLINK("https://ceds.ed.gov/cedselementdetails.aspx?termid=14053")</f>
        <v>https://ceds.ed.gov/cedselementdetails.aspx?termid=14053</v>
      </c>
      <c r="Q3913" s="9" t="str">
        <f>HYPERLINK("https://ceds.ed.gov/elementComment.aspx?elementName=Assessment Need Sound File URL &amp;elementID=14053", "Click here to submit comment")</f>
        <v>Click here to submit comment</v>
      </c>
    </row>
    <row r="3914" spans="1:17" ht="45" x14ac:dyDescent="0.25">
      <c r="A3914" s="9" t="s">
        <v>6892</v>
      </c>
      <c r="B3914" s="9" t="s">
        <v>6913</v>
      </c>
      <c r="C3914" s="9" t="s">
        <v>6916</v>
      </c>
      <c r="D3914" s="9" t="s">
        <v>6742</v>
      </c>
      <c r="E3914" s="9" t="s">
        <v>1078</v>
      </c>
      <c r="F3914" s="9" t="s">
        <v>1079</v>
      </c>
      <c r="G3914" s="9" t="s">
        <v>12</v>
      </c>
      <c r="H3914" s="9"/>
      <c r="I3914" s="9"/>
      <c r="J3914" s="9" t="s">
        <v>10489</v>
      </c>
      <c r="K3914" s="9"/>
      <c r="L3914" s="9"/>
      <c r="M3914" s="9" t="s">
        <v>1080</v>
      </c>
      <c r="N3914" s="9"/>
      <c r="O3914" s="9" t="s">
        <v>1081</v>
      </c>
      <c r="P3914" s="9" t="str">
        <f>HYPERLINK("https://ceds.ed.gov/cedselementdetails.aspx?termid=14030")</f>
        <v>https://ceds.ed.gov/cedselementdetails.aspx?termid=14030</v>
      </c>
      <c r="Q3914" s="9" t="str">
        <f>HYPERLINK("https://ceds.ed.gov/elementComment.aspx?elementName=Assessment Need Speech Rate &amp;elementID=14030", "Click here to submit comment")</f>
        <v>Click here to submit comment</v>
      </c>
    </row>
    <row r="3915" spans="1:17" ht="45" x14ac:dyDescent="0.25">
      <c r="A3915" s="9" t="s">
        <v>6892</v>
      </c>
      <c r="B3915" s="9" t="s">
        <v>6913</v>
      </c>
      <c r="C3915" s="9" t="s">
        <v>6916</v>
      </c>
      <c r="D3915" s="9" t="s">
        <v>6742</v>
      </c>
      <c r="E3915" s="9" t="s">
        <v>1082</v>
      </c>
      <c r="F3915" s="9" t="s">
        <v>1083</v>
      </c>
      <c r="G3915" s="10" t="s">
        <v>6369</v>
      </c>
      <c r="H3915" s="9"/>
      <c r="I3915" s="9"/>
      <c r="J3915" s="9"/>
      <c r="K3915" s="9"/>
      <c r="L3915" s="9"/>
      <c r="M3915" s="9" t="s">
        <v>1084</v>
      </c>
      <c r="N3915" s="9"/>
      <c r="O3915" s="9" t="s">
        <v>1085</v>
      </c>
      <c r="P3915" s="9" t="str">
        <f>HYPERLINK("https://ceds.ed.gov/cedselementdetails.aspx?termid=14046")</f>
        <v>https://ceds.ed.gov/cedselementdetails.aspx?termid=14046</v>
      </c>
      <c r="Q3915" s="9" t="str">
        <f>HYPERLINK("https://ceds.ed.gov/elementComment.aspx?elementName=Assessment Need Spoken Source Preference Type &amp;elementID=14046", "Click here to submit comment")</f>
        <v>Click here to submit comment</v>
      </c>
    </row>
    <row r="3916" spans="1:17" ht="45" x14ac:dyDescent="0.25">
      <c r="A3916" s="9" t="s">
        <v>6892</v>
      </c>
      <c r="B3916" s="9" t="s">
        <v>6913</v>
      </c>
      <c r="C3916" s="9" t="s">
        <v>6916</v>
      </c>
      <c r="D3916" s="9" t="s">
        <v>6742</v>
      </c>
      <c r="E3916" s="9" t="s">
        <v>1112</v>
      </c>
      <c r="F3916" s="9" t="s">
        <v>1113</v>
      </c>
      <c r="G3916" s="9" t="s">
        <v>12</v>
      </c>
      <c r="H3916" s="9"/>
      <c r="I3916" s="9"/>
      <c r="J3916" s="9" t="s">
        <v>3018</v>
      </c>
      <c r="K3916" s="9"/>
      <c r="L3916" s="9"/>
      <c r="M3916" s="9" t="s">
        <v>1114</v>
      </c>
      <c r="N3916" s="9"/>
      <c r="O3916" s="9" t="s">
        <v>1115</v>
      </c>
      <c r="P3916" s="9" t="str">
        <f>HYPERLINK("https://ceds.ed.gov/cedselementdetails.aspx?termid=14032")</f>
        <v>https://ceds.ed.gov/cedselementdetails.aspx?termid=14032</v>
      </c>
      <c r="Q3916" s="9" t="str">
        <f>HYPERLINK("https://ceds.ed.gov/elementComment.aspx?elementName=Assessment Need Volume &amp;elementID=14032", "Click here to submit comment")</f>
        <v>Click here to submit comment</v>
      </c>
    </row>
    <row r="3917" spans="1:17" ht="105" x14ac:dyDescent="0.25">
      <c r="A3917" s="9" t="s">
        <v>6892</v>
      </c>
      <c r="B3917" s="9" t="s">
        <v>6913</v>
      </c>
      <c r="C3917" s="9" t="s">
        <v>6916</v>
      </c>
      <c r="D3917" s="9" t="s">
        <v>6742</v>
      </c>
      <c r="E3917" s="9" t="s">
        <v>1090</v>
      </c>
      <c r="F3917" s="9" t="s">
        <v>1091</v>
      </c>
      <c r="G3917" s="9" t="s">
        <v>12</v>
      </c>
      <c r="H3917" s="9"/>
      <c r="I3917" s="9"/>
      <c r="J3917" s="9" t="s">
        <v>303</v>
      </c>
      <c r="K3917" s="9"/>
      <c r="L3917" s="9"/>
      <c r="M3917" s="9" t="s">
        <v>1092</v>
      </c>
      <c r="N3917" s="9"/>
      <c r="O3917" s="9" t="s">
        <v>1093</v>
      </c>
      <c r="P3917" s="9" t="str">
        <f>HYPERLINK("https://ceds.ed.gov/cedselementdetails.aspx?termid=14052")</f>
        <v>https://ceds.ed.gov/cedselementdetails.aspx?termid=14052</v>
      </c>
      <c r="Q3917" s="9" t="str">
        <f>HYPERLINK("https://ceds.ed.gov/elementComment.aspx?elementName=Assessment Need Text Messaging String &amp;elementID=14052", "Click here to submit comment")</f>
        <v>Click here to submit comment</v>
      </c>
    </row>
    <row r="3918" spans="1:17" ht="75" x14ac:dyDescent="0.25">
      <c r="A3918" s="9" t="s">
        <v>6892</v>
      </c>
      <c r="B3918" s="9" t="s">
        <v>6913</v>
      </c>
      <c r="C3918" s="9" t="s">
        <v>6916</v>
      </c>
      <c r="D3918" s="9" t="s">
        <v>6742</v>
      </c>
      <c r="E3918" s="9" t="s">
        <v>1104</v>
      </c>
      <c r="F3918" s="9" t="s">
        <v>1105</v>
      </c>
      <c r="G3918" s="10" t="s">
        <v>6371</v>
      </c>
      <c r="H3918" s="9"/>
      <c r="I3918" s="9"/>
      <c r="J3918" s="9"/>
      <c r="K3918" s="9"/>
      <c r="L3918" s="9"/>
      <c r="M3918" s="9" t="s">
        <v>1106</v>
      </c>
      <c r="N3918" s="9"/>
      <c r="O3918" s="9" t="s">
        <v>1107</v>
      </c>
      <c r="P3918" s="9" t="str">
        <f>HYPERLINK("https://ceds.ed.gov/cedselementdetails.aspx?termid=14028")</f>
        <v>https://ceds.ed.gov/cedselementdetails.aspx?termid=14028</v>
      </c>
      <c r="Q3918" s="9" t="str">
        <f>HYPERLINK("https://ceds.ed.gov/elementComment.aspx?elementName=Assessment Need Usage Type &amp;elementID=14028", "Click here to submit comment")</f>
        <v>Click here to submit comment</v>
      </c>
    </row>
    <row r="3919" spans="1:17" ht="60" x14ac:dyDescent="0.25">
      <c r="A3919" s="9" t="s">
        <v>6892</v>
      </c>
      <c r="B3919" s="9" t="s">
        <v>6913</v>
      </c>
      <c r="C3919" s="9" t="s">
        <v>6917</v>
      </c>
      <c r="D3919" s="9" t="s">
        <v>6742</v>
      </c>
      <c r="E3919" s="9" t="s">
        <v>979</v>
      </c>
      <c r="F3919" s="9" t="s">
        <v>980</v>
      </c>
      <c r="G3919" s="9" t="s">
        <v>12</v>
      </c>
      <c r="H3919" s="9"/>
      <c r="I3919" s="9"/>
      <c r="J3919" s="9" t="s">
        <v>982</v>
      </c>
      <c r="K3919" s="9"/>
      <c r="L3919" s="9"/>
      <c r="M3919" s="9" t="s">
        <v>983</v>
      </c>
      <c r="N3919" s="9"/>
      <c r="O3919" s="9" t="s">
        <v>984</v>
      </c>
      <c r="P3919" s="9" t="str">
        <f>HYPERLINK("https://ceds.ed.gov/cedselementdetails.aspx?termid=14059")</f>
        <v>https://ceds.ed.gov/cedselementdetails.aspx?termid=14059</v>
      </c>
      <c r="Q3919" s="9" t="str">
        <f>HYPERLINK("https://ceds.ed.gov/elementComment.aspx?elementName=Assessment Need Background Color &amp;elementID=14059", "Click here to submit comment")</f>
        <v>Click here to submit comment</v>
      </c>
    </row>
    <row r="3920" spans="1:17" ht="60" x14ac:dyDescent="0.25">
      <c r="A3920" s="9" t="s">
        <v>6892</v>
      </c>
      <c r="B3920" s="9" t="s">
        <v>6913</v>
      </c>
      <c r="C3920" s="9" t="s">
        <v>6917</v>
      </c>
      <c r="D3920" s="9" t="s">
        <v>6742</v>
      </c>
      <c r="E3920" s="9" t="s">
        <v>1006</v>
      </c>
      <c r="F3920" s="9" t="s">
        <v>1007</v>
      </c>
      <c r="G3920" s="9" t="s">
        <v>12</v>
      </c>
      <c r="H3920" s="9"/>
      <c r="I3920" s="9"/>
      <c r="J3920" s="9" t="s">
        <v>982</v>
      </c>
      <c r="K3920" s="9"/>
      <c r="L3920" s="9"/>
      <c r="M3920" s="9" t="s">
        <v>1008</v>
      </c>
      <c r="N3920" s="9"/>
      <c r="O3920" s="9" t="s">
        <v>1009</v>
      </c>
      <c r="P3920" s="9" t="str">
        <f>HYPERLINK("https://ceds.ed.gov/cedselementdetails.aspx?termid=14058")</f>
        <v>https://ceds.ed.gov/cedselementdetails.aspx?termid=14058</v>
      </c>
      <c r="Q3920" s="9" t="str">
        <f>HYPERLINK("https://ceds.ed.gov/elementComment.aspx?elementName=Assessment Need Foreground Color &amp;elementID=14058", "Click here to submit comment")</f>
        <v>Click here to submit comment</v>
      </c>
    </row>
    <row r="3921" spans="1:17" ht="60" x14ac:dyDescent="0.25">
      <c r="A3921" s="9" t="s">
        <v>6892</v>
      </c>
      <c r="B3921" s="9" t="s">
        <v>6913</v>
      </c>
      <c r="C3921" s="9" t="s">
        <v>6917</v>
      </c>
      <c r="D3921" s="9" t="s">
        <v>6742</v>
      </c>
      <c r="E3921" s="9" t="s">
        <v>1014</v>
      </c>
      <c r="F3921" s="9" t="s">
        <v>1015</v>
      </c>
      <c r="G3921" s="10" t="s">
        <v>6364</v>
      </c>
      <c r="H3921" s="9"/>
      <c r="I3921" s="9"/>
      <c r="J3921" s="9"/>
      <c r="K3921" s="9"/>
      <c r="L3921" s="9"/>
      <c r="M3921" s="9" t="s">
        <v>1016</v>
      </c>
      <c r="N3921" s="9"/>
      <c r="O3921" s="9" t="s">
        <v>1017</v>
      </c>
      <c r="P3921" s="9" t="str">
        <f>HYPERLINK("https://ceds.ed.gov/cedselementdetails.aspx?termid=14060")</f>
        <v>https://ceds.ed.gov/cedselementdetails.aspx?termid=14060</v>
      </c>
      <c r="Q3921" s="9" t="str">
        <f>HYPERLINK("https://ceds.ed.gov/elementComment.aspx?elementName=Assessment Need Increased Whitespacing Type &amp;elementID=14060", "Click here to submit comment")</f>
        <v>Click here to submit comment</v>
      </c>
    </row>
    <row r="3922" spans="1:17" ht="60" x14ac:dyDescent="0.25">
      <c r="A3922" s="9" t="s">
        <v>6892</v>
      </c>
      <c r="B3922" s="9" t="s">
        <v>6913</v>
      </c>
      <c r="C3922" s="9" t="s">
        <v>6917</v>
      </c>
      <c r="D3922" s="9" t="s">
        <v>6742</v>
      </c>
      <c r="E3922" s="9" t="s">
        <v>1059</v>
      </c>
      <c r="F3922" s="9" t="s">
        <v>1060</v>
      </c>
      <c r="G3922" s="9" t="s">
        <v>12</v>
      </c>
      <c r="H3922" s="9"/>
      <c r="I3922" s="9"/>
      <c r="J3922" s="9" t="s">
        <v>982</v>
      </c>
      <c r="K3922" s="9"/>
      <c r="L3922" s="9"/>
      <c r="M3922" s="9" t="s">
        <v>1061</v>
      </c>
      <c r="N3922" s="9"/>
      <c r="O3922" s="9" t="s">
        <v>1062</v>
      </c>
      <c r="P3922" s="9" t="str">
        <f>HYPERLINK("https://ceds.ed.gov/cedselementdetails.aspx?termid=14057")</f>
        <v>https://ceds.ed.gov/cedselementdetails.aspx?termid=14057</v>
      </c>
      <c r="Q3922" s="9" t="str">
        <f>HYPERLINK("https://ceds.ed.gov/elementComment.aspx?elementName=Assessment Need Overlay Color &amp;elementID=14057", "Click here to submit comment")</f>
        <v>Click here to submit comment</v>
      </c>
    </row>
    <row r="3923" spans="1:17" ht="105" x14ac:dyDescent="0.25">
      <c r="A3923" s="18" t="s">
        <v>6892</v>
      </c>
      <c r="B3923" s="18" t="s">
        <v>6912</v>
      </c>
      <c r="C3923" s="18"/>
      <c r="D3923" s="18" t="s">
        <v>6742</v>
      </c>
      <c r="E3923" s="18" t="s">
        <v>604</v>
      </c>
      <c r="F3923" s="18" t="s">
        <v>605</v>
      </c>
      <c r="G3923" s="18" t="s">
        <v>12</v>
      </c>
      <c r="H3923" s="18" t="s">
        <v>6134</v>
      </c>
      <c r="I3923" s="18"/>
      <c r="J3923" s="18" t="s">
        <v>119</v>
      </c>
      <c r="K3923" s="18"/>
      <c r="L3923" s="9" t="s">
        <v>120</v>
      </c>
      <c r="M3923" s="18" t="s">
        <v>606</v>
      </c>
      <c r="N3923" s="18"/>
      <c r="O3923" s="18" t="s">
        <v>607</v>
      </c>
      <c r="P3923" s="18" t="str">
        <f>HYPERLINK("https://ceds.ed.gov/cedselementdetails.aspx?termid=13152")</f>
        <v>https://ceds.ed.gov/cedselementdetails.aspx?termid=13152</v>
      </c>
      <c r="Q3923" s="18" t="str">
        <f>HYPERLINK("https://ceds.ed.gov/elementComment.aspx?elementName=Assessment Identifier &amp;elementID=13152", "Click here to submit comment")</f>
        <v>Click here to submit comment</v>
      </c>
    </row>
    <row r="3924" spans="1:17" x14ac:dyDescent="0.25">
      <c r="A3924" s="18"/>
      <c r="B3924" s="18"/>
      <c r="C3924" s="18"/>
      <c r="D3924" s="18"/>
      <c r="E3924" s="18"/>
      <c r="F3924" s="18"/>
      <c r="G3924" s="18"/>
      <c r="H3924" s="18"/>
      <c r="I3924" s="18"/>
      <c r="J3924" s="18"/>
      <c r="K3924" s="18"/>
      <c r="L3924" s="9"/>
      <c r="M3924" s="18"/>
      <c r="N3924" s="18"/>
      <c r="O3924" s="18"/>
      <c r="P3924" s="18"/>
      <c r="Q3924" s="18"/>
    </row>
    <row r="3925" spans="1:17" ht="90" x14ac:dyDescent="0.25">
      <c r="A3925" s="18"/>
      <c r="B3925" s="18"/>
      <c r="C3925" s="18"/>
      <c r="D3925" s="18"/>
      <c r="E3925" s="18"/>
      <c r="F3925" s="18"/>
      <c r="G3925" s="18"/>
      <c r="H3925" s="18"/>
      <c r="I3925" s="18"/>
      <c r="J3925" s="18"/>
      <c r="K3925" s="18"/>
      <c r="L3925" s="9" t="s">
        <v>121</v>
      </c>
      <c r="M3925" s="18"/>
      <c r="N3925" s="18"/>
      <c r="O3925" s="18"/>
      <c r="P3925" s="18"/>
      <c r="Q3925" s="18"/>
    </row>
    <row r="3926" spans="1:17" ht="165" x14ac:dyDescent="0.25">
      <c r="A3926" s="9" t="s">
        <v>6892</v>
      </c>
      <c r="B3926" s="9" t="s">
        <v>6912</v>
      </c>
      <c r="C3926" s="9"/>
      <c r="D3926" s="9" t="s">
        <v>6742</v>
      </c>
      <c r="E3926" s="9" t="s">
        <v>600</v>
      </c>
      <c r="F3926" s="9" t="s">
        <v>601</v>
      </c>
      <c r="G3926" s="10" t="s">
        <v>6349</v>
      </c>
      <c r="H3926" s="9" t="s">
        <v>6133</v>
      </c>
      <c r="I3926" s="9"/>
      <c r="J3926" s="9"/>
      <c r="K3926" s="9"/>
      <c r="L3926" s="9"/>
      <c r="M3926" s="9" t="s">
        <v>602</v>
      </c>
      <c r="N3926" s="9"/>
      <c r="O3926" s="9" t="s">
        <v>603</v>
      </c>
      <c r="P3926" s="9" t="str">
        <f>HYPERLINK("https://ceds.ed.gov/cedselementdetails.aspx?termid=13158")</f>
        <v>https://ceds.ed.gov/cedselementdetails.aspx?termid=13158</v>
      </c>
      <c r="Q3926" s="9" t="str">
        <f>HYPERLINK("https://ceds.ed.gov/elementComment.aspx?elementName=Assessment Identification System &amp;elementID=13158", "Click here to submit comment")</f>
        <v>Click here to submit comment</v>
      </c>
    </row>
    <row r="3927" spans="1:17" ht="45" x14ac:dyDescent="0.25">
      <c r="A3927" s="9" t="s">
        <v>6892</v>
      </c>
      <c r="B3927" s="9" t="s">
        <v>6912</v>
      </c>
      <c r="C3927" s="9"/>
      <c r="D3927" s="9" t="s">
        <v>6742</v>
      </c>
      <c r="E3927" s="9" t="s">
        <v>396</v>
      </c>
      <c r="F3927" s="9" t="s">
        <v>397</v>
      </c>
      <c r="G3927" s="9" t="s">
        <v>12</v>
      </c>
      <c r="H3927" s="9"/>
      <c r="I3927" s="9"/>
      <c r="J3927" s="9" t="s">
        <v>87</v>
      </c>
      <c r="K3927" s="9"/>
      <c r="L3927" s="9"/>
      <c r="M3927" s="9" t="s">
        <v>398</v>
      </c>
      <c r="N3927" s="9"/>
      <c r="O3927" s="9" t="s">
        <v>399</v>
      </c>
      <c r="P3927" s="9" t="str">
        <f>HYPERLINK("https://ceds.ed.gov/cedselementdetails.aspx?termid=13962")</f>
        <v>https://ceds.ed.gov/cedselementdetails.aspx?termid=13962</v>
      </c>
      <c r="Q3927" s="9" t="str">
        <f>HYPERLINK("https://ceds.ed.gov/elementComment.aspx?elementName=Assessment Administration Code &amp;elementID=13962", "Click here to submit comment")</f>
        <v>Click here to submit comment</v>
      </c>
    </row>
    <row r="3928" spans="1:17" ht="45" x14ac:dyDescent="0.25">
      <c r="A3928" s="9" t="s">
        <v>6892</v>
      </c>
      <c r="B3928" s="9" t="s">
        <v>6912</v>
      </c>
      <c r="C3928" s="9"/>
      <c r="D3928" s="9" t="s">
        <v>6742</v>
      </c>
      <c r="E3928" s="9" t="s">
        <v>409</v>
      </c>
      <c r="F3928" s="9" t="s">
        <v>410</v>
      </c>
      <c r="G3928" s="9" t="s">
        <v>12</v>
      </c>
      <c r="H3928" s="9"/>
      <c r="I3928" s="9"/>
      <c r="J3928" s="9" t="s">
        <v>87</v>
      </c>
      <c r="K3928" s="9"/>
      <c r="L3928" s="9"/>
      <c r="M3928" s="9" t="s">
        <v>411</v>
      </c>
      <c r="N3928" s="9"/>
      <c r="O3928" s="9" t="s">
        <v>412</v>
      </c>
      <c r="P3928" s="9" t="str">
        <f>HYPERLINK("https://ceds.ed.gov/cedselementdetails.aspx?termid=13978")</f>
        <v>https://ceds.ed.gov/cedselementdetails.aspx?termid=13978</v>
      </c>
      <c r="Q3928" s="9" t="str">
        <f>HYPERLINK("https://ceds.ed.gov/elementComment.aspx?elementName=Assessment Administration Name &amp;elementID=13978", "Click here to submit comment")</f>
        <v>Click here to submit comment</v>
      </c>
    </row>
    <row r="3929" spans="1:17" ht="45" x14ac:dyDescent="0.25">
      <c r="A3929" s="9" t="s">
        <v>6892</v>
      </c>
      <c r="B3929" s="9" t="s">
        <v>6912</v>
      </c>
      <c r="C3929" s="9"/>
      <c r="D3929" s="9" t="s">
        <v>6742</v>
      </c>
      <c r="E3929" s="9" t="s">
        <v>425</v>
      </c>
      <c r="F3929" s="9" t="s">
        <v>426</v>
      </c>
      <c r="G3929" s="9" t="s">
        <v>12</v>
      </c>
      <c r="H3929" s="9"/>
      <c r="I3929" s="9"/>
      <c r="J3929" s="9" t="s">
        <v>406</v>
      </c>
      <c r="K3929" s="9"/>
      <c r="L3929" s="9"/>
      <c r="M3929" s="9" t="s">
        <v>427</v>
      </c>
      <c r="N3929" s="9"/>
      <c r="O3929" s="9" t="s">
        <v>428</v>
      </c>
      <c r="P3929" s="9" t="str">
        <f>HYPERLINK("https://ceds.ed.gov/cedselementdetails.aspx?termid=13964")</f>
        <v>https://ceds.ed.gov/cedselementdetails.aspx?termid=13964</v>
      </c>
      <c r="Q3929" s="9" t="str">
        <f>HYPERLINK("https://ceds.ed.gov/elementComment.aspx?elementName=Assessment Administration Start Time &amp;elementID=13964", "Click here to submit comment")</f>
        <v>Click here to submit comment</v>
      </c>
    </row>
    <row r="3930" spans="1:17" ht="45" x14ac:dyDescent="0.25">
      <c r="A3930" s="9" t="s">
        <v>6892</v>
      </c>
      <c r="B3930" s="9" t="s">
        <v>6912</v>
      </c>
      <c r="C3930" s="9"/>
      <c r="D3930" s="9" t="s">
        <v>6742</v>
      </c>
      <c r="E3930" s="9" t="s">
        <v>404</v>
      </c>
      <c r="F3930" s="9" t="s">
        <v>405</v>
      </c>
      <c r="G3930" s="9" t="s">
        <v>12</v>
      </c>
      <c r="H3930" s="9"/>
      <c r="I3930" s="9"/>
      <c r="J3930" s="9" t="s">
        <v>406</v>
      </c>
      <c r="K3930" s="9"/>
      <c r="L3930" s="9"/>
      <c r="M3930" s="9" t="s">
        <v>407</v>
      </c>
      <c r="N3930" s="9"/>
      <c r="O3930" s="9" t="s">
        <v>408</v>
      </c>
      <c r="P3930" s="9" t="str">
        <f>HYPERLINK("https://ceds.ed.gov/cedselementdetails.aspx?termid=13966")</f>
        <v>https://ceds.ed.gov/cedselementdetails.aspx?termid=13966</v>
      </c>
      <c r="Q3930" s="9" t="str">
        <f>HYPERLINK("https://ceds.ed.gov/elementComment.aspx?elementName=Assessment Administration Finish Time &amp;elementID=13966", "Click here to submit comment")</f>
        <v>Click here to submit comment</v>
      </c>
    </row>
    <row r="3931" spans="1:17" ht="45" x14ac:dyDescent="0.25">
      <c r="A3931" s="9" t="s">
        <v>6892</v>
      </c>
      <c r="B3931" s="9" t="s">
        <v>6912</v>
      </c>
      <c r="C3931" s="9"/>
      <c r="D3931" s="9" t="s">
        <v>6742</v>
      </c>
      <c r="E3931" s="9" t="s">
        <v>421</v>
      </c>
      <c r="F3931" s="9" t="s">
        <v>422</v>
      </c>
      <c r="G3931" s="9" t="s">
        <v>12</v>
      </c>
      <c r="H3931" s="9"/>
      <c r="I3931" s="9"/>
      <c r="J3931" s="9" t="s">
        <v>73</v>
      </c>
      <c r="K3931" s="9"/>
      <c r="L3931" s="9"/>
      <c r="M3931" s="9" t="s">
        <v>423</v>
      </c>
      <c r="N3931" s="9"/>
      <c r="O3931" s="9" t="s">
        <v>424</v>
      </c>
      <c r="P3931" s="9" t="str">
        <f>HYPERLINK("https://ceds.ed.gov/cedselementdetails.aspx?termid=13963")</f>
        <v>https://ceds.ed.gov/cedselementdetails.aspx?termid=13963</v>
      </c>
      <c r="Q3931" s="9" t="str">
        <f>HYPERLINK("https://ceds.ed.gov/elementComment.aspx?elementName=Assessment Administration Start Date &amp;elementID=13963", "Click here to submit comment")</f>
        <v>Click here to submit comment</v>
      </c>
    </row>
    <row r="3932" spans="1:17" ht="45" x14ac:dyDescent="0.25">
      <c r="A3932" s="9" t="s">
        <v>6892</v>
      </c>
      <c r="B3932" s="9" t="s">
        <v>6912</v>
      </c>
      <c r="C3932" s="9"/>
      <c r="D3932" s="9" t="s">
        <v>6742</v>
      </c>
      <c r="E3932" s="9" t="s">
        <v>400</v>
      </c>
      <c r="F3932" s="9" t="s">
        <v>401</v>
      </c>
      <c r="G3932" s="9" t="s">
        <v>12</v>
      </c>
      <c r="H3932" s="9"/>
      <c r="I3932" s="9"/>
      <c r="J3932" s="9" t="s">
        <v>73</v>
      </c>
      <c r="K3932" s="9"/>
      <c r="L3932" s="9"/>
      <c r="M3932" s="9" t="s">
        <v>402</v>
      </c>
      <c r="N3932" s="9"/>
      <c r="O3932" s="9" t="s">
        <v>403</v>
      </c>
      <c r="P3932" s="9" t="str">
        <f>HYPERLINK("https://ceds.ed.gov/cedselementdetails.aspx?termid=13965")</f>
        <v>https://ceds.ed.gov/cedselementdetails.aspx?termid=13965</v>
      </c>
      <c r="Q3932" s="9" t="str">
        <f>HYPERLINK("https://ceds.ed.gov/elementComment.aspx?elementName=Assessment Administration Finish Date &amp;elementID=13965", "Click here to submit comment")</f>
        <v>Click here to submit comment</v>
      </c>
    </row>
    <row r="3933" spans="1:17" ht="75" x14ac:dyDescent="0.25">
      <c r="A3933" s="9" t="s">
        <v>6892</v>
      </c>
      <c r="B3933" s="9" t="s">
        <v>6912</v>
      </c>
      <c r="C3933" s="9"/>
      <c r="D3933" s="9" t="s">
        <v>6742</v>
      </c>
      <c r="E3933" s="9" t="s">
        <v>390</v>
      </c>
      <c r="F3933" s="9" t="s">
        <v>391</v>
      </c>
      <c r="G3933" s="9" t="s">
        <v>12</v>
      </c>
      <c r="H3933" s="9"/>
      <c r="I3933" s="9"/>
      <c r="J3933" s="9" t="s">
        <v>92</v>
      </c>
      <c r="K3933" s="9"/>
      <c r="L3933" s="9" t="s">
        <v>393</v>
      </c>
      <c r="M3933" s="9" t="s">
        <v>394</v>
      </c>
      <c r="N3933" s="9"/>
      <c r="O3933" s="9" t="s">
        <v>395</v>
      </c>
      <c r="P3933" s="9" t="str">
        <f>HYPERLINK("https://ceds.ed.gov/cedselementdetails.aspx?termid=13968")</f>
        <v>https://ceds.ed.gov/cedselementdetails.aspx?termid=13968</v>
      </c>
      <c r="Q3933" s="9" t="str">
        <f>HYPERLINK("https://ceds.ed.gov/elementComment.aspx?elementName=Assessment Administration Assessment Family &amp;elementID=13968", "Click here to submit comment")</f>
        <v>Click here to submit comment</v>
      </c>
    </row>
    <row r="3934" spans="1:17" ht="105" x14ac:dyDescent="0.25">
      <c r="A3934" s="18" t="s">
        <v>6892</v>
      </c>
      <c r="B3934" s="18" t="s">
        <v>6912</v>
      </c>
      <c r="C3934" s="18"/>
      <c r="D3934" s="18" t="s">
        <v>6742</v>
      </c>
      <c r="E3934" s="18" t="s">
        <v>5340</v>
      </c>
      <c r="F3934" s="18" t="s">
        <v>256</v>
      </c>
      <c r="G3934" s="18" t="s">
        <v>12</v>
      </c>
      <c r="H3934" s="18" t="s">
        <v>6273</v>
      </c>
      <c r="I3934" s="18"/>
      <c r="J3934" s="18" t="s">
        <v>119</v>
      </c>
      <c r="K3934" s="18"/>
      <c r="L3934" s="9" t="s">
        <v>120</v>
      </c>
      <c r="M3934" s="18" t="s">
        <v>5341</v>
      </c>
      <c r="N3934" s="18"/>
      <c r="O3934" s="18" t="s">
        <v>5342</v>
      </c>
      <c r="P3934" s="18" t="str">
        <f>HYPERLINK("https://ceds.ed.gov/cedselementdetails.aspx?termid=13155")</f>
        <v>https://ceds.ed.gov/cedselementdetails.aspx?termid=13155</v>
      </c>
      <c r="Q3934" s="18" t="str">
        <f>HYPERLINK("https://ceds.ed.gov/elementComment.aspx?elementName=School Identifier &amp;elementID=13155", "Click here to submit comment")</f>
        <v>Click here to submit comment</v>
      </c>
    </row>
    <row r="3935" spans="1:17" x14ac:dyDescent="0.25">
      <c r="A3935" s="18"/>
      <c r="B3935" s="18"/>
      <c r="C3935" s="18"/>
      <c r="D3935" s="18"/>
      <c r="E3935" s="18"/>
      <c r="F3935" s="18"/>
      <c r="G3935" s="18"/>
      <c r="H3935" s="18"/>
      <c r="I3935" s="18"/>
      <c r="J3935" s="18"/>
      <c r="K3935" s="18"/>
      <c r="L3935" s="9"/>
      <c r="M3935" s="18"/>
      <c r="N3935" s="18"/>
      <c r="O3935" s="18"/>
      <c r="P3935" s="18"/>
      <c r="Q3935" s="18"/>
    </row>
    <row r="3936" spans="1:17" ht="90" x14ac:dyDescent="0.25">
      <c r="A3936" s="18"/>
      <c r="B3936" s="18"/>
      <c r="C3936" s="18"/>
      <c r="D3936" s="18"/>
      <c r="E3936" s="18"/>
      <c r="F3936" s="18"/>
      <c r="G3936" s="18"/>
      <c r="H3936" s="18"/>
      <c r="I3936" s="18"/>
      <c r="J3936" s="18"/>
      <c r="K3936" s="18"/>
      <c r="L3936" s="9" t="s">
        <v>121</v>
      </c>
      <c r="M3936" s="18"/>
      <c r="N3936" s="18"/>
      <c r="O3936" s="18"/>
      <c r="P3936" s="18"/>
      <c r="Q3936" s="18"/>
    </row>
    <row r="3937" spans="1:17" ht="270" x14ac:dyDescent="0.25">
      <c r="A3937" s="9" t="s">
        <v>6892</v>
      </c>
      <c r="B3937" s="9" t="s">
        <v>6912</v>
      </c>
      <c r="C3937" s="9"/>
      <c r="D3937" s="9" t="s">
        <v>6742</v>
      </c>
      <c r="E3937" s="9" t="s">
        <v>5337</v>
      </c>
      <c r="F3937" s="9" t="s">
        <v>252</v>
      </c>
      <c r="G3937" s="10" t="s">
        <v>6685</v>
      </c>
      <c r="H3937" s="9" t="s">
        <v>6273</v>
      </c>
      <c r="I3937" s="9"/>
      <c r="J3937" s="9"/>
      <c r="K3937" s="9"/>
      <c r="L3937" s="9"/>
      <c r="M3937" s="9" t="s">
        <v>5338</v>
      </c>
      <c r="N3937" s="9"/>
      <c r="O3937" s="9" t="s">
        <v>5339</v>
      </c>
      <c r="P3937" s="9" t="str">
        <f>HYPERLINK("https://ceds.ed.gov/cedselementdetails.aspx?termid=13161")</f>
        <v>https://ceds.ed.gov/cedselementdetails.aspx?termid=13161</v>
      </c>
      <c r="Q3937" s="9" t="str">
        <f>HYPERLINK("https://ceds.ed.gov/elementComment.aspx?elementName=School Identification System &amp;elementID=13161", "Click here to submit comment")</f>
        <v>Click here to submit comment</v>
      </c>
    </row>
    <row r="3938" spans="1:17" ht="105" x14ac:dyDescent="0.25">
      <c r="A3938" s="18" t="s">
        <v>6892</v>
      </c>
      <c r="B3938" s="18" t="s">
        <v>6912</v>
      </c>
      <c r="C3938" s="18"/>
      <c r="D3938" s="18" t="s">
        <v>6742</v>
      </c>
      <c r="E3938" s="18" t="s">
        <v>4106</v>
      </c>
      <c r="F3938" s="18" t="s">
        <v>4107</v>
      </c>
      <c r="G3938" s="18" t="s">
        <v>12</v>
      </c>
      <c r="H3938" s="18" t="s">
        <v>6241</v>
      </c>
      <c r="I3938" s="18"/>
      <c r="J3938" s="18" t="s">
        <v>119</v>
      </c>
      <c r="K3938" s="18"/>
      <c r="L3938" s="9" t="s">
        <v>120</v>
      </c>
      <c r="M3938" s="18" t="s">
        <v>4108</v>
      </c>
      <c r="N3938" s="18" t="s">
        <v>4109</v>
      </c>
      <c r="O3938" s="18" t="s">
        <v>4110</v>
      </c>
      <c r="P3938" s="18" t="str">
        <f>HYPERLINK("https://ceds.ed.gov/cedselementdetails.aspx?termid=13153")</f>
        <v>https://ceds.ed.gov/cedselementdetails.aspx?termid=13153</v>
      </c>
      <c r="Q3938" s="18" t="str">
        <f>HYPERLINK("https://ceds.ed.gov/elementComment.aspx?elementName=Local Education Agency Identifier &amp;elementID=13153", "Click here to submit comment")</f>
        <v>Click here to submit comment</v>
      </c>
    </row>
    <row r="3939" spans="1:17" x14ac:dyDescent="0.25">
      <c r="A3939" s="18"/>
      <c r="B3939" s="18"/>
      <c r="C3939" s="18"/>
      <c r="D3939" s="18"/>
      <c r="E3939" s="18"/>
      <c r="F3939" s="18"/>
      <c r="G3939" s="18"/>
      <c r="H3939" s="18"/>
      <c r="I3939" s="18"/>
      <c r="J3939" s="18"/>
      <c r="K3939" s="18"/>
      <c r="L3939" s="9"/>
      <c r="M3939" s="18"/>
      <c r="N3939" s="18"/>
      <c r="O3939" s="18"/>
      <c r="P3939" s="18"/>
      <c r="Q3939" s="18"/>
    </row>
    <row r="3940" spans="1:17" ht="90" x14ac:dyDescent="0.25">
      <c r="A3940" s="18"/>
      <c r="B3940" s="18"/>
      <c r="C3940" s="18"/>
      <c r="D3940" s="18"/>
      <c r="E3940" s="18"/>
      <c r="F3940" s="18"/>
      <c r="G3940" s="18"/>
      <c r="H3940" s="18"/>
      <c r="I3940" s="18"/>
      <c r="J3940" s="18"/>
      <c r="K3940" s="18"/>
      <c r="L3940" s="9" t="s">
        <v>121</v>
      </c>
      <c r="M3940" s="18"/>
      <c r="N3940" s="18"/>
      <c r="O3940" s="18"/>
      <c r="P3940" s="18"/>
      <c r="Q3940" s="18"/>
    </row>
    <row r="3941" spans="1:17" ht="240" x14ac:dyDescent="0.25">
      <c r="A3941" s="9" t="s">
        <v>6892</v>
      </c>
      <c r="B3941" s="9" t="s">
        <v>6912</v>
      </c>
      <c r="C3941" s="9"/>
      <c r="D3941" s="9" t="s">
        <v>6742</v>
      </c>
      <c r="E3941" s="9" t="s">
        <v>4101</v>
      </c>
      <c r="F3941" s="9" t="s">
        <v>4102</v>
      </c>
      <c r="G3941" s="10" t="s">
        <v>6605</v>
      </c>
      <c r="H3941" s="9" t="s">
        <v>6241</v>
      </c>
      <c r="I3941" s="9"/>
      <c r="J3941" s="9"/>
      <c r="K3941" s="9"/>
      <c r="L3941" s="9"/>
      <c r="M3941" s="9" t="s">
        <v>4103</v>
      </c>
      <c r="N3941" s="9" t="s">
        <v>4104</v>
      </c>
      <c r="O3941" s="9" t="s">
        <v>4105</v>
      </c>
      <c r="P3941" s="9" t="str">
        <f>HYPERLINK("https://ceds.ed.gov/cedselementdetails.aspx?termid=13159")</f>
        <v>https://ceds.ed.gov/cedselementdetails.aspx?termid=13159</v>
      </c>
      <c r="Q3941" s="9" t="str">
        <f>HYPERLINK("https://ceds.ed.gov/elementComment.aspx?elementName=Local Education Agency Identification System &amp;elementID=13159", "Click here to submit comment")</f>
        <v>Click here to submit comment</v>
      </c>
    </row>
    <row r="3942" spans="1:17" ht="45" x14ac:dyDescent="0.25">
      <c r="A3942" s="9" t="s">
        <v>6892</v>
      </c>
      <c r="B3942" s="9" t="s">
        <v>6912</v>
      </c>
      <c r="C3942" s="9"/>
      <c r="D3942" s="9" t="s">
        <v>6742</v>
      </c>
      <c r="E3942" s="9" t="s">
        <v>413</v>
      </c>
      <c r="F3942" s="9" t="s">
        <v>414</v>
      </c>
      <c r="G3942" s="9" t="s">
        <v>12</v>
      </c>
      <c r="H3942" s="9"/>
      <c r="I3942" s="9"/>
      <c r="J3942" s="9" t="s">
        <v>92</v>
      </c>
      <c r="K3942" s="9"/>
      <c r="L3942" s="9"/>
      <c r="M3942" s="9" t="s">
        <v>415</v>
      </c>
      <c r="N3942" s="9"/>
      <c r="O3942" s="9" t="s">
        <v>416</v>
      </c>
      <c r="P3942" s="9" t="str">
        <f>HYPERLINK("https://ceds.ed.gov/cedselementdetails.aspx?termid=13967")</f>
        <v>https://ceds.ed.gov/cedselementdetails.aspx?termid=13967</v>
      </c>
      <c r="Q3942" s="9" t="str">
        <f>HYPERLINK("https://ceds.ed.gov/elementComment.aspx?elementName=Assessment Administration Organization Name &amp;elementID=13967", "Click here to submit comment")</f>
        <v>Click here to submit comment</v>
      </c>
    </row>
    <row r="3943" spans="1:17" ht="45" x14ac:dyDescent="0.25">
      <c r="A3943" s="9" t="s">
        <v>6892</v>
      </c>
      <c r="B3943" s="9" t="s">
        <v>6912</v>
      </c>
      <c r="C3943" s="9"/>
      <c r="D3943" s="9" t="s">
        <v>6742</v>
      </c>
      <c r="E3943" s="9" t="s">
        <v>417</v>
      </c>
      <c r="F3943" s="9" t="s">
        <v>418</v>
      </c>
      <c r="G3943" s="9" t="s">
        <v>12</v>
      </c>
      <c r="H3943" s="9"/>
      <c r="I3943" s="9"/>
      <c r="J3943" s="9" t="s">
        <v>68</v>
      </c>
      <c r="K3943" s="9"/>
      <c r="L3943" s="9"/>
      <c r="M3943" s="9" t="s">
        <v>419</v>
      </c>
      <c r="N3943" s="9"/>
      <c r="O3943" s="9" t="s">
        <v>420</v>
      </c>
      <c r="P3943" s="9" t="str">
        <f>HYPERLINK("https://ceds.ed.gov/cedselementdetails.aspx?termid=14506")</f>
        <v>https://ceds.ed.gov/cedselementdetails.aspx?termid=14506</v>
      </c>
      <c r="Q3943" s="9" t="str">
        <f>HYPERLINK("https://ceds.ed.gov/elementComment.aspx?elementName=Assessment Administration Period Description &amp;elementID=14506", "Click here to submit comment")</f>
        <v>Click here to submit comment</v>
      </c>
    </row>
    <row r="3944" spans="1:17" ht="45" x14ac:dyDescent="0.25">
      <c r="A3944" s="9" t="s">
        <v>6892</v>
      </c>
      <c r="B3944" s="9" t="s">
        <v>6912</v>
      </c>
      <c r="C3944" s="9"/>
      <c r="D3944" s="9" t="s">
        <v>6742</v>
      </c>
      <c r="E3944" s="9" t="s">
        <v>1322</v>
      </c>
      <c r="F3944" s="9" t="s">
        <v>1323</v>
      </c>
      <c r="G3944" s="9" t="s">
        <v>6106</v>
      </c>
      <c r="H3944" s="9" t="s">
        <v>6127</v>
      </c>
      <c r="I3944" s="9"/>
      <c r="J3944" s="9"/>
      <c r="K3944" s="9"/>
      <c r="L3944" s="9"/>
      <c r="M3944" s="9" t="s">
        <v>1324</v>
      </c>
      <c r="N3944" s="9"/>
      <c r="O3944" s="9" t="s">
        <v>1325</v>
      </c>
      <c r="P3944" s="9" t="str">
        <f>HYPERLINK("https://ceds.ed.gov/cedselementdetails.aspx?termid=13375")</f>
        <v>https://ceds.ed.gov/cedselementdetails.aspx?termid=13375</v>
      </c>
      <c r="Q3944" s="9" t="str">
        <f>HYPERLINK("https://ceds.ed.gov/elementComment.aspx?elementName=Assessment Secure Indicator &amp;elementID=13375", "Click here to submit comment")</f>
        <v>Click here to submit comment</v>
      </c>
    </row>
    <row r="3945" spans="1:17" ht="45" x14ac:dyDescent="0.25">
      <c r="A3945" s="9" t="s">
        <v>6892</v>
      </c>
      <c r="B3945" s="9" t="s">
        <v>6897</v>
      </c>
      <c r="C3945" s="9"/>
      <c r="D3945" s="9" t="s">
        <v>6742</v>
      </c>
      <c r="E3945" s="9" t="s">
        <v>1379</v>
      </c>
      <c r="F3945" s="9" t="s">
        <v>1380</v>
      </c>
      <c r="G3945" s="10" t="s">
        <v>6385</v>
      </c>
      <c r="H3945" s="9"/>
      <c r="I3945" s="9"/>
      <c r="J3945" s="9"/>
      <c r="K3945" s="9"/>
      <c r="L3945" s="9"/>
      <c r="M3945" s="9" t="s">
        <v>1381</v>
      </c>
      <c r="N3945" s="9"/>
      <c r="O3945" s="9" t="s">
        <v>1382</v>
      </c>
      <c r="P3945" s="9" t="str">
        <f>HYPERLINK("https://ceds.ed.gov/cedselementdetails.aspx?termid=14020")</f>
        <v>https://ceds.ed.gov/cedselementdetails.aspx?termid=14020</v>
      </c>
      <c r="Q3945" s="9" t="str">
        <f>HYPERLINK("https://ceds.ed.gov/elementComment.aspx?elementName=Assessment Session Type &amp;elementID=14020", "Click here to submit comment")</f>
        <v>Click here to submit comment</v>
      </c>
    </row>
    <row r="3946" spans="1:17" ht="45" x14ac:dyDescent="0.25">
      <c r="A3946" s="9" t="s">
        <v>6892</v>
      </c>
      <c r="B3946" s="9" t="s">
        <v>6897</v>
      </c>
      <c r="C3946" s="9"/>
      <c r="D3946" s="9" t="s">
        <v>6742</v>
      </c>
      <c r="E3946" s="9" t="s">
        <v>1345</v>
      </c>
      <c r="F3946" s="9" t="s">
        <v>1346</v>
      </c>
      <c r="G3946" s="9" t="s">
        <v>12</v>
      </c>
      <c r="H3946" s="9" t="s">
        <v>6127</v>
      </c>
      <c r="I3946" s="9"/>
      <c r="J3946" s="9" t="s">
        <v>1347</v>
      </c>
      <c r="K3946" s="9"/>
      <c r="L3946" s="9"/>
      <c r="M3946" s="9" t="s">
        <v>1348</v>
      </c>
      <c r="N3946" s="9"/>
      <c r="O3946" s="9" t="s">
        <v>1349</v>
      </c>
      <c r="P3946" s="9" t="str">
        <f>HYPERLINK("https://ceds.ed.gov/cedselementdetails.aspx?termid=13590")</f>
        <v>https://ceds.ed.gov/cedselementdetails.aspx?termid=13590</v>
      </c>
      <c r="Q3946" s="9" t="str">
        <f>HYPERLINK("https://ceds.ed.gov/elementComment.aspx?elementName=Assessment Session Location &amp;elementID=13590", "Click here to submit comment")</f>
        <v>Click here to submit comment</v>
      </c>
    </row>
    <row r="3947" spans="1:17" ht="105" x14ac:dyDescent="0.25">
      <c r="A3947" s="18" t="s">
        <v>6892</v>
      </c>
      <c r="B3947" s="18" t="s">
        <v>6897</v>
      </c>
      <c r="C3947" s="18"/>
      <c r="D3947" s="18" t="s">
        <v>6742</v>
      </c>
      <c r="E3947" s="18" t="s">
        <v>5340</v>
      </c>
      <c r="F3947" s="18" t="s">
        <v>256</v>
      </c>
      <c r="G3947" s="18" t="s">
        <v>12</v>
      </c>
      <c r="H3947" s="18" t="s">
        <v>6273</v>
      </c>
      <c r="I3947" s="18"/>
      <c r="J3947" s="18" t="s">
        <v>119</v>
      </c>
      <c r="K3947" s="18"/>
      <c r="L3947" s="9" t="s">
        <v>120</v>
      </c>
      <c r="M3947" s="18" t="s">
        <v>5341</v>
      </c>
      <c r="N3947" s="18"/>
      <c r="O3947" s="18" t="s">
        <v>5342</v>
      </c>
      <c r="P3947" s="18" t="str">
        <f>HYPERLINK("https://ceds.ed.gov/cedselementdetails.aspx?termid=13155")</f>
        <v>https://ceds.ed.gov/cedselementdetails.aspx?termid=13155</v>
      </c>
      <c r="Q3947" s="18" t="str">
        <f>HYPERLINK("https://ceds.ed.gov/elementComment.aspx?elementName=School Identifier &amp;elementID=13155", "Click here to submit comment")</f>
        <v>Click here to submit comment</v>
      </c>
    </row>
    <row r="3948" spans="1:17" x14ac:dyDescent="0.25">
      <c r="A3948" s="18"/>
      <c r="B3948" s="18"/>
      <c r="C3948" s="18"/>
      <c r="D3948" s="18"/>
      <c r="E3948" s="18"/>
      <c r="F3948" s="18"/>
      <c r="G3948" s="18"/>
      <c r="H3948" s="18"/>
      <c r="I3948" s="18"/>
      <c r="J3948" s="18"/>
      <c r="K3948" s="18"/>
      <c r="L3948" s="9"/>
      <c r="M3948" s="18"/>
      <c r="N3948" s="18"/>
      <c r="O3948" s="18"/>
      <c r="P3948" s="18"/>
      <c r="Q3948" s="18"/>
    </row>
    <row r="3949" spans="1:17" ht="90" x14ac:dyDescent="0.25">
      <c r="A3949" s="18"/>
      <c r="B3949" s="18"/>
      <c r="C3949" s="18"/>
      <c r="D3949" s="18"/>
      <c r="E3949" s="18"/>
      <c r="F3949" s="18"/>
      <c r="G3949" s="18"/>
      <c r="H3949" s="18"/>
      <c r="I3949" s="18"/>
      <c r="J3949" s="18"/>
      <c r="K3949" s="18"/>
      <c r="L3949" s="9" t="s">
        <v>121</v>
      </c>
      <c r="M3949" s="18"/>
      <c r="N3949" s="18"/>
      <c r="O3949" s="18"/>
      <c r="P3949" s="18"/>
      <c r="Q3949" s="18"/>
    </row>
    <row r="3950" spans="1:17" ht="270" x14ac:dyDescent="0.25">
      <c r="A3950" s="9" t="s">
        <v>6892</v>
      </c>
      <c r="B3950" s="9" t="s">
        <v>6897</v>
      </c>
      <c r="C3950" s="9"/>
      <c r="D3950" s="9" t="s">
        <v>6742</v>
      </c>
      <c r="E3950" s="9" t="s">
        <v>5337</v>
      </c>
      <c r="F3950" s="9" t="s">
        <v>252</v>
      </c>
      <c r="G3950" s="10" t="s">
        <v>6685</v>
      </c>
      <c r="H3950" s="9" t="s">
        <v>6273</v>
      </c>
      <c r="I3950" s="9"/>
      <c r="J3950" s="9"/>
      <c r="K3950" s="9"/>
      <c r="L3950" s="9"/>
      <c r="M3950" s="9" t="s">
        <v>5338</v>
      </c>
      <c r="N3950" s="9"/>
      <c r="O3950" s="9" t="s">
        <v>5339</v>
      </c>
      <c r="P3950" s="9" t="str">
        <f>HYPERLINK("https://ceds.ed.gov/cedselementdetails.aspx?termid=13161")</f>
        <v>https://ceds.ed.gov/cedselementdetails.aspx?termid=13161</v>
      </c>
      <c r="Q3950" s="9" t="str">
        <f>HYPERLINK("https://ceds.ed.gov/elementComment.aspx?elementName=School Identification System &amp;elementID=13161", "Click here to submit comment")</f>
        <v>Click here to submit comment</v>
      </c>
    </row>
    <row r="3951" spans="1:17" ht="105" x14ac:dyDescent="0.25">
      <c r="A3951" s="18" t="s">
        <v>6892</v>
      </c>
      <c r="B3951" s="18" t="s">
        <v>6897</v>
      </c>
      <c r="C3951" s="18"/>
      <c r="D3951" s="18" t="s">
        <v>6742</v>
      </c>
      <c r="E3951" s="18" t="s">
        <v>4106</v>
      </c>
      <c r="F3951" s="18" t="s">
        <v>4107</v>
      </c>
      <c r="G3951" s="18" t="s">
        <v>12</v>
      </c>
      <c r="H3951" s="18" t="s">
        <v>6241</v>
      </c>
      <c r="I3951" s="18"/>
      <c r="J3951" s="18" t="s">
        <v>119</v>
      </c>
      <c r="K3951" s="18"/>
      <c r="L3951" s="9" t="s">
        <v>120</v>
      </c>
      <c r="M3951" s="18" t="s">
        <v>4108</v>
      </c>
      <c r="N3951" s="18" t="s">
        <v>4109</v>
      </c>
      <c r="O3951" s="18" t="s">
        <v>4110</v>
      </c>
      <c r="P3951" s="18" t="str">
        <f>HYPERLINK("https://ceds.ed.gov/cedselementdetails.aspx?termid=13153")</f>
        <v>https://ceds.ed.gov/cedselementdetails.aspx?termid=13153</v>
      </c>
      <c r="Q3951" s="18" t="str">
        <f>HYPERLINK("https://ceds.ed.gov/elementComment.aspx?elementName=Local Education Agency Identifier &amp;elementID=13153", "Click here to submit comment")</f>
        <v>Click here to submit comment</v>
      </c>
    </row>
    <row r="3952" spans="1:17" x14ac:dyDescent="0.25">
      <c r="A3952" s="18"/>
      <c r="B3952" s="18"/>
      <c r="C3952" s="18"/>
      <c r="D3952" s="18"/>
      <c r="E3952" s="18"/>
      <c r="F3952" s="18"/>
      <c r="G3952" s="18"/>
      <c r="H3952" s="18"/>
      <c r="I3952" s="18"/>
      <c r="J3952" s="18"/>
      <c r="K3952" s="18"/>
      <c r="L3952" s="9"/>
      <c r="M3952" s="18"/>
      <c r="N3952" s="18"/>
      <c r="O3952" s="18"/>
      <c r="P3952" s="18"/>
      <c r="Q3952" s="18"/>
    </row>
    <row r="3953" spans="1:17" ht="90" x14ac:dyDescent="0.25">
      <c r="A3953" s="18"/>
      <c r="B3953" s="18"/>
      <c r="C3953" s="18"/>
      <c r="D3953" s="18"/>
      <c r="E3953" s="18"/>
      <c r="F3953" s="18"/>
      <c r="G3953" s="18"/>
      <c r="H3953" s="18"/>
      <c r="I3953" s="18"/>
      <c r="J3953" s="18"/>
      <c r="K3953" s="18"/>
      <c r="L3953" s="9" t="s">
        <v>121</v>
      </c>
      <c r="M3953" s="18"/>
      <c r="N3953" s="18"/>
      <c r="O3953" s="18"/>
      <c r="P3953" s="18"/>
      <c r="Q3953" s="18"/>
    </row>
    <row r="3954" spans="1:17" ht="240" x14ac:dyDescent="0.25">
      <c r="A3954" s="9" t="s">
        <v>6892</v>
      </c>
      <c r="B3954" s="9" t="s">
        <v>6897</v>
      </c>
      <c r="C3954" s="9"/>
      <c r="D3954" s="9" t="s">
        <v>6742</v>
      </c>
      <c r="E3954" s="9" t="s">
        <v>4101</v>
      </c>
      <c r="F3954" s="9" t="s">
        <v>4102</v>
      </c>
      <c r="G3954" s="10" t="s">
        <v>6605</v>
      </c>
      <c r="H3954" s="9" t="s">
        <v>6241</v>
      </c>
      <c r="I3954" s="9"/>
      <c r="J3954" s="9"/>
      <c r="K3954" s="9"/>
      <c r="L3954" s="9"/>
      <c r="M3954" s="9" t="s">
        <v>4103</v>
      </c>
      <c r="N3954" s="9" t="s">
        <v>4104</v>
      </c>
      <c r="O3954" s="9" t="s">
        <v>4105</v>
      </c>
      <c r="P3954" s="9" t="str">
        <f>HYPERLINK("https://ceds.ed.gov/cedselementdetails.aspx?termid=13159")</f>
        <v>https://ceds.ed.gov/cedselementdetails.aspx?termid=13159</v>
      </c>
      <c r="Q3954" s="9" t="str">
        <f>HYPERLINK("https://ceds.ed.gov/elementComment.aspx?elementName=Local Education Agency Identification System &amp;elementID=13159", "Click here to submit comment")</f>
        <v>Click here to submit comment</v>
      </c>
    </row>
    <row r="3955" spans="1:17" ht="45" x14ac:dyDescent="0.25">
      <c r="A3955" s="9" t="s">
        <v>6892</v>
      </c>
      <c r="B3955" s="9" t="s">
        <v>6897</v>
      </c>
      <c r="C3955" s="9"/>
      <c r="D3955" s="9" t="s">
        <v>6742</v>
      </c>
      <c r="E3955" s="9" t="s">
        <v>1359</v>
      </c>
      <c r="F3955" s="9" t="s">
        <v>1360</v>
      </c>
      <c r="G3955" s="9" t="s">
        <v>12</v>
      </c>
      <c r="H3955" s="9"/>
      <c r="I3955" s="9"/>
      <c r="J3955" s="9" t="s">
        <v>828</v>
      </c>
      <c r="K3955" s="9"/>
      <c r="L3955" s="9"/>
      <c r="M3955" s="9" t="s">
        <v>1361</v>
      </c>
      <c r="N3955" s="9"/>
      <c r="O3955" s="9" t="s">
        <v>1362</v>
      </c>
      <c r="P3955" s="9" t="str">
        <f>HYPERLINK("https://ceds.ed.gov/cedselementdetails.aspx?termid=14021")</f>
        <v>https://ceds.ed.gov/cedselementdetails.aspx?termid=14021</v>
      </c>
      <c r="Q3955" s="9" t="str">
        <f>HYPERLINK("https://ceds.ed.gov/elementComment.aspx?elementName=Assessment Session Scheduled Start Date Time &amp;elementID=14021", "Click here to submit comment")</f>
        <v>Click here to submit comment</v>
      </c>
    </row>
    <row r="3956" spans="1:17" ht="45" x14ac:dyDescent="0.25">
      <c r="A3956" s="9" t="s">
        <v>6892</v>
      </c>
      <c r="B3956" s="9" t="s">
        <v>6897</v>
      </c>
      <c r="C3956" s="9"/>
      <c r="D3956" s="9" t="s">
        <v>6742</v>
      </c>
      <c r="E3956" s="9" t="s">
        <v>1355</v>
      </c>
      <c r="F3956" s="9" t="s">
        <v>1356</v>
      </c>
      <c r="G3956" s="9" t="s">
        <v>12</v>
      </c>
      <c r="H3956" s="9"/>
      <c r="I3956" s="9"/>
      <c r="J3956" s="9" t="s">
        <v>828</v>
      </c>
      <c r="K3956" s="9"/>
      <c r="L3956" s="9"/>
      <c r="M3956" s="9" t="s">
        <v>1357</v>
      </c>
      <c r="N3956" s="9"/>
      <c r="O3956" s="9" t="s">
        <v>1358</v>
      </c>
      <c r="P3956" s="9" t="str">
        <f>HYPERLINK("https://ceds.ed.gov/cedselementdetails.aspx?termid=14022")</f>
        <v>https://ceds.ed.gov/cedselementdetails.aspx?termid=14022</v>
      </c>
      <c r="Q3956" s="9" t="str">
        <f>HYPERLINK("https://ceds.ed.gov/elementComment.aspx?elementName=Assessment Session Scheduled End Date Time &amp;elementID=14022", "Click here to submit comment")</f>
        <v>Click here to submit comment</v>
      </c>
    </row>
    <row r="3957" spans="1:17" ht="45" x14ac:dyDescent="0.25">
      <c r="A3957" s="9" t="s">
        <v>6892</v>
      </c>
      <c r="B3957" s="9" t="s">
        <v>6897</v>
      </c>
      <c r="C3957" s="9"/>
      <c r="D3957" s="9" t="s">
        <v>6742</v>
      </c>
      <c r="E3957" s="9" t="s">
        <v>1341</v>
      </c>
      <c r="F3957" s="9" t="s">
        <v>1342</v>
      </c>
      <c r="G3957" s="9" t="s">
        <v>12</v>
      </c>
      <c r="H3957" s="9" t="s">
        <v>6127</v>
      </c>
      <c r="I3957" s="9"/>
      <c r="J3957" s="9" t="s">
        <v>833</v>
      </c>
      <c r="K3957" s="9"/>
      <c r="L3957" s="9"/>
      <c r="M3957" s="9" t="s">
        <v>1343</v>
      </c>
      <c r="N3957" s="9"/>
      <c r="O3957" s="9" t="s">
        <v>1344</v>
      </c>
      <c r="P3957" s="9" t="str">
        <f>HYPERLINK("https://ceds.ed.gov/cedselementdetails.aspx?termid=13399")</f>
        <v>https://ceds.ed.gov/cedselementdetails.aspx?termid=13399</v>
      </c>
      <c r="Q3957" s="9" t="str">
        <f>HYPERLINK("https://ceds.ed.gov/elementComment.aspx?elementName=Assessment Session Allotted Time &amp;elementID=13399", "Click here to submit comment")</f>
        <v>Click here to submit comment</v>
      </c>
    </row>
    <row r="3958" spans="1:17" ht="90" x14ac:dyDescent="0.25">
      <c r="A3958" s="9" t="s">
        <v>6892</v>
      </c>
      <c r="B3958" s="9" t="s">
        <v>6897</v>
      </c>
      <c r="C3958" s="9"/>
      <c r="D3958" s="9" t="s">
        <v>6742</v>
      </c>
      <c r="E3958" s="9" t="s">
        <v>1331</v>
      </c>
      <c r="F3958" s="9" t="s">
        <v>1332</v>
      </c>
      <c r="G3958" s="9" t="s">
        <v>12</v>
      </c>
      <c r="H3958" s="9"/>
      <c r="I3958" s="9"/>
      <c r="J3958" s="9" t="s">
        <v>828</v>
      </c>
      <c r="K3958" s="9"/>
      <c r="L3958" s="9" t="s">
        <v>1333</v>
      </c>
      <c r="M3958" s="9" t="s">
        <v>1334</v>
      </c>
      <c r="N3958" s="9"/>
      <c r="O3958" s="9" t="s">
        <v>1335</v>
      </c>
      <c r="P3958" s="9" t="str">
        <f>HYPERLINK("https://ceds.ed.gov/cedselementdetails.aspx?termid=14023")</f>
        <v>https://ceds.ed.gov/cedselementdetails.aspx?termid=14023</v>
      </c>
      <c r="Q3958" s="9" t="str">
        <f>HYPERLINK("https://ceds.ed.gov/elementComment.aspx?elementName=Assessment Session Actual Start Date Time &amp;elementID=14023", "Click here to submit comment")</f>
        <v>Click here to submit comment</v>
      </c>
    </row>
    <row r="3959" spans="1:17" ht="90" x14ac:dyDescent="0.25">
      <c r="A3959" s="9" t="s">
        <v>6892</v>
      </c>
      <c r="B3959" s="9" t="s">
        <v>6897</v>
      </c>
      <c r="C3959" s="9"/>
      <c r="D3959" s="9" t="s">
        <v>6742</v>
      </c>
      <c r="E3959" s="9" t="s">
        <v>1326</v>
      </c>
      <c r="F3959" s="9" t="s">
        <v>1327</v>
      </c>
      <c r="G3959" s="9" t="s">
        <v>12</v>
      </c>
      <c r="H3959" s="9"/>
      <c r="I3959" s="9"/>
      <c r="J3959" s="9" t="s">
        <v>828</v>
      </c>
      <c r="K3959" s="9"/>
      <c r="L3959" s="9" t="s">
        <v>1328</v>
      </c>
      <c r="M3959" s="9" t="s">
        <v>1329</v>
      </c>
      <c r="N3959" s="9"/>
      <c r="O3959" s="9" t="s">
        <v>1330</v>
      </c>
      <c r="P3959" s="9" t="str">
        <f>HYPERLINK("https://ceds.ed.gov/cedselementdetails.aspx?termid=14024")</f>
        <v>https://ceds.ed.gov/cedselementdetails.aspx?termid=14024</v>
      </c>
      <c r="Q3959" s="9" t="str">
        <f>HYPERLINK("https://ceds.ed.gov/elementComment.aspx?elementName=Assessment Session Actual End Date Time &amp;elementID=14024", "Click here to submit comment")</f>
        <v>Click here to submit comment</v>
      </c>
    </row>
    <row r="3960" spans="1:17" ht="105" x14ac:dyDescent="0.25">
      <c r="A3960" s="18" t="s">
        <v>6892</v>
      </c>
      <c r="B3960" s="18" t="s">
        <v>6897</v>
      </c>
      <c r="C3960" s="18"/>
      <c r="D3960" s="18" t="s">
        <v>6742</v>
      </c>
      <c r="E3960" s="18" t="s">
        <v>1336</v>
      </c>
      <c r="F3960" s="18" t="s">
        <v>1337</v>
      </c>
      <c r="G3960" s="18" t="s">
        <v>12</v>
      </c>
      <c r="H3960" s="18" t="s">
        <v>6127</v>
      </c>
      <c r="I3960" s="18"/>
      <c r="J3960" s="18" t="s">
        <v>119</v>
      </c>
      <c r="K3960" s="18"/>
      <c r="L3960" s="9" t="s">
        <v>120</v>
      </c>
      <c r="M3960" s="18" t="s">
        <v>1339</v>
      </c>
      <c r="N3960" s="18"/>
      <c r="O3960" s="18" t="s">
        <v>1340</v>
      </c>
      <c r="P3960" s="18" t="str">
        <f>HYPERLINK("https://ceds.ed.gov/cedselementdetails.aspx?termid=13400")</f>
        <v>https://ceds.ed.gov/cedselementdetails.aspx?termid=13400</v>
      </c>
      <c r="Q3960" s="18" t="str">
        <f>HYPERLINK("https://ceds.ed.gov/elementComment.aspx?elementName=Assessment Session Administrator Identifier &amp;elementID=13400", "Click here to submit comment")</f>
        <v>Click here to submit comment</v>
      </c>
    </row>
    <row r="3961" spans="1:17" x14ac:dyDescent="0.25">
      <c r="A3961" s="18"/>
      <c r="B3961" s="18"/>
      <c r="C3961" s="18"/>
      <c r="D3961" s="18"/>
      <c r="E3961" s="18"/>
      <c r="F3961" s="18"/>
      <c r="G3961" s="18"/>
      <c r="H3961" s="18"/>
      <c r="I3961" s="18"/>
      <c r="J3961" s="18"/>
      <c r="K3961" s="18"/>
      <c r="L3961" s="9"/>
      <c r="M3961" s="18"/>
      <c r="N3961" s="18"/>
      <c r="O3961" s="18"/>
      <c r="P3961" s="18"/>
      <c r="Q3961" s="18"/>
    </row>
    <row r="3962" spans="1:17" ht="90" x14ac:dyDescent="0.25">
      <c r="A3962" s="18"/>
      <c r="B3962" s="18"/>
      <c r="C3962" s="18"/>
      <c r="D3962" s="18"/>
      <c r="E3962" s="18"/>
      <c r="F3962" s="18"/>
      <c r="G3962" s="18"/>
      <c r="H3962" s="18"/>
      <c r="I3962" s="18"/>
      <c r="J3962" s="18"/>
      <c r="K3962" s="18"/>
      <c r="L3962" s="9" t="s">
        <v>121</v>
      </c>
      <c r="M3962" s="18"/>
      <c r="N3962" s="18"/>
      <c r="O3962" s="18"/>
      <c r="P3962" s="18"/>
      <c r="Q3962" s="18"/>
    </row>
    <row r="3963" spans="1:17" ht="45" x14ac:dyDescent="0.25">
      <c r="A3963" s="18" t="s">
        <v>6892</v>
      </c>
      <c r="B3963" s="18" t="s">
        <v>6897</v>
      </c>
      <c r="C3963" s="18"/>
      <c r="D3963" s="18" t="s">
        <v>6742</v>
      </c>
      <c r="E3963" s="18" t="s">
        <v>1350</v>
      </c>
      <c r="F3963" s="18" t="s">
        <v>1351</v>
      </c>
      <c r="G3963" s="18" t="s">
        <v>12</v>
      </c>
      <c r="H3963" s="18" t="s">
        <v>6127</v>
      </c>
      <c r="I3963" s="18"/>
      <c r="J3963" s="18" t="s">
        <v>119</v>
      </c>
      <c r="K3963" s="18"/>
      <c r="L3963" s="9" t="s">
        <v>1352</v>
      </c>
      <c r="M3963" s="18" t="s">
        <v>1353</v>
      </c>
      <c r="N3963" s="18"/>
      <c r="O3963" s="18" t="s">
        <v>1354</v>
      </c>
      <c r="P3963" s="18" t="str">
        <f>HYPERLINK("https://ceds.ed.gov/cedselementdetails.aspx?termid=13401")</f>
        <v>https://ceds.ed.gov/cedselementdetails.aspx?termid=13401</v>
      </c>
      <c r="Q3963" s="18" t="str">
        <f>HYPERLINK("https://ceds.ed.gov/elementComment.aspx?elementName=Assessment Session Proctor Identifier &amp;elementID=13401", "Click here to submit comment")</f>
        <v>Click here to submit comment</v>
      </c>
    </row>
    <row r="3964" spans="1:17" x14ac:dyDescent="0.25">
      <c r="A3964" s="18"/>
      <c r="B3964" s="18"/>
      <c r="C3964" s="18"/>
      <c r="D3964" s="18"/>
      <c r="E3964" s="18"/>
      <c r="F3964" s="18"/>
      <c r="G3964" s="18"/>
      <c r="H3964" s="18"/>
      <c r="I3964" s="18"/>
      <c r="J3964" s="18"/>
      <c r="K3964" s="18"/>
      <c r="L3964" s="9"/>
      <c r="M3964" s="18"/>
      <c r="N3964" s="18"/>
      <c r="O3964" s="18"/>
      <c r="P3964" s="18"/>
      <c r="Q3964" s="18"/>
    </row>
    <row r="3965" spans="1:17" ht="105" x14ac:dyDescent="0.25">
      <c r="A3965" s="18"/>
      <c r="B3965" s="18"/>
      <c r="C3965" s="18"/>
      <c r="D3965" s="18"/>
      <c r="E3965" s="18"/>
      <c r="F3965" s="18"/>
      <c r="G3965" s="18"/>
      <c r="H3965" s="18"/>
      <c r="I3965" s="18"/>
      <c r="J3965" s="18"/>
      <c r="K3965" s="18"/>
      <c r="L3965" s="9" t="s">
        <v>120</v>
      </c>
      <c r="M3965" s="18"/>
      <c r="N3965" s="18"/>
      <c r="O3965" s="18"/>
      <c r="P3965" s="18"/>
      <c r="Q3965" s="18"/>
    </row>
    <row r="3966" spans="1:17" x14ac:dyDescent="0.25">
      <c r="A3966" s="18"/>
      <c r="B3966" s="18"/>
      <c r="C3966" s="18"/>
      <c r="D3966" s="18"/>
      <c r="E3966" s="18"/>
      <c r="F3966" s="18"/>
      <c r="G3966" s="18"/>
      <c r="H3966" s="18"/>
      <c r="I3966" s="18"/>
      <c r="J3966" s="18"/>
      <c r="K3966" s="18"/>
      <c r="L3966" s="9"/>
      <c r="M3966" s="18"/>
      <c r="N3966" s="18"/>
      <c r="O3966" s="18"/>
      <c r="P3966" s="18"/>
      <c r="Q3966" s="18"/>
    </row>
    <row r="3967" spans="1:17" ht="90" x14ac:dyDescent="0.25">
      <c r="A3967" s="18"/>
      <c r="B3967" s="18"/>
      <c r="C3967" s="18"/>
      <c r="D3967" s="18"/>
      <c r="E3967" s="18"/>
      <c r="F3967" s="18"/>
      <c r="G3967" s="18"/>
      <c r="H3967" s="18"/>
      <c r="I3967" s="18"/>
      <c r="J3967" s="18"/>
      <c r="K3967" s="18"/>
      <c r="L3967" s="9" t="s">
        <v>121</v>
      </c>
      <c r="M3967" s="18"/>
      <c r="N3967" s="18"/>
      <c r="O3967" s="18"/>
      <c r="P3967" s="18"/>
      <c r="Q3967" s="18"/>
    </row>
    <row r="3968" spans="1:17" ht="120" x14ac:dyDescent="0.25">
      <c r="A3968" s="9" t="s">
        <v>6892</v>
      </c>
      <c r="B3968" s="9" t="s">
        <v>6897</v>
      </c>
      <c r="C3968" s="9"/>
      <c r="D3968" s="9" t="s">
        <v>6742</v>
      </c>
      <c r="E3968" s="9" t="s">
        <v>1375</v>
      </c>
      <c r="F3968" s="9" t="s">
        <v>1376</v>
      </c>
      <c r="G3968" s="10" t="s">
        <v>6384</v>
      </c>
      <c r="H3968" s="9"/>
      <c r="I3968" s="9"/>
      <c r="J3968" s="9"/>
      <c r="K3968" s="9"/>
      <c r="L3968" s="9"/>
      <c r="M3968" s="9" t="s">
        <v>1377</v>
      </c>
      <c r="N3968" s="9"/>
      <c r="O3968" s="9" t="s">
        <v>1378</v>
      </c>
      <c r="P3968" s="9" t="str">
        <f>HYPERLINK("https://ceds.ed.gov/cedselementdetails.aspx?termid=14179")</f>
        <v>https://ceds.ed.gov/cedselementdetails.aspx?termid=14179</v>
      </c>
      <c r="Q3968" s="9" t="str">
        <f>HYPERLINK("https://ceds.ed.gov/elementComment.aspx?elementName=Assessment Session Staff Role Type &amp;elementID=14179", "Click here to submit comment")</f>
        <v>Click here to submit comment</v>
      </c>
    </row>
    <row r="3969" spans="1:17" ht="409.5" x14ac:dyDescent="0.25">
      <c r="A3969" s="9" t="s">
        <v>6892</v>
      </c>
      <c r="B3969" s="9" t="s">
        <v>6897</v>
      </c>
      <c r="C3969" s="9"/>
      <c r="D3969" s="9" t="s">
        <v>6742</v>
      </c>
      <c r="E3969" s="9" t="s">
        <v>1367</v>
      </c>
      <c r="F3969" s="9" t="s">
        <v>1368</v>
      </c>
      <c r="G3969" s="10" t="s">
        <v>6383</v>
      </c>
      <c r="H3969" s="9" t="s">
        <v>6127</v>
      </c>
      <c r="I3969" s="9"/>
      <c r="J3969" s="9"/>
      <c r="K3969" s="9"/>
      <c r="L3969" s="9"/>
      <c r="M3969" s="9" t="s">
        <v>1369</v>
      </c>
      <c r="N3969" s="9"/>
      <c r="O3969" s="9" t="s">
        <v>1370</v>
      </c>
      <c r="P3969" s="9" t="str">
        <f>HYPERLINK("https://ceds.ed.gov/cedselementdetails.aspx?termid=13380")</f>
        <v>https://ceds.ed.gov/cedselementdetails.aspx?termid=13380</v>
      </c>
      <c r="Q3969" s="9" t="str">
        <f>HYPERLINK("https://ceds.ed.gov/elementComment.aspx?elementName=Assessment Session Special Circumstance Type &amp;elementID=13380", "Click here to submit comment")</f>
        <v>Click here to submit comment</v>
      </c>
    </row>
    <row r="3970" spans="1:17" ht="90" x14ac:dyDescent="0.25">
      <c r="A3970" s="9" t="s">
        <v>6892</v>
      </c>
      <c r="B3970" s="9" t="s">
        <v>6897</v>
      </c>
      <c r="C3970" s="9"/>
      <c r="D3970" s="9" t="s">
        <v>6742</v>
      </c>
      <c r="E3970" s="9" t="s">
        <v>1371</v>
      </c>
      <c r="F3970" s="9" t="s">
        <v>1372</v>
      </c>
      <c r="G3970" s="9" t="s">
        <v>12</v>
      </c>
      <c r="H3970" s="9"/>
      <c r="I3970" s="9"/>
      <c r="J3970" s="9" t="s">
        <v>92</v>
      </c>
      <c r="K3970" s="9"/>
      <c r="L3970" s="9"/>
      <c r="M3970" s="9" t="s">
        <v>1373</v>
      </c>
      <c r="N3970" s="9"/>
      <c r="O3970" s="9" t="s">
        <v>1374</v>
      </c>
      <c r="P3970" s="9" t="str">
        <f>HYPERLINK("https://ceds.ed.gov/cedselementdetails.aspx?termid=14077")</f>
        <v>https://ceds.ed.gov/cedselementdetails.aspx?termid=14077</v>
      </c>
      <c r="Q3970" s="9" t="str">
        <f>HYPERLINK("https://ceds.ed.gov/elementComment.aspx?elementName=Assessment Session Special Event Description &amp;elementID=14077", "Click here to submit comment")</f>
        <v>Click here to submit comment</v>
      </c>
    </row>
    <row r="3971" spans="1:17" ht="150" x14ac:dyDescent="0.25">
      <c r="A3971" s="9" t="s">
        <v>6892</v>
      </c>
      <c r="B3971" s="9" t="s">
        <v>6897</v>
      </c>
      <c r="C3971" s="9"/>
      <c r="D3971" s="9" t="s">
        <v>6742</v>
      </c>
      <c r="E3971" s="9" t="s">
        <v>1363</v>
      </c>
      <c r="F3971" s="9" t="s">
        <v>1364</v>
      </c>
      <c r="G3971" s="9" t="s">
        <v>12</v>
      </c>
      <c r="H3971" s="9"/>
      <c r="I3971" s="9"/>
      <c r="J3971" s="9" t="s">
        <v>68</v>
      </c>
      <c r="K3971" s="9"/>
      <c r="L3971" s="9" t="s">
        <v>864</v>
      </c>
      <c r="M3971" s="9" t="s">
        <v>1365</v>
      </c>
      <c r="N3971" s="9"/>
      <c r="O3971" s="9" t="s">
        <v>1366</v>
      </c>
      <c r="P3971" s="9" t="str">
        <f>HYPERLINK("https://ceds.ed.gov/cedselementdetails.aspx?termid=13969")</f>
        <v>https://ceds.ed.gov/cedselementdetails.aspx?termid=13969</v>
      </c>
      <c r="Q3971" s="9" t="str">
        <f>HYPERLINK("https://ceds.ed.gov/elementComment.aspx?elementName=Assessment Session Security Issue &amp;elementID=13969", "Click here to submit comment")</f>
        <v>Click here to submit comment</v>
      </c>
    </row>
    <row r="3972" spans="1:17" ht="105" x14ac:dyDescent="0.25">
      <c r="A3972" s="18" t="s">
        <v>6892</v>
      </c>
      <c r="B3972" s="18" t="s">
        <v>6923</v>
      </c>
      <c r="C3972" s="18"/>
      <c r="D3972" s="18" t="s">
        <v>6742</v>
      </c>
      <c r="E3972" s="18" t="s">
        <v>1159</v>
      </c>
      <c r="F3972" s="18" t="s">
        <v>1160</v>
      </c>
      <c r="G3972" s="18" t="s">
        <v>12</v>
      </c>
      <c r="H3972" s="18" t="s">
        <v>795</v>
      </c>
      <c r="I3972" s="18"/>
      <c r="J3972" s="18" t="s">
        <v>119</v>
      </c>
      <c r="K3972" s="18"/>
      <c r="L3972" s="9" t="s">
        <v>120</v>
      </c>
      <c r="M3972" s="18" t="s">
        <v>1161</v>
      </c>
      <c r="N3972" s="18"/>
      <c r="O3972" s="18" t="s">
        <v>1162</v>
      </c>
      <c r="P3972" s="18" t="str">
        <f>HYPERLINK("https://ceds.ed.gov/cedselementdetails.aspx?termid=13693")</f>
        <v>https://ceds.ed.gov/cedselementdetails.aspx?termid=13693</v>
      </c>
      <c r="Q3972" s="18" t="str">
        <f>HYPERLINK("https://ceds.ed.gov/elementComment.aspx?elementName=Assessment Performance Level Identifier &amp;elementID=13693", "Click here to submit comment")</f>
        <v>Click here to submit comment</v>
      </c>
    </row>
    <row r="3973" spans="1:17" x14ac:dyDescent="0.25">
      <c r="A3973" s="18"/>
      <c r="B3973" s="18"/>
      <c r="C3973" s="18"/>
      <c r="D3973" s="18"/>
      <c r="E3973" s="18"/>
      <c r="F3973" s="18"/>
      <c r="G3973" s="18"/>
      <c r="H3973" s="18"/>
      <c r="I3973" s="18"/>
      <c r="J3973" s="18"/>
      <c r="K3973" s="18"/>
      <c r="L3973" s="9"/>
      <c r="M3973" s="18"/>
      <c r="N3973" s="18"/>
      <c r="O3973" s="18"/>
      <c r="P3973" s="18"/>
      <c r="Q3973" s="18"/>
    </row>
    <row r="3974" spans="1:17" ht="90" x14ac:dyDescent="0.25">
      <c r="A3974" s="18"/>
      <c r="B3974" s="18"/>
      <c r="C3974" s="18"/>
      <c r="D3974" s="18"/>
      <c r="E3974" s="18"/>
      <c r="F3974" s="18"/>
      <c r="G3974" s="18"/>
      <c r="H3974" s="18"/>
      <c r="I3974" s="18"/>
      <c r="J3974" s="18"/>
      <c r="K3974" s="18"/>
      <c r="L3974" s="9" t="s">
        <v>121</v>
      </c>
      <c r="M3974" s="18"/>
      <c r="N3974" s="18"/>
      <c r="O3974" s="18"/>
      <c r="P3974" s="18"/>
      <c r="Q3974" s="18"/>
    </row>
    <row r="3975" spans="1:17" ht="45" x14ac:dyDescent="0.25">
      <c r="A3975" s="9" t="s">
        <v>6892</v>
      </c>
      <c r="B3975" s="9" t="s">
        <v>6923</v>
      </c>
      <c r="C3975" s="9"/>
      <c r="D3975" s="9" t="s">
        <v>6742</v>
      </c>
      <c r="E3975" s="9" t="s">
        <v>1163</v>
      </c>
      <c r="F3975" s="9" t="s">
        <v>1164</v>
      </c>
      <c r="G3975" s="9" t="s">
        <v>12</v>
      </c>
      <c r="H3975" s="9" t="s">
        <v>795</v>
      </c>
      <c r="I3975" s="9"/>
      <c r="J3975" s="9" t="s">
        <v>1165</v>
      </c>
      <c r="K3975" s="9"/>
      <c r="L3975" s="9"/>
      <c r="M3975" s="9" t="s">
        <v>1166</v>
      </c>
      <c r="N3975" s="9"/>
      <c r="O3975" s="9" t="s">
        <v>1167</v>
      </c>
      <c r="P3975" s="9" t="str">
        <f>HYPERLINK("https://ceds.ed.gov/cedselementdetails.aspx?termid=13694")</f>
        <v>https://ceds.ed.gov/cedselementdetails.aspx?termid=13694</v>
      </c>
      <c r="Q3975" s="9" t="str">
        <f>HYPERLINK("https://ceds.ed.gov/elementComment.aspx?elementName=Assessment Performance Level Label &amp;elementID=13694", "Click here to submit comment")</f>
        <v>Click here to submit comment</v>
      </c>
    </row>
    <row r="3976" spans="1:17" ht="45" x14ac:dyDescent="0.25">
      <c r="A3976" s="9" t="s">
        <v>6892</v>
      </c>
      <c r="B3976" s="9" t="s">
        <v>6923</v>
      </c>
      <c r="C3976" s="9"/>
      <c r="D3976" s="9" t="s">
        <v>6742</v>
      </c>
      <c r="E3976" s="9" t="s">
        <v>1168</v>
      </c>
      <c r="F3976" s="9" t="s">
        <v>1169</v>
      </c>
      <c r="G3976" s="9" t="s">
        <v>12</v>
      </c>
      <c r="H3976" s="9" t="s">
        <v>6127</v>
      </c>
      <c r="I3976" s="9"/>
      <c r="J3976" s="9" t="s">
        <v>87</v>
      </c>
      <c r="K3976" s="9"/>
      <c r="L3976" s="9"/>
      <c r="M3976" s="9" t="s">
        <v>1170</v>
      </c>
      <c r="N3976" s="9"/>
      <c r="O3976" s="9" t="s">
        <v>1171</v>
      </c>
      <c r="P3976" s="9" t="str">
        <f>HYPERLINK("https://ceds.ed.gov/cedselementdetails.aspx?termid=13408")</f>
        <v>https://ceds.ed.gov/cedselementdetails.aspx?termid=13408</v>
      </c>
      <c r="Q3976" s="9" t="str">
        <f>HYPERLINK("https://ceds.ed.gov/elementComment.aspx?elementName=Assessment Performance Level Lower Cut Score &amp;elementID=13408", "Click here to submit comment")</f>
        <v>Click here to submit comment</v>
      </c>
    </row>
    <row r="3977" spans="1:17" ht="45" x14ac:dyDescent="0.25">
      <c r="A3977" s="9" t="s">
        <v>6892</v>
      </c>
      <c r="B3977" s="9" t="s">
        <v>6923</v>
      </c>
      <c r="C3977" s="9"/>
      <c r="D3977" s="9" t="s">
        <v>6742</v>
      </c>
      <c r="E3977" s="9" t="s">
        <v>1176</v>
      </c>
      <c r="F3977" s="9" t="s">
        <v>1177</v>
      </c>
      <c r="G3977" s="9" t="s">
        <v>12</v>
      </c>
      <c r="H3977" s="9" t="s">
        <v>6127</v>
      </c>
      <c r="I3977" s="9"/>
      <c r="J3977" s="9" t="s">
        <v>87</v>
      </c>
      <c r="K3977" s="9"/>
      <c r="L3977" s="9"/>
      <c r="M3977" s="9" t="s">
        <v>1178</v>
      </c>
      <c r="N3977" s="9"/>
      <c r="O3977" s="9" t="s">
        <v>1179</v>
      </c>
      <c r="P3977" s="9" t="str">
        <f>HYPERLINK("https://ceds.ed.gov/cedselementdetails.aspx?termid=13409")</f>
        <v>https://ceds.ed.gov/cedselementdetails.aspx?termid=13409</v>
      </c>
      <c r="Q3977" s="9" t="str">
        <f>HYPERLINK("https://ceds.ed.gov/elementComment.aspx?elementName=Assessment Performance Level Upper Cut Score &amp;elementID=13409", "Click here to submit comment")</f>
        <v>Click here to submit comment</v>
      </c>
    </row>
    <row r="3978" spans="1:17" ht="409.5" x14ac:dyDescent="0.25">
      <c r="A3978" s="9" t="s">
        <v>6892</v>
      </c>
      <c r="B3978" s="9" t="s">
        <v>6923</v>
      </c>
      <c r="C3978" s="9"/>
      <c r="D3978" s="9" t="s">
        <v>6742</v>
      </c>
      <c r="E3978" s="9" t="s">
        <v>1172</v>
      </c>
      <c r="F3978" s="9" t="s">
        <v>1173</v>
      </c>
      <c r="G3978" s="10" t="s">
        <v>6374</v>
      </c>
      <c r="H3978" s="9" t="s">
        <v>6127</v>
      </c>
      <c r="I3978" s="9"/>
      <c r="J3978" s="9" t="s">
        <v>87</v>
      </c>
      <c r="K3978" s="9"/>
      <c r="L3978" s="9"/>
      <c r="M3978" s="9" t="s">
        <v>1174</v>
      </c>
      <c r="N3978" s="9"/>
      <c r="O3978" s="9" t="s">
        <v>1175</v>
      </c>
      <c r="P3978" s="9" t="str">
        <f>HYPERLINK("https://ceds.ed.gov/cedselementdetails.aspx?termid=13407")</f>
        <v>https://ceds.ed.gov/cedselementdetails.aspx?termid=13407</v>
      </c>
      <c r="Q3978" s="9" t="str">
        <f>HYPERLINK("https://ceds.ed.gov/elementComment.aspx?elementName=Assessment Performance Level Score Metric &amp;elementID=13407", "Click here to submit comment")</f>
        <v>Click here to submit comment</v>
      </c>
    </row>
    <row r="3979" spans="1:17" ht="45" x14ac:dyDescent="0.25">
      <c r="A3979" s="9" t="s">
        <v>6892</v>
      </c>
      <c r="B3979" s="9" t="s">
        <v>6923</v>
      </c>
      <c r="C3979" s="9"/>
      <c r="D3979" s="9" t="s">
        <v>6742</v>
      </c>
      <c r="E3979" s="9" t="s">
        <v>1155</v>
      </c>
      <c r="F3979" s="9" t="s">
        <v>1156</v>
      </c>
      <c r="G3979" s="9" t="s">
        <v>12</v>
      </c>
      <c r="H3979" s="9"/>
      <c r="I3979" s="9"/>
      <c r="J3979" s="9" t="s">
        <v>303</v>
      </c>
      <c r="K3979" s="9"/>
      <c r="L3979" s="9"/>
      <c r="M3979" s="9" t="s">
        <v>1157</v>
      </c>
      <c r="N3979" s="9"/>
      <c r="O3979" s="9" t="s">
        <v>1158</v>
      </c>
      <c r="P3979" s="9" t="str">
        <f>HYPERLINK("https://ceds.ed.gov/cedselementdetails.aspx?termid=14184")</f>
        <v>https://ceds.ed.gov/cedselementdetails.aspx?termid=14184</v>
      </c>
      <c r="Q3979" s="9" t="str">
        <f>HYPERLINK("https://ceds.ed.gov/elementComment.aspx?elementName=Assessment Performance Level Descriptive Feedback &amp;elementID=14184", "Click here to submit comment")</f>
        <v>Click here to submit comment</v>
      </c>
    </row>
    <row r="3980" spans="1:17" ht="75" x14ac:dyDescent="0.25">
      <c r="A3980" s="18" t="s">
        <v>6892</v>
      </c>
      <c r="B3980" s="18" t="s">
        <v>6918</v>
      </c>
      <c r="C3980" s="18"/>
      <c r="D3980" s="18" t="s">
        <v>6742</v>
      </c>
      <c r="E3980" s="18" t="s">
        <v>1129</v>
      </c>
      <c r="F3980" s="18" t="s">
        <v>1130</v>
      </c>
      <c r="G3980" s="18" t="s">
        <v>12</v>
      </c>
      <c r="H3980" s="18"/>
      <c r="I3980" s="18"/>
      <c r="J3980" s="18" t="s">
        <v>119</v>
      </c>
      <c r="K3980" s="18"/>
      <c r="L3980" s="9" t="s">
        <v>516</v>
      </c>
      <c r="M3980" s="18" t="s">
        <v>1131</v>
      </c>
      <c r="N3980" s="18"/>
      <c r="O3980" s="18" t="s">
        <v>1132</v>
      </c>
      <c r="P3980" s="18" t="str">
        <f>HYPERLINK("https://ceds.ed.gov/cedselementdetails.aspx?termid=14515")</f>
        <v>https://ceds.ed.gov/cedselementdetails.aspx?termid=14515</v>
      </c>
      <c r="Q3980" s="18" t="str">
        <f>HYPERLINK("https://ceds.ed.gov/elementComment.aspx?elementName=Assessment Participant Session GUID &amp;elementID=14515", "Click here to submit comment")</f>
        <v>Click here to submit comment</v>
      </c>
    </row>
    <row r="3981" spans="1:17" x14ac:dyDescent="0.25">
      <c r="A3981" s="18"/>
      <c r="B3981" s="18"/>
      <c r="C3981" s="18"/>
      <c r="D3981" s="18"/>
      <c r="E3981" s="18"/>
      <c r="F3981" s="18"/>
      <c r="G3981" s="18"/>
      <c r="H3981" s="18"/>
      <c r="I3981" s="18"/>
      <c r="J3981" s="18"/>
      <c r="K3981" s="18"/>
      <c r="L3981" s="9"/>
      <c r="M3981" s="18"/>
      <c r="N3981" s="18"/>
      <c r="O3981" s="18"/>
      <c r="P3981" s="18"/>
      <c r="Q3981" s="18"/>
    </row>
    <row r="3982" spans="1:17" ht="60" x14ac:dyDescent="0.25">
      <c r="A3982" s="18"/>
      <c r="B3982" s="18"/>
      <c r="C3982" s="18"/>
      <c r="D3982" s="18"/>
      <c r="E3982" s="18"/>
      <c r="F3982" s="18"/>
      <c r="G3982" s="18"/>
      <c r="H3982" s="18"/>
      <c r="I3982" s="18"/>
      <c r="J3982" s="18"/>
      <c r="K3982" s="18"/>
      <c r="L3982" s="9" t="s">
        <v>517</v>
      </c>
      <c r="M3982" s="18"/>
      <c r="N3982" s="18"/>
      <c r="O3982" s="18"/>
      <c r="P3982" s="18"/>
      <c r="Q3982" s="18"/>
    </row>
    <row r="3983" spans="1:17" ht="45" x14ac:dyDescent="0.25">
      <c r="A3983" s="9" t="s">
        <v>6892</v>
      </c>
      <c r="B3983" s="9" t="s">
        <v>6918</v>
      </c>
      <c r="C3983" s="9"/>
      <c r="D3983" s="9" t="s">
        <v>6742</v>
      </c>
      <c r="E3983" s="9" t="s">
        <v>1120</v>
      </c>
      <c r="F3983" s="9" t="s">
        <v>1121</v>
      </c>
      <c r="G3983" s="9" t="s">
        <v>12</v>
      </c>
      <c r="H3983" s="9"/>
      <c r="I3983" s="9"/>
      <c r="J3983" s="9" t="s">
        <v>68</v>
      </c>
      <c r="K3983" s="9"/>
      <c r="L3983" s="9"/>
      <c r="M3983" s="9" t="s">
        <v>1122</v>
      </c>
      <c r="N3983" s="9"/>
      <c r="O3983" s="9" t="s">
        <v>1123</v>
      </c>
      <c r="P3983" s="9" t="str">
        <f>HYPERLINK("https://ceds.ed.gov/cedselementdetails.aspx?termid=14514")</f>
        <v>https://ceds.ed.gov/cedselementdetails.aspx?termid=14514</v>
      </c>
      <c r="Q3983" s="9" t="str">
        <f>HYPERLINK("https://ceds.ed.gov/elementComment.aspx?elementName=Assessment Participant Session Database Name &amp;elementID=14514", "Click here to submit comment")</f>
        <v>Click here to submit comment</v>
      </c>
    </row>
    <row r="3984" spans="1:17" ht="90" x14ac:dyDescent="0.25">
      <c r="A3984" s="9" t="s">
        <v>6892</v>
      </c>
      <c r="B3984" s="9" t="s">
        <v>6918</v>
      </c>
      <c r="C3984" s="9"/>
      <c r="D3984" s="9" t="s">
        <v>6742</v>
      </c>
      <c r="E3984" s="9" t="s">
        <v>1331</v>
      </c>
      <c r="F3984" s="9" t="s">
        <v>1332</v>
      </c>
      <c r="G3984" s="9" t="s">
        <v>12</v>
      </c>
      <c r="H3984" s="9"/>
      <c r="I3984" s="9"/>
      <c r="J3984" s="9" t="s">
        <v>828</v>
      </c>
      <c r="K3984" s="9"/>
      <c r="L3984" s="9" t="s">
        <v>1333</v>
      </c>
      <c r="M3984" s="9" t="s">
        <v>1334</v>
      </c>
      <c r="N3984" s="9"/>
      <c r="O3984" s="9" t="s">
        <v>1335</v>
      </c>
      <c r="P3984" s="9" t="str">
        <f>HYPERLINK("https://ceds.ed.gov/cedselementdetails.aspx?termid=14023")</f>
        <v>https://ceds.ed.gov/cedselementdetails.aspx?termid=14023</v>
      </c>
      <c r="Q3984" s="9" t="str">
        <f>HYPERLINK("https://ceds.ed.gov/elementComment.aspx?elementName=Assessment Session Actual Start Date Time &amp;elementID=14023", "Click here to submit comment")</f>
        <v>Click here to submit comment</v>
      </c>
    </row>
    <row r="3985" spans="1:17" ht="90" x14ac:dyDescent="0.25">
      <c r="A3985" s="9" t="s">
        <v>6892</v>
      </c>
      <c r="B3985" s="9" t="s">
        <v>6918</v>
      </c>
      <c r="C3985" s="9"/>
      <c r="D3985" s="9" t="s">
        <v>6742</v>
      </c>
      <c r="E3985" s="9" t="s">
        <v>1326</v>
      </c>
      <c r="F3985" s="9" t="s">
        <v>1327</v>
      </c>
      <c r="G3985" s="9" t="s">
        <v>12</v>
      </c>
      <c r="H3985" s="9"/>
      <c r="I3985" s="9"/>
      <c r="J3985" s="9" t="s">
        <v>828</v>
      </c>
      <c r="K3985" s="9"/>
      <c r="L3985" s="9" t="s">
        <v>1328</v>
      </c>
      <c r="M3985" s="9" t="s">
        <v>1329</v>
      </c>
      <c r="N3985" s="9"/>
      <c r="O3985" s="9" t="s">
        <v>1330</v>
      </c>
      <c r="P3985" s="9" t="str">
        <f>HYPERLINK("https://ceds.ed.gov/cedselementdetails.aspx?termid=14024")</f>
        <v>https://ceds.ed.gov/cedselementdetails.aspx?termid=14024</v>
      </c>
      <c r="Q3985" s="9" t="str">
        <f>HYPERLINK("https://ceds.ed.gov/elementComment.aspx?elementName=Assessment Session Actual End Date Time &amp;elementID=14024", "Click here to submit comment")</f>
        <v>Click here to submit comment</v>
      </c>
    </row>
    <row r="3986" spans="1:17" ht="45" x14ac:dyDescent="0.25">
      <c r="A3986" s="9" t="s">
        <v>6892</v>
      </c>
      <c r="B3986" s="9" t="s">
        <v>6918</v>
      </c>
      <c r="C3986" s="9"/>
      <c r="D3986" s="9" t="s">
        <v>6742</v>
      </c>
      <c r="E3986" s="9" t="s">
        <v>1124</v>
      </c>
      <c r="F3986" s="9" t="s">
        <v>1125</v>
      </c>
      <c r="G3986" s="9" t="s">
        <v>12</v>
      </c>
      <c r="H3986" s="9"/>
      <c r="I3986" s="9"/>
      <c r="J3986" s="9" t="s">
        <v>68</v>
      </c>
      <c r="K3986" s="9"/>
      <c r="L3986" s="9" t="s">
        <v>1126</v>
      </c>
      <c r="M3986" s="9" t="s">
        <v>1127</v>
      </c>
      <c r="N3986" s="9"/>
      <c r="O3986" s="9" t="s">
        <v>1128</v>
      </c>
      <c r="P3986" s="9" t="str">
        <f>HYPERLINK("https://ceds.ed.gov/cedselementdetails.aspx?termid=14006")</f>
        <v>https://ceds.ed.gov/cedselementdetails.aspx?termid=14006</v>
      </c>
      <c r="Q3986" s="9" t="str">
        <f>HYPERLINK("https://ceds.ed.gov/elementComment.aspx?elementName=Assessment Participant Session Delivery Device Details &amp;elementID=14006", "Click here to submit comment")</f>
        <v>Click here to submit comment</v>
      </c>
    </row>
    <row r="3987" spans="1:17" ht="45" x14ac:dyDescent="0.25">
      <c r="A3987" s="9" t="s">
        <v>6892</v>
      </c>
      <c r="B3987" s="9" t="s">
        <v>6918</v>
      </c>
      <c r="C3987" s="9"/>
      <c r="D3987" s="9" t="s">
        <v>6742</v>
      </c>
      <c r="E3987" s="9" t="s">
        <v>1345</v>
      </c>
      <c r="F3987" s="9" t="s">
        <v>1346</v>
      </c>
      <c r="G3987" s="9" t="s">
        <v>12</v>
      </c>
      <c r="H3987" s="9" t="s">
        <v>6127</v>
      </c>
      <c r="I3987" s="9"/>
      <c r="J3987" s="9" t="s">
        <v>1347</v>
      </c>
      <c r="K3987" s="9"/>
      <c r="L3987" s="9"/>
      <c r="M3987" s="9" t="s">
        <v>1348</v>
      </c>
      <c r="N3987" s="9"/>
      <c r="O3987" s="9" t="s">
        <v>1349</v>
      </c>
      <c r="P3987" s="9" t="str">
        <f>HYPERLINK("https://ceds.ed.gov/cedselementdetails.aspx?termid=13590")</f>
        <v>https://ceds.ed.gov/cedselementdetails.aspx?termid=13590</v>
      </c>
      <c r="Q3987" s="9" t="str">
        <f>HYPERLINK("https://ceds.ed.gov/elementComment.aspx?elementName=Assessment Session Location &amp;elementID=13590", "Click here to submit comment")</f>
        <v>Click here to submit comment</v>
      </c>
    </row>
    <row r="3988" spans="1:17" ht="120" x14ac:dyDescent="0.25">
      <c r="A3988" s="9" t="s">
        <v>6892</v>
      </c>
      <c r="B3988" s="9" t="s">
        <v>6918</v>
      </c>
      <c r="C3988" s="9"/>
      <c r="D3988" s="9" t="s">
        <v>6742</v>
      </c>
      <c r="E3988" s="9" t="s">
        <v>1137</v>
      </c>
      <c r="F3988" s="9" t="s">
        <v>1138</v>
      </c>
      <c r="G3988" s="10" t="s">
        <v>6373</v>
      </c>
      <c r="H3988" s="9" t="s">
        <v>6135</v>
      </c>
      <c r="I3988" s="9"/>
      <c r="J3988" s="9"/>
      <c r="K3988" s="9"/>
      <c r="L3988" s="9"/>
      <c r="M3988" s="9" t="s">
        <v>1139</v>
      </c>
      <c r="N3988" s="9"/>
      <c r="O3988" s="9" t="s">
        <v>1140</v>
      </c>
      <c r="P3988" s="9" t="str">
        <f>HYPERLINK("https://ceds.ed.gov/cedselementdetails.aspx?termid=13377")</f>
        <v>https://ceds.ed.gov/cedselementdetails.aspx?termid=13377</v>
      </c>
      <c r="Q3988" s="9" t="str">
        <f>HYPERLINK("https://ceds.ed.gov/elementComment.aspx?elementName=Assessment Participant Session Platform Type &amp;elementID=13377", "Click here to submit comment")</f>
        <v>Click here to submit comment</v>
      </c>
    </row>
    <row r="3989" spans="1:17" ht="135" x14ac:dyDescent="0.25">
      <c r="A3989" s="9" t="s">
        <v>6892</v>
      </c>
      <c r="B3989" s="9" t="s">
        <v>6918</v>
      </c>
      <c r="C3989" s="9"/>
      <c r="D3989" s="9" t="s">
        <v>6742</v>
      </c>
      <c r="E3989" s="9" t="s">
        <v>1141</v>
      </c>
      <c r="F3989" s="9" t="s">
        <v>1142</v>
      </c>
      <c r="G3989" s="9" t="s">
        <v>12</v>
      </c>
      <c r="H3989" s="9"/>
      <c r="I3989" s="9"/>
      <c r="J3989" s="9" t="s">
        <v>1143</v>
      </c>
      <c r="K3989" s="9"/>
      <c r="L3989" s="9" t="s">
        <v>1144</v>
      </c>
      <c r="M3989" s="9" t="s">
        <v>1145</v>
      </c>
      <c r="N3989" s="9"/>
      <c r="O3989" s="9" t="s">
        <v>1146</v>
      </c>
      <c r="P3989" s="9" t="str">
        <f>HYPERLINK("https://ceds.ed.gov/cedselementdetails.aspx?termid=14112")</f>
        <v>https://ceds.ed.gov/cedselementdetails.aspx?termid=14112</v>
      </c>
      <c r="Q3989" s="9" t="str">
        <f>HYPERLINK("https://ceds.ed.gov/elementComment.aspx?elementName=Assessment Participant Session Platform User Agent &amp;elementID=14112", "Click here to submit comment")</f>
        <v>Click here to submit comment</v>
      </c>
    </row>
    <row r="3990" spans="1:17" ht="90" x14ac:dyDescent="0.25">
      <c r="A3990" s="9" t="s">
        <v>6892</v>
      </c>
      <c r="B3990" s="9" t="s">
        <v>6918</v>
      </c>
      <c r="C3990" s="9"/>
      <c r="D3990" s="9" t="s">
        <v>6742</v>
      </c>
      <c r="E3990" s="9" t="s">
        <v>1133</v>
      </c>
      <c r="F3990" s="9" t="s">
        <v>1134</v>
      </c>
      <c r="G3990" s="11" t="s">
        <v>966</v>
      </c>
      <c r="H3990" s="9" t="s">
        <v>6127</v>
      </c>
      <c r="I3990" s="9"/>
      <c r="J3990" s="9"/>
      <c r="K3990" s="9"/>
      <c r="L3990" s="11" t="s">
        <v>967</v>
      </c>
      <c r="M3990" s="9" t="s">
        <v>1135</v>
      </c>
      <c r="N3990" s="9"/>
      <c r="O3990" s="9" t="s">
        <v>1136</v>
      </c>
      <c r="P3990" s="9" t="str">
        <f>HYPERLINK("https://ceds.ed.gov/cedselementdetails.aspx?termid=13370")</f>
        <v>https://ceds.ed.gov/cedselementdetails.aspx?termid=13370</v>
      </c>
      <c r="Q3990" s="9" t="str">
        <f>HYPERLINK("https://ceds.ed.gov/elementComment.aspx?elementName=Assessment Participant Session Language &amp;elementID=13370", "Click here to submit comment")</f>
        <v>Click here to submit comment</v>
      </c>
    </row>
    <row r="3991" spans="1:17" ht="240" x14ac:dyDescent="0.25">
      <c r="A3991" s="9" t="s">
        <v>6892</v>
      </c>
      <c r="B3991" s="9" t="s">
        <v>6918</v>
      </c>
      <c r="C3991" s="9"/>
      <c r="D3991" s="9" t="s">
        <v>6742</v>
      </c>
      <c r="E3991" s="9" t="s">
        <v>383</v>
      </c>
      <c r="F3991" s="9" t="s">
        <v>384</v>
      </c>
      <c r="G3991" s="10" t="s">
        <v>11786</v>
      </c>
      <c r="H3991" s="9" t="s">
        <v>6127</v>
      </c>
      <c r="I3991" s="9" t="s">
        <v>91</v>
      </c>
      <c r="J3991" s="9"/>
      <c r="K3991" s="9"/>
      <c r="L3991" s="9"/>
      <c r="M3991" s="9" t="s">
        <v>385</v>
      </c>
      <c r="N3991" s="9"/>
      <c r="O3991" s="9" t="s">
        <v>386</v>
      </c>
      <c r="P3991" s="9" t="str">
        <f>HYPERLINK("https://ceds.ed.gov/cedselementdetails.aspx?termid=13374")</f>
        <v>https://ceds.ed.gov/cedselementdetails.aspx?termid=13374</v>
      </c>
      <c r="Q3991" s="9" t="str">
        <f>HYPERLINK("https://ceds.ed.gov/elementComment.aspx?elementName=Assessment Accommodation Category &amp;elementID=13374", "Click here to submit comment")</f>
        <v>Click here to submit comment</v>
      </c>
    </row>
    <row r="3992" spans="1:17" ht="409.5" x14ac:dyDescent="0.25">
      <c r="A3992" s="9" t="s">
        <v>6892</v>
      </c>
      <c r="B3992" s="9" t="s">
        <v>6918</v>
      </c>
      <c r="C3992" s="9"/>
      <c r="D3992" s="9" t="s">
        <v>6742</v>
      </c>
      <c r="E3992" s="9" t="s">
        <v>10478</v>
      </c>
      <c r="F3992" s="9" t="s">
        <v>10479</v>
      </c>
      <c r="G3992" s="10" t="s">
        <v>11785</v>
      </c>
      <c r="H3992" s="9" t="s">
        <v>6127</v>
      </c>
      <c r="I3992" s="9"/>
      <c r="J3992" s="9"/>
      <c r="K3992" s="9"/>
      <c r="L3992" s="9"/>
      <c r="M3992" s="9" t="s">
        <v>389</v>
      </c>
      <c r="N3992" s="9"/>
      <c r="O3992" s="9" t="s">
        <v>10481</v>
      </c>
      <c r="P3992" s="9" t="str">
        <f>HYPERLINK("https://ceds.ed.gov/cedselementdetails.aspx?termid=13376")</f>
        <v>https://ceds.ed.gov/cedselementdetails.aspx?termid=13376</v>
      </c>
      <c r="Q3992" s="9" t="str">
        <f>HYPERLINK("https://ceds.ed.gov/elementComment.aspx?elementName=Accommodation Type &amp;elementID=13376", "Click here to submit comment")</f>
        <v>Click here to submit comment</v>
      </c>
    </row>
    <row r="3993" spans="1:17" ht="45" x14ac:dyDescent="0.25">
      <c r="A3993" s="9" t="s">
        <v>6892</v>
      </c>
      <c r="B3993" s="9" t="s">
        <v>6918</v>
      </c>
      <c r="C3993" s="9"/>
      <c r="D3993" s="9" t="s">
        <v>6742</v>
      </c>
      <c r="E3993" s="9" t="s">
        <v>10474</v>
      </c>
      <c r="F3993" s="9" t="s">
        <v>10475</v>
      </c>
      <c r="G3993" s="9" t="s">
        <v>12</v>
      </c>
      <c r="H3993" s="9"/>
      <c r="I3993" s="9"/>
      <c r="J3993" s="9" t="s">
        <v>87</v>
      </c>
      <c r="K3993" s="9"/>
      <c r="L3993" s="9"/>
      <c r="M3993" s="9" t="s">
        <v>387</v>
      </c>
      <c r="N3993" s="9"/>
      <c r="O3993" s="9" t="s">
        <v>10477</v>
      </c>
      <c r="P3993" s="9" t="str">
        <f>HYPERLINK("https://ceds.ed.gov/cedselementdetails.aspx?termid=14116")</f>
        <v>https://ceds.ed.gov/cedselementdetails.aspx?termid=14116</v>
      </c>
      <c r="Q3993" s="9" t="str">
        <f>HYPERLINK("https://ceds.ed.gov/elementComment.aspx?elementName=Accommodation Other Description &amp;elementID=14116", "Click here to submit comment")</f>
        <v>Click here to submit comment</v>
      </c>
    </row>
    <row r="3994" spans="1:17" ht="45" x14ac:dyDescent="0.25">
      <c r="A3994" s="9" t="s">
        <v>6892</v>
      </c>
      <c r="B3994" s="9" t="s">
        <v>6918</v>
      </c>
      <c r="C3994" s="9"/>
      <c r="D3994" s="9" t="s">
        <v>6742</v>
      </c>
      <c r="E3994" s="9" t="s">
        <v>1151</v>
      </c>
      <c r="F3994" s="9" t="s">
        <v>1152</v>
      </c>
      <c r="G3994" s="9" t="s">
        <v>12</v>
      </c>
      <c r="H3994" s="9" t="s">
        <v>6127</v>
      </c>
      <c r="I3994" s="9"/>
      <c r="J3994" s="9" t="s">
        <v>87</v>
      </c>
      <c r="K3994" s="9"/>
      <c r="L3994" s="9"/>
      <c r="M3994" s="9" t="s">
        <v>1153</v>
      </c>
      <c r="N3994" s="9"/>
      <c r="O3994" s="9" t="s">
        <v>1154</v>
      </c>
      <c r="P3994" s="9" t="str">
        <f>HYPERLINK("https://ceds.ed.gov/cedselementdetails.aspx?termid=13398")</f>
        <v>https://ceds.ed.gov/cedselementdetails.aspx?termid=13398</v>
      </c>
      <c r="Q3994" s="9" t="str">
        <f>HYPERLINK("https://ceds.ed.gov/elementComment.aspx?elementName=Assessment Participant Session Time Assessed &amp;elementID=13398", "Click here to submit comment")</f>
        <v>Click here to submit comment</v>
      </c>
    </row>
    <row r="3995" spans="1:17" ht="75" x14ac:dyDescent="0.25">
      <c r="A3995" s="9" t="s">
        <v>6892</v>
      </c>
      <c r="B3995" s="9" t="s">
        <v>6918</v>
      </c>
      <c r="C3995" s="9"/>
      <c r="D3995" s="9" t="s">
        <v>6742</v>
      </c>
      <c r="E3995" s="9" t="s">
        <v>1147</v>
      </c>
      <c r="F3995" s="9" t="s">
        <v>1148</v>
      </c>
      <c r="G3995" s="9" t="s">
        <v>12</v>
      </c>
      <c r="H3995" s="9"/>
      <c r="I3995" s="9"/>
      <c r="J3995" s="9" t="s">
        <v>303</v>
      </c>
      <c r="K3995" s="9"/>
      <c r="L3995" s="9"/>
      <c r="M3995" s="9" t="s">
        <v>1149</v>
      </c>
      <c r="N3995" s="9"/>
      <c r="O3995" s="9" t="s">
        <v>1150</v>
      </c>
      <c r="P3995" s="9" t="str">
        <f>HYPERLINK("https://ceds.ed.gov/cedselementdetails.aspx?termid=14102")</f>
        <v>https://ceds.ed.gov/cedselementdetails.aspx?termid=14102</v>
      </c>
      <c r="Q3995" s="9" t="str">
        <f>HYPERLINK("https://ceds.ed.gov/elementComment.aspx?elementName=Assessment Participant Session Security Issue &amp;elementID=14102", "Click here to submit comment")</f>
        <v>Click here to submit comment</v>
      </c>
    </row>
    <row r="3996" spans="1:17" ht="150" x14ac:dyDescent="0.25">
      <c r="A3996" s="9" t="s">
        <v>6892</v>
      </c>
      <c r="B3996" s="9" t="s">
        <v>6918</v>
      </c>
      <c r="C3996" s="9"/>
      <c r="D3996" s="9" t="s">
        <v>6742</v>
      </c>
      <c r="E3996" s="9" t="s">
        <v>1363</v>
      </c>
      <c r="F3996" s="9" t="s">
        <v>1364</v>
      </c>
      <c r="G3996" s="9" t="s">
        <v>12</v>
      </c>
      <c r="H3996" s="9"/>
      <c r="I3996" s="9"/>
      <c r="J3996" s="9" t="s">
        <v>68</v>
      </c>
      <c r="K3996" s="9"/>
      <c r="L3996" s="9" t="s">
        <v>864</v>
      </c>
      <c r="M3996" s="9" t="s">
        <v>1365</v>
      </c>
      <c r="N3996" s="9"/>
      <c r="O3996" s="9" t="s">
        <v>1366</v>
      </c>
      <c r="P3996" s="9" t="str">
        <f>HYPERLINK("https://ceds.ed.gov/cedselementdetails.aspx?termid=13969")</f>
        <v>https://ceds.ed.gov/cedselementdetails.aspx?termid=13969</v>
      </c>
      <c r="Q3996" s="9" t="str">
        <f>HYPERLINK("https://ceds.ed.gov/elementComment.aspx?elementName=Assessment Session Security Issue &amp;elementID=13969", "Click here to submit comment")</f>
        <v>Click here to submit comment</v>
      </c>
    </row>
    <row r="3997" spans="1:17" ht="409.5" x14ac:dyDescent="0.25">
      <c r="A3997" s="9" t="s">
        <v>6892</v>
      </c>
      <c r="B3997" s="9" t="s">
        <v>6918</v>
      </c>
      <c r="C3997" s="9"/>
      <c r="D3997" s="9" t="s">
        <v>6742</v>
      </c>
      <c r="E3997" s="9" t="s">
        <v>1367</v>
      </c>
      <c r="F3997" s="9" t="s">
        <v>1368</v>
      </c>
      <c r="G3997" s="10" t="s">
        <v>6383</v>
      </c>
      <c r="H3997" s="9" t="s">
        <v>6127</v>
      </c>
      <c r="I3997" s="9"/>
      <c r="J3997" s="9"/>
      <c r="K3997" s="9"/>
      <c r="L3997" s="9"/>
      <c r="M3997" s="9" t="s">
        <v>1369</v>
      </c>
      <c r="N3997" s="9"/>
      <c r="O3997" s="9" t="s">
        <v>1370</v>
      </c>
      <c r="P3997" s="9" t="str">
        <f>HYPERLINK("https://ceds.ed.gov/cedselementdetails.aspx?termid=13380")</f>
        <v>https://ceds.ed.gov/cedselementdetails.aspx?termid=13380</v>
      </c>
      <c r="Q3997" s="9" t="str">
        <f>HYPERLINK("https://ceds.ed.gov/elementComment.aspx?elementName=Assessment Session Special Circumstance Type &amp;elementID=13380", "Click here to submit comment")</f>
        <v>Click here to submit comment</v>
      </c>
    </row>
    <row r="3998" spans="1:17" ht="90" x14ac:dyDescent="0.25">
      <c r="A3998" s="9" t="s">
        <v>6892</v>
      </c>
      <c r="B3998" s="9" t="s">
        <v>6918</v>
      </c>
      <c r="C3998" s="9"/>
      <c r="D3998" s="9" t="s">
        <v>6742</v>
      </c>
      <c r="E3998" s="9" t="s">
        <v>1371</v>
      </c>
      <c r="F3998" s="9" t="s">
        <v>1372</v>
      </c>
      <c r="G3998" s="9" t="s">
        <v>12</v>
      </c>
      <c r="H3998" s="9"/>
      <c r="I3998" s="9"/>
      <c r="J3998" s="9" t="s">
        <v>92</v>
      </c>
      <c r="K3998" s="9"/>
      <c r="L3998" s="9"/>
      <c r="M3998" s="9" t="s">
        <v>1373</v>
      </c>
      <c r="N3998" s="9"/>
      <c r="O3998" s="9" t="s">
        <v>1374</v>
      </c>
      <c r="P3998" s="9" t="str">
        <f>HYPERLINK("https://ceds.ed.gov/cedselementdetails.aspx?termid=14077")</f>
        <v>https://ceds.ed.gov/cedselementdetails.aspx?termid=14077</v>
      </c>
      <c r="Q3998" s="9" t="str">
        <f>HYPERLINK("https://ceds.ed.gov/elementComment.aspx?elementName=Assessment Session Special Event Description &amp;elementID=14077", "Click here to submit comment")</f>
        <v>Click here to submit comment</v>
      </c>
    </row>
    <row r="3999" spans="1:17" ht="195" x14ac:dyDescent="0.25">
      <c r="A3999" s="9" t="s">
        <v>6886</v>
      </c>
      <c r="B3999" s="9"/>
      <c r="C3999" s="9"/>
      <c r="D3999" s="9" t="s">
        <v>6742</v>
      </c>
      <c r="E3999" s="9" t="s">
        <v>11002</v>
      </c>
      <c r="F3999" s="9" t="s">
        <v>11003</v>
      </c>
      <c r="G3999" s="9" t="s">
        <v>12</v>
      </c>
      <c r="H3999" s="9"/>
      <c r="I3999" s="9"/>
      <c r="J3999" s="9" t="s">
        <v>1143</v>
      </c>
      <c r="K3999" s="9"/>
      <c r="L3999" s="9" t="s">
        <v>11004</v>
      </c>
      <c r="M3999" s="9" t="s">
        <v>11005</v>
      </c>
      <c r="N3999" s="9"/>
      <c r="O3999" s="9" t="s">
        <v>11006</v>
      </c>
      <c r="P3999" s="9" t="str">
        <f>HYPERLINK("https://ceds.ed.gov/cedselementdetails.aspx?termid=14639")</f>
        <v>https://ceds.ed.gov/cedselementdetails.aspx?termid=14639</v>
      </c>
      <c r="Q3999" s="9" t="str">
        <f>HYPERLINK("https://ceds.ed.gov/elementComment.aspx?elementName=Credential Identifier &amp;elementID=14639", "Click here to submit comment")</f>
        <v>Click here to submit comment</v>
      </c>
    </row>
    <row r="4000" spans="1:17" ht="150" x14ac:dyDescent="0.25">
      <c r="A4000" s="9" t="s">
        <v>6886</v>
      </c>
      <c r="B4000" s="9"/>
      <c r="C4000" s="9"/>
      <c r="D4000" s="9" t="s">
        <v>6742</v>
      </c>
      <c r="E4000" s="9" t="s">
        <v>11007</v>
      </c>
      <c r="F4000" s="9" t="s">
        <v>11008</v>
      </c>
      <c r="G4000" s="10" t="s">
        <v>11843</v>
      </c>
      <c r="H4000" s="9"/>
      <c r="I4000" s="9"/>
      <c r="J4000" s="9"/>
      <c r="K4000" s="9"/>
      <c r="L4000" s="9"/>
      <c r="M4000" s="9" t="s">
        <v>11009</v>
      </c>
      <c r="N4000" s="9"/>
      <c r="O4000" s="9" t="s">
        <v>11010</v>
      </c>
      <c r="P4000" s="9" t="str">
        <f>HYPERLINK("https://ceds.ed.gov/cedselementdetails.aspx?termid=14720")</f>
        <v>https://ceds.ed.gov/cedselementdetails.aspx?termid=14720</v>
      </c>
      <c r="Q4000" s="9" t="str">
        <f>HYPERLINK("https://ceds.ed.gov/elementComment.aspx?elementName=Credential Identifier System &amp;elementID=14720", "Click here to submit comment")</f>
        <v>Click here to submit comment</v>
      </c>
    </row>
    <row r="4001" spans="1:17" ht="45" x14ac:dyDescent="0.25">
      <c r="A4001" s="9" t="s">
        <v>6886</v>
      </c>
      <c r="B4001" s="9"/>
      <c r="C4001" s="9"/>
      <c r="D4001" s="9" t="s">
        <v>6742</v>
      </c>
      <c r="E4001" s="9" t="s">
        <v>11073</v>
      </c>
      <c r="F4001" s="9" t="s">
        <v>110</v>
      </c>
      <c r="G4001" s="9" t="s">
        <v>12</v>
      </c>
      <c r="H4001" s="9"/>
      <c r="I4001" s="9"/>
      <c r="J4001" s="9" t="s">
        <v>68</v>
      </c>
      <c r="K4001" s="9"/>
      <c r="L4001" s="9"/>
      <c r="M4001" s="9" t="s">
        <v>111</v>
      </c>
      <c r="N4001" s="9"/>
      <c r="O4001" s="9" t="s">
        <v>11074</v>
      </c>
      <c r="P4001" s="9" t="str">
        <f>HYPERLINK("https://ceds.ed.gov/cedselementdetails.aspx?termid=13893")</f>
        <v>https://ceds.ed.gov/cedselementdetails.aspx?termid=13893</v>
      </c>
      <c r="Q4001" s="9" t="str">
        <f>HYPERLINK("https://ceds.ed.gov/elementComment.aspx?elementName=Credential Title &amp;elementID=13893", "Click here to submit comment")</f>
        <v>Click here to submit comment</v>
      </c>
    </row>
    <row r="4002" spans="1:17" ht="45" x14ac:dyDescent="0.25">
      <c r="A4002" s="9" t="s">
        <v>6886</v>
      </c>
      <c r="B4002" s="9"/>
      <c r="C4002" s="9"/>
      <c r="D4002" s="9" t="s">
        <v>6742</v>
      </c>
      <c r="E4002" s="9" t="s">
        <v>7696</v>
      </c>
      <c r="F4002" s="9" t="s">
        <v>99</v>
      </c>
      <c r="G4002" s="9" t="s">
        <v>12</v>
      </c>
      <c r="H4002" s="9"/>
      <c r="I4002" s="9"/>
      <c r="J4002" s="9" t="s">
        <v>68</v>
      </c>
      <c r="K4002" s="9"/>
      <c r="L4002" s="9"/>
      <c r="M4002" s="9" t="s">
        <v>100</v>
      </c>
      <c r="N4002" s="9"/>
      <c r="O4002" s="9" t="s">
        <v>10991</v>
      </c>
      <c r="P4002" s="9" t="str">
        <f>HYPERLINK("https://ceds.ed.gov/cedselementdetails.aspx?termid=13895")</f>
        <v>https://ceds.ed.gov/cedselementdetails.aspx?termid=13895</v>
      </c>
      <c r="Q4002" s="9" t="str">
        <f>HYPERLINK("https://ceds.ed.gov/elementComment.aspx?elementName=Credential Description &amp;elementID=13895", "Click here to submit comment")</f>
        <v>Click here to submit comment</v>
      </c>
    </row>
    <row r="4003" spans="1:17" ht="75" x14ac:dyDescent="0.25">
      <c r="A4003" s="9" t="s">
        <v>6886</v>
      </c>
      <c r="B4003" s="9"/>
      <c r="C4003" s="9"/>
      <c r="D4003" s="9" t="s">
        <v>6742</v>
      </c>
      <c r="E4003" s="9" t="s">
        <v>10959</v>
      </c>
      <c r="F4003" s="9" t="s">
        <v>10960</v>
      </c>
      <c r="G4003" s="9" t="s">
        <v>12</v>
      </c>
      <c r="H4003" s="9"/>
      <c r="I4003" s="9"/>
      <c r="J4003" s="9" t="s">
        <v>68</v>
      </c>
      <c r="K4003" s="9"/>
      <c r="L4003" s="9"/>
      <c r="M4003" s="9" t="s">
        <v>10961</v>
      </c>
      <c r="N4003" s="9"/>
      <c r="O4003" s="9" t="s">
        <v>10962</v>
      </c>
      <c r="P4003" s="9" t="str">
        <f>HYPERLINK("https://ceds.ed.gov/cedselementdetails.aspx?termid=14717")</f>
        <v>https://ceds.ed.gov/cedselementdetails.aspx?termid=14717</v>
      </c>
      <c r="Q4003" s="9" t="str">
        <f>HYPERLINK("https://ceds.ed.gov/elementComment.aspx?elementName=Credential Alternate Name &amp;elementID=14717", "Click here to submit comment")</f>
        <v>Click here to submit comment</v>
      </c>
    </row>
    <row r="4004" spans="1:17" ht="60" x14ac:dyDescent="0.25">
      <c r="A4004" s="9" t="s">
        <v>6886</v>
      </c>
      <c r="B4004" s="9"/>
      <c r="C4004" s="9"/>
      <c r="D4004" s="9" t="s">
        <v>6742</v>
      </c>
      <c r="E4004" s="9" t="s">
        <v>11084</v>
      </c>
      <c r="F4004" s="9" t="s">
        <v>11085</v>
      </c>
      <c r="G4004" s="9" t="s">
        <v>12</v>
      </c>
      <c r="H4004" s="9"/>
      <c r="I4004" s="9"/>
      <c r="J4004" s="9" t="s">
        <v>134</v>
      </c>
      <c r="K4004" s="9"/>
      <c r="L4004" s="9"/>
      <c r="M4004" s="9" t="s">
        <v>11086</v>
      </c>
      <c r="N4004" s="9"/>
      <c r="O4004" s="9" t="s">
        <v>11087</v>
      </c>
      <c r="P4004" s="9" t="str">
        <f>HYPERLINK("https://ceds.ed.gov/cedselementdetails.aspx?termid=14735")</f>
        <v>https://ceds.ed.gov/cedselementdetails.aspx?termid=14735</v>
      </c>
      <c r="Q4004" s="9" t="str">
        <f>HYPERLINK("https://ceds.ed.gov/elementComment.aspx?elementName=Credential Version &amp;elementID=14735", "Click here to submit comment")</f>
        <v>Click here to submit comment</v>
      </c>
    </row>
    <row r="4005" spans="1:17" ht="75" x14ac:dyDescent="0.25">
      <c r="A4005" s="9" t="s">
        <v>6886</v>
      </c>
      <c r="B4005" s="9"/>
      <c r="C4005" s="9"/>
      <c r="D4005" s="9" t="s">
        <v>6742</v>
      </c>
      <c r="E4005" s="9" t="s">
        <v>10979</v>
      </c>
      <c r="F4005" s="9" t="s">
        <v>86</v>
      </c>
      <c r="G4005" s="9" t="s">
        <v>12</v>
      </c>
      <c r="H4005" s="9"/>
      <c r="I4005" s="9"/>
      <c r="J4005" s="9" t="s">
        <v>87</v>
      </c>
      <c r="K4005" s="9"/>
      <c r="L4005" s="9" t="s">
        <v>88</v>
      </c>
      <c r="M4005" s="9" t="s">
        <v>89</v>
      </c>
      <c r="N4005" s="9"/>
      <c r="O4005" s="9" t="s">
        <v>10980</v>
      </c>
      <c r="P4005" s="9" t="str">
        <f>HYPERLINK("https://ceds.ed.gov/cedselementdetails.aspx?termid=14211")</f>
        <v>https://ceds.ed.gov/cedselementdetails.aspx?termid=14211</v>
      </c>
      <c r="Q4005" s="9" t="str">
        <f>HYPERLINK("https://ceds.ed.gov/elementComment.aspx?elementName=Credential Category System &amp;elementID=14211", "Click here to submit comment")</f>
        <v>Click here to submit comment</v>
      </c>
    </row>
    <row r="4006" spans="1:17" ht="285" x14ac:dyDescent="0.25">
      <c r="A4006" s="9" t="s">
        <v>6886</v>
      </c>
      <c r="B4006" s="9"/>
      <c r="C4006" s="9"/>
      <c r="D4006" s="9" t="s">
        <v>6742</v>
      </c>
      <c r="E4006" s="9" t="s">
        <v>10981</v>
      </c>
      <c r="F4006" s="9" t="s">
        <v>90</v>
      </c>
      <c r="G4006" s="9" t="s">
        <v>12</v>
      </c>
      <c r="H4006" s="9"/>
      <c r="I4006" s="9"/>
      <c r="J4006" s="9" t="s">
        <v>92</v>
      </c>
      <c r="K4006" s="9"/>
      <c r="L4006" s="9" t="s">
        <v>93</v>
      </c>
      <c r="M4006" s="9" t="s">
        <v>94</v>
      </c>
      <c r="N4006" s="9"/>
      <c r="O4006" s="9" t="s">
        <v>10982</v>
      </c>
      <c r="P4006" s="9" t="str">
        <f>HYPERLINK("https://ceds.ed.gov/cedselementdetails.aspx?termid=13892")</f>
        <v>https://ceds.ed.gov/cedselementdetails.aspx?termid=13892</v>
      </c>
      <c r="Q4006" s="9" t="str">
        <f>HYPERLINK("https://ceds.ed.gov/elementComment.aspx?elementName=Credential Category Type &amp;elementID=13892", "Click here to submit comment")</f>
        <v>Click here to submit comment</v>
      </c>
    </row>
    <row r="4007" spans="1:17" ht="75" x14ac:dyDescent="0.25">
      <c r="A4007" s="9" t="s">
        <v>6886</v>
      </c>
      <c r="B4007" s="9"/>
      <c r="C4007" s="9"/>
      <c r="D4007" s="9" t="s">
        <v>6742</v>
      </c>
      <c r="E4007" s="9" t="s">
        <v>11069</v>
      </c>
      <c r="F4007" s="9" t="s">
        <v>11070</v>
      </c>
      <c r="G4007" s="10" t="s">
        <v>11845</v>
      </c>
      <c r="H4007" s="9"/>
      <c r="I4007" s="9"/>
      <c r="J4007" s="9"/>
      <c r="K4007" s="9"/>
      <c r="L4007" s="9"/>
      <c r="M4007" s="9" t="s">
        <v>11071</v>
      </c>
      <c r="N4007" s="9"/>
      <c r="O4007" s="9" t="s">
        <v>11072</v>
      </c>
      <c r="P4007" s="9" t="str">
        <f>HYPERLINK("https://ceds.ed.gov/cedselementdetails.aspx?termid=14721")</f>
        <v>https://ceds.ed.gov/cedselementdetails.aspx?termid=14721</v>
      </c>
      <c r="Q4007" s="9" t="str">
        <f>HYPERLINK("https://ceds.ed.gov/elementComment.aspx?elementName=Credential Status Type &amp;elementID=14721", "Click here to submit comment")</f>
        <v>Click here to submit comment</v>
      </c>
    </row>
    <row r="4008" spans="1:17" ht="105" x14ac:dyDescent="0.25">
      <c r="A4008" s="9" t="s">
        <v>6886</v>
      </c>
      <c r="B4008" s="9"/>
      <c r="C4008" s="9"/>
      <c r="D4008" s="9" t="s">
        <v>6742</v>
      </c>
      <c r="E4008" s="9" t="s">
        <v>11013</v>
      </c>
      <c r="F4008" s="9" t="s">
        <v>11014</v>
      </c>
      <c r="G4008" s="10" t="s">
        <v>11844</v>
      </c>
      <c r="H4008" s="9"/>
      <c r="I4008" s="9"/>
      <c r="J4008" s="9"/>
      <c r="K4008" s="9"/>
      <c r="L4008" s="9"/>
      <c r="M4008" s="9" t="s">
        <v>11015</v>
      </c>
      <c r="N4008" s="9"/>
      <c r="O4008" s="9" t="s">
        <v>11016</v>
      </c>
      <c r="P4008" s="9" t="str">
        <f>HYPERLINK("https://ceds.ed.gov/cedselementdetails.aspx?termid=14730")</f>
        <v>https://ceds.ed.gov/cedselementdetails.aspx?termid=14730</v>
      </c>
      <c r="Q4008" s="9" t="str">
        <f>HYPERLINK("https://ceds.ed.gov/elementComment.aspx?elementName=Credential Intended Purpose Type &amp;elementID=14730", "Click here to submit comment")</f>
        <v>Click here to submit comment</v>
      </c>
    </row>
    <row r="4009" spans="1:17" ht="60" x14ac:dyDescent="0.25">
      <c r="A4009" s="9" t="s">
        <v>6886</v>
      </c>
      <c r="B4009" s="9"/>
      <c r="C4009" s="9"/>
      <c r="D4009" s="9" t="s">
        <v>6742</v>
      </c>
      <c r="E4009" s="9" t="s">
        <v>10963</v>
      </c>
      <c r="F4009" s="9" t="s">
        <v>10964</v>
      </c>
      <c r="G4009" s="10" t="s">
        <v>11842</v>
      </c>
      <c r="H4009" s="9"/>
      <c r="I4009" s="9"/>
      <c r="J4009" s="9"/>
      <c r="K4009" s="9"/>
      <c r="L4009" s="9"/>
      <c r="M4009" s="9" t="s">
        <v>10965</v>
      </c>
      <c r="N4009" s="9"/>
      <c r="O4009" s="9" t="s">
        <v>10966</v>
      </c>
      <c r="P4009" s="9" t="str">
        <f>HYPERLINK("https://ceds.ed.gov/cedselementdetails.aspx?termid=14719")</f>
        <v>https://ceds.ed.gov/cedselementdetails.aspx?termid=14719</v>
      </c>
      <c r="Q4009" s="9" t="str">
        <f>HYPERLINK("https://ceds.ed.gov/elementComment.aspx?elementName=Credential Assessment Method Type &amp;elementID=14719", "Click here to submit comment")</f>
        <v>Click here to submit comment</v>
      </c>
    </row>
    <row r="4010" spans="1:17" ht="45" x14ac:dyDescent="0.25">
      <c r="A4010" s="9" t="s">
        <v>6886</v>
      </c>
      <c r="B4010" s="9"/>
      <c r="C4010" s="9"/>
      <c r="D4010" s="9" t="s">
        <v>6742</v>
      </c>
      <c r="E4010" s="9" t="s">
        <v>10987</v>
      </c>
      <c r="F4010" s="9" t="s">
        <v>95</v>
      </c>
      <c r="G4010" s="9" t="s">
        <v>12</v>
      </c>
      <c r="H4010" s="9"/>
      <c r="I4010" s="9"/>
      <c r="J4010" s="9" t="s">
        <v>68</v>
      </c>
      <c r="K4010" s="9"/>
      <c r="L4010" s="9"/>
      <c r="M4010" s="9" t="s">
        <v>96</v>
      </c>
      <c r="N4010" s="9"/>
      <c r="O4010" s="9" t="s">
        <v>10988</v>
      </c>
      <c r="P4010" s="9" t="str">
        <f>HYPERLINK("https://ceds.ed.gov/cedselementdetails.aspx?termid=13896")</f>
        <v>https://ceds.ed.gov/cedselementdetails.aspx?termid=13896</v>
      </c>
      <c r="Q4010" s="9" t="str">
        <f>HYPERLINK("https://ceds.ed.gov/elementComment.aspx?elementName=Credential Criteria &amp;elementID=13896", "Click here to submit comment")</f>
        <v>Click here to submit comment</v>
      </c>
    </row>
    <row r="4011" spans="1:17" ht="75" x14ac:dyDescent="0.25">
      <c r="A4011" s="9" t="s">
        <v>6886</v>
      </c>
      <c r="B4011" s="9"/>
      <c r="C4011" s="9"/>
      <c r="D4011" s="9" t="s">
        <v>6742</v>
      </c>
      <c r="E4011" s="9" t="s">
        <v>10989</v>
      </c>
      <c r="F4011" s="9" t="s">
        <v>97</v>
      </c>
      <c r="G4011" s="9" t="s">
        <v>12</v>
      </c>
      <c r="H4011" s="9"/>
      <c r="I4011" s="9"/>
      <c r="J4011" s="9" t="s">
        <v>1143</v>
      </c>
      <c r="K4011" s="9"/>
      <c r="L4011" s="9"/>
      <c r="M4011" s="9" t="s">
        <v>98</v>
      </c>
      <c r="N4011" s="9"/>
      <c r="O4011" s="9" t="s">
        <v>10990</v>
      </c>
      <c r="P4011" s="9" t="str">
        <f>HYPERLINK("https://ceds.ed.gov/cedselementdetails.aspx?termid=14113")</f>
        <v>https://ceds.ed.gov/cedselementdetails.aspx?termid=14113</v>
      </c>
      <c r="Q4011" s="9" t="str">
        <f>HYPERLINK("https://ceds.ed.gov/elementComment.aspx?elementName=Credential Criteria URL &amp;elementID=14113", "Click here to submit comment")</f>
        <v>Click here to submit comment</v>
      </c>
    </row>
    <row r="4012" spans="1:17" ht="45" x14ac:dyDescent="0.25">
      <c r="A4012" s="9" t="s">
        <v>6886</v>
      </c>
      <c r="B4012" s="9"/>
      <c r="C4012" s="9"/>
      <c r="D4012" s="9" t="s">
        <v>6742</v>
      </c>
      <c r="E4012" s="9" t="s">
        <v>11067</v>
      </c>
      <c r="F4012" s="9" t="s">
        <v>108</v>
      </c>
      <c r="G4012" s="9" t="s">
        <v>12</v>
      </c>
      <c r="H4012" s="9"/>
      <c r="I4012" s="9"/>
      <c r="J4012" s="9" t="s">
        <v>73</v>
      </c>
      <c r="K4012" s="9"/>
      <c r="L4012" s="9"/>
      <c r="M4012" s="9" t="s">
        <v>109</v>
      </c>
      <c r="N4012" s="9"/>
      <c r="O4012" s="9" t="s">
        <v>11068</v>
      </c>
      <c r="P4012" s="9" t="str">
        <f>HYPERLINK("https://ceds.ed.gov/cedselementdetails.aspx?termid=14120")</f>
        <v>https://ceds.ed.gov/cedselementdetails.aspx?termid=14120</v>
      </c>
      <c r="Q4012" s="9" t="str">
        <f>HYPERLINK("https://ceds.ed.gov/elementComment.aspx?elementName=Credential Start Date &amp;elementID=14120", "Click here to submit comment")</f>
        <v>Click here to submit comment</v>
      </c>
    </row>
    <row r="4013" spans="1:17" ht="45" x14ac:dyDescent="0.25">
      <c r="A4013" s="9" t="s">
        <v>6886</v>
      </c>
      <c r="B4013" s="9"/>
      <c r="C4013" s="9"/>
      <c r="D4013" s="9" t="s">
        <v>6742</v>
      </c>
      <c r="E4013" s="9" t="s">
        <v>10992</v>
      </c>
      <c r="F4013" s="9" t="s">
        <v>101</v>
      </c>
      <c r="G4013" s="9" t="s">
        <v>12</v>
      </c>
      <c r="H4013" s="9"/>
      <c r="I4013" s="9"/>
      <c r="J4013" s="9" t="s">
        <v>73</v>
      </c>
      <c r="K4013" s="9"/>
      <c r="L4013" s="9"/>
      <c r="M4013" s="9" t="s">
        <v>102</v>
      </c>
      <c r="N4013" s="9"/>
      <c r="O4013" s="9" t="s">
        <v>10994</v>
      </c>
      <c r="P4013" s="9" t="str">
        <f>HYPERLINK("https://ceds.ed.gov/cedselementdetails.aspx?termid=14121")</f>
        <v>https://ceds.ed.gov/cedselementdetails.aspx?termid=14121</v>
      </c>
      <c r="Q4013" s="9" t="str">
        <f>HYPERLINK("https://ceds.ed.gov/elementComment.aspx?elementName=Credential End Date &amp;elementID=14121", "Click here to submit comment")</f>
        <v>Click here to submit comment</v>
      </c>
    </row>
    <row r="4014" spans="1:17" ht="45" x14ac:dyDescent="0.25">
      <c r="A4014" s="9" t="s">
        <v>6886</v>
      </c>
      <c r="B4014" s="9"/>
      <c r="C4014" s="9"/>
      <c r="D4014" s="9" t="s">
        <v>6742</v>
      </c>
      <c r="E4014" s="9" t="s">
        <v>10995</v>
      </c>
      <c r="F4014" s="9" t="s">
        <v>10996</v>
      </c>
      <c r="G4014" s="9" t="s">
        <v>12</v>
      </c>
      <c r="H4014" s="9"/>
      <c r="I4014" s="9"/>
      <c r="J4014" s="9" t="s">
        <v>4841</v>
      </c>
      <c r="K4014" s="9"/>
      <c r="L4014" s="9"/>
      <c r="M4014" s="9" t="s">
        <v>10997</v>
      </c>
      <c r="N4014" s="9"/>
      <c r="O4014" s="9" t="s">
        <v>10998</v>
      </c>
      <c r="P4014" s="9" t="str">
        <f>HYPERLINK("https://ceds.ed.gov/cedselementdetails.aspx?termid=14722")</f>
        <v>https://ceds.ed.gov/cedselementdetails.aspx?termid=14722</v>
      </c>
      <c r="Q4014" s="9" t="str">
        <f>HYPERLINK("https://ceds.ed.gov/elementComment.aspx?elementName=Credential Estimated Duration &amp;elementID=14722", "Click here to submit comment")</f>
        <v>Click here to submit comment</v>
      </c>
    </row>
    <row r="4015" spans="1:17" ht="45" x14ac:dyDescent="0.25">
      <c r="A4015" s="9" t="s">
        <v>6886</v>
      </c>
      <c r="B4015" s="9"/>
      <c r="C4015" s="9"/>
      <c r="D4015" s="9" t="s">
        <v>6742</v>
      </c>
      <c r="E4015" s="9" t="s">
        <v>11045</v>
      </c>
      <c r="F4015" s="9" t="s">
        <v>11046</v>
      </c>
      <c r="G4015" s="9" t="s">
        <v>12</v>
      </c>
      <c r="H4015" s="9"/>
      <c r="I4015" s="9"/>
      <c r="J4015" s="9" t="s">
        <v>4841</v>
      </c>
      <c r="K4015" s="9"/>
      <c r="L4015" s="9"/>
      <c r="M4015" s="9" t="s">
        <v>11047</v>
      </c>
      <c r="N4015" s="9"/>
      <c r="O4015" s="9" t="s">
        <v>11048</v>
      </c>
      <c r="P4015" s="9" t="str">
        <f>HYPERLINK("https://ceds.ed.gov/cedselementdetails.aspx?termid=14729")</f>
        <v>https://ceds.ed.gov/cedselementdetails.aspx?termid=14729</v>
      </c>
      <c r="Q4015" s="9" t="str">
        <f>HYPERLINK("https://ceds.ed.gov/elementComment.aspx?elementName=Credential Minimum Duration &amp;elementID=14729", "Click here to submit comment")</f>
        <v>Click here to submit comment</v>
      </c>
    </row>
    <row r="4016" spans="1:17" ht="45" x14ac:dyDescent="0.25">
      <c r="A4016" s="9" t="s">
        <v>6886</v>
      </c>
      <c r="B4016" s="9"/>
      <c r="C4016" s="9"/>
      <c r="D4016" s="9" t="s">
        <v>6742</v>
      </c>
      <c r="E4016" s="9" t="s">
        <v>11037</v>
      </c>
      <c r="F4016" s="9" t="s">
        <v>11038</v>
      </c>
      <c r="G4016" s="9" t="s">
        <v>12</v>
      </c>
      <c r="H4016" s="9"/>
      <c r="I4016" s="9"/>
      <c r="J4016" s="9" t="s">
        <v>4841</v>
      </c>
      <c r="K4016" s="9"/>
      <c r="L4016" s="9"/>
      <c r="M4016" s="9" t="s">
        <v>11039</v>
      </c>
      <c r="N4016" s="9"/>
      <c r="O4016" s="9" t="s">
        <v>11040</v>
      </c>
      <c r="P4016" s="9" t="str">
        <f>HYPERLINK("https://ceds.ed.gov/cedselementdetails.aspx?termid=14727")</f>
        <v>https://ceds.ed.gov/cedselementdetails.aspx?termid=14727</v>
      </c>
      <c r="Q4016" s="9" t="str">
        <f>HYPERLINK("https://ceds.ed.gov/elementComment.aspx?elementName=Credential Maximum Duration &amp;elementID=14727", "Click here to submit comment")</f>
        <v>Click here to submit comment</v>
      </c>
    </row>
    <row r="4017" spans="1:17" ht="45" x14ac:dyDescent="0.25">
      <c r="A4017" s="9" t="s">
        <v>6886</v>
      </c>
      <c r="B4017" s="9"/>
      <c r="C4017" s="9"/>
      <c r="D4017" s="9" t="s">
        <v>6742</v>
      </c>
      <c r="E4017" s="9" t="s">
        <v>11041</v>
      </c>
      <c r="F4017" s="9" t="s">
        <v>11042</v>
      </c>
      <c r="G4017" s="9" t="s">
        <v>12</v>
      </c>
      <c r="H4017" s="9"/>
      <c r="I4017" s="9"/>
      <c r="J4017" s="9" t="s">
        <v>589</v>
      </c>
      <c r="K4017" s="9"/>
      <c r="L4017" s="9"/>
      <c r="M4017" s="9" t="s">
        <v>11043</v>
      </c>
      <c r="N4017" s="9"/>
      <c r="O4017" s="9" t="s">
        <v>11044</v>
      </c>
      <c r="P4017" s="9" t="str">
        <f>HYPERLINK("https://ceds.ed.gov/cedselementdetails.aspx?termid=14728")</f>
        <v>https://ceds.ed.gov/cedselementdetails.aspx?termid=14728</v>
      </c>
      <c r="Q4017" s="9" t="str">
        <f>HYPERLINK("https://ceds.ed.gov/elementComment.aspx?elementName=Credential Minimum Age &amp;elementID=14728", "Click here to submit comment")</f>
        <v>Click here to submit comment</v>
      </c>
    </row>
    <row r="4018" spans="1:17" ht="60" x14ac:dyDescent="0.25">
      <c r="A4018" s="9" t="s">
        <v>6886</v>
      </c>
      <c r="B4018" s="9"/>
      <c r="C4018" s="9"/>
      <c r="D4018" s="9" t="s">
        <v>6742</v>
      </c>
      <c r="E4018" s="9" t="s">
        <v>11049</v>
      </c>
      <c r="F4018" s="9" t="s">
        <v>11050</v>
      </c>
      <c r="G4018" s="9" t="s">
        <v>2638</v>
      </c>
      <c r="H4018" s="9"/>
      <c r="I4018" s="9"/>
      <c r="J4018" s="9" t="s">
        <v>11051</v>
      </c>
      <c r="K4018" s="9"/>
      <c r="L4018" s="9"/>
      <c r="M4018" s="9" t="s">
        <v>11052</v>
      </c>
      <c r="N4018" s="9"/>
      <c r="O4018" s="9" t="s">
        <v>11053</v>
      </c>
      <c r="P4018" s="9" t="str">
        <f>HYPERLINK("https://ceds.ed.gov/cedselementdetails.aspx?termid=14723")</f>
        <v>https://ceds.ed.gov/cedselementdetails.aspx?termid=14723</v>
      </c>
      <c r="Q4018" s="9" t="str">
        <f>HYPERLINK("https://ceds.ed.gov/elementComment.aspx?elementName=Credential NAICS Industry Type &amp;elementID=14723", "Click here to submit comment")</f>
        <v>Click here to submit comment</v>
      </c>
    </row>
    <row r="4019" spans="1:17" ht="60" x14ac:dyDescent="0.25">
      <c r="A4019" s="9" t="s">
        <v>6886</v>
      </c>
      <c r="B4019" s="9"/>
      <c r="C4019" s="9"/>
      <c r="D4019" s="9" t="s">
        <v>6742</v>
      </c>
      <c r="E4019" s="9" t="s">
        <v>11080</v>
      </c>
      <c r="F4019" s="9" t="s">
        <v>11081</v>
      </c>
      <c r="G4019" s="10" t="s">
        <v>11846</v>
      </c>
      <c r="H4019" s="9"/>
      <c r="I4019" s="9"/>
      <c r="J4019" s="9"/>
      <c r="K4019" s="9"/>
      <c r="L4019" s="9"/>
      <c r="M4019" s="9" t="s">
        <v>11082</v>
      </c>
      <c r="N4019" s="9"/>
      <c r="O4019" s="9" t="s">
        <v>11083</v>
      </c>
      <c r="P4019" s="9" t="str">
        <f>HYPERLINK("https://ceds.ed.gov/cedselementdetails.aspx?termid=14734")</f>
        <v>https://ceds.ed.gov/cedselementdetails.aspx?termid=14734</v>
      </c>
      <c r="Q4019" s="9" t="str">
        <f>HYPERLINK("https://ceds.ed.gov/elementComment.aspx?elementName=Credential Verification Type &amp;elementID=14734", "Click here to submit comment")</f>
        <v>Click here to submit comment</v>
      </c>
    </row>
    <row r="4020" spans="1:17" ht="45" x14ac:dyDescent="0.25">
      <c r="A4020" s="9" t="s">
        <v>6886</v>
      </c>
      <c r="B4020" s="9"/>
      <c r="C4020" s="9"/>
      <c r="D4020" s="9" t="s">
        <v>6742</v>
      </c>
      <c r="E4020" s="9" t="s">
        <v>11023</v>
      </c>
      <c r="F4020" s="9" t="s">
        <v>11024</v>
      </c>
      <c r="G4020" s="9" t="s">
        <v>12</v>
      </c>
      <c r="H4020" s="9"/>
      <c r="I4020" s="9"/>
      <c r="J4020" s="9" t="s">
        <v>11025</v>
      </c>
      <c r="K4020" s="9"/>
      <c r="L4020" s="11" t="s">
        <v>11026</v>
      </c>
      <c r="M4020" s="9" t="s">
        <v>11027</v>
      </c>
      <c r="N4020" s="9"/>
      <c r="O4020" s="9" t="s">
        <v>11028</v>
      </c>
      <c r="P4020" s="9" t="str">
        <f>HYPERLINK("https://ceds.ed.gov/cedselementdetails.aspx?termid=14724")</f>
        <v>https://ceds.ed.gov/cedselementdetails.aspx?termid=14724</v>
      </c>
      <c r="Q4020" s="9" t="str">
        <f>HYPERLINK("https://ceds.ed.gov/elementComment.aspx?elementName=Credential Jurisdiction Region &amp;elementID=14724", "Click here to submit comment")</f>
        <v>Click here to submit comment</v>
      </c>
    </row>
    <row r="4021" spans="1:17" ht="45" x14ac:dyDescent="0.25">
      <c r="A4021" s="9" t="s">
        <v>6886</v>
      </c>
      <c r="B4021" s="9"/>
      <c r="C4021" s="9"/>
      <c r="D4021" s="9" t="s">
        <v>6742</v>
      </c>
      <c r="E4021" s="9" t="s">
        <v>11029</v>
      </c>
      <c r="F4021" s="9" t="s">
        <v>11030</v>
      </c>
      <c r="G4021" s="9" t="s">
        <v>12</v>
      </c>
      <c r="H4021" s="9"/>
      <c r="I4021" s="9"/>
      <c r="J4021" s="9" t="s">
        <v>11025</v>
      </c>
      <c r="K4021" s="9"/>
      <c r="L4021" s="11" t="s">
        <v>11026</v>
      </c>
      <c r="M4021" s="9" t="s">
        <v>11031</v>
      </c>
      <c r="N4021" s="9"/>
      <c r="O4021" s="9" t="s">
        <v>11032</v>
      </c>
      <c r="P4021" s="9" t="str">
        <f>HYPERLINK("https://ceds.ed.gov/cedselementdetails.aspx?termid=14725")</f>
        <v>https://ceds.ed.gov/cedselementdetails.aspx?termid=14725</v>
      </c>
      <c r="Q4021" s="9" t="str">
        <f>HYPERLINK("https://ceds.ed.gov/elementComment.aspx?elementName=Credential Jurisdiction Region Exception &amp;elementID=14725", "Click here to submit comment")</f>
        <v>Click here to submit comment</v>
      </c>
    </row>
    <row r="4022" spans="1:17" ht="45" x14ac:dyDescent="0.25">
      <c r="A4022" s="9" t="s">
        <v>6886</v>
      </c>
      <c r="B4022" s="9"/>
      <c r="C4022" s="9"/>
      <c r="D4022" s="9" t="s">
        <v>6742</v>
      </c>
      <c r="E4022" s="9" t="s">
        <v>11033</v>
      </c>
      <c r="F4022" s="9" t="s">
        <v>11034</v>
      </c>
      <c r="G4022" s="9" t="s">
        <v>12</v>
      </c>
      <c r="H4022" s="9"/>
      <c r="I4022" s="9"/>
      <c r="J4022" s="9" t="s">
        <v>303</v>
      </c>
      <c r="K4022" s="9"/>
      <c r="L4022" s="9"/>
      <c r="M4022" s="9" t="s">
        <v>11035</v>
      </c>
      <c r="N4022" s="9"/>
      <c r="O4022" s="9" t="s">
        <v>11036</v>
      </c>
      <c r="P4022" s="9" t="str">
        <f>HYPERLINK("https://ceds.ed.gov/cedselementdetails.aspx?termid=14726")</f>
        <v>https://ceds.ed.gov/cedselementdetails.aspx?termid=14726</v>
      </c>
      <c r="Q4022" s="9" t="str">
        <f>HYPERLINK("https://ceds.ed.gov/elementComment.aspx?elementName=Credential Keywords &amp;elementID=14726", "Click here to submit comment")</f>
        <v>Click here to submit comment</v>
      </c>
    </row>
    <row r="4023" spans="1:17" ht="45" x14ac:dyDescent="0.25">
      <c r="A4023" s="9" t="s">
        <v>6886</v>
      </c>
      <c r="B4023" s="9"/>
      <c r="C4023" s="9"/>
      <c r="D4023" s="9" t="s">
        <v>6742</v>
      </c>
      <c r="E4023" s="9" t="s">
        <v>11076</v>
      </c>
      <c r="F4023" s="9" t="s">
        <v>11077</v>
      </c>
      <c r="G4023" s="9" t="s">
        <v>12</v>
      </c>
      <c r="H4023" s="9"/>
      <c r="I4023" s="9"/>
      <c r="J4023" s="9" t="s">
        <v>303</v>
      </c>
      <c r="K4023" s="9"/>
      <c r="L4023" s="9"/>
      <c r="M4023" s="9" t="s">
        <v>11078</v>
      </c>
      <c r="N4023" s="9"/>
      <c r="O4023" s="9" t="s">
        <v>11079</v>
      </c>
      <c r="P4023" s="9" t="str">
        <f>HYPERLINK("https://ceds.ed.gov/cedselementdetails.aspx?termid=14733")</f>
        <v>https://ceds.ed.gov/cedselementdetails.aspx?termid=14733</v>
      </c>
      <c r="Q4023" s="9" t="str">
        <f>HYPERLINK("https://ceds.ed.gov/elementComment.aspx?elementName=Credential Validation Method Description &amp;elementID=14733", "Click here to submit comment")</f>
        <v>Click here to submit comment</v>
      </c>
    </row>
    <row r="4024" spans="1:17" ht="60" x14ac:dyDescent="0.25">
      <c r="A4024" s="9" t="s">
        <v>6886</v>
      </c>
      <c r="B4024" s="9"/>
      <c r="C4024" s="9"/>
      <c r="D4024" s="9" t="s">
        <v>6742</v>
      </c>
      <c r="E4024" s="9" t="s">
        <v>2636</v>
      </c>
      <c r="F4024" s="9" t="s">
        <v>2637</v>
      </c>
      <c r="G4024" s="9" t="s">
        <v>2638</v>
      </c>
      <c r="H4024" s="9"/>
      <c r="I4024" s="9"/>
      <c r="J4024" s="9" t="s">
        <v>11051</v>
      </c>
      <c r="K4024" s="9"/>
      <c r="L4024" s="9"/>
      <c r="M4024" s="9" t="s">
        <v>2639</v>
      </c>
      <c r="N4024" s="9"/>
      <c r="O4024" s="9" t="s">
        <v>2640</v>
      </c>
      <c r="P4024" s="9" t="str">
        <f>HYPERLINK("https://ceds.ed.gov/cedselementdetails.aspx?termid=14070")</f>
        <v>https://ceds.ed.gov/cedselementdetails.aspx?termid=14070</v>
      </c>
      <c r="Q4024" s="9" t="str">
        <f>HYPERLINK("https://ceds.ed.gov/elementComment.aspx?elementName=Employment NAICS Code &amp;elementID=14070", "Click here to submit comment")</f>
        <v>Click here to submit comment</v>
      </c>
    </row>
    <row r="4025" spans="1:17" ht="360" x14ac:dyDescent="0.25">
      <c r="A4025" s="9" t="s">
        <v>6886</v>
      </c>
      <c r="B4025" s="9"/>
      <c r="C4025" s="9"/>
      <c r="D4025" s="9" t="s">
        <v>6742</v>
      </c>
      <c r="E4025" s="9" t="s">
        <v>1627</v>
      </c>
      <c r="F4025" s="9" t="s">
        <v>1628</v>
      </c>
      <c r="G4025" s="10" t="s">
        <v>6396</v>
      </c>
      <c r="H4025" s="9"/>
      <c r="I4025" s="9"/>
      <c r="J4025" s="9"/>
      <c r="K4025" s="9"/>
      <c r="L4025" s="9" t="s">
        <v>1629</v>
      </c>
      <c r="M4025" s="9" t="s">
        <v>1630</v>
      </c>
      <c r="N4025" s="9"/>
      <c r="O4025" s="9" t="s">
        <v>1631</v>
      </c>
      <c r="P4025" s="9" t="str">
        <f>HYPERLINK("https://ceds.ed.gov/cedselementdetails.aspx?termid=14254")</f>
        <v>https://ceds.ed.gov/cedselementdetails.aspx?termid=14254</v>
      </c>
      <c r="Q4025" s="9" t="str">
        <f>HYPERLINK("https://ceds.ed.gov/elementComment.aspx?elementName=Career Cluster &amp;elementID=14254", "Click here to submit comment")</f>
        <v>Click here to submit comment</v>
      </c>
    </row>
    <row r="4026" spans="1:17" ht="75" x14ac:dyDescent="0.25">
      <c r="A4026" s="9" t="s">
        <v>6886</v>
      </c>
      <c r="B4026" s="9"/>
      <c r="C4026" s="9"/>
      <c r="D4026" s="9" t="s">
        <v>6742</v>
      </c>
      <c r="E4026" s="9" t="s">
        <v>1778</v>
      </c>
      <c r="F4026" s="9" t="s">
        <v>1779</v>
      </c>
      <c r="G4026" s="11" t="s">
        <v>1780</v>
      </c>
      <c r="H4026" s="9" t="s">
        <v>6108</v>
      </c>
      <c r="I4026" s="9"/>
      <c r="J4026" s="9"/>
      <c r="K4026" s="9"/>
      <c r="L4026" s="9"/>
      <c r="M4026" s="9" t="s">
        <v>1781</v>
      </c>
      <c r="N4026" s="9" t="s">
        <v>1782</v>
      </c>
      <c r="O4026" s="9" t="s">
        <v>1783</v>
      </c>
      <c r="P4026" s="9" t="str">
        <f>HYPERLINK("https://ceds.ed.gov/cedselementdetails.aspx?termid=13043")</f>
        <v>https://ceds.ed.gov/cedselementdetails.aspx?termid=13043</v>
      </c>
      <c r="Q4026" s="9" t="str">
        <f>HYPERLINK("https://ceds.ed.gov/elementComment.aspx?elementName=Classification of Instructional Program Code &amp;elementID=13043", "Click here to submit comment")</f>
        <v>Click here to submit comment</v>
      </c>
    </row>
    <row r="4027" spans="1:17" ht="90" x14ac:dyDescent="0.25">
      <c r="A4027" s="9" t="s">
        <v>6886</v>
      </c>
      <c r="B4027" s="9"/>
      <c r="C4027" s="9"/>
      <c r="D4027" s="9" t="s">
        <v>6742</v>
      </c>
      <c r="E4027" s="9" t="s">
        <v>10890</v>
      </c>
      <c r="F4027" s="9" t="s">
        <v>10891</v>
      </c>
      <c r="G4027" s="9" t="s">
        <v>12</v>
      </c>
      <c r="H4027" s="9"/>
      <c r="I4027" s="9" t="s">
        <v>91</v>
      </c>
      <c r="J4027" s="9" t="s">
        <v>1143</v>
      </c>
      <c r="K4027" s="9" t="s">
        <v>10738</v>
      </c>
      <c r="L4027" s="9" t="s">
        <v>121</v>
      </c>
      <c r="M4027" s="9" t="s">
        <v>4044</v>
      </c>
      <c r="N4027" s="9" t="s">
        <v>4043</v>
      </c>
      <c r="O4027" s="9" t="s">
        <v>10893</v>
      </c>
      <c r="P4027" s="9" t="str">
        <f>HYPERLINK("https://ceds.ed.gov/cedselementdetails.aspx?termid=13874")</f>
        <v>https://ceds.ed.gov/cedselementdetails.aspx?termid=13874</v>
      </c>
      <c r="Q4027" s="9" t="str">
        <f>HYPERLINK("https://ceds.ed.gov/elementComment.aspx?elementName=Competency Item URL &amp;elementID=13874", "Click here to submit comment")</f>
        <v>Click here to submit comment</v>
      </c>
    </row>
    <row r="4028" spans="1:17" ht="60" x14ac:dyDescent="0.25">
      <c r="A4028" s="9" t="s">
        <v>6886</v>
      </c>
      <c r="B4028" s="9"/>
      <c r="C4028" s="9"/>
      <c r="D4028" s="9" t="s">
        <v>6742</v>
      </c>
      <c r="E4028" s="9" t="s">
        <v>11644</v>
      </c>
      <c r="F4028" s="9" t="s">
        <v>11645</v>
      </c>
      <c r="G4028" s="9" t="s">
        <v>12</v>
      </c>
      <c r="H4028" s="9"/>
      <c r="I4028" s="9"/>
      <c r="J4028" s="9" t="s">
        <v>11646</v>
      </c>
      <c r="K4028" s="9"/>
      <c r="L4028" s="11" t="s">
        <v>11647</v>
      </c>
      <c r="M4028" s="9" t="s">
        <v>11648</v>
      </c>
      <c r="N4028" s="9"/>
      <c r="O4028" s="9" t="s">
        <v>11649</v>
      </c>
      <c r="P4028" s="9" t="str">
        <f>HYPERLINK("https://ceds.ed.gov/cedselementdetails.aspx?termid=14737")</f>
        <v>https://ceds.ed.gov/cedselementdetails.aspx?termid=14737</v>
      </c>
      <c r="Q4028" s="9" t="str">
        <f>HYPERLINK("https://ceds.ed.gov/elementComment.aspx?elementName=O*NET-SOC Occupation Type &amp;elementID=14737", "Click here to submit comment")</f>
        <v>Click here to submit comment</v>
      </c>
    </row>
    <row r="4029" spans="1:17" ht="60" x14ac:dyDescent="0.25">
      <c r="A4029" s="9" t="s">
        <v>6886</v>
      </c>
      <c r="B4029" s="9"/>
      <c r="C4029" s="9"/>
      <c r="D4029" s="9" t="s">
        <v>6742</v>
      </c>
      <c r="E4029" s="9" t="s">
        <v>11011</v>
      </c>
      <c r="F4029" s="9" t="s">
        <v>105</v>
      </c>
      <c r="G4029" s="9" t="s">
        <v>12</v>
      </c>
      <c r="H4029" s="9"/>
      <c r="I4029" s="9"/>
      <c r="J4029" s="9" t="s">
        <v>1143</v>
      </c>
      <c r="K4029" s="9"/>
      <c r="L4029" s="9" t="s">
        <v>106</v>
      </c>
      <c r="M4029" s="9" t="s">
        <v>107</v>
      </c>
      <c r="N4029" s="9"/>
      <c r="O4029" s="9" t="s">
        <v>11012</v>
      </c>
      <c r="P4029" s="9" t="str">
        <f>HYPERLINK("https://ceds.ed.gov/cedselementdetails.aspx?termid=13894")</f>
        <v>https://ceds.ed.gov/cedselementdetails.aspx?termid=13894</v>
      </c>
      <c r="Q4029" s="9" t="str">
        <f>HYPERLINK("https://ceds.ed.gov/elementComment.aspx?elementName=Credential Image URL &amp;elementID=13894", "Click here to submit comment")</f>
        <v>Click here to submit comment</v>
      </c>
    </row>
    <row r="4030" spans="1:17" ht="105" x14ac:dyDescent="0.25">
      <c r="A4030" s="18" t="s">
        <v>6886</v>
      </c>
      <c r="B4030" s="18" t="s">
        <v>11937</v>
      </c>
      <c r="C4030" s="18"/>
      <c r="D4030" s="18" t="s">
        <v>6742</v>
      </c>
      <c r="E4030" s="18" t="s">
        <v>604</v>
      </c>
      <c r="F4030" s="18" t="s">
        <v>605</v>
      </c>
      <c r="G4030" s="18" t="s">
        <v>12</v>
      </c>
      <c r="H4030" s="18" t="s">
        <v>6134</v>
      </c>
      <c r="I4030" s="18"/>
      <c r="J4030" s="18" t="s">
        <v>119</v>
      </c>
      <c r="K4030" s="18"/>
      <c r="L4030" s="9" t="s">
        <v>120</v>
      </c>
      <c r="M4030" s="18" t="s">
        <v>606</v>
      </c>
      <c r="N4030" s="18"/>
      <c r="O4030" s="18" t="s">
        <v>607</v>
      </c>
      <c r="P4030" s="18" t="str">
        <f>HYPERLINK("https://ceds.ed.gov/cedselementdetails.aspx?termid=13152")</f>
        <v>https://ceds.ed.gov/cedselementdetails.aspx?termid=13152</v>
      </c>
      <c r="Q4030" s="18" t="str">
        <f>HYPERLINK("https://ceds.ed.gov/elementComment.aspx?elementName=Assessment Identifier &amp;elementID=13152", "Click here to submit comment")</f>
        <v>Click here to submit comment</v>
      </c>
    </row>
    <row r="4031" spans="1:17" x14ac:dyDescent="0.25">
      <c r="A4031" s="18"/>
      <c r="B4031" s="18"/>
      <c r="C4031" s="18"/>
      <c r="D4031" s="18"/>
      <c r="E4031" s="18"/>
      <c r="F4031" s="18"/>
      <c r="G4031" s="18"/>
      <c r="H4031" s="18"/>
      <c r="I4031" s="18"/>
      <c r="J4031" s="18"/>
      <c r="K4031" s="18"/>
      <c r="L4031" s="9"/>
      <c r="M4031" s="18"/>
      <c r="N4031" s="18"/>
      <c r="O4031" s="18"/>
      <c r="P4031" s="18"/>
      <c r="Q4031" s="18"/>
    </row>
    <row r="4032" spans="1:17" ht="90" x14ac:dyDescent="0.25">
      <c r="A4032" s="18"/>
      <c r="B4032" s="18"/>
      <c r="C4032" s="18"/>
      <c r="D4032" s="18"/>
      <c r="E4032" s="18"/>
      <c r="F4032" s="18"/>
      <c r="G4032" s="18"/>
      <c r="H4032" s="18"/>
      <c r="I4032" s="18"/>
      <c r="J4032" s="18"/>
      <c r="K4032" s="18"/>
      <c r="L4032" s="9" t="s">
        <v>121</v>
      </c>
      <c r="M4032" s="18"/>
      <c r="N4032" s="18"/>
      <c r="O4032" s="18"/>
      <c r="P4032" s="18"/>
      <c r="Q4032" s="18"/>
    </row>
    <row r="4033" spans="1:17" ht="165" x14ac:dyDescent="0.25">
      <c r="A4033" s="9" t="s">
        <v>6886</v>
      </c>
      <c r="B4033" s="9" t="s">
        <v>11937</v>
      </c>
      <c r="C4033" s="9"/>
      <c r="D4033" s="9" t="s">
        <v>6742</v>
      </c>
      <c r="E4033" s="9" t="s">
        <v>600</v>
      </c>
      <c r="F4033" s="9" t="s">
        <v>601</v>
      </c>
      <c r="G4033" s="10" t="s">
        <v>6349</v>
      </c>
      <c r="H4033" s="9" t="s">
        <v>6133</v>
      </c>
      <c r="I4033" s="9"/>
      <c r="J4033" s="9"/>
      <c r="K4033" s="9"/>
      <c r="L4033" s="9"/>
      <c r="M4033" s="9" t="s">
        <v>602</v>
      </c>
      <c r="N4033" s="9"/>
      <c r="O4033" s="9" t="s">
        <v>603</v>
      </c>
      <c r="P4033" s="9" t="str">
        <f>HYPERLINK("https://ceds.ed.gov/cedselementdetails.aspx?termid=13158")</f>
        <v>https://ceds.ed.gov/cedselementdetails.aspx?termid=13158</v>
      </c>
      <c r="Q4033" s="9" t="str">
        <f>HYPERLINK("https://ceds.ed.gov/elementComment.aspx?elementName=Assessment Identification System &amp;elementID=13158", "Click here to submit comment")</f>
        <v>Click here to submit comment</v>
      </c>
    </row>
    <row r="4034" spans="1:17" ht="45" x14ac:dyDescent="0.25">
      <c r="A4034" s="9" t="s">
        <v>6886</v>
      </c>
      <c r="B4034" s="9" t="s">
        <v>11937</v>
      </c>
      <c r="C4034" s="9"/>
      <c r="D4034" s="9" t="s">
        <v>6742</v>
      </c>
      <c r="E4034" s="9" t="s">
        <v>10950</v>
      </c>
      <c r="F4034" s="9" t="s">
        <v>10951</v>
      </c>
      <c r="G4034" s="9" t="s">
        <v>12</v>
      </c>
      <c r="H4034" s="9"/>
      <c r="I4034" s="9"/>
      <c r="J4034" s="9" t="s">
        <v>303</v>
      </c>
      <c r="K4034" s="9"/>
      <c r="L4034" s="9"/>
      <c r="M4034" s="9" t="s">
        <v>10953</v>
      </c>
      <c r="N4034" s="9"/>
      <c r="O4034" s="9" t="s">
        <v>10954</v>
      </c>
      <c r="P4034" s="9" t="str">
        <f>HYPERLINK("https://ceds.ed.gov/cedselementdetails.aspx?termid=14715")</f>
        <v>https://ceds.ed.gov/cedselementdetails.aspx?termid=14715</v>
      </c>
      <c r="Q4034" s="9" t="str">
        <f>HYPERLINK("https://ceds.ed.gov/elementComment.aspx?elementName=Credential Advanced Standing Description &amp;elementID=14715", "Click here to submit comment")</f>
        <v>Click here to submit comment</v>
      </c>
    </row>
    <row r="4035" spans="1:17" ht="45" x14ac:dyDescent="0.25">
      <c r="A4035" s="9" t="s">
        <v>6886</v>
      </c>
      <c r="B4035" s="9" t="s">
        <v>11937</v>
      </c>
      <c r="C4035" s="9"/>
      <c r="D4035" s="9" t="s">
        <v>6742</v>
      </c>
      <c r="E4035" s="9" t="s">
        <v>10955</v>
      </c>
      <c r="F4035" s="9" t="s">
        <v>10956</v>
      </c>
      <c r="G4035" s="9" t="s">
        <v>12</v>
      </c>
      <c r="H4035" s="9"/>
      <c r="I4035" s="9"/>
      <c r="J4035" s="9" t="s">
        <v>1143</v>
      </c>
      <c r="K4035" s="9"/>
      <c r="L4035" s="9"/>
      <c r="M4035" s="9" t="s">
        <v>10957</v>
      </c>
      <c r="N4035" s="9"/>
      <c r="O4035" s="9" t="s">
        <v>10958</v>
      </c>
      <c r="P4035" s="9" t="str">
        <f>HYPERLINK("https://ceds.ed.gov/cedselementdetails.aspx?termid=14716")</f>
        <v>https://ceds.ed.gov/cedselementdetails.aspx?termid=14716</v>
      </c>
      <c r="Q4035" s="9" t="str">
        <f>HYPERLINK("https://ceds.ed.gov/elementComment.aspx?elementName=Credential Advanced Standing URL &amp;elementID=14716", "Click here to submit comment")</f>
        <v>Click here to submit comment</v>
      </c>
    </row>
    <row r="4036" spans="1:17" ht="45" x14ac:dyDescent="0.25">
      <c r="A4036" s="9" t="s">
        <v>6886</v>
      </c>
      <c r="B4036" s="9" t="s">
        <v>11937</v>
      </c>
      <c r="C4036" s="9"/>
      <c r="D4036" s="9" t="s">
        <v>6742</v>
      </c>
      <c r="E4036" s="9" t="s">
        <v>11067</v>
      </c>
      <c r="F4036" s="9" t="s">
        <v>108</v>
      </c>
      <c r="G4036" s="9" t="s">
        <v>12</v>
      </c>
      <c r="H4036" s="9"/>
      <c r="I4036" s="9"/>
      <c r="J4036" s="9" t="s">
        <v>73</v>
      </c>
      <c r="K4036" s="9"/>
      <c r="L4036" s="9"/>
      <c r="M4036" s="9" t="s">
        <v>109</v>
      </c>
      <c r="N4036" s="9"/>
      <c r="O4036" s="9" t="s">
        <v>11068</v>
      </c>
      <c r="P4036" s="9" t="str">
        <f>HYPERLINK("https://ceds.ed.gov/cedselementdetails.aspx?termid=14120")</f>
        <v>https://ceds.ed.gov/cedselementdetails.aspx?termid=14120</v>
      </c>
      <c r="Q4036" s="9" t="str">
        <f>HYPERLINK("https://ceds.ed.gov/elementComment.aspx?elementName=Credential Start Date &amp;elementID=14120", "Click here to submit comment")</f>
        <v>Click here to submit comment</v>
      </c>
    </row>
    <row r="4037" spans="1:17" ht="45" x14ac:dyDescent="0.25">
      <c r="A4037" s="9" t="s">
        <v>6886</v>
      </c>
      <c r="B4037" s="9" t="s">
        <v>11937</v>
      </c>
      <c r="C4037" s="9"/>
      <c r="D4037" s="9" t="s">
        <v>6742</v>
      </c>
      <c r="E4037" s="9" t="s">
        <v>10992</v>
      </c>
      <c r="F4037" s="9" t="s">
        <v>101</v>
      </c>
      <c r="G4037" s="9" t="s">
        <v>12</v>
      </c>
      <c r="H4037" s="9"/>
      <c r="I4037" s="9"/>
      <c r="J4037" s="9" t="s">
        <v>73</v>
      </c>
      <c r="K4037" s="9"/>
      <c r="L4037" s="9"/>
      <c r="M4037" s="9" t="s">
        <v>102</v>
      </c>
      <c r="N4037" s="9"/>
      <c r="O4037" s="9" t="s">
        <v>10994</v>
      </c>
      <c r="P4037" s="9" t="str">
        <f>HYPERLINK("https://ceds.ed.gov/cedselementdetails.aspx?termid=14121")</f>
        <v>https://ceds.ed.gov/cedselementdetails.aspx?termid=14121</v>
      </c>
      <c r="Q4037" s="9" t="str">
        <f>HYPERLINK("https://ceds.ed.gov/elementComment.aspx?elementName=Credential End Date &amp;elementID=14121", "Click here to submit comment")</f>
        <v>Click here to submit comment</v>
      </c>
    </row>
    <row r="4038" spans="1:17" ht="45" x14ac:dyDescent="0.25">
      <c r="A4038" s="9" t="s">
        <v>6886</v>
      </c>
      <c r="B4038" s="9" t="s">
        <v>11937</v>
      </c>
      <c r="C4038" s="9"/>
      <c r="D4038" s="9" t="s">
        <v>6742</v>
      </c>
      <c r="E4038" s="9" t="s">
        <v>10983</v>
      </c>
      <c r="F4038" s="9" t="s">
        <v>10984</v>
      </c>
      <c r="G4038" s="9" t="s">
        <v>12</v>
      </c>
      <c r="H4038" s="9"/>
      <c r="I4038" s="9"/>
      <c r="J4038" s="9" t="s">
        <v>73</v>
      </c>
      <c r="K4038" s="9"/>
      <c r="L4038" s="9"/>
      <c r="M4038" s="9" t="s">
        <v>10985</v>
      </c>
      <c r="N4038" s="9"/>
      <c r="O4038" s="9" t="s">
        <v>10986</v>
      </c>
      <c r="P4038" s="9" t="str">
        <f>HYPERLINK("https://ceds.ed.gov/cedselementdetails.aspx?termid=14645")</f>
        <v>https://ceds.ed.gov/cedselementdetails.aspx?termid=14645</v>
      </c>
      <c r="Q4038" s="9" t="str">
        <f>HYPERLINK("https://ceds.ed.gov/elementComment.aspx?elementName=Credential Completion Date &amp;elementID=14645", "Click here to submit comment")</f>
        <v>Click here to submit comment</v>
      </c>
    </row>
    <row r="4039" spans="1:17" ht="45" x14ac:dyDescent="0.25">
      <c r="A4039" s="9" t="s">
        <v>6886</v>
      </c>
      <c r="B4039" s="9" t="s">
        <v>11937</v>
      </c>
      <c r="C4039" s="9"/>
      <c r="D4039" s="9" t="s">
        <v>6742</v>
      </c>
      <c r="E4039" s="9" t="s">
        <v>10967</v>
      </c>
      <c r="F4039" s="9" t="s">
        <v>10968</v>
      </c>
      <c r="G4039" s="9" t="s">
        <v>12</v>
      </c>
      <c r="H4039" s="9"/>
      <c r="I4039" s="9"/>
      <c r="J4039" s="9" t="s">
        <v>68</v>
      </c>
      <c r="K4039" s="9"/>
      <c r="L4039" s="9"/>
      <c r="M4039" s="9" t="s">
        <v>10969</v>
      </c>
      <c r="N4039" s="9"/>
      <c r="O4039" s="9" t="s">
        <v>10970</v>
      </c>
      <c r="P4039" s="9" t="str">
        <f>HYPERLINK("https://ceds.ed.gov/cedselementdetails.aspx?termid=14718")</f>
        <v>https://ceds.ed.gov/cedselementdetails.aspx?termid=14718</v>
      </c>
      <c r="Q4039" s="9" t="str">
        <f>HYPERLINK("https://ceds.ed.gov/elementComment.aspx?elementName=Credential Award Approver Name &amp;elementID=14718", "Click here to submit comment")</f>
        <v>Click here to submit comment</v>
      </c>
    </row>
    <row r="4040" spans="1:17" ht="60" x14ac:dyDescent="0.25">
      <c r="A4040" s="9" t="s">
        <v>6886</v>
      </c>
      <c r="B4040" s="9" t="s">
        <v>11937</v>
      </c>
      <c r="C4040" s="9"/>
      <c r="D4040" s="9" t="s">
        <v>6742</v>
      </c>
      <c r="E4040" s="9" t="s">
        <v>10971</v>
      </c>
      <c r="F4040" s="9" t="s">
        <v>10972</v>
      </c>
      <c r="G4040" s="9" t="s">
        <v>12</v>
      </c>
      <c r="H4040" s="9"/>
      <c r="I4040" s="9"/>
      <c r="J4040" s="9" t="s">
        <v>1143</v>
      </c>
      <c r="K4040" s="9"/>
      <c r="L4040" s="9"/>
      <c r="M4040" s="9" t="s">
        <v>10973</v>
      </c>
      <c r="N4040" s="9"/>
      <c r="O4040" s="9" t="s">
        <v>10974</v>
      </c>
      <c r="P4040" s="9" t="str">
        <f>HYPERLINK("https://ceds.ed.gov/cedselementdetails.aspx?termid=14650")</f>
        <v>https://ceds.ed.gov/cedselementdetails.aspx?termid=14650</v>
      </c>
      <c r="Q4040" s="9" t="str">
        <f>HYPERLINK("https://ceds.ed.gov/elementComment.aspx?elementName=Credential Award Evidence URL &amp;elementID=14650", "Click here to submit comment")</f>
        <v>Click here to submit comment</v>
      </c>
    </row>
    <row r="4041" spans="1:17" ht="45" x14ac:dyDescent="0.25">
      <c r="A4041" s="9" t="s">
        <v>6886</v>
      </c>
      <c r="B4041" s="9" t="s">
        <v>11937</v>
      </c>
      <c r="C4041" s="9"/>
      <c r="D4041" s="9" t="s">
        <v>6742</v>
      </c>
      <c r="E4041" s="9" t="s">
        <v>10975</v>
      </c>
      <c r="F4041" s="9" t="s">
        <v>80</v>
      </c>
      <c r="G4041" s="9" t="s">
        <v>12</v>
      </c>
      <c r="H4041" s="9"/>
      <c r="I4041" s="9"/>
      <c r="J4041" s="9" t="s">
        <v>81</v>
      </c>
      <c r="K4041" s="9"/>
      <c r="L4041" s="9"/>
      <c r="M4041" s="9" t="s">
        <v>82</v>
      </c>
      <c r="N4041" s="9"/>
      <c r="O4041" s="9" t="s">
        <v>10976</v>
      </c>
      <c r="P4041" s="9" t="str">
        <f>HYPERLINK("https://ceds.ed.gov/cedselementdetails.aspx?termid=13898")</f>
        <v>https://ceds.ed.gov/cedselementdetails.aspx?termid=13898</v>
      </c>
      <c r="Q4041" s="9" t="str">
        <f>HYPERLINK("https://ceds.ed.gov/elementComment.aspx?elementName=Credential Award Issuer Name &amp;elementID=13898", "Click here to submit comment")</f>
        <v>Click here to submit comment</v>
      </c>
    </row>
    <row r="4042" spans="1:17" ht="45" x14ac:dyDescent="0.25">
      <c r="A4042" s="9" t="s">
        <v>6886</v>
      </c>
      <c r="B4042" s="9" t="s">
        <v>11937</v>
      </c>
      <c r="C4042" s="9"/>
      <c r="D4042" s="9" t="s">
        <v>6742</v>
      </c>
      <c r="E4042" s="9" t="s">
        <v>10977</v>
      </c>
      <c r="F4042" s="9" t="s">
        <v>83</v>
      </c>
      <c r="G4042" s="9" t="s">
        <v>12</v>
      </c>
      <c r="H4042" s="9"/>
      <c r="I4042" s="9"/>
      <c r="J4042" s="9" t="s">
        <v>1143</v>
      </c>
      <c r="K4042" s="9"/>
      <c r="L4042" s="9" t="s">
        <v>84</v>
      </c>
      <c r="M4042" s="9" t="s">
        <v>85</v>
      </c>
      <c r="N4042" s="9"/>
      <c r="O4042" s="9" t="s">
        <v>10978</v>
      </c>
      <c r="P4042" s="9" t="str">
        <f>HYPERLINK("https://ceds.ed.gov/cedselementdetails.aspx?termid=13900")</f>
        <v>https://ceds.ed.gov/cedselementdetails.aspx?termid=13900</v>
      </c>
      <c r="Q4042" s="9" t="str">
        <f>HYPERLINK("https://ceds.ed.gov/elementComment.aspx?elementName=Credential Award Issuer Origin URL &amp;elementID=13900", "Click here to submit comment")</f>
        <v>Click here to submit comment</v>
      </c>
    </row>
    <row r="4043" spans="1:17" ht="120" x14ac:dyDescent="0.25">
      <c r="A4043" s="9" t="s">
        <v>6886</v>
      </c>
      <c r="B4043" s="9" t="s">
        <v>11937</v>
      </c>
      <c r="C4043" s="9"/>
      <c r="D4043" s="9" t="s">
        <v>6742</v>
      </c>
      <c r="E4043" s="9" t="s">
        <v>10999</v>
      </c>
      <c r="F4043" s="9" t="s">
        <v>103</v>
      </c>
      <c r="G4043" s="9" t="s">
        <v>12</v>
      </c>
      <c r="H4043" s="9"/>
      <c r="I4043" s="9"/>
      <c r="J4043" s="9" t="s">
        <v>68</v>
      </c>
      <c r="K4043" s="9"/>
      <c r="L4043" s="9" t="s">
        <v>11000</v>
      </c>
      <c r="M4043" s="9" t="s">
        <v>104</v>
      </c>
      <c r="N4043" s="9"/>
      <c r="O4043" s="9" t="s">
        <v>11001</v>
      </c>
      <c r="P4043" s="9" t="str">
        <f>HYPERLINK("https://ceds.ed.gov/cedselementdetails.aspx?termid=13901")</f>
        <v>https://ceds.ed.gov/cedselementdetails.aspx?termid=13901</v>
      </c>
      <c r="Q4043" s="9" t="str">
        <f>HYPERLINK("https://ceds.ed.gov/elementComment.aspx?elementName=Credential Evidence Statement &amp;elementID=13901", "Click here to submit comment")</f>
        <v>Click here to submit comment</v>
      </c>
    </row>
    <row r="4044" spans="1:17" ht="45" x14ac:dyDescent="0.25">
      <c r="A4044" s="9" t="s">
        <v>6886</v>
      </c>
      <c r="B4044" s="9" t="s">
        <v>11937</v>
      </c>
      <c r="C4044" s="9"/>
      <c r="D4044" s="9" t="s">
        <v>6742</v>
      </c>
      <c r="E4044" s="9" t="s">
        <v>11059</v>
      </c>
      <c r="F4044" s="9" t="s">
        <v>11060</v>
      </c>
      <c r="G4044" s="9" t="s">
        <v>6106</v>
      </c>
      <c r="H4044" s="9"/>
      <c r="I4044" s="9"/>
      <c r="J4044" s="9"/>
      <c r="K4044" s="9"/>
      <c r="L4044" s="9"/>
      <c r="M4044" s="9" t="s">
        <v>11061</v>
      </c>
      <c r="N4044" s="9"/>
      <c r="O4044" s="9" t="s">
        <v>11062</v>
      </c>
      <c r="P4044" s="9" t="str">
        <f>HYPERLINK("https://ceds.ed.gov/cedselementdetails.aspx?termid=14732")</f>
        <v>https://ceds.ed.gov/cedselementdetails.aspx?termid=14732</v>
      </c>
      <c r="Q4044" s="9" t="str">
        <f>HYPERLINK("https://ceds.ed.gov/elementComment.aspx?elementName=Credential Revoked Indicator &amp;elementID=14732", "Click here to submit comment")</f>
        <v>Click here to submit comment</v>
      </c>
    </row>
    <row r="4045" spans="1:17" ht="60" x14ac:dyDescent="0.25">
      <c r="A4045" s="9" t="s">
        <v>6886</v>
      </c>
      <c r="B4045" s="9" t="s">
        <v>11937</v>
      </c>
      <c r="C4045" s="9"/>
      <c r="D4045" s="9" t="s">
        <v>6742</v>
      </c>
      <c r="E4045" s="9" t="s">
        <v>11054</v>
      </c>
      <c r="F4045" s="9" t="s">
        <v>11055</v>
      </c>
      <c r="G4045" s="9" t="s">
        <v>12</v>
      </c>
      <c r="H4045" s="9"/>
      <c r="I4045" s="9"/>
      <c r="J4045" s="9" t="s">
        <v>73</v>
      </c>
      <c r="K4045" s="9"/>
      <c r="L4045" s="9" t="s">
        <v>11056</v>
      </c>
      <c r="M4045" s="9" t="s">
        <v>11057</v>
      </c>
      <c r="N4045" s="9"/>
      <c r="O4045" s="9" t="s">
        <v>11058</v>
      </c>
      <c r="P4045" s="9" t="str">
        <f>HYPERLINK("https://ceds.ed.gov/cedselementdetails.aspx?termid=14641")</f>
        <v>https://ceds.ed.gov/cedselementdetails.aspx?termid=14641</v>
      </c>
      <c r="Q4045" s="9" t="str">
        <f>HYPERLINK("https://ceds.ed.gov/elementComment.aspx?elementName=Credential Revoked Date &amp;elementID=14641", "Click here to submit comment")</f>
        <v>Click here to submit comment</v>
      </c>
    </row>
    <row r="4046" spans="1:17" ht="45" x14ac:dyDescent="0.25">
      <c r="A4046" s="9" t="s">
        <v>6886</v>
      </c>
      <c r="B4046" s="9" t="s">
        <v>11937</v>
      </c>
      <c r="C4046" s="9"/>
      <c r="D4046" s="9" t="s">
        <v>6742</v>
      </c>
      <c r="E4046" s="9" t="s">
        <v>11063</v>
      </c>
      <c r="F4046" s="9" t="s">
        <v>11064</v>
      </c>
      <c r="G4046" s="9" t="s">
        <v>12</v>
      </c>
      <c r="H4046" s="9"/>
      <c r="I4046" s="9"/>
      <c r="J4046" s="9" t="s">
        <v>303</v>
      </c>
      <c r="K4046" s="9"/>
      <c r="L4046" s="9"/>
      <c r="M4046" s="9" t="s">
        <v>11065</v>
      </c>
      <c r="N4046" s="9"/>
      <c r="O4046" s="9" t="s">
        <v>11066</v>
      </c>
      <c r="P4046" s="9" t="str">
        <f>HYPERLINK("https://ceds.ed.gov/cedselementdetails.aspx?termid=14642")</f>
        <v>https://ceds.ed.gov/cedselementdetails.aspx?termid=14642</v>
      </c>
      <c r="Q4046" s="9" t="str">
        <f>HYPERLINK("https://ceds.ed.gov/elementComment.aspx?elementName=Credential Revoked Reason &amp;elementID=14642", "Click here to submit comment")</f>
        <v>Click here to submit comment</v>
      </c>
    </row>
    <row r="4047" spans="1:17" ht="360" x14ac:dyDescent="0.25">
      <c r="A4047" s="9" t="s">
        <v>6886</v>
      </c>
      <c r="B4047" s="9" t="s">
        <v>11937</v>
      </c>
      <c r="C4047" s="9"/>
      <c r="D4047" s="9" t="s">
        <v>6742</v>
      </c>
      <c r="E4047" s="9" t="s">
        <v>11089</v>
      </c>
      <c r="F4047" s="9" t="s">
        <v>2119</v>
      </c>
      <c r="G4047" s="10" t="s">
        <v>11847</v>
      </c>
      <c r="H4047" s="9" t="s">
        <v>6109</v>
      </c>
      <c r="I4047" s="9"/>
      <c r="J4047" s="9"/>
      <c r="K4047" s="9"/>
      <c r="L4047" s="9"/>
      <c r="M4047" s="9" t="s">
        <v>2120</v>
      </c>
      <c r="N4047" s="9"/>
      <c r="O4047" s="9" t="s">
        <v>11091</v>
      </c>
      <c r="P4047" s="9" t="str">
        <f>HYPERLINK("https://ceds.ed.gov/cedselementdetails.aspx?termid=13072")</f>
        <v>https://ceds.ed.gov/cedselementdetails.aspx?termid=13072</v>
      </c>
      <c r="Q4047" s="9" t="str">
        <f>HYPERLINK("https://ceds.ed.gov/elementComment.aspx?elementName=Credit Unit Type &amp;elementID=13072", "Click here to submit comment")</f>
        <v>Click here to submit comment</v>
      </c>
    </row>
    <row r="4048" spans="1:17" ht="105" x14ac:dyDescent="0.25">
      <c r="A4048" s="9" t="s">
        <v>6886</v>
      </c>
      <c r="B4048" s="9" t="s">
        <v>11937</v>
      </c>
      <c r="C4048" s="9"/>
      <c r="D4048" s="9" t="s">
        <v>6742</v>
      </c>
      <c r="E4048" s="9" t="s">
        <v>11092</v>
      </c>
      <c r="F4048" s="9" t="s">
        <v>11093</v>
      </c>
      <c r="G4048" s="9" t="s">
        <v>12</v>
      </c>
      <c r="H4048" s="9" t="s">
        <v>25</v>
      </c>
      <c r="I4048" s="9"/>
      <c r="J4048" s="9" t="s">
        <v>1513</v>
      </c>
      <c r="K4048" s="9"/>
      <c r="L4048" s="9" t="s">
        <v>1949</v>
      </c>
      <c r="M4048" s="9" t="s">
        <v>1950</v>
      </c>
      <c r="N4048" s="9"/>
      <c r="O4048" s="9" t="s">
        <v>11095</v>
      </c>
      <c r="P4048" s="9" t="str">
        <f>HYPERLINK("https://ceds.ed.gov/cedselementdetails.aspx?termid=13058")</f>
        <v>https://ceds.ed.gov/cedselementdetails.aspx?termid=13058</v>
      </c>
      <c r="Q4048" s="9" t="str">
        <f>HYPERLINK("https://ceds.ed.gov/elementComment.aspx?elementName=Credit Value &amp;elementID=13058", "Click here to submit comment")</f>
        <v>Click here to submit comment</v>
      </c>
    </row>
    <row r="4049" spans="1:17" ht="90" x14ac:dyDescent="0.25">
      <c r="A4049" s="9" t="s">
        <v>6886</v>
      </c>
      <c r="B4049" s="9" t="s">
        <v>11937</v>
      </c>
      <c r="C4049" s="9"/>
      <c r="D4049" s="9" t="s">
        <v>6742</v>
      </c>
      <c r="E4049" s="9" t="s">
        <v>4361</v>
      </c>
      <c r="F4049" s="9" t="s">
        <v>4362</v>
      </c>
      <c r="G4049" s="9" t="s">
        <v>12</v>
      </c>
      <c r="H4049" s="9" t="s">
        <v>6109</v>
      </c>
      <c r="I4049" s="9"/>
      <c r="J4049" s="9" t="s">
        <v>1513</v>
      </c>
      <c r="K4049" s="9"/>
      <c r="L4049" s="9"/>
      <c r="M4049" s="9" t="s">
        <v>4363</v>
      </c>
      <c r="N4049" s="9"/>
      <c r="O4049" s="9" t="s">
        <v>4364</v>
      </c>
      <c r="P4049" s="9" t="str">
        <f>HYPERLINK("https://ceds.ed.gov/cedselementdetails.aspx?termid=13199")</f>
        <v>https://ceds.ed.gov/cedselementdetails.aspx?termid=13199</v>
      </c>
      <c r="Q4049" s="9" t="str">
        <f>HYPERLINK("https://ceds.ed.gov/elementComment.aspx?elementName=Number of Credits Attempted &amp;elementID=13199", "Click here to submit comment")</f>
        <v>Click here to submit comment</v>
      </c>
    </row>
    <row r="4050" spans="1:17" ht="120" x14ac:dyDescent="0.25">
      <c r="A4050" s="9" t="s">
        <v>6886</v>
      </c>
      <c r="B4050" s="9" t="s">
        <v>11937</v>
      </c>
      <c r="C4050" s="9"/>
      <c r="D4050" s="9" t="s">
        <v>6742</v>
      </c>
      <c r="E4050" s="9" t="s">
        <v>4365</v>
      </c>
      <c r="F4050" s="9" t="s">
        <v>4366</v>
      </c>
      <c r="G4050" s="9" t="s">
        <v>12</v>
      </c>
      <c r="H4050" s="9" t="s">
        <v>6241</v>
      </c>
      <c r="I4050" s="9"/>
      <c r="J4050" s="9" t="s">
        <v>1513</v>
      </c>
      <c r="K4050" s="9"/>
      <c r="L4050" s="9"/>
      <c r="M4050" s="9" t="s">
        <v>4367</v>
      </c>
      <c r="N4050" s="9"/>
      <c r="O4050" s="9" t="s">
        <v>4368</v>
      </c>
      <c r="P4050" s="9" t="str">
        <f>HYPERLINK("https://ceds.ed.gov/cedselementdetails.aspx?termid=13200")</f>
        <v>https://ceds.ed.gov/cedselementdetails.aspx?termid=13200</v>
      </c>
      <c r="Q4050" s="9" t="str">
        <f>HYPERLINK("https://ceds.ed.gov/elementComment.aspx?elementName=Number of Credits Earned &amp;elementID=13200", "Click here to submit comment")</f>
        <v>Click here to submit comment</v>
      </c>
    </row>
    <row r="4051" spans="1:17" ht="105" x14ac:dyDescent="0.25">
      <c r="A4051" s="18" t="s">
        <v>6886</v>
      </c>
      <c r="B4051" s="18" t="s">
        <v>11937</v>
      </c>
      <c r="C4051" s="18" t="s">
        <v>11938</v>
      </c>
      <c r="D4051" s="18" t="s">
        <v>6742</v>
      </c>
      <c r="E4051" s="18" t="s">
        <v>4587</v>
      </c>
      <c r="F4051" s="18" t="s">
        <v>4588</v>
      </c>
      <c r="G4051" s="18" t="s">
        <v>12</v>
      </c>
      <c r="H4051" s="18"/>
      <c r="I4051" s="18"/>
      <c r="J4051" s="18" t="s">
        <v>119</v>
      </c>
      <c r="K4051" s="18"/>
      <c r="L4051" s="9" t="s">
        <v>120</v>
      </c>
      <c r="M4051" s="18" t="s">
        <v>4589</v>
      </c>
      <c r="N4051" s="18"/>
      <c r="O4051" s="18" t="s">
        <v>4590</v>
      </c>
      <c r="P4051" s="18" t="str">
        <f>HYPERLINK("https://ceds.ed.gov/cedselementdetails.aspx?termid=14551")</f>
        <v>https://ceds.ed.gov/cedselementdetails.aspx?termid=14551</v>
      </c>
      <c r="Q4051" s="18" t="str">
        <f>HYPERLINK("https://ceds.ed.gov/elementComment.aspx?elementName=Person Identifier &amp;elementID=14551", "Click here to submit comment")</f>
        <v>Click here to submit comment</v>
      </c>
    </row>
    <row r="4052" spans="1:17" x14ac:dyDescent="0.25">
      <c r="A4052" s="18"/>
      <c r="B4052" s="18"/>
      <c r="C4052" s="18"/>
      <c r="D4052" s="18"/>
      <c r="E4052" s="18"/>
      <c r="F4052" s="18"/>
      <c r="G4052" s="18"/>
      <c r="H4052" s="18"/>
      <c r="I4052" s="18"/>
      <c r="J4052" s="18"/>
      <c r="K4052" s="18"/>
      <c r="L4052" s="9"/>
      <c r="M4052" s="18"/>
      <c r="N4052" s="18"/>
      <c r="O4052" s="18"/>
      <c r="P4052" s="18"/>
      <c r="Q4052" s="18"/>
    </row>
    <row r="4053" spans="1:17" ht="90" x14ac:dyDescent="0.25">
      <c r="A4053" s="18"/>
      <c r="B4053" s="18"/>
      <c r="C4053" s="18"/>
      <c r="D4053" s="18"/>
      <c r="E4053" s="18"/>
      <c r="F4053" s="18"/>
      <c r="G4053" s="18"/>
      <c r="H4053" s="18"/>
      <c r="I4053" s="18"/>
      <c r="J4053" s="18"/>
      <c r="K4053" s="18"/>
      <c r="L4053" s="9" t="s">
        <v>121</v>
      </c>
      <c r="M4053" s="18"/>
      <c r="N4053" s="18"/>
      <c r="O4053" s="18"/>
      <c r="P4053" s="18"/>
      <c r="Q4053" s="18"/>
    </row>
    <row r="4054" spans="1:17" ht="375" x14ac:dyDescent="0.25">
      <c r="A4054" s="9" t="s">
        <v>6886</v>
      </c>
      <c r="B4054" s="9" t="s">
        <v>11937</v>
      </c>
      <c r="C4054" s="9" t="s">
        <v>11938</v>
      </c>
      <c r="D4054" s="9" t="s">
        <v>6742</v>
      </c>
      <c r="E4054" s="9" t="s">
        <v>4583</v>
      </c>
      <c r="F4054" s="9" t="s">
        <v>4584</v>
      </c>
      <c r="G4054" s="10" t="s">
        <v>6635</v>
      </c>
      <c r="H4054" s="9"/>
      <c r="I4054" s="9"/>
      <c r="J4054" s="9"/>
      <c r="K4054" s="9"/>
      <c r="L4054" s="9"/>
      <c r="M4054" s="9" t="s">
        <v>4585</v>
      </c>
      <c r="N4054" s="9"/>
      <c r="O4054" s="9" t="s">
        <v>4586</v>
      </c>
      <c r="P4054" s="9" t="str">
        <f>HYPERLINK("https://ceds.ed.gov/cedselementdetails.aspx?termid=14550")</f>
        <v>https://ceds.ed.gov/cedselementdetails.aspx?termid=14550</v>
      </c>
      <c r="Q4054" s="9" t="str">
        <f>HYPERLINK("https://ceds.ed.gov/elementComment.aspx?elementName=Person Identification System &amp;elementID=14550", "Click here to submit comment")</f>
        <v>Click here to submit comment</v>
      </c>
    </row>
    <row r="4055" spans="1:17" ht="105" x14ac:dyDescent="0.25">
      <c r="A4055" s="18" t="s">
        <v>6886</v>
      </c>
      <c r="B4055" s="18" t="s">
        <v>11937</v>
      </c>
      <c r="C4055" s="18" t="s">
        <v>11938</v>
      </c>
      <c r="D4055" s="18" t="s">
        <v>6742</v>
      </c>
      <c r="E4055" s="18" t="s">
        <v>4448</v>
      </c>
      <c r="F4055" s="18" t="s">
        <v>4449</v>
      </c>
      <c r="G4055" s="18" t="s">
        <v>12</v>
      </c>
      <c r="H4055" s="18" t="s">
        <v>64</v>
      </c>
      <c r="I4055" s="18"/>
      <c r="J4055" s="18" t="s">
        <v>119</v>
      </c>
      <c r="K4055" s="18"/>
      <c r="L4055" s="9" t="s">
        <v>120</v>
      </c>
      <c r="M4055" s="18" t="s">
        <v>4450</v>
      </c>
      <c r="N4055" s="18"/>
      <c r="O4055" s="18" t="s">
        <v>4451</v>
      </c>
      <c r="P4055" s="18" t="str">
        <f>HYPERLINK("https://ceds.ed.gov/cedselementdetails.aspx?termid=13825")</f>
        <v>https://ceds.ed.gov/cedselementdetails.aspx?termid=13825</v>
      </c>
      <c r="Q4055" s="18" t="str">
        <f>HYPERLINK("https://ceds.ed.gov/elementComment.aspx?elementName=Organization Identifier &amp;elementID=13825", "Click here to submit comment")</f>
        <v>Click here to submit comment</v>
      </c>
    </row>
    <row r="4056" spans="1:17" x14ac:dyDescent="0.25">
      <c r="A4056" s="18"/>
      <c r="B4056" s="18"/>
      <c r="C4056" s="18"/>
      <c r="D4056" s="18"/>
      <c r="E4056" s="18"/>
      <c r="F4056" s="18"/>
      <c r="G4056" s="18"/>
      <c r="H4056" s="18"/>
      <c r="I4056" s="18"/>
      <c r="J4056" s="18"/>
      <c r="K4056" s="18"/>
      <c r="L4056" s="9"/>
      <c r="M4056" s="18"/>
      <c r="N4056" s="18"/>
      <c r="O4056" s="18"/>
      <c r="P4056" s="18"/>
      <c r="Q4056" s="18"/>
    </row>
    <row r="4057" spans="1:17" ht="90" x14ac:dyDescent="0.25">
      <c r="A4057" s="18"/>
      <c r="B4057" s="18"/>
      <c r="C4057" s="18"/>
      <c r="D4057" s="18"/>
      <c r="E4057" s="18"/>
      <c r="F4057" s="18"/>
      <c r="G4057" s="18"/>
      <c r="H4057" s="18"/>
      <c r="I4057" s="18"/>
      <c r="J4057" s="18"/>
      <c r="K4057" s="18"/>
      <c r="L4057" s="9" t="s">
        <v>121</v>
      </c>
      <c r="M4057" s="18"/>
      <c r="N4057" s="18"/>
      <c r="O4057" s="18"/>
      <c r="P4057" s="18"/>
      <c r="Q4057" s="18"/>
    </row>
    <row r="4058" spans="1:17" ht="240" x14ac:dyDescent="0.25">
      <c r="A4058" s="9" t="s">
        <v>6886</v>
      </c>
      <c r="B4058" s="9" t="s">
        <v>11937</v>
      </c>
      <c r="C4058" s="9" t="s">
        <v>11938</v>
      </c>
      <c r="D4058" s="9" t="s">
        <v>6742</v>
      </c>
      <c r="E4058" s="9" t="s">
        <v>4444</v>
      </c>
      <c r="F4058" s="9" t="s">
        <v>4445</v>
      </c>
      <c r="G4058" s="10" t="s">
        <v>11903</v>
      </c>
      <c r="H4058" s="9" t="s">
        <v>64</v>
      </c>
      <c r="I4058" s="9"/>
      <c r="J4058" s="9"/>
      <c r="K4058" s="9"/>
      <c r="L4058" s="9"/>
      <c r="M4058" s="9" t="s">
        <v>4446</v>
      </c>
      <c r="N4058" s="9"/>
      <c r="O4058" s="9" t="s">
        <v>4447</v>
      </c>
      <c r="P4058" s="9" t="str">
        <f>HYPERLINK("https://ceds.ed.gov/cedselementdetails.aspx?termid=13827")</f>
        <v>https://ceds.ed.gov/cedselementdetails.aspx?termid=13827</v>
      </c>
      <c r="Q4058" s="9" t="str">
        <f>HYPERLINK("https://ceds.ed.gov/elementComment.aspx?elementName=Organization Identification System &amp;elementID=13827", "Click here to submit comment")</f>
        <v>Click here to submit comment</v>
      </c>
    </row>
    <row r="4059" spans="1:17" ht="409.5" x14ac:dyDescent="0.25">
      <c r="A4059" s="9" t="s">
        <v>6886</v>
      </c>
      <c r="B4059" s="9" t="s">
        <v>11937</v>
      </c>
      <c r="C4059" s="9" t="s">
        <v>11938</v>
      </c>
      <c r="D4059" s="9" t="s">
        <v>6742</v>
      </c>
      <c r="E4059" s="9" t="s">
        <v>11096</v>
      </c>
      <c r="F4059" s="9" t="s">
        <v>11097</v>
      </c>
      <c r="G4059" s="10" t="s">
        <v>11848</v>
      </c>
      <c r="H4059" s="9"/>
      <c r="I4059" s="9"/>
      <c r="J4059" s="9"/>
      <c r="K4059" s="9"/>
      <c r="L4059" s="9" t="s">
        <v>11099</v>
      </c>
      <c r="M4059" s="9" t="s">
        <v>11100</v>
      </c>
      <c r="N4059" s="9"/>
      <c r="O4059" s="9" t="s">
        <v>11101</v>
      </c>
      <c r="P4059" s="9" t="str">
        <f>HYPERLINK("https://ceds.ed.gov/cedselementdetails.aspx?termid=14736")</f>
        <v>https://ceds.ed.gov/cedselementdetails.aspx?termid=14736</v>
      </c>
      <c r="Q4059" s="9" t="str">
        <f>HYPERLINK("https://ceds.ed.gov/elementComment.aspx?elementName=CTDL Organization Type &amp;elementID=14736", "Click here to submit comment")</f>
        <v>Click here to submit comment</v>
      </c>
    </row>
    <row r="4060" spans="1:17" ht="105" x14ac:dyDescent="0.25">
      <c r="A4060" s="18" t="s">
        <v>6886</v>
      </c>
      <c r="B4060" s="18" t="s">
        <v>11939</v>
      </c>
      <c r="C4060" s="18"/>
      <c r="D4060" s="18" t="s">
        <v>6742</v>
      </c>
      <c r="E4060" s="18" t="s">
        <v>4587</v>
      </c>
      <c r="F4060" s="18" t="s">
        <v>4588</v>
      </c>
      <c r="G4060" s="18" t="s">
        <v>12</v>
      </c>
      <c r="H4060" s="18"/>
      <c r="I4060" s="18"/>
      <c r="J4060" s="18" t="s">
        <v>119</v>
      </c>
      <c r="K4060" s="18"/>
      <c r="L4060" s="9" t="s">
        <v>120</v>
      </c>
      <c r="M4060" s="18" t="s">
        <v>4589</v>
      </c>
      <c r="N4060" s="18"/>
      <c r="O4060" s="18" t="s">
        <v>4590</v>
      </c>
      <c r="P4060" s="18" t="str">
        <f>HYPERLINK("https://ceds.ed.gov/cedselementdetails.aspx?termid=14551")</f>
        <v>https://ceds.ed.gov/cedselementdetails.aspx?termid=14551</v>
      </c>
      <c r="Q4060" s="18" t="str">
        <f>HYPERLINK("https://ceds.ed.gov/elementComment.aspx?elementName=Person Identifier &amp;elementID=14551", "Click here to submit comment")</f>
        <v>Click here to submit comment</v>
      </c>
    </row>
    <row r="4061" spans="1:17" x14ac:dyDescent="0.25">
      <c r="A4061" s="18"/>
      <c r="B4061" s="18"/>
      <c r="C4061" s="18"/>
      <c r="D4061" s="18"/>
      <c r="E4061" s="18"/>
      <c r="F4061" s="18"/>
      <c r="G4061" s="18"/>
      <c r="H4061" s="18"/>
      <c r="I4061" s="18"/>
      <c r="J4061" s="18"/>
      <c r="K4061" s="18"/>
      <c r="L4061" s="9"/>
      <c r="M4061" s="18"/>
      <c r="N4061" s="18"/>
      <c r="O4061" s="18"/>
      <c r="P4061" s="18"/>
      <c r="Q4061" s="18"/>
    </row>
    <row r="4062" spans="1:17" ht="90" x14ac:dyDescent="0.25">
      <c r="A4062" s="18"/>
      <c r="B4062" s="18"/>
      <c r="C4062" s="18"/>
      <c r="D4062" s="18"/>
      <c r="E4062" s="18"/>
      <c r="F4062" s="18"/>
      <c r="G4062" s="18"/>
      <c r="H4062" s="18"/>
      <c r="I4062" s="18"/>
      <c r="J4062" s="18"/>
      <c r="K4062" s="18"/>
      <c r="L4062" s="9" t="s">
        <v>121</v>
      </c>
      <c r="M4062" s="18"/>
      <c r="N4062" s="18"/>
      <c r="O4062" s="18"/>
      <c r="P4062" s="18"/>
      <c r="Q4062" s="18"/>
    </row>
    <row r="4063" spans="1:17" ht="375" x14ac:dyDescent="0.25">
      <c r="A4063" s="9" t="s">
        <v>6886</v>
      </c>
      <c r="B4063" s="9" t="s">
        <v>11939</v>
      </c>
      <c r="C4063" s="9"/>
      <c r="D4063" s="9" t="s">
        <v>6742</v>
      </c>
      <c r="E4063" s="9" t="s">
        <v>4583</v>
      </c>
      <c r="F4063" s="9" t="s">
        <v>4584</v>
      </c>
      <c r="G4063" s="10" t="s">
        <v>6635</v>
      </c>
      <c r="H4063" s="9"/>
      <c r="I4063" s="9"/>
      <c r="J4063" s="9"/>
      <c r="K4063" s="9"/>
      <c r="L4063" s="9"/>
      <c r="M4063" s="9" t="s">
        <v>4585</v>
      </c>
      <c r="N4063" s="9"/>
      <c r="O4063" s="9" t="s">
        <v>4586</v>
      </c>
      <c r="P4063" s="9" t="str">
        <f>HYPERLINK("https://ceds.ed.gov/cedselementdetails.aspx?termid=14550")</f>
        <v>https://ceds.ed.gov/cedselementdetails.aspx?termid=14550</v>
      </c>
      <c r="Q4063" s="9" t="str">
        <f>HYPERLINK("https://ceds.ed.gov/elementComment.aspx?elementName=Person Identification System &amp;elementID=14550", "Click here to submit comment")</f>
        <v>Click here to submit comment</v>
      </c>
    </row>
    <row r="4064" spans="1:17" ht="105" x14ac:dyDescent="0.25">
      <c r="A4064" s="18" t="s">
        <v>6886</v>
      </c>
      <c r="B4064" s="18" t="s">
        <v>11939</v>
      </c>
      <c r="C4064" s="18"/>
      <c r="D4064" s="18" t="s">
        <v>6742</v>
      </c>
      <c r="E4064" s="18" t="s">
        <v>4448</v>
      </c>
      <c r="F4064" s="18" t="s">
        <v>4449</v>
      </c>
      <c r="G4064" s="18" t="s">
        <v>12</v>
      </c>
      <c r="H4064" s="18" t="s">
        <v>64</v>
      </c>
      <c r="I4064" s="18"/>
      <c r="J4064" s="18" t="s">
        <v>119</v>
      </c>
      <c r="K4064" s="18"/>
      <c r="L4064" s="9" t="s">
        <v>120</v>
      </c>
      <c r="M4064" s="18" t="s">
        <v>4450</v>
      </c>
      <c r="N4064" s="18"/>
      <c r="O4064" s="18" t="s">
        <v>4451</v>
      </c>
      <c r="P4064" s="18" t="str">
        <f>HYPERLINK("https://ceds.ed.gov/cedselementdetails.aspx?termid=13825")</f>
        <v>https://ceds.ed.gov/cedselementdetails.aspx?termid=13825</v>
      </c>
      <c r="Q4064" s="18" t="str">
        <f>HYPERLINK("https://ceds.ed.gov/elementComment.aspx?elementName=Organization Identifier &amp;elementID=13825", "Click here to submit comment")</f>
        <v>Click here to submit comment</v>
      </c>
    </row>
    <row r="4065" spans="1:17" x14ac:dyDescent="0.25">
      <c r="A4065" s="18"/>
      <c r="B4065" s="18"/>
      <c r="C4065" s="18"/>
      <c r="D4065" s="18"/>
      <c r="E4065" s="18"/>
      <c r="F4065" s="18"/>
      <c r="G4065" s="18"/>
      <c r="H4065" s="18"/>
      <c r="I4065" s="18"/>
      <c r="J4065" s="18"/>
      <c r="K4065" s="18"/>
      <c r="L4065" s="9"/>
      <c r="M4065" s="18"/>
      <c r="N4065" s="18"/>
      <c r="O4065" s="18"/>
      <c r="P4065" s="18"/>
      <c r="Q4065" s="18"/>
    </row>
    <row r="4066" spans="1:17" ht="90" x14ac:dyDescent="0.25">
      <c r="A4066" s="18"/>
      <c r="B4066" s="18"/>
      <c r="C4066" s="18"/>
      <c r="D4066" s="18"/>
      <c r="E4066" s="18"/>
      <c r="F4066" s="18"/>
      <c r="G4066" s="18"/>
      <c r="H4066" s="18"/>
      <c r="I4066" s="18"/>
      <c r="J4066" s="18"/>
      <c r="K4066" s="18"/>
      <c r="L4066" s="9" t="s">
        <v>121</v>
      </c>
      <c r="M4066" s="18"/>
      <c r="N4066" s="18"/>
      <c r="O4066" s="18"/>
      <c r="P4066" s="18"/>
      <c r="Q4066" s="18"/>
    </row>
    <row r="4067" spans="1:17" ht="240" x14ac:dyDescent="0.25">
      <c r="A4067" s="9" t="s">
        <v>6886</v>
      </c>
      <c r="B4067" s="9" t="s">
        <v>11939</v>
      </c>
      <c r="C4067" s="9"/>
      <c r="D4067" s="9" t="s">
        <v>6742</v>
      </c>
      <c r="E4067" s="9" t="s">
        <v>4444</v>
      </c>
      <c r="F4067" s="9" t="s">
        <v>4445</v>
      </c>
      <c r="G4067" s="10" t="s">
        <v>11903</v>
      </c>
      <c r="H4067" s="9" t="s">
        <v>64</v>
      </c>
      <c r="I4067" s="9"/>
      <c r="J4067" s="9"/>
      <c r="K4067" s="9"/>
      <c r="L4067" s="9"/>
      <c r="M4067" s="9" t="s">
        <v>4446</v>
      </c>
      <c r="N4067" s="9"/>
      <c r="O4067" s="9" t="s">
        <v>4447</v>
      </c>
      <c r="P4067" s="9" t="str">
        <f>HYPERLINK("https://ceds.ed.gov/cedselementdetails.aspx?termid=13827")</f>
        <v>https://ceds.ed.gov/cedselementdetails.aspx?termid=13827</v>
      </c>
      <c r="Q4067" s="9" t="str">
        <f>HYPERLINK("https://ceds.ed.gov/elementComment.aspx?elementName=Organization Identification System &amp;elementID=13827", "Click here to submit comment")</f>
        <v>Click here to submit comment</v>
      </c>
    </row>
    <row r="4068" spans="1:17" ht="409.5" x14ac:dyDescent="0.25">
      <c r="A4068" s="9" t="s">
        <v>6886</v>
      </c>
      <c r="B4068" s="9" t="s">
        <v>11939</v>
      </c>
      <c r="C4068" s="9"/>
      <c r="D4068" s="9" t="s">
        <v>6742</v>
      </c>
      <c r="E4068" s="9" t="s">
        <v>11096</v>
      </c>
      <c r="F4068" s="9" t="s">
        <v>11097</v>
      </c>
      <c r="G4068" s="10" t="s">
        <v>11848</v>
      </c>
      <c r="H4068" s="9"/>
      <c r="I4068" s="9"/>
      <c r="J4068" s="9"/>
      <c r="K4068" s="9"/>
      <c r="L4068" s="9" t="s">
        <v>11099</v>
      </c>
      <c r="M4068" s="9" t="s">
        <v>11100</v>
      </c>
      <c r="N4068" s="9"/>
      <c r="O4068" s="9" t="s">
        <v>11101</v>
      </c>
      <c r="P4068" s="9" t="str">
        <f>HYPERLINK("https://ceds.ed.gov/cedselementdetails.aspx?termid=14736")</f>
        <v>https://ceds.ed.gov/cedselementdetails.aspx?termid=14736</v>
      </c>
      <c r="Q4068" s="9" t="str">
        <f>HYPERLINK("https://ceds.ed.gov/elementComment.aspx?elementName=CTDL Organization Type &amp;elementID=14736", "Click here to submit comment")</f>
        <v>Click here to submit comment</v>
      </c>
    </row>
    <row r="4069" spans="1:17" ht="45" x14ac:dyDescent="0.25">
      <c r="A4069" s="9" t="s">
        <v>11933</v>
      </c>
      <c r="B4069" s="9" t="s">
        <v>11934</v>
      </c>
      <c r="C4069" s="9"/>
      <c r="D4069" s="9" t="s">
        <v>6742</v>
      </c>
      <c r="E4069" s="9" t="s">
        <v>10769</v>
      </c>
      <c r="F4069" s="9" t="s">
        <v>10770</v>
      </c>
      <c r="G4069" s="9" t="s">
        <v>12</v>
      </c>
      <c r="H4069" s="9" t="s">
        <v>795</v>
      </c>
      <c r="I4069" s="9"/>
      <c r="J4069" s="9" t="s">
        <v>1143</v>
      </c>
      <c r="K4069" s="9"/>
      <c r="L4069" s="9"/>
      <c r="M4069" s="9" t="s">
        <v>3925</v>
      </c>
      <c r="N4069" s="9" t="s">
        <v>3924</v>
      </c>
      <c r="O4069" s="9" t="s">
        <v>10772</v>
      </c>
      <c r="P4069" s="9" t="str">
        <f>HYPERLINK("https://ceds.ed.gov/cedselementdetails.aspx?termid=13670")</f>
        <v>https://ceds.ed.gov/cedselementdetails.aspx?termid=13670</v>
      </c>
      <c r="Q4069" s="9" t="str">
        <f>HYPERLINK("https://ceds.ed.gov/elementComment.aspx?elementName=Competency Framework Identifier URI &amp;elementID=13670", "Click here to submit comment")</f>
        <v>Click here to submit comment</v>
      </c>
    </row>
    <row r="4070" spans="1:17" ht="45" x14ac:dyDescent="0.25">
      <c r="A4070" s="9" t="s">
        <v>11933</v>
      </c>
      <c r="B4070" s="9" t="s">
        <v>11934</v>
      </c>
      <c r="C4070" s="9"/>
      <c r="D4070" s="9" t="s">
        <v>6742</v>
      </c>
      <c r="E4070" s="9" t="s">
        <v>10766</v>
      </c>
      <c r="F4070" s="9" t="s">
        <v>10767</v>
      </c>
      <c r="G4070" s="9" t="s">
        <v>12</v>
      </c>
      <c r="H4070" s="9"/>
      <c r="I4070" s="9"/>
      <c r="J4070" s="9" t="s">
        <v>68</v>
      </c>
      <c r="K4070" s="9"/>
      <c r="L4070" s="9"/>
      <c r="M4070" s="9" t="s">
        <v>3923</v>
      </c>
      <c r="N4070" s="9" t="s">
        <v>3922</v>
      </c>
      <c r="O4070" s="9" t="s">
        <v>10768</v>
      </c>
      <c r="P4070" s="9" t="str">
        <f>HYPERLINK("https://ceds.ed.gov/cedselementdetails.aspx?termid=13674")</f>
        <v>https://ceds.ed.gov/cedselementdetails.aspx?termid=13674</v>
      </c>
      <c r="Q4070" s="9" t="str">
        <f>HYPERLINK("https://ceds.ed.gov/elementComment.aspx?elementName=Competency Framework Description &amp;elementID=13674", "Click here to submit comment")</f>
        <v>Click here to submit comment</v>
      </c>
    </row>
    <row r="4071" spans="1:17" ht="60" x14ac:dyDescent="0.25">
      <c r="A4071" s="9" t="s">
        <v>11933</v>
      </c>
      <c r="B4071" s="9" t="s">
        <v>11934</v>
      </c>
      <c r="C4071" s="9"/>
      <c r="D4071" s="9" t="s">
        <v>6742</v>
      </c>
      <c r="E4071" s="9" t="s">
        <v>10804</v>
      </c>
      <c r="F4071" s="9" t="s">
        <v>10805</v>
      </c>
      <c r="G4071" s="9" t="s">
        <v>12</v>
      </c>
      <c r="H4071" s="9"/>
      <c r="I4071" s="9"/>
      <c r="J4071" s="9" t="s">
        <v>73</v>
      </c>
      <c r="K4071" s="9"/>
      <c r="L4071" s="9"/>
      <c r="M4071" s="9" t="s">
        <v>3953</v>
      </c>
      <c r="N4071" s="9" t="s">
        <v>3952</v>
      </c>
      <c r="O4071" s="9" t="s">
        <v>10806</v>
      </c>
      <c r="P4071" s="9" t="str">
        <f>HYPERLINK("https://ceds.ed.gov/cedselementdetails.aspx?termid=13677")</f>
        <v>https://ceds.ed.gov/cedselementdetails.aspx?termid=13677</v>
      </c>
      <c r="Q4071" s="9" t="str">
        <f>HYPERLINK("https://ceds.ed.gov/elementComment.aspx?elementName=Competency Framework Valid Start Date &amp;elementID=13677", "Click here to submit comment")</f>
        <v>Click here to submit comment</v>
      </c>
    </row>
    <row r="4072" spans="1:17" ht="75" x14ac:dyDescent="0.25">
      <c r="A4072" s="9" t="s">
        <v>11933</v>
      </c>
      <c r="B4072" s="9" t="s">
        <v>11934</v>
      </c>
      <c r="C4072" s="9"/>
      <c r="D4072" s="9" t="s">
        <v>6742</v>
      </c>
      <c r="E4072" s="9" t="s">
        <v>10801</v>
      </c>
      <c r="F4072" s="9" t="s">
        <v>10802</v>
      </c>
      <c r="G4072" s="9" t="s">
        <v>12</v>
      </c>
      <c r="H4072" s="9"/>
      <c r="I4072" s="9"/>
      <c r="J4072" s="9" t="s">
        <v>73</v>
      </c>
      <c r="K4072" s="9"/>
      <c r="L4072" s="9"/>
      <c r="M4072" s="9" t="s">
        <v>3951</v>
      </c>
      <c r="N4072" s="9" t="s">
        <v>3950</v>
      </c>
      <c r="O4072" s="9" t="s">
        <v>10803</v>
      </c>
      <c r="P4072" s="9" t="str">
        <f>HYPERLINK("https://ceds.ed.gov/cedselementdetails.aspx?termid=13678")</f>
        <v>https://ceds.ed.gov/cedselementdetails.aspx?termid=13678</v>
      </c>
      <c r="Q4072" s="9" t="str">
        <f>HYPERLINK("https://ceds.ed.gov/elementComment.aspx?elementName=Competency Framework Valid End Date &amp;elementID=13678", "Click here to submit comment")</f>
        <v>Click here to submit comment</v>
      </c>
    </row>
    <row r="4073" spans="1:17" ht="60" x14ac:dyDescent="0.25">
      <c r="A4073" s="9" t="s">
        <v>11933</v>
      </c>
      <c r="B4073" s="9" t="s">
        <v>11934</v>
      </c>
      <c r="C4073" s="9"/>
      <c r="D4073" s="9" t="s">
        <v>6742</v>
      </c>
      <c r="E4073" s="9" t="s">
        <v>10773</v>
      </c>
      <c r="F4073" s="9" t="s">
        <v>3927</v>
      </c>
      <c r="G4073" s="9" t="s">
        <v>12</v>
      </c>
      <c r="H4073" s="9"/>
      <c r="I4073" s="9"/>
      <c r="J4073" s="9" t="s">
        <v>1492</v>
      </c>
      <c r="K4073" s="9"/>
      <c r="L4073" s="9"/>
      <c r="M4073" s="9" t="s">
        <v>3928</v>
      </c>
      <c r="N4073" s="9" t="s">
        <v>3926</v>
      </c>
      <c r="O4073" s="9" t="s">
        <v>10774</v>
      </c>
      <c r="P4073" s="9" t="str">
        <f>HYPERLINK("https://ceds.ed.gov/cedselementdetails.aspx?termid=13676")</f>
        <v>https://ceds.ed.gov/cedselementdetails.aspx?termid=13676</v>
      </c>
      <c r="Q4073" s="9" t="str">
        <f>HYPERLINK("https://ceds.ed.gov/elementComment.aspx?elementName=Competency Framework Jurisdiction &amp;elementID=13676", "Click here to submit comment")</f>
        <v>Click here to submit comment</v>
      </c>
    </row>
    <row r="4074" spans="1:17" ht="45" x14ac:dyDescent="0.25">
      <c r="A4074" s="9" t="s">
        <v>11933</v>
      </c>
      <c r="B4074" s="9" t="s">
        <v>11934</v>
      </c>
      <c r="C4074" s="9"/>
      <c r="D4074" s="9" t="s">
        <v>6742</v>
      </c>
      <c r="E4074" s="9" t="s">
        <v>10795</v>
      </c>
      <c r="F4074" s="9" t="s">
        <v>10796</v>
      </c>
      <c r="G4074" s="9" t="s">
        <v>12</v>
      </c>
      <c r="H4074" s="9" t="s">
        <v>795</v>
      </c>
      <c r="I4074" s="9"/>
      <c r="J4074" s="9" t="s">
        <v>87</v>
      </c>
      <c r="K4074" s="9"/>
      <c r="L4074" s="9"/>
      <c r="M4074" s="9" t="s">
        <v>3947</v>
      </c>
      <c r="N4074" s="9" t="s">
        <v>3946</v>
      </c>
      <c r="O4074" s="9" t="s">
        <v>10797</v>
      </c>
      <c r="P4074" s="9" t="str">
        <f>HYPERLINK("https://ceds.ed.gov/cedselementdetails.aspx?termid=13679")</f>
        <v>https://ceds.ed.gov/cedselementdetails.aspx?termid=13679</v>
      </c>
      <c r="Q4074" s="9" t="str">
        <f>HYPERLINK("https://ceds.ed.gov/elementComment.aspx?elementName=Competency Framework Subject &amp;elementID=13679", "Click here to submit comment")</f>
        <v>Click here to submit comment</v>
      </c>
    </row>
    <row r="4075" spans="1:17" ht="45" x14ac:dyDescent="0.25">
      <c r="A4075" s="9" t="s">
        <v>11933</v>
      </c>
      <c r="B4075" s="9" t="s">
        <v>11934</v>
      </c>
      <c r="C4075" s="9"/>
      <c r="D4075" s="9" t="s">
        <v>6742</v>
      </c>
      <c r="E4075" s="9" t="s">
        <v>10798</v>
      </c>
      <c r="F4075" s="9" t="s">
        <v>10799</v>
      </c>
      <c r="G4075" s="9" t="s">
        <v>12</v>
      </c>
      <c r="H4075" s="9" t="s">
        <v>795</v>
      </c>
      <c r="I4075" s="9"/>
      <c r="J4075" s="9" t="s">
        <v>1492</v>
      </c>
      <c r="K4075" s="9"/>
      <c r="L4075" s="9"/>
      <c r="M4075" s="9" t="s">
        <v>3949</v>
      </c>
      <c r="N4075" s="9" t="s">
        <v>3948</v>
      </c>
      <c r="O4075" s="9" t="s">
        <v>10800</v>
      </c>
      <c r="P4075" s="9" t="str">
        <f>HYPERLINK("https://ceds.ed.gov/cedselementdetails.aspx?termid=13671")</f>
        <v>https://ceds.ed.gov/cedselementdetails.aspx?termid=13671</v>
      </c>
      <c r="Q4075" s="9" t="str">
        <f>HYPERLINK("https://ceds.ed.gov/elementComment.aspx?elementName=Competency Framework Title &amp;elementID=13671", "Click here to submit comment")</f>
        <v>Click here to submit comment</v>
      </c>
    </row>
    <row r="4076" spans="1:17" ht="45" x14ac:dyDescent="0.25">
      <c r="A4076" s="9" t="s">
        <v>11933</v>
      </c>
      <c r="B4076" s="9" t="s">
        <v>11934</v>
      </c>
      <c r="C4076" s="9"/>
      <c r="D4076" s="9" t="s">
        <v>6742</v>
      </c>
      <c r="E4076" s="9" t="s">
        <v>10807</v>
      </c>
      <c r="F4076" s="9" t="s">
        <v>10808</v>
      </c>
      <c r="G4076" s="9" t="s">
        <v>12</v>
      </c>
      <c r="H4076" s="9" t="s">
        <v>795</v>
      </c>
      <c r="I4076" s="9"/>
      <c r="J4076" s="9" t="s">
        <v>87</v>
      </c>
      <c r="K4076" s="9"/>
      <c r="L4076" s="9"/>
      <c r="M4076" s="9" t="s">
        <v>3955</v>
      </c>
      <c r="N4076" s="9" t="s">
        <v>3954</v>
      </c>
      <c r="O4076" s="9" t="s">
        <v>10809</v>
      </c>
      <c r="P4076" s="9" t="str">
        <f>HYPERLINK("https://ceds.ed.gov/cedselementdetails.aspx?termid=13672")</f>
        <v>https://ceds.ed.gov/cedselementdetails.aspx?termid=13672</v>
      </c>
      <c r="Q4076" s="9" t="str">
        <f>HYPERLINK("https://ceds.ed.gov/elementComment.aspx?elementName=Competency Framework Version &amp;elementID=13672", "Click here to submit comment")</f>
        <v>Click here to submit comment</v>
      </c>
    </row>
    <row r="4077" spans="1:17" ht="90" x14ac:dyDescent="0.25">
      <c r="A4077" s="9" t="s">
        <v>11933</v>
      </c>
      <c r="B4077" s="9" t="s">
        <v>11934</v>
      </c>
      <c r="C4077" s="9"/>
      <c r="D4077" s="9" t="s">
        <v>6742</v>
      </c>
      <c r="E4077" s="9" t="s">
        <v>10775</v>
      </c>
      <c r="F4077" s="9" t="s">
        <v>10776</v>
      </c>
      <c r="G4077" s="11" t="s">
        <v>966</v>
      </c>
      <c r="H4077" s="9"/>
      <c r="I4077" s="9"/>
      <c r="J4077" s="9"/>
      <c r="K4077" s="9"/>
      <c r="L4077" s="11" t="s">
        <v>967</v>
      </c>
      <c r="M4077" s="9" t="s">
        <v>3930</v>
      </c>
      <c r="N4077" s="9" t="s">
        <v>3929</v>
      </c>
      <c r="O4077" s="9" t="s">
        <v>10777</v>
      </c>
      <c r="P4077" s="9" t="str">
        <f>HYPERLINK("https://ceds.ed.gov/cedselementdetails.aspx?termid=13880")</f>
        <v>https://ceds.ed.gov/cedselementdetails.aspx?termid=13880</v>
      </c>
      <c r="Q4077" s="9" t="str">
        <f>HYPERLINK("https://ceds.ed.gov/elementComment.aspx?elementName=Competency Framework Language &amp;elementID=13880", "Click here to submit comment")</f>
        <v>Click here to submit comment</v>
      </c>
    </row>
    <row r="4078" spans="1:17" ht="45" x14ac:dyDescent="0.25">
      <c r="A4078" s="9" t="s">
        <v>11933</v>
      </c>
      <c r="B4078" s="9" t="s">
        <v>11934</v>
      </c>
      <c r="C4078" s="9"/>
      <c r="D4078" s="9" t="s">
        <v>6742</v>
      </c>
      <c r="E4078" s="9" t="s">
        <v>10778</v>
      </c>
      <c r="F4078" s="9" t="s">
        <v>10779</v>
      </c>
      <c r="G4078" s="9" t="s">
        <v>12</v>
      </c>
      <c r="H4078" s="9"/>
      <c r="I4078" s="9"/>
      <c r="J4078" s="9" t="s">
        <v>68</v>
      </c>
      <c r="K4078" s="9"/>
      <c r="L4078" s="9"/>
      <c r="M4078" s="9" t="s">
        <v>3932</v>
      </c>
      <c r="N4078" s="9" t="s">
        <v>3931</v>
      </c>
      <c r="O4078" s="9" t="s">
        <v>10780</v>
      </c>
      <c r="P4078" s="9" t="str">
        <f>HYPERLINK("https://ceds.ed.gov/cedselementdetails.aspx?termid=13882")</f>
        <v>https://ceds.ed.gov/cedselementdetails.aspx?termid=13882</v>
      </c>
      <c r="Q4078" s="9" t="str">
        <f>HYPERLINK("https://ceds.ed.gov/elementComment.aspx?elementName=Competency Framework License &amp;elementID=13882", "Click here to submit comment")</f>
        <v>Click here to submit comment</v>
      </c>
    </row>
    <row r="4079" spans="1:17" ht="75" x14ac:dyDescent="0.25">
      <c r="A4079" s="9" t="s">
        <v>11933</v>
      </c>
      <c r="B4079" s="9" t="s">
        <v>11934</v>
      </c>
      <c r="C4079" s="9"/>
      <c r="D4079" s="9" t="s">
        <v>6742</v>
      </c>
      <c r="E4079" s="9" t="s">
        <v>10762</v>
      </c>
      <c r="F4079" s="9" t="s">
        <v>10763</v>
      </c>
      <c r="G4079" s="9" t="s">
        <v>12</v>
      </c>
      <c r="H4079" s="9"/>
      <c r="I4079" s="9"/>
      <c r="J4079" s="9" t="s">
        <v>1492</v>
      </c>
      <c r="K4079" s="9"/>
      <c r="L4079" s="9" t="s">
        <v>3920</v>
      </c>
      <c r="M4079" s="9" t="s">
        <v>3921</v>
      </c>
      <c r="N4079" s="9" t="s">
        <v>3919</v>
      </c>
      <c r="O4079" s="9" t="s">
        <v>10765</v>
      </c>
      <c r="P4079" s="9" t="str">
        <f>HYPERLINK("https://ceds.ed.gov/cedselementdetails.aspx?termid=13673")</f>
        <v>https://ceds.ed.gov/cedselementdetails.aspx?termid=13673</v>
      </c>
      <c r="Q4079" s="9" t="str">
        <f>HYPERLINK("https://ceds.ed.gov/elementComment.aspx?elementName=Competency Framework Creator &amp;elementID=13673", "Click here to submit comment")</f>
        <v>Click here to submit comment</v>
      </c>
    </row>
    <row r="4080" spans="1:17" ht="45" x14ac:dyDescent="0.25">
      <c r="A4080" s="9" t="s">
        <v>11933</v>
      </c>
      <c r="B4080" s="9" t="s">
        <v>11934</v>
      </c>
      <c r="C4080" s="9"/>
      <c r="D4080" s="9" t="s">
        <v>6742</v>
      </c>
      <c r="E4080" s="9" t="s">
        <v>10781</v>
      </c>
      <c r="F4080" s="9" t="s">
        <v>3934</v>
      </c>
      <c r="G4080" s="9" t="s">
        <v>12</v>
      </c>
      <c r="H4080" s="9"/>
      <c r="I4080" s="9"/>
      <c r="J4080" s="9" t="s">
        <v>73</v>
      </c>
      <c r="K4080" s="9"/>
      <c r="L4080" s="9" t="s">
        <v>3935</v>
      </c>
      <c r="M4080" s="9" t="s">
        <v>3936</v>
      </c>
      <c r="N4080" s="9" t="s">
        <v>3933</v>
      </c>
      <c r="O4080" s="9" t="s">
        <v>10783</v>
      </c>
      <c r="P4080" s="9" t="str">
        <f>HYPERLINK("https://ceds.ed.gov/cedselementdetails.aspx?termid=14548")</f>
        <v>https://ceds.ed.gov/cedselementdetails.aspx?termid=14548</v>
      </c>
      <c r="Q4080" s="9" t="str">
        <f>HYPERLINK("https://ceds.ed.gov/elementComment.aspx?elementName=Competency Framework Publication Date &amp;elementID=14548", "Click here to submit comment")</f>
        <v>Click here to submit comment</v>
      </c>
    </row>
    <row r="4081" spans="1:17" ht="90" x14ac:dyDescent="0.25">
      <c r="A4081" s="9" t="s">
        <v>11933</v>
      </c>
      <c r="B4081" s="9" t="s">
        <v>11934</v>
      </c>
      <c r="C4081" s="9"/>
      <c r="D4081" s="9" t="s">
        <v>6742</v>
      </c>
      <c r="E4081" s="9" t="s">
        <v>10784</v>
      </c>
      <c r="F4081" s="9" t="s">
        <v>10785</v>
      </c>
      <c r="G4081" s="10" t="s">
        <v>6593</v>
      </c>
      <c r="H4081" s="9"/>
      <c r="I4081" s="9"/>
      <c r="J4081" s="9"/>
      <c r="K4081" s="9"/>
      <c r="L4081" s="9"/>
      <c r="M4081" s="9" t="s">
        <v>3938</v>
      </c>
      <c r="N4081" s="9" t="s">
        <v>3937</v>
      </c>
      <c r="O4081" s="9" t="s">
        <v>10786</v>
      </c>
      <c r="P4081" s="9" t="str">
        <f>HYPERLINK("https://ceds.ed.gov/cedselementdetails.aspx?termid=13675")</f>
        <v>https://ceds.ed.gov/cedselementdetails.aspx?termid=13675</v>
      </c>
      <c r="Q4081" s="9" t="str">
        <f>HYPERLINK("https://ceds.ed.gov/elementComment.aspx?elementName=Competency Framework Publication Status &amp;elementID=13675", "Click here to submit comment")</f>
        <v>Click here to submit comment</v>
      </c>
    </row>
    <row r="4082" spans="1:17" ht="45" x14ac:dyDescent="0.25">
      <c r="A4082" s="9" t="s">
        <v>11933</v>
      </c>
      <c r="B4082" s="9" t="s">
        <v>11934</v>
      </c>
      <c r="C4082" s="9"/>
      <c r="D4082" s="9" t="s">
        <v>6742</v>
      </c>
      <c r="E4082" s="9" t="s">
        <v>10787</v>
      </c>
      <c r="F4082" s="9" t="s">
        <v>10788</v>
      </c>
      <c r="G4082" s="9" t="s">
        <v>12</v>
      </c>
      <c r="H4082" s="9"/>
      <c r="I4082" s="9"/>
      <c r="J4082" s="9" t="s">
        <v>87</v>
      </c>
      <c r="K4082" s="9"/>
      <c r="L4082" s="9"/>
      <c r="M4082" s="9" t="s">
        <v>3940</v>
      </c>
      <c r="N4082" s="9" t="s">
        <v>3939</v>
      </c>
      <c r="O4082" s="9" t="s">
        <v>10789</v>
      </c>
      <c r="P4082" s="9" t="str">
        <f>HYPERLINK("https://ceds.ed.gov/cedselementdetails.aspx?termid=13884")</f>
        <v>https://ceds.ed.gov/cedselementdetails.aspx?termid=13884</v>
      </c>
      <c r="Q4082" s="9" t="str">
        <f>HYPERLINK("https://ceds.ed.gov/elementComment.aspx?elementName=Competency Framework Publisher &amp;elementID=13884", "Click here to submit comment")</f>
        <v>Click here to submit comment</v>
      </c>
    </row>
    <row r="4083" spans="1:17" ht="45" x14ac:dyDescent="0.25">
      <c r="A4083" s="9" t="s">
        <v>11933</v>
      </c>
      <c r="B4083" s="9" t="s">
        <v>11934</v>
      </c>
      <c r="C4083" s="9"/>
      <c r="D4083" s="9" t="s">
        <v>6742</v>
      </c>
      <c r="E4083" s="9" t="s">
        <v>10790</v>
      </c>
      <c r="F4083" s="9" t="s">
        <v>3942</v>
      </c>
      <c r="G4083" s="9" t="s">
        <v>12</v>
      </c>
      <c r="H4083" s="9"/>
      <c r="I4083" s="9"/>
      <c r="J4083" s="9" t="s">
        <v>68</v>
      </c>
      <c r="K4083" s="9"/>
      <c r="L4083" s="9"/>
      <c r="M4083" s="9" t="s">
        <v>3943</v>
      </c>
      <c r="N4083" s="9" t="s">
        <v>3941</v>
      </c>
      <c r="O4083" s="9" t="s">
        <v>10791</v>
      </c>
      <c r="P4083" s="9" t="str">
        <f>HYPERLINK("https://ceds.ed.gov/cedselementdetails.aspx?termid=13885")</f>
        <v>https://ceds.ed.gov/cedselementdetails.aspx?termid=13885</v>
      </c>
      <c r="Q4083" s="9" t="str">
        <f>HYPERLINK("https://ceds.ed.gov/elementComment.aspx?elementName=Competency Framework Rights &amp;elementID=13885", "Click here to submit comment")</f>
        <v>Click here to submit comment</v>
      </c>
    </row>
    <row r="4084" spans="1:17" ht="45" x14ac:dyDescent="0.25">
      <c r="A4084" s="9" t="s">
        <v>11933</v>
      </c>
      <c r="B4084" s="9" t="s">
        <v>11934</v>
      </c>
      <c r="C4084" s="9"/>
      <c r="D4084" s="9" t="s">
        <v>6742</v>
      </c>
      <c r="E4084" s="9" t="s">
        <v>10792</v>
      </c>
      <c r="F4084" s="9" t="s">
        <v>10793</v>
      </c>
      <c r="G4084" s="9" t="s">
        <v>12</v>
      </c>
      <c r="H4084" s="9"/>
      <c r="I4084" s="9"/>
      <c r="J4084" s="9" t="s">
        <v>87</v>
      </c>
      <c r="K4084" s="9"/>
      <c r="L4084" s="9"/>
      <c r="M4084" s="9" t="s">
        <v>3945</v>
      </c>
      <c r="N4084" s="9" t="s">
        <v>3944</v>
      </c>
      <c r="O4084" s="9" t="s">
        <v>10794</v>
      </c>
      <c r="P4084" s="9" t="str">
        <f>HYPERLINK("https://ceds.ed.gov/cedselementdetails.aspx?termid=13886")</f>
        <v>https://ceds.ed.gov/cedselementdetails.aspx?termid=13886</v>
      </c>
      <c r="Q4084" s="9" t="str">
        <f>HYPERLINK("https://ceds.ed.gov/elementComment.aspx?elementName=Competency Framework Rights Holder &amp;elementID=13886", "Click here to submit comment")</f>
        <v>Click here to submit comment</v>
      </c>
    </row>
    <row r="4085" spans="1:17" ht="105" x14ac:dyDescent="0.25">
      <c r="A4085" s="18" t="s">
        <v>11933</v>
      </c>
      <c r="B4085" s="18" t="s">
        <v>11935</v>
      </c>
      <c r="C4085" s="18"/>
      <c r="D4085" s="18" t="s">
        <v>6742</v>
      </c>
      <c r="E4085" s="18" t="s">
        <v>3996</v>
      </c>
      <c r="F4085" s="18" t="s">
        <v>10829</v>
      </c>
      <c r="G4085" s="18" t="s">
        <v>12</v>
      </c>
      <c r="H4085" s="18" t="s">
        <v>795</v>
      </c>
      <c r="I4085" s="18" t="s">
        <v>91</v>
      </c>
      <c r="J4085" s="18" t="s">
        <v>119</v>
      </c>
      <c r="K4085" s="18" t="s">
        <v>10738</v>
      </c>
      <c r="L4085" s="9" t="s">
        <v>120</v>
      </c>
      <c r="M4085" s="18" t="s">
        <v>3995</v>
      </c>
      <c r="N4085" s="18" t="s">
        <v>3994</v>
      </c>
      <c r="O4085" s="18" t="s">
        <v>10830</v>
      </c>
      <c r="P4085" s="18" t="str">
        <f>HYPERLINK("https://ceds.ed.gov/cedselementdetails.aspx?termid=13666")</f>
        <v>https://ceds.ed.gov/cedselementdetails.aspx?termid=13666</v>
      </c>
      <c r="Q4085" s="18" t="str">
        <f>HYPERLINK("https://ceds.ed.gov/elementComment.aspx?elementName=Competency Item Identifier &amp;elementID=13666", "Click here to submit comment")</f>
        <v>Click here to submit comment</v>
      </c>
    </row>
    <row r="4086" spans="1:17" x14ac:dyDescent="0.25">
      <c r="A4086" s="18"/>
      <c r="B4086" s="18"/>
      <c r="C4086" s="18"/>
      <c r="D4086" s="18"/>
      <c r="E4086" s="18"/>
      <c r="F4086" s="18"/>
      <c r="G4086" s="18"/>
      <c r="H4086" s="18"/>
      <c r="I4086" s="18"/>
      <c r="J4086" s="18"/>
      <c r="K4086" s="18"/>
      <c r="L4086" s="9"/>
      <c r="M4086" s="18"/>
      <c r="N4086" s="18"/>
      <c r="O4086" s="18"/>
      <c r="P4086" s="18"/>
      <c r="Q4086" s="18"/>
    </row>
    <row r="4087" spans="1:17" ht="90" x14ac:dyDescent="0.25">
      <c r="A4087" s="18"/>
      <c r="B4087" s="18"/>
      <c r="C4087" s="18"/>
      <c r="D4087" s="18"/>
      <c r="E4087" s="18"/>
      <c r="F4087" s="18"/>
      <c r="G4087" s="18"/>
      <c r="H4087" s="18"/>
      <c r="I4087" s="18"/>
      <c r="J4087" s="18"/>
      <c r="K4087" s="18"/>
      <c r="L4087" s="9" t="s">
        <v>121</v>
      </c>
      <c r="M4087" s="18"/>
      <c r="N4087" s="18"/>
      <c r="O4087" s="18"/>
      <c r="P4087" s="18"/>
      <c r="Q4087" s="18"/>
    </row>
    <row r="4088" spans="1:17" ht="300" x14ac:dyDescent="0.25">
      <c r="A4088" s="9" t="s">
        <v>11933</v>
      </c>
      <c r="B4088" s="9" t="s">
        <v>11935</v>
      </c>
      <c r="C4088" s="9"/>
      <c r="D4088" s="9" t="s">
        <v>6742</v>
      </c>
      <c r="E4088" s="9" t="s">
        <v>10859</v>
      </c>
      <c r="F4088" s="9" t="s">
        <v>10860</v>
      </c>
      <c r="G4088" s="9" t="s">
        <v>12</v>
      </c>
      <c r="H4088" s="9" t="s">
        <v>795</v>
      </c>
      <c r="I4088" s="9" t="s">
        <v>91</v>
      </c>
      <c r="J4088" s="9" t="s">
        <v>119</v>
      </c>
      <c r="K4088" s="9" t="s">
        <v>10738</v>
      </c>
      <c r="L4088" s="9" t="s">
        <v>10861</v>
      </c>
      <c r="M4088" s="9" t="s">
        <v>4016</v>
      </c>
      <c r="N4088" s="9" t="s">
        <v>4015</v>
      </c>
      <c r="O4088" s="9" t="s">
        <v>10862</v>
      </c>
      <c r="P4088" s="9" t="str">
        <f>HYPERLINK("https://ceds.ed.gov/cedselementdetails.aspx?termid=13691")</f>
        <v>https://ceds.ed.gov/cedselementdetails.aspx?termid=13691</v>
      </c>
      <c r="Q4088" s="9" t="str">
        <f>HYPERLINK("https://ceds.ed.gov/elementComment.aspx?elementName=Competency Item Prerequisite Identifier &amp;elementID=13691", "Click here to submit comment")</f>
        <v>Click here to submit comment</v>
      </c>
    </row>
    <row r="4089" spans="1:17" ht="90" x14ac:dyDescent="0.25">
      <c r="A4089" s="9" t="s">
        <v>11933</v>
      </c>
      <c r="B4089" s="9" t="s">
        <v>11935</v>
      </c>
      <c r="C4089" s="9"/>
      <c r="D4089" s="9" t="s">
        <v>6742</v>
      </c>
      <c r="E4089" s="9" t="s">
        <v>10890</v>
      </c>
      <c r="F4089" s="9" t="s">
        <v>10891</v>
      </c>
      <c r="G4089" s="9" t="s">
        <v>12</v>
      </c>
      <c r="H4089" s="9"/>
      <c r="I4089" s="9" t="s">
        <v>91</v>
      </c>
      <c r="J4089" s="9" t="s">
        <v>1143</v>
      </c>
      <c r="K4089" s="9" t="s">
        <v>10738</v>
      </c>
      <c r="L4089" s="9" t="s">
        <v>121</v>
      </c>
      <c r="M4089" s="9" t="s">
        <v>4044</v>
      </c>
      <c r="N4089" s="9" t="s">
        <v>4043</v>
      </c>
      <c r="O4089" s="9" t="s">
        <v>10893</v>
      </c>
      <c r="P4089" s="9" t="str">
        <f>HYPERLINK("https://ceds.ed.gov/cedselementdetails.aspx?termid=13874")</f>
        <v>https://ceds.ed.gov/cedselementdetails.aspx?termid=13874</v>
      </c>
      <c r="Q4089" s="9" t="str">
        <f>HYPERLINK("https://ceds.ed.gov/elementComment.aspx?elementName=Competency Item URL &amp;elementID=13874", "Click here to submit comment")</f>
        <v>Click here to submit comment</v>
      </c>
    </row>
    <row r="4090" spans="1:17" ht="90" x14ac:dyDescent="0.25">
      <c r="A4090" s="9" t="s">
        <v>11933</v>
      </c>
      <c r="B4090" s="9" t="s">
        <v>11935</v>
      </c>
      <c r="C4090" s="9"/>
      <c r="D4090" s="9" t="s">
        <v>6742</v>
      </c>
      <c r="E4090" s="9" t="s">
        <v>3983</v>
      </c>
      <c r="F4090" s="9" t="s">
        <v>10814</v>
      </c>
      <c r="G4090" s="9" t="s">
        <v>12</v>
      </c>
      <c r="H4090" s="9"/>
      <c r="I4090" s="9" t="s">
        <v>91</v>
      </c>
      <c r="J4090" s="9" t="s">
        <v>87</v>
      </c>
      <c r="K4090" s="9" t="s">
        <v>10738</v>
      </c>
      <c r="L4090" s="9" t="s">
        <v>3981</v>
      </c>
      <c r="M4090" s="9" t="s">
        <v>3982</v>
      </c>
      <c r="N4090" s="9" t="s">
        <v>3980</v>
      </c>
      <c r="O4090" s="9" t="s">
        <v>10816</v>
      </c>
      <c r="P4090" s="9" t="str">
        <f>HYPERLINK("https://ceds.ed.gov/cedselementdetails.aspx?termid=13669")</f>
        <v>https://ceds.ed.gov/cedselementdetails.aspx?termid=13669</v>
      </c>
      <c r="Q4090" s="9" t="str">
        <f>HYPERLINK("https://ceds.ed.gov/elementComment.aspx?elementName=Competency Item Code &amp;elementID=13669", "Click here to submit comment")</f>
        <v>Click here to submit comment</v>
      </c>
    </row>
    <row r="4091" spans="1:17" ht="105" x14ac:dyDescent="0.25">
      <c r="A4091" s="18" t="s">
        <v>11933</v>
      </c>
      <c r="B4091" s="18" t="s">
        <v>11935</v>
      </c>
      <c r="C4091" s="18"/>
      <c r="D4091" s="18" t="s">
        <v>6742</v>
      </c>
      <c r="E4091" s="18" t="s">
        <v>10853</v>
      </c>
      <c r="F4091" s="18" t="s">
        <v>10854</v>
      </c>
      <c r="G4091" s="18" t="s">
        <v>12</v>
      </c>
      <c r="H4091" s="18"/>
      <c r="I4091" s="18" t="s">
        <v>91</v>
      </c>
      <c r="J4091" s="18" t="s">
        <v>119</v>
      </c>
      <c r="K4091" s="18" t="s">
        <v>10738</v>
      </c>
      <c r="L4091" s="9" t="s">
        <v>120</v>
      </c>
      <c r="M4091" s="18" t="s">
        <v>4012</v>
      </c>
      <c r="N4091" s="18" t="s">
        <v>4011</v>
      </c>
      <c r="O4091" s="18" t="s">
        <v>10855</v>
      </c>
      <c r="P4091" s="18" t="str">
        <f>HYPERLINK("https://ceds.ed.gov/cedselementdetails.aspx?termid=13872")</f>
        <v>https://ceds.ed.gov/cedselementdetails.aspx?termid=13872</v>
      </c>
      <c r="Q4091" s="18" t="str">
        <f>HYPERLINK("https://ceds.ed.gov/elementComment.aspx?elementName=Competency Item Parent Identifier &amp;elementID=13872", "Click here to submit comment")</f>
        <v>Click here to submit comment</v>
      </c>
    </row>
    <row r="4092" spans="1:17" x14ac:dyDescent="0.25">
      <c r="A4092" s="18"/>
      <c r="B4092" s="18"/>
      <c r="C4092" s="18"/>
      <c r="D4092" s="18"/>
      <c r="E4092" s="18"/>
      <c r="F4092" s="18"/>
      <c r="G4092" s="18"/>
      <c r="H4092" s="18"/>
      <c r="I4092" s="18"/>
      <c r="J4092" s="18"/>
      <c r="K4092" s="18"/>
      <c r="L4092" s="9"/>
      <c r="M4092" s="18"/>
      <c r="N4092" s="18"/>
      <c r="O4092" s="18"/>
      <c r="P4092" s="18"/>
      <c r="Q4092" s="18"/>
    </row>
    <row r="4093" spans="1:17" ht="90" x14ac:dyDescent="0.25">
      <c r="A4093" s="18"/>
      <c r="B4093" s="18"/>
      <c r="C4093" s="18"/>
      <c r="D4093" s="18"/>
      <c r="E4093" s="18"/>
      <c r="F4093" s="18"/>
      <c r="G4093" s="18"/>
      <c r="H4093" s="18"/>
      <c r="I4093" s="18"/>
      <c r="J4093" s="18"/>
      <c r="K4093" s="18"/>
      <c r="L4093" s="9" t="s">
        <v>121</v>
      </c>
      <c r="M4093" s="18"/>
      <c r="N4093" s="18"/>
      <c r="O4093" s="18"/>
      <c r="P4093" s="18"/>
      <c r="Q4093" s="18"/>
    </row>
    <row r="4094" spans="1:17" ht="60" x14ac:dyDescent="0.25">
      <c r="A4094" s="9" t="s">
        <v>11933</v>
      </c>
      <c r="B4094" s="9" t="s">
        <v>11935</v>
      </c>
      <c r="C4094" s="9"/>
      <c r="D4094" s="9" t="s">
        <v>6742</v>
      </c>
      <c r="E4094" s="9" t="s">
        <v>10850</v>
      </c>
      <c r="F4094" s="9" t="s">
        <v>10851</v>
      </c>
      <c r="G4094" s="9" t="s">
        <v>12</v>
      </c>
      <c r="H4094" s="9"/>
      <c r="I4094" s="9" t="s">
        <v>91</v>
      </c>
      <c r="J4094" s="9" t="s">
        <v>87</v>
      </c>
      <c r="K4094" s="9" t="s">
        <v>10738</v>
      </c>
      <c r="L4094" s="9"/>
      <c r="M4094" s="9" t="s">
        <v>4010</v>
      </c>
      <c r="N4094" s="9" t="s">
        <v>4009</v>
      </c>
      <c r="O4094" s="9" t="s">
        <v>10852</v>
      </c>
      <c r="P4094" s="9" t="str">
        <f>HYPERLINK("https://ceds.ed.gov/cedselementdetails.aspx?termid=13873")</f>
        <v>https://ceds.ed.gov/cedselementdetails.aspx?termid=13873</v>
      </c>
      <c r="Q4094" s="9" t="str">
        <f>HYPERLINK("https://ceds.ed.gov/elementComment.aspx?elementName=Competency Item Parent Code &amp;elementID=13873", "Click here to submit comment")</f>
        <v>Click here to submit comment</v>
      </c>
    </row>
    <row r="4095" spans="1:17" ht="75" x14ac:dyDescent="0.25">
      <c r="A4095" s="9" t="s">
        <v>11933</v>
      </c>
      <c r="B4095" s="9" t="s">
        <v>11935</v>
      </c>
      <c r="C4095" s="9"/>
      <c r="D4095" s="9" t="s">
        <v>6742</v>
      </c>
      <c r="E4095" s="9" t="s">
        <v>10856</v>
      </c>
      <c r="F4095" s="9" t="s">
        <v>10857</v>
      </c>
      <c r="G4095" s="9" t="s">
        <v>12</v>
      </c>
      <c r="H4095" s="9"/>
      <c r="I4095" s="9" t="s">
        <v>91</v>
      </c>
      <c r="J4095" s="9" t="s">
        <v>1143</v>
      </c>
      <c r="K4095" s="9" t="s">
        <v>10738</v>
      </c>
      <c r="L4095" s="9"/>
      <c r="M4095" s="9" t="s">
        <v>4014</v>
      </c>
      <c r="N4095" s="9" t="s">
        <v>4013</v>
      </c>
      <c r="O4095" s="9" t="s">
        <v>10858</v>
      </c>
      <c r="P4095" s="9" t="str">
        <f>HYPERLINK("https://ceds.ed.gov/cedselementdetails.aspx?termid=14078")</f>
        <v>https://ceds.ed.gov/cedselementdetails.aspx?termid=14078</v>
      </c>
      <c r="Q4095" s="9" t="str">
        <f>HYPERLINK("https://ceds.ed.gov/elementComment.aspx?elementName=Competency Item Parent URL &amp;elementID=14078", "Click here to submit comment")</f>
        <v>Click here to submit comment</v>
      </c>
    </row>
    <row r="4096" spans="1:17" ht="409.5" x14ac:dyDescent="0.25">
      <c r="A4096" s="9" t="s">
        <v>11933</v>
      </c>
      <c r="B4096" s="9" t="s">
        <v>11935</v>
      </c>
      <c r="C4096" s="9"/>
      <c r="D4096" s="9" t="s">
        <v>6742</v>
      </c>
      <c r="E4096" s="9" t="s">
        <v>10826</v>
      </c>
      <c r="F4096" s="9" t="s">
        <v>10827</v>
      </c>
      <c r="G4096" s="10" t="s">
        <v>6377</v>
      </c>
      <c r="H4096" s="9"/>
      <c r="I4096" s="9" t="s">
        <v>91</v>
      </c>
      <c r="J4096" s="9"/>
      <c r="K4096" s="9" t="s">
        <v>10738</v>
      </c>
      <c r="L4096" s="9" t="s">
        <v>3992</v>
      </c>
      <c r="M4096" s="9" t="s">
        <v>3993</v>
      </c>
      <c r="N4096" s="9" t="s">
        <v>3991</v>
      </c>
      <c r="O4096" s="9" t="s">
        <v>10828</v>
      </c>
      <c r="P4096" s="9" t="str">
        <f>HYPERLINK("https://ceds.ed.gov/cedselementdetails.aspx?termid=13701")</f>
        <v>https://ceds.ed.gov/cedselementdetails.aspx?termid=13701</v>
      </c>
      <c r="Q4096" s="9" t="str">
        <f>HYPERLINK("https://ceds.ed.gov/elementComment.aspx?elementName=Competency Item Education Level &amp;elementID=13701", "Click here to submit comment")</f>
        <v>Click here to submit comment</v>
      </c>
    </row>
    <row r="4097" spans="1:17" ht="45" x14ac:dyDescent="0.25">
      <c r="A4097" s="9" t="s">
        <v>11933</v>
      </c>
      <c r="B4097" s="9" t="s">
        <v>11935</v>
      </c>
      <c r="C4097" s="9"/>
      <c r="D4097" s="9" t="s">
        <v>6742</v>
      </c>
      <c r="E4097" s="9" t="s">
        <v>10888</v>
      </c>
      <c r="F4097" s="9" t="s">
        <v>4040</v>
      </c>
      <c r="G4097" s="9" t="s">
        <v>12</v>
      </c>
      <c r="H4097" s="9"/>
      <c r="I4097" s="9" t="s">
        <v>91</v>
      </c>
      <c r="J4097" s="9" t="s">
        <v>1165</v>
      </c>
      <c r="K4097" s="9" t="s">
        <v>10738</v>
      </c>
      <c r="L4097" s="9" t="s">
        <v>4041</v>
      </c>
      <c r="M4097" s="9" t="s">
        <v>4042</v>
      </c>
      <c r="N4097" s="9" t="s">
        <v>4039</v>
      </c>
      <c r="O4097" s="9" t="s">
        <v>10889</v>
      </c>
      <c r="P4097" s="9" t="str">
        <f>HYPERLINK("https://ceds.ed.gov/cedselementdetails.aspx?termid=13870")</f>
        <v>https://ceds.ed.gov/cedselementdetails.aspx?termid=13870</v>
      </c>
      <c r="Q4097" s="9" t="str">
        <f>HYPERLINK("https://ceds.ed.gov/elementComment.aspx?elementName=Competency Item Typical Age Range &amp;elementID=13870", "Click here to submit comment")</f>
        <v>Click here to submit comment</v>
      </c>
    </row>
    <row r="4098" spans="1:17" ht="240" x14ac:dyDescent="0.25">
      <c r="A4098" s="9" t="s">
        <v>11933</v>
      </c>
      <c r="B4098" s="9" t="s">
        <v>11935</v>
      </c>
      <c r="C4098" s="9"/>
      <c r="D4098" s="9" t="s">
        <v>6742</v>
      </c>
      <c r="E4098" s="9" t="s">
        <v>10823</v>
      </c>
      <c r="F4098" s="9" t="s">
        <v>10824</v>
      </c>
      <c r="G4098" s="9" t="s">
        <v>6106</v>
      </c>
      <c r="H4098" s="9"/>
      <c r="I4098" s="9" t="s">
        <v>91</v>
      </c>
      <c r="J4098" s="9"/>
      <c r="K4098" s="9" t="s">
        <v>10738</v>
      </c>
      <c r="L4098" s="9" t="s">
        <v>3989</v>
      </c>
      <c r="M4098" s="9" t="s">
        <v>3990</v>
      </c>
      <c r="N4098" s="9" t="s">
        <v>3988</v>
      </c>
      <c r="O4098" s="9" t="s">
        <v>10825</v>
      </c>
      <c r="P4098" s="9" t="str">
        <f>HYPERLINK("https://ceds.ed.gov/cedselementdetails.aspx?termid=14499")</f>
        <v>https://ceds.ed.gov/cedselementdetails.aspx?termid=14499</v>
      </c>
      <c r="Q4098" s="9" t="str">
        <f>HYPERLINK("https://ceds.ed.gov/elementComment.aspx?elementName=Competency Item Current Version Indicator &amp;elementID=14499", "Click here to submit comment")</f>
        <v>Click here to submit comment</v>
      </c>
    </row>
    <row r="4099" spans="1:17" ht="240" x14ac:dyDescent="0.25">
      <c r="A4099" s="18" t="s">
        <v>11933</v>
      </c>
      <c r="B4099" s="18" t="s">
        <v>11935</v>
      </c>
      <c r="C4099" s="18"/>
      <c r="D4099" s="18" t="s">
        <v>6742</v>
      </c>
      <c r="E4099" s="18" t="s">
        <v>10863</v>
      </c>
      <c r="F4099" s="18" t="s">
        <v>10864</v>
      </c>
      <c r="G4099" s="18" t="s">
        <v>12</v>
      </c>
      <c r="H4099" s="18"/>
      <c r="I4099" s="18" t="s">
        <v>91</v>
      </c>
      <c r="J4099" s="18" t="s">
        <v>119</v>
      </c>
      <c r="K4099" s="18" t="s">
        <v>10738</v>
      </c>
      <c r="L4099" s="9" t="s">
        <v>3989</v>
      </c>
      <c r="M4099" s="18" t="s">
        <v>4018</v>
      </c>
      <c r="N4099" s="18" t="s">
        <v>4017</v>
      </c>
      <c r="O4099" s="18" t="s">
        <v>10865</v>
      </c>
      <c r="P4099" s="18" t="str">
        <f>HYPERLINK("https://ceds.ed.gov/cedselementdetails.aspx?termid=14498")</f>
        <v>https://ceds.ed.gov/cedselementdetails.aspx?termid=14498</v>
      </c>
      <c r="Q4099" s="18" t="str">
        <f>HYPERLINK("https://ceds.ed.gov/elementComment.aspx?elementName=Competency Item Previous Version Identifier &amp;elementID=14498", "Click here to submit comment")</f>
        <v>Click here to submit comment</v>
      </c>
    </row>
    <row r="4100" spans="1:17" x14ac:dyDescent="0.25">
      <c r="A4100" s="18"/>
      <c r="B4100" s="18"/>
      <c r="C4100" s="18"/>
      <c r="D4100" s="18"/>
      <c r="E4100" s="18"/>
      <c r="F4100" s="18"/>
      <c r="G4100" s="18"/>
      <c r="H4100" s="18"/>
      <c r="I4100" s="18"/>
      <c r="J4100" s="18"/>
      <c r="K4100" s="18"/>
      <c r="L4100" s="9"/>
      <c r="M4100" s="18"/>
      <c r="N4100" s="18"/>
      <c r="O4100" s="18"/>
      <c r="P4100" s="18"/>
      <c r="Q4100" s="18"/>
    </row>
    <row r="4101" spans="1:17" x14ac:dyDescent="0.25">
      <c r="A4101" s="18"/>
      <c r="B4101" s="18"/>
      <c r="C4101" s="18"/>
      <c r="D4101" s="18"/>
      <c r="E4101" s="18"/>
      <c r="F4101" s="18"/>
      <c r="G4101" s="18"/>
      <c r="H4101" s="18"/>
      <c r="I4101" s="18"/>
      <c r="J4101" s="18"/>
      <c r="K4101" s="18"/>
      <c r="L4101" s="9"/>
      <c r="M4101" s="18"/>
      <c r="N4101" s="18"/>
      <c r="O4101" s="18"/>
      <c r="P4101" s="18"/>
      <c r="Q4101" s="18"/>
    </row>
    <row r="4102" spans="1:17" ht="105" x14ac:dyDescent="0.25">
      <c r="A4102" s="18"/>
      <c r="B4102" s="18"/>
      <c r="C4102" s="18"/>
      <c r="D4102" s="18"/>
      <c r="E4102" s="18"/>
      <c r="F4102" s="18"/>
      <c r="G4102" s="18"/>
      <c r="H4102" s="18"/>
      <c r="I4102" s="18"/>
      <c r="J4102" s="18"/>
      <c r="K4102" s="18"/>
      <c r="L4102" s="9" t="s">
        <v>120</v>
      </c>
      <c r="M4102" s="18"/>
      <c r="N4102" s="18"/>
      <c r="O4102" s="18"/>
      <c r="P4102" s="18"/>
      <c r="Q4102" s="18"/>
    </row>
    <row r="4103" spans="1:17" x14ac:dyDescent="0.25">
      <c r="A4103" s="18"/>
      <c r="B4103" s="18"/>
      <c r="C4103" s="18"/>
      <c r="D4103" s="18"/>
      <c r="E4103" s="18"/>
      <c r="F4103" s="18"/>
      <c r="G4103" s="18"/>
      <c r="H4103" s="18"/>
      <c r="I4103" s="18"/>
      <c r="J4103" s="18"/>
      <c r="K4103" s="18"/>
      <c r="L4103" s="9"/>
      <c r="M4103" s="18"/>
      <c r="N4103" s="18"/>
      <c r="O4103" s="18"/>
      <c r="P4103" s="18"/>
      <c r="Q4103" s="18"/>
    </row>
    <row r="4104" spans="1:17" x14ac:dyDescent="0.25">
      <c r="A4104" s="18"/>
      <c r="B4104" s="18"/>
      <c r="C4104" s="18"/>
      <c r="D4104" s="18"/>
      <c r="E4104" s="18"/>
      <c r="F4104" s="18"/>
      <c r="G4104" s="18"/>
      <c r="H4104" s="18"/>
      <c r="I4104" s="18"/>
      <c r="J4104" s="18"/>
      <c r="K4104" s="18"/>
      <c r="L4104" s="9"/>
      <c r="M4104" s="18"/>
      <c r="N4104" s="18"/>
      <c r="O4104" s="18"/>
      <c r="P4104" s="18"/>
      <c r="Q4104" s="18"/>
    </row>
    <row r="4105" spans="1:17" ht="90" x14ac:dyDescent="0.25">
      <c r="A4105" s="18"/>
      <c r="B4105" s="18"/>
      <c r="C4105" s="18"/>
      <c r="D4105" s="18"/>
      <c r="E4105" s="18"/>
      <c r="F4105" s="18"/>
      <c r="G4105" s="18"/>
      <c r="H4105" s="18"/>
      <c r="I4105" s="18"/>
      <c r="J4105" s="18"/>
      <c r="K4105" s="18"/>
      <c r="L4105" s="9" t="s">
        <v>121</v>
      </c>
      <c r="M4105" s="18"/>
      <c r="N4105" s="18"/>
      <c r="O4105" s="18"/>
      <c r="P4105" s="18"/>
      <c r="Q4105" s="18"/>
    </row>
    <row r="4106" spans="1:17" ht="45" x14ac:dyDescent="0.25">
      <c r="A4106" s="9" t="s">
        <v>11933</v>
      </c>
      <c r="B4106" s="9" t="s">
        <v>11935</v>
      </c>
      <c r="C4106" s="9"/>
      <c r="D4106" s="9" t="s">
        <v>6742</v>
      </c>
      <c r="E4106" s="9" t="s">
        <v>10903</v>
      </c>
      <c r="F4106" s="9" t="s">
        <v>10904</v>
      </c>
      <c r="G4106" s="9" t="s">
        <v>12</v>
      </c>
      <c r="H4106" s="9"/>
      <c r="I4106" s="9" t="s">
        <v>91</v>
      </c>
      <c r="J4106" s="9" t="s">
        <v>303</v>
      </c>
      <c r="K4106" s="9" t="s">
        <v>10738</v>
      </c>
      <c r="L4106" s="9"/>
      <c r="M4106" s="9" t="s">
        <v>4050</v>
      </c>
      <c r="N4106" s="9" t="s">
        <v>4049</v>
      </c>
      <c r="O4106" s="9" t="s">
        <v>10905</v>
      </c>
      <c r="P4106" s="9" t="str">
        <f>HYPERLINK("https://ceds.ed.gov/cedselementdetails.aspx?termid=14216")</f>
        <v>https://ceds.ed.gov/cedselementdetails.aspx?termid=14216</v>
      </c>
      <c r="Q4106" s="9" t="str">
        <f>HYPERLINK("https://ceds.ed.gov/elementComment.aspx?elementName=Competency Item Version &amp;elementID=14216", "Click here to submit comment")</f>
        <v>Click here to submit comment</v>
      </c>
    </row>
    <row r="4107" spans="1:17" ht="75" x14ac:dyDescent="0.25">
      <c r="A4107" s="9" t="s">
        <v>11933</v>
      </c>
      <c r="B4107" s="9" t="s">
        <v>11935</v>
      </c>
      <c r="C4107" s="9"/>
      <c r="D4107" s="9" t="s">
        <v>6742</v>
      </c>
      <c r="E4107" s="9" t="s">
        <v>4038</v>
      </c>
      <c r="F4107" s="9" t="s">
        <v>4036</v>
      </c>
      <c r="G4107" s="9" t="s">
        <v>12</v>
      </c>
      <c r="H4107" s="9" t="s">
        <v>795</v>
      </c>
      <c r="I4107" s="9" t="s">
        <v>91</v>
      </c>
      <c r="J4107" s="9" t="s">
        <v>92</v>
      </c>
      <c r="K4107" s="9" t="s">
        <v>10738</v>
      </c>
      <c r="L4107" s="9"/>
      <c r="M4107" s="9" t="s">
        <v>4037</v>
      </c>
      <c r="N4107" s="9" t="s">
        <v>4035</v>
      </c>
      <c r="O4107" s="9" t="s">
        <v>10883</v>
      </c>
      <c r="P4107" s="9" t="str">
        <f>HYPERLINK("https://ceds.ed.gov/cedselementdetails.aspx?termid=13668")</f>
        <v>https://ceds.ed.gov/cedselementdetails.aspx?termid=13668</v>
      </c>
      <c r="Q4107" s="9" t="str">
        <f>HYPERLINK("https://ceds.ed.gov/elementComment.aspx?elementName=Competency Item Type &amp;elementID=13668", "Click here to submit comment")</f>
        <v>Click here to submit comment</v>
      </c>
    </row>
    <row r="4108" spans="1:17" ht="60" x14ac:dyDescent="0.25">
      <c r="A4108" s="9" t="s">
        <v>11933</v>
      </c>
      <c r="B4108" s="9" t="s">
        <v>11935</v>
      </c>
      <c r="C4108" s="9"/>
      <c r="D4108" s="9" t="s">
        <v>6742</v>
      </c>
      <c r="E4108" s="9" t="s">
        <v>10884</v>
      </c>
      <c r="F4108" s="9" t="s">
        <v>10885</v>
      </c>
      <c r="G4108" s="9" t="s">
        <v>12</v>
      </c>
      <c r="H4108" s="9"/>
      <c r="I4108" s="9" t="s">
        <v>91</v>
      </c>
      <c r="J4108" s="9" t="s">
        <v>1143</v>
      </c>
      <c r="K4108" s="9" t="s">
        <v>10738</v>
      </c>
      <c r="L4108" s="9"/>
      <c r="M4108" s="9" t="s">
        <v>10886</v>
      </c>
      <c r="N4108" s="9"/>
      <c r="O4108" s="9" t="s">
        <v>10887</v>
      </c>
      <c r="P4108" s="9" t="str">
        <f>HYPERLINK("https://ceds.ed.gov/cedselementdetails.aspx?termid=14738")</f>
        <v>https://ceds.ed.gov/cedselementdetails.aspx?termid=14738</v>
      </c>
      <c r="Q4108" s="9" t="str">
        <f>HYPERLINK("https://ceds.ed.gov/elementComment.aspx?elementName=Competency Item Type URL &amp;elementID=14738", "Click here to submit comment")</f>
        <v>Click here to submit comment</v>
      </c>
    </row>
    <row r="4109" spans="1:17" ht="105" x14ac:dyDescent="0.25">
      <c r="A4109" s="9" t="s">
        <v>11933</v>
      </c>
      <c r="B4109" s="9" t="s">
        <v>11935</v>
      </c>
      <c r="C4109" s="9"/>
      <c r="D4109" s="9" t="s">
        <v>6742</v>
      </c>
      <c r="E4109" s="9" t="s">
        <v>10871</v>
      </c>
      <c r="F4109" s="9" t="s">
        <v>10872</v>
      </c>
      <c r="G4109" s="10" t="s">
        <v>6598</v>
      </c>
      <c r="H4109" s="9"/>
      <c r="I4109" s="9" t="s">
        <v>91</v>
      </c>
      <c r="J4109" s="9"/>
      <c r="K4109" s="9" t="s">
        <v>10738</v>
      </c>
      <c r="L4109" s="9"/>
      <c r="M4109" s="9" t="s">
        <v>4028</v>
      </c>
      <c r="N4109" s="9" t="s">
        <v>4027</v>
      </c>
      <c r="O4109" s="9" t="s">
        <v>10873</v>
      </c>
      <c r="P4109" s="9" t="str">
        <f>HYPERLINK("https://ceds.ed.gov/cedselementdetails.aspx?termid=14380")</f>
        <v>https://ceds.ed.gov/cedselementdetails.aspx?termid=14380</v>
      </c>
      <c r="Q4109" s="9" t="str">
        <f>HYPERLINK("https://ceds.ed.gov/elementComment.aspx?elementName=Competency Item Testability Type &amp;elementID=14380", "Click here to submit comment")</f>
        <v>Click here to submit comment</v>
      </c>
    </row>
    <row r="4110" spans="1:17" ht="60" x14ac:dyDescent="0.25">
      <c r="A4110" s="9" t="s">
        <v>11933</v>
      </c>
      <c r="B4110" s="9" t="s">
        <v>11935</v>
      </c>
      <c r="C4110" s="9"/>
      <c r="D4110" s="9" t="s">
        <v>6742</v>
      </c>
      <c r="E4110" s="9" t="s">
        <v>10810</v>
      </c>
      <c r="F4110" s="9" t="s">
        <v>10811</v>
      </c>
      <c r="G4110" s="10" t="s">
        <v>6595</v>
      </c>
      <c r="H4110" s="9"/>
      <c r="I4110" s="9" t="s">
        <v>91</v>
      </c>
      <c r="J4110" s="9"/>
      <c r="K4110" s="9" t="s">
        <v>10738</v>
      </c>
      <c r="L4110" s="9"/>
      <c r="M4110" s="9" t="s">
        <v>3979</v>
      </c>
      <c r="N4110" s="9" t="s">
        <v>3978</v>
      </c>
      <c r="O4110" s="9" t="s">
        <v>10813</v>
      </c>
      <c r="P4110" s="9" t="str">
        <f>HYPERLINK("https://ceds.ed.gov/cedselementdetails.aspx?termid=13875")</f>
        <v>https://ceds.ed.gov/cedselementdetails.aspx?termid=13875</v>
      </c>
      <c r="Q4110" s="9" t="str">
        <f>HYPERLINK("https://ceds.ed.gov/elementComment.aspx?elementName=Competency Item Blooms Taxonomy Domain &amp;elementID=13875", "Click here to submit comment")</f>
        <v>Click here to submit comment</v>
      </c>
    </row>
    <row r="4111" spans="1:17" ht="45" x14ac:dyDescent="0.25">
      <c r="A4111" s="9" t="s">
        <v>11933</v>
      </c>
      <c r="B4111" s="9" t="s">
        <v>11935</v>
      </c>
      <c r="C4111" s="9"/>
      <c r="D4111" s="9" t="s">
        <v>6742</v>
      </c>
      <c r="E4111" s="9" t="s">
        <v>10817</v>
      </c>
      <c r="F4111" s="9" t="s">
        <v>10818</v>
      </c>
      <c r="G4111" s="9" t="s">
        <v>12</v>
      </c>
      <c r="H4111" s="9"/>
      <c r="I4111" s="9" t="s">
        <v>91</v>
      </c>
      <c r="J4111" s="9" t="s">
        <v>68</v>
      </c>
      <c r="K4111" s="9" t="s">
        <v>10738</v>
      </c>
      <c r="L4111" s="9"/>
      <c r="M4111" s="9" t="s">
        <v>3985</v>
      </c>
      <c r="N4111" s="9" t="s">
        <v>3984</v>
      </c>
      <c r="O4111" s="9" t="s">
        <v>10819</v>
      </c>
      <c r="P4111" s="9" t="str">
        <f>HYPERLINK("https://ceds.ed.gov/cedselementdetails.aspx?termid=13887")</f>
        <v>https://ceds.ed.gov/cedselementdetails.aspx?termid=13887</v>
      </c>
      <c r="Q4111" s="9" t="str">
        <f>HYPERLINK("https://ceds.ed.gov/elementComment.aspx?elementName=Competency Item Concept Keyword &amp;elementID=13887", "Click here to submit comment")</f>
        <v>Click here to submit comment</v>
      </c>
    </row>
    <row r="4112" spans="1:17" ht="75" x14ac:dyDescent="0.25">
      <c r="A4112" s="9" t="s">
        <v>11933</v>
      </c>
      <c r="B4112" s="9" t="s">
        <v>11935</v>
      </c>
      <c r="C4112" s="9"/>
      <c r="D4112" s="9" t="s">
        <v>6742</v>
      </c>
      <c r="E4112" s="9" t="s">
        <v>10820</v>
      </c>
      <c r="F4112" s="9" t="s">
        <v>10821</v>
      </c>
      <c r="G4112" s="9" t="s">
        <v>12</v>
      </c>
      <c r="H4112" s="9"/>
      <c r="I4112" s="9" t="s">
        <v>91</v>
      </c>
      <c r="J4112" s="9" t="s">
        <v>87</v>
      </c>
      <c r="K4112" s="9" t="s">
        <v>10738</v>
      </c>
      <c r="L4112" s="9"/>
      <c r="M4112" s="9" t="s">
        <v>3987</v>
      </c>
      <c r="N4112" s="9" t="s">
        <v>3986</v>
      </c>
      <c r="O4112" s="9" t="s">
        <v>10822</v>
      </c>
      <c r="P4112" s="9" t="str">
        <f>HYPERLINK("https://ceds.ed.gov/cedselementdetails.aspx?termid=13888")</f>
        <v>https://ceds.ed.gov/cedselementdetails.aspx?termid=13888</v>
      </c>
      <c r="Q4112" s="9" t="str">
        <f>HYPERLINK("https://ceds.ed.gov/elementComment.aspx?elementName=Competency Item Concept Term &amp;elementID=13888", "Click here to submit comment")</f>
        <v>Click here to submit comment</v>
      </c>
    </row>
    <row r="4113" spans="1:17" ht="90" x14ac:dyDescent="0.25">
      <c r="A4113" s="9" t="s">
        <v>11933</v>
      </c>
      <c r="B4113" s="9" t="s">
        <v>11935</v>
      </c>
      <c r="C4113" s="9"/>
      <c r="D4113" s="9" t="s">
        <v>6742</v>
      </c>
      <c r="E4113" s="9" t="s">
        <v>10831</v>
      </c>
      <c r="F4113" s="9" t="s">
        <v>10832</v>
      </c>
      <c r="G4113" s="11" t="s">
        <v>966</v>
      </c>
      <c r="H4113" s="9"/>
      <c r="I4113" s="9" t="s">
        <v>91</v>
      </c>
      <c r="J4113" s="9"/>
      <c r="K4113" s="9" t="s">
        <v>10738</v>
      </c>
      <c r="L4113" s="11" t="s">
        <v>967</v>
      </c>
      <c r="M4113" s="9" t="s">
        <v>3998</v>
      </c>
      <c r="N4113" s="9" t="s">
        <v>3997</v>
      </c>
      <c r="O4113" s="9" t="s">
        <v>10833</v>
      </c>
      <c r="P4113" s="9" t="str">
        <f>HYPERLINK("https://ceds.ed.gov/cedselementdetails.aspx?termid=13881")</f>
        <v>https://ceds.ed.gov/cedselementdetails.aspx?termid=13881</v>
      </c>
      <c r="Q4113" s="9" t="str">
        <f>HYPERLINK("https://ceds.ed.gov/elementComment.aspx?elementName=Competency Item Language &amp;elementID=13881", "Click here to submit comment")</f>
        <v>Click here to submit comment</v>
      </c>
    </row>
    <row r="4114" spans="1:17" ht="225" x14ac:dyDescent="0.25">
      <c r="A4114" s="9" t="s">
        <v>11933</v>
      </c>
      <c r="B4114" s="9" t="s">
        <v>11935</v>
      </c>
      <c r="C4114" s="9"/>
      <c r="D4114" s="9" t="s">
        <v>6742</v>
      </c>
      <c r="E4114" s="9" t="s">
        <v>4026</v>
      </c>
      <c r="F4114" s="9" t="s">
        <v>10869</v>
      </c>
      <c r="G4114" s="9" t="s">
        <v>12</v>
      </c>
      <c r="H4114" s="9" t="s">
        <v>795</v>
      </c>
      <c r="I4114" s="9" t="s">
        <v>91</v>
      </c>
      <c r="J4114" s="9" t="s">
        <v>303</v>
      </c>
      <c r="K4114" s="9" t="s">
        <v>10738</v>
      </c>
      <c r="L4114" s="9" t="s">
        <v>4024</v>
      </c>
      <c r="M4114" s="9" t="s">
        <v>4025</v>
      </c>
      <c r="N4114" s="9" t="s">
        <v>4023</v>
      </c>
      <c r="O4114" s="9" t="s">
        <v>10870</v>
      </c>
      <c r="P4114" s="9" t="str">
        <f>HYPERLINK("https://ceds.ed.gov/cedselementdetails.aspx?termid=13667")</f>
        <v>https://ceds.ed.gov/cedselementdetails.aspx?termid=13667</v>
      </c>
      <c r="Q4114" s="9" t="str">
        <f>HYPERLINK("https://ceds.ed.gov/elementComment.aspx?elementName=Competency Item Statement &amp;elementID=13667", "Click here to submit comment")</f>
        <v>Click here to submit comment</v>
      </c>
    </row>
    <row r="4115" spans="1:17" ht="60" x14ac:dyDescent="0.25">
      <c r="A4115" s="9" t="s">
        <v>11933</v>
      </c>
      <c r="B4115" s="9" t="s">
        <v>11935</v>
      </c>
      <c r="C4115" s="9"/>
      <c r="D4115" s="9" t="s">
        <v>6742</v>
      </c>
      <c r="E4115" s="9" t="s">
        <v>10834</v>
      </c>
      <c r="F4115" s="9" t="s">
        <v>10835</v>
      </c>
      <c r="G4115" s="9" t="s">
        <v>12</v>
      </c>
      <c r="H4115" s="9"/>
      <c r="I4115" s="9" t="s">
        <v>91</v>
      </c>
      <c r="J4115" s="9" t="s">
        <v>68</v>
      </c>
      <c r="K4115" s="9" t="s">
        <v>10738</v>
      </c>
      <c r="L4115" s="9"/>
      <c r="M4115" s="9" t="s">
        <v>4000</v>
      </c>
      <c r="N4115" s="9" t="s">
        <v>3999</v>
      </c>
      <c r="O4115" s="9" t="s">
        <v>10836</v>
      </c>
      <c r="P4115" s="9" t="str">
        <f>HYPERLINK("https://ceds.ed.gov/cedselementdetails.aspx?termid=13883")</f>
        <v>https://ceds.ed.gov/cedselementdetails.aspx?termid=13883</v>
      </c>
      <c r="Q4115" s="9" t="str">
        <f>HYPERLINK("https://ceds.ed.gov/elementComment.aspx?elementName=Competency Item License &amp;elementID=13883", "Click here to submit comment")</f>
        <v>Click here to submit comment</v>
      </c>
    </row>
    <row r="4116" spans="1:17" ht="150" x14ac:dyDescent="0.25">
      <c r="A4116" s="9" t="s">
        <v>11933</v>
      </c>
      <c r="B4116" s="9" t="s">
        <v>11935</v>
      </c>
      <c r="C4116" s="9"/>
      <c r="D4116" s="9" t="s">
        <v>6742</v>
      </c>
      <c r="E4116" s="9" t="s">
        <v>10837</v>
      </c>
      <c r="F4116" s="9" t="s">
        <v>10838</v>
      </c>
      <c r="G4116" s="10" t="s">
        <v>6596</v>
      </c>
      <c r="H4116" s="9"/>
      <c r="I4116" s="9" t="s">
        <v>91</v>
      </c>
      <c r="J4116" s="9"/>
      <c r="K4116" s="9" t="s">
        <v>10738</v>
      </c>
      <c r="L4116" s="9"/>
      <c r="M4116" s="9" t="s">
        <v>4002</v>
      </c>
      <c r="N4116" s="9" t="s">
        <v>4001</v>
      </c>
      <c r="O4116" s="9" t="s">
        <v>10839</v>
      </c>
      <c r="P4116" s="9" t="str">
        <f>HYPERLINK("https://ceds.ed.gov/cedselementdetails.aspx?termid=13876")</f>
        <v>https://ceds.ed.gov/cedselementdetails.aspx?termid=13876</v>
      </c>
      <c r="Q4116" s="9" t="str">
        <f>HYPERLINK("https://ceds.ed.gov/elementComment.aspx?elementName=Competency Item Multiple Intelligence &amp;elementID=13876", "Click here to submit comment")</f>
        <v>Click here to submit comment</v>
      </c>
    </row>
    <row r="4117" spans="1:17" ht="45" x14ac:dyDescent="0.25">
      <c r="A4117" s="9" t="s">
        <v>11933</v>
      </c>
      <c r="B4117" s="9" t="s">
        <v>11935</v>
      </c>
      <c r="C4117" s="9"/>
      <c r="D4117" s="9" t="s">
        <v>6742</v>
      </c>
      <c r="E4117" s="9" t="s">
        <v>10844</v>
      </c>
      <c r="F4117" s="9" t="s">
        <v>10845</v>
      </c>
      <c r="G4117" s="9" t="s">
        <v>12</v>
      </c>
      <c r="H4117" s="9"/>
      <c r="I4117" s="9" t="s">
        <v>91</v>
      </c>
      <c r="J4117" s="9" t="s">
        <v>87</v>
      </c>
      <c r="K4117" s="9" t="s">
        <v>10738</v>
      </c>
      <c r="L4117" s="9"/>
      <c r="M4117" s="9" t="s">
        <v>4006</v>
      </c>
      <c r="N4117" s="9" t="s">
        <v>4005</v>
      </c>
      <c r="O4117" s="9" t="s">
        <v>10846</v>
      </c>
      <c r="P4117" s="9" t="str">
        <f>HYPERLINK("https://ceds.ed.gov/cedselementdetails.aspx?termid=14378")</f>
        <v>https://ceds.ed.gov/cedselementdetails.aspx?termid=14378</v>
      </c>
      <c r="Q4117" s="9" t="str">
        <f>HYPERLINK("https://ceds.ed.gov/elementComment.aspx?elementName=Competency Item Node Name &amp;elementID=14378", "Click here to submit comment")</f>
        <v>Click here to submit comment</v>
      </c>
    </row>
    <row r="4118" spans="1:17" ht="105" x14ac:dyDescent="0.25">
      <c r="A4118" s="9" t="s">
        <v>11933</v>
      </c>
      <c r="B4118" s="9" t="s">
        <v>11935</v>
      </c>
      <c r="C4118" s="9"/>
      <c r="D4118" s="9" t="s">
        <v>6742</v>
      </c>
      <c r="E4118" s="9" t="s">
        <v>10840</v>
      </c>
      <c r="F4118" s="9" t="s">
        <v>10841</v>
      </c>
      <c r="G4118" s="10" t="s">
        <v>6597</v>
      </c>
      <c r="H4118" s="9"/>
      <c r="I4118" s="9" t="s">
        <v>91</v>
      </c>
      <c r="J4118" s="9"/>
      <c r="K4118" s="9" t="s">
        <v>10738</v>
      </c>
      <c r="L4118" s="9"/>
      <c r="M4118" s="9" t="s">
        <v>4004</v>
      </c>
      <c r="N4118" s="9" t="s">
        <v>4003</v>
      </c>
      <c r="O4118" s="9" t="s">
        <v>10843</v>
      </c>
      <c r="P4118" s="9" t="str">
        <f>HYPERLINK("https://ceds.ed.gov/cedselementdetails.aspx?termid=14377")</f>
        <v>https://ceds.ed.gov/cedselementdetails.aspx?termid=14377</v>
      </c>
      <c r="Q4118" s="9" t="str">
        <f>HYPERLINK("https://ceds.ed.gov/elementComment.aspx?elementName=Competency Item Node Accessibility Profile &amp;elementID=14377", "Click here to submit comment")</f>
        <v>Click here to submit comment</v>
      </c>
    </row>
    <row r="4119" spans="1:17" ht="45" x14ac:dyDescent="0.25">
      <c r="A4119" s="9" t="s">
        <v>11933</v>
      </c>
      <c r="B4119" s="9" t="s">
        <v>11935</v>
      </c>
      <c r="C4119" s="9"/>
      <c r="D4119" s="9" t="s">
        <v>6742</v>
      </c>
      <c r="E4119" s="9" t="s">
        <v>10847</v>
      </c>
      <c r="F4119" s="9" t="s">
        <v>10848</v>
      </c>
      <c r="G4119" s="9" t="s">
        <v>12</v>
      </c>
      <c r="H4119" s="9"/>
      <c r="I4119" s="9" t="s">
        <v>91</v>
      </c>
      <c r="J4119" s="9" t="s">
        <v>303</v>
      </c>
      <c r="K4119" s="9" t="s">
        <v>10738</v>
      </c>
      <c r="L4119" s="9"/>
      <c r="M4119" s="9" t="s">
        <v>4008</v>
      </c>
      <c r="N4119" s="9" t="s">
        <v>4007</v>
      </c>
      <c r="O4119" s="9" t="s">
        <v>10849</v>
      </c>
      <c r="P4119" s="9" t="str">
        <f>HYPERLINK("https://ceds.ed.gov/cedselementdetails.aspx?termid=14215")</f>
        <v>https://ceds.ed.gov/cedselementdetails.aspx?termid=14215</v>
      </c>
      <c r="Q4119" s="9" t="str">
        <f>HYPERLINK("https://ceds.ed.gov/elementComment.aspx?elementName=Competency Item Notes &amp;elementID=14215", "Click here to submit comment")</f>
        <v>Click here to submit comment</v>
      </c>
    </row>
    <row r="4120" spans="1:17" ht="45" x14ac:dyDescent="0.25">
      <c r="A4120" s="9" t="s">
        <v>11933</v>
      </c>
      <c r="B4120" s="9" t="s">
        <v>11935</v>
      </c>
      <c r="C4120" s="9"/>
      <c r="D4120" s="9" t="s">
        <v>6742</v>
      </c>
      <c r="E4120" s="9" t="s">
        <v>10880</v>
      </c>
      <c r="F4120" s="9" t="s">
        <v>10881</v>
      </c>
      <c r="G4120" s="9" t="s">
        <v>12</v>
      </c>
      <c r="H4120" s="9"/>
      <c r="I4120" s="9" t="s">
        <v>91</v>
      </c>
      <c r="J4120" s="9" t="s">
        <v>87</v>
      </c>
      <c r="K4120" s="9" t="s">
        <v>10738</v>
      </c>
      <c r="L4120" s="9"/>
      <c r="M4120" s="9" t="s">
        <v>4034</v>
      </c>
      <c r="N4120" s="9" t="s">
        <v>4033</v>
      </c>
      <c r="O4120" s="9" t="s">
        <v>10882</v>
      </c>
      <c r="P4120" s="9" t="str">
        <f>HYPERLINK("https://ceds.ed.gov/cedselementdetails.aspx?termid=13910")</f>
        <v>https://ceds.ed.gov/cedselementdetails.aspx?termid=13910</v>
      </c>
      <c r="Q4120" s="9" t="str">
        <f>HYPERLINK("https://ceds.ed.gov/elementComment.aspx?elementName=Competency Item Text Complexity System &amp;elementID=13910", "Click here to submit comment")</f>
        <v>Click here to submit comment</v>
      </c>
    </row>
    <row r="4121" spans="1:17" ht="75" x14ac:dyDescent="0.25">
      <c r="A4121" s="9" t="s">
        <v>11933</v>
      </c>
      <c r="B4121" s="9" t="s">
        <v>11935</v>
      </c>
      <c r="C4121" s="9"/>
      <c r="D4121" s="9" t="s">
        <v>6742</v>
      </c>
      <c r="E4121" s="9" t="s">
        <v>10877</v>
      </c>
      <c r="F4121" s="9" t="s">
        <v>10878</v>
      </c>
      <c r="G4121" s="9" t="s">
        <v>12</v>
      </c>
      <c r="H4121" s="9"/>
      <c r="I4121" s="9" t="s">
        <v>91</v>
      </c>
      <c r="J4121" s="9" t="s">
        <v>134</v>
      </c>
      <c r="K4121" s="9" t="s">
        <v>10738</v>
      </c>
      <c r="L4121" s="9"/>
      <c r="M4121" s="9" t="s">
        <v>4032</v>
      </c>
      <c r="N4121" s="9" t="s">
        <v>4031</v>
      </c>
      <c r="O4121" s="9" t="s">
        <v>10879</v>
      </c>
      <c r="P4121" s="9" t="str">
        <f>HYPERLINK("https://ceds.ed.gov/cedselementdetails.aspx?termid=14114")</f>
        <v>https://ceds.ed.gov/cedselementdetails.aspx?termid=14114</v>
      </c>
      <c r="Q4121" s="9" t="str">
        <f>HYPERLINK("https://ceds.ed.gov/elementComment.aspx?elementName=Competency Item Text Complexity Minimum Value &amp;elementID=14114", "Click here to submit comment")</f>
        <v>Click here to submit comment</v>
      </c>
    </row>
    <row r="4122" spans="1:17" ht="75" x14ac:dyDescent="0.25">
      <c r="A4122" s="9" t="s">
        <v>11933</v>
      </c>
      <c r="B4122" s="9" t="s">
        <v>11935</v>
      </c>
      <c r="C4122" s="9"/>
      <c r="D4122" s="9" t="s">
        <v>6742</v>
      </c>
      <c r="E4122" s="9" t="s">
        <v>10874</v>
      </c>
      <c r="F4122" s="9" t="s">
        <v>10875</v>
      </c>
      <c r="G4122" s="9" t="s">
        <v>12</v>
      </c>
      <c r="H4122" s="9"/>
      <c r="I4122" s="9" t="s">
        <v>91</v>
      </c>
      <c r="J4122" s="9" t="s">
        <v>134</v>
      </c>
      <c r="K4122" s="9" t="s">
        <v>10738</v>
      </c>
      <c r="L4122" s="9"/>
      <c r="M4122" s="9" t="s">
        <v>4030</v>
      </c>
      <c r="N4122" s="9" t="s">
        <v>4029</v>
      </c>
      <c r="O4122" s="9" t="s">
        <v>10876</v>
      </c>
      <c r="P4122" s="9" t="str">
        <f>HYPERLINK("https://ceds.ed.gov/cedselementdetails.aspx?termid=14115")</f>
        <v>https://ceds.ed.gov/cedselementdetails.aspx?termid=14115</v>
      </c>
      <c r="Q4122" s="9" t="str">
        <f>HYPERLINK("https://ceds.ed.gov/elementComment.aspx?elementName=Competency Item Text Complexity Maximum Value &amp;elementID=14115", "Click here to submit comment")</f>
        <v>Click here to submit comment</v>
      </c>
    </row>
    <row r="4123" spans="1:17" ht="45" x14ac:dyDescent="0.25">
      <c r="A4123" s="9" t="s">
        <v>11933</v>
      </c>
      <c r="B4123" s="9" t="s">
        <v>11935</v>
      </c>
      <c r="C4123" s="9"/>
      <c r="D4123" s="9" t="s">
        <v>6746</v>
      </c>
      <c r="E4123" s="9" t="s">
        <v>10769</v>
      </c>
      <c r="F4123" s="9" t="s">
        <v>10770</v>
      </c>
      <c r="G4123" s="9" t="s">
        <v>12</v>
      </c>
      <c r="H4123" s="9" t="s">
        <v>795</v>
      </c>
      <c r="I4123" s="9"/>
      <c r="J4123" s="9" t="s">
        <v>1143</v>
      </c>
      <c r="K4123" s="9"/>
      <c r="L4123" s="9"/>
      <c r="M4123" s="9" t="s">
        <v>3925</v>
      </c>
      <c r="N4123" s="9" t="s">
        <v>3924</v>
      </c>
      <c r="O4123" s="9" t="s">
        <v>10772</v>
      </c>
      <c r="P4123" s="9" t="str">
        <f>HYPERLINK("https://ceds.ed.gov/cedselementdetails.aspx?termid=13670")</f>
        <v>https://ceds.ed.gov/cedselementdetails.aspx?termid=13670</v>
      </c>
      <c r="Q4123" s="9" t="str">
        <f>HYPERLINK("https://ceds.ed.gov/elementComment.aspx?elementName=Competency Framework Identifier URI &amp;elementID=13670", "Click here to submit comment")</f>
        <v>Click here to submit comment</v>
      </c>
    </row>
    <row r="4124" spans="1:17" ht="75" x14ac:dyDescent="0.25">
      <c r="A4124" s="9" t="s">
        <v>11933</v>
      </c>
      <c r="B4124" s="9" t="s">
        <v>11935</v>
      </c>
      <c r="C4124" s="9" t="s">
        <v>11940</v>
      </c>
      <c r="D4124" s="9" t="s">
        <v>6742</v>
      </c>
      <c r="E4124" s="9" t="s">
        <v>10746</v>
      </c>
      <c r="F4124" s="9" t="s">
        <v>10747</v>
      </c>
      <c r="G4124" s="9" t="s">
        <v>12</v>
      </c>
      <c r="H4124" s="9"/>
      <c r="I4124" s="9" t="s">
        <v>91</v>
      </c>
      <c r="J4124" s="9" t="s">
        <v>1143</v>
      </c>
      <c r="K4124" s="9" t="s">
        <v>10738</v>
      </c>
      <c r="L4124" s="9"/>
      <c r="M4124" s="9" t="s">
        <v>3964</v>
      </c>
      <c r="N4124" s="9" t="s">
        <v>3963</v>
      </c>
      <c r="O4124" s="9" t="s">
        <v>10749</v>
      </c>
      <c r="P4124" s="9" t="str">
        <f>HYPERLINK("https://ceds.ed.gov/cedselementdetails.aspx?termid=13871")</f>
        <v>https://ceds.ed.gov/cedselementdetails.aspx?termid=13871</v>
      </c>
      <c r="Q4124" s="9" t="str">
        <f>HYPERLINK("https://ceds.ed.gov/elementComment.aspx?elementName=Competency Association Identifier URI &amp;elementID=13871", "Click here to submit comment")</f>
        <v>Click here to submit comment</v>
      </c>
    </row>
    <row r="4125" spans="1:17" ht="300" customHeight="1" x14ac:dyDescent="0.25">
      <c r="A4125" s="18" t="s">
        <v>11933</v>
      </c>
      <c r="B4125" s="18" t="s">
        <v>11935</v>
      </c>
      <c r="C4125" s="18" t="s">
        <v>11940</v>
      </c>
      <c r="D4125" s="18" t="s">
        <v>6742</v>
      </c>
      <c r="E4125" s="18" t="s">
        <v>10756</v>
      </c>
      <c r="F4125" s="18" t="s">
        <v>10757</v>
      </c>
      <c r="G4125" s="19" t="s">
        <v>6594</v>
      </c>
      <c r="H4125" s="18"/>
      <c r="I4125" s="18" t="s">
        <v>91</v>
      </c>
      <c r="J4125" s="18"/>
      <c r="K4125" s="18" t="s">
        <v>10758</v>
      </c>
      <c r="L4125" s="9" t="s">
        <v>3970</v>
      </c>
      <c r="M4125" s="18" t="s">
        <v>3972</v>
      </c>
      <c r="N4125" s="18" t="s">
        <v>3969</v>
      </c>
      <c r="O4125" s="18" t="s">
        <v>10759</v>
      </c>
      <c r="P4125" s="18" t="str">
        <f>HYPERLINK("https://ceds.ed.gov/cedselementdetails.aspx?termid=13869")</f>
        <v>https://ceds.ed.gov/cedselementdetails.aspx?termid=13869</v>
      </c>
      <c r="Q4125" s="18" t="str">
        <f>HYPERLINK("https://ceds.ed.gov/elementComment.aspx?elementName=Competency Association Type &amp;elementID=13869", "Click here to submit comment")</f>
        <v>Click here to submit comment</v>
      </c>
    </row>
    <row r="4126" spans="1:17" x14ac:dyDescent="0.25">
      <c r="A4126" s="18"/>
      <c r="B4126" s="18"/>
      <c r="C4126" s="18"/>
      <c r="D4126" s="18"/>
      <c r="E4126" s="18"/>
      <c r="F4126" s="18"/>
      <c r="G4126" s="18"/>
      <c r="H4126" s="18"/>
      <c r="I4126" s="18"/>
      <c r="J4126" s="18"/>
      <c r="K4126" s="18"/>
      <c r="L4126" s="9"/>
      <c r="M4126" s="18"/>
      <c r="N4126" s="18"/>
      <c r="O4126" s="18"/>
      <c r="P4126" s="18"/>
      <c r="Q4126" s="18"/>
    </row>
    <row r="4127" spans="1:17" x14ac:dyDescent="0.25">
      <c r="A4127" s="18"/>
      <c r="B4127" s="18"/>
      <c r="C4127" s="18"/>
      <c r="D4127" s="18"/>
      <c r="E4127" s="18"/>
      <c r="F4127" s="18"/>
      <c r="G4127" s="18"/>
      <c r="H4127" s="18"/>
      <c r="I4127" s="18"/>
      <c r="J4127" s="18"/>
      <c r="K4127" s="18"/>
      <c r="L4127" s="9"/>
      <c r="M4127" s="18"/>
      <c r="N4127" s="18"/>
      <c r="O4127" s="18"/>
      <c r="P4127" s="18"/>
      <c r="Q4127" s="18"/>
    </row>
    <row r="4128" spans="1:17" ht="135" x14ac:dyDescent="0.25">
      <c r="A4128" s="18"/>
      <c r="B4128" s="18"/>
      <c r="C4128" s="18"/>
      <c r="D4128" s="18"/>
      <c r="E4128" s="18"/>
      <c r="F4128" s="18"/>
      <c r="G4128" s="18"/>
      <c r="H4128" s="18"/>
      <c r="I4128" s="18"/>
      <c r="J4128" s="18"/>
      <c r="K4128" s="18"/>
      <c r="L4128" s="9" t="s">
        <v>3971</v>
      </c>
      <c r="M4128" s="18"/>
      <c r="N4128" s="18"/>
      <c r="O4128" s="18"/>
      <c r="P4128" s="18"/>
      <c r="Q4128" s="18"/>
    </row>
    <row r="4129" spans="1:17" ht="45" x14ac:dyDescent="0.25">
      <c r="A4129" s="9" t="s">
        <v>11933</v>
      </c>
      <c r="B4129" s="9" t="s">
        <v>11935</v>
      </c>
      <c r="C4129" s="9" t="s">
        <v>11940</v>
      </c>
      <c r="D4129" s="9" t="s">
        <v>6742</v>
      </c>
      <c r="E4129" s="9" t="s">
        <v>10736</v>
      </c>
      <c r="F4129" s="9" t="s">
        <v>3957</v>
      </c>
      <c r="G4129" s="9" t="s">
        <v>12</v>
      </c>
      <c r="H4129" s="9"/>
      <c r="I4129" s="9" t="s">
        <v>91</v>
      </c>
      <c r="J4129" s="9" t="s">
        <v>68</v>
      </c>
      <c r="K4129" s="9" t="s">
        <v>10738</v>
      </c>
      <c r="L4129" s="9"/>
      <c r="M4129" s="9" t="s">
        <v>3958</v>
      </c>
      <c r="N4129" s="9" t="s">
        <v>3956</v>
      </c>
      <c r="O4129" s="9" t="s">
        <v>10739</v>
      </c>
      <c r="P4129" s="9" t="str">
        <f>HYPERLINK("https://ceds.ed.gov/cedselementdetails.aspx?termid=14371")</f>
        <v>https://ceds.ed.gov/cedselementdetails.aspx?termid=14371</v>
      </c>
      <c r="Q4129" s="9" t="str">
        <f>HYPERLINK("https://ceds.ed.gov/elementComment.aspx?elementName=Competency Association Connection Citation &amp;elementID=14371", "Click here to submit comment")</f>
        <v>Click here to submit comment</v>
      </c>
    </row>
    <row r="4130" spans="1:17" ht="45" x14ac:dyDescent="0.25">
      <c r="A4130" s="9" t="s">
        <v>11933</v>
      </c>
      <c r="B4130" s="9" t="s">
        <v>11935</v>
      </c>
      <c r="C4130" s="9" t="s">
        <v>11940</v>
      </c>
      <c r="D4130" s="9" t="s">
        <v>6742</v>
      </c>
      <c r="E4130" s="9" t="s">
        <v>10740</v>
      </c>
      <c r="F4130" s="9" t="s">
        <v>10741</v>
      </c>
      <c r="G4130" s="9" t="s">
        <v>12</v>
      </c>
      <c r="H4130" s="9"/>
      <c r="I4130" s="9" t="s">
        <v>91</v>
      </c>
      <c r="J4130" s="9" t="s">
        <v>87</v>
      </c>
      <c r="K4130" s="9" t="s">
        <v>10738</v>
      </c>
      <c r="L4130" s="9"/>
      <c r="M4130" s="9" t="s">
        <v>3960</v>
      </c>
      <c r="N4130" s="9" t="s">
        <v>3959</v>
      </c>
      <c r="O4130" s="9" t="s">
        <v>10742</v>
      </c>
      <c r="P4130" s="9" t="str">
        <f>HYPERLINK("https://ceds.ed.gov/cedselementdetails.aspx?termid=14372")</f>
        <v>https://ceds.ed.gov/cedselementdetails.aspx?termid=14372</v>
      </c>
      <c r="Q4130" s="9" t="str">
        <f>HYPERLINK("https://ceds.ed.gov/elementComment.aspx?elementName=Competency Association Destination Node Name &amp;elementID=14372", "Click here to submit comment")</f>
        <v>Click here to submit comment</v>
      </c>
    </row>
    <row r="4131" spans="1:17" ht="45" x14ac:dyDescent="0.25">
      <c r="A4131" s="9" t="s">
        <v>11933</v>
      </c>
      <c r="B4131" s="9" t="s">
        <v>11935</v>
      </c>
      <c r="C4131" s="9" t="s">
        <v>11940</v>
      </c>
      <c r="D4131" s="9" t="s">
        <v>6742</v>
      </c>
      <c r="E4131" s="9" t="s">
        <v>10743</v>
      </c>
      <c r="F4131" s="9" t="s">
        <v>10744</v>
      </c>
      <c r="G4131" s="9" t="s">
        <v>12</v>
      </c>
      <c r="H4131" s="9"/>
      <c r="I4131" s="9" t="s">
        <v>91</v>
      </c>
      <c r="J4131" s="9" t="s">
        <v>1143</v>
      </c>
      <c r="K4131" s="9" t="s">
        <v>10738</v>
      </c>
      <c r="L4131" s="9"/>
      <c r="M4131" s="9" t="s">
        <v>3962</v>
      </c>
      <c r="N4131" s="9" t="s">
        <v>3961</v>
      </c>
      <c r="O4131" s="9" t="s">
        <v>10745</v>
      </c>
      <c r="P4131" s="9" t="str">
        <f>HYPERLINK("https://ceds.ed.gov/cedselementdetails.aspx?termid=14373")</f>
        <v>https://ceds.ed.gov/cedselementdetails.aspx?termid=14373</v>
      </c>
      <c r="Q4131" s="9" t="str">
        <f>HYPERLINK("https://ceds.ed.gov/elementComment.aspx?elementName=Competency Association Destination Node URI &amp;elementID=14373", "Click here to submit comment")</f>
        <v>Click here to submit comment</v>
      </c>
    </row>
    <row r="4132" spans="1:17" ht="45" x14ac:dyDescent="0.25">
      <c r="A4132" s="9" t="s">
        <v>11933</v>
      </c>
      <c r="B4132" s="9" t="s">
        <v>11935</v>
      </c>
      <c r="C4132" s="9" t="s">
        <v>11940</v>
      </c>
      <c r="D4132" s="9" t="s">
        <v>6742</v>
      </c>
      <c r="E4132" s="9" t="s">
        <v>10750</v>
      </c>
      <c r="F4132" s="9" t="s">
        <v>10751</v>
      </c>
      <c r="G4132" s="9" t="s">
        <v>12</v>
      </c>
      <c r="H4132" s="9"/>
      <c r="I4132" s="9" t="s">
        <v>91</v>
      </c>
      <c r="J4132" s="9" t="s">
        <v>87</v>
      </c>
      <c r="K4132" s="9" t="s">
        <v>10738</v>
      </c>
      <c r="L4132" s="9"/>
      <c r="M4132" s="9" t="s">
        <v>3966</v>
      </c>
      <c r="N4132" s="9" t="s">
        <v>3965</v>
      </c>
      <c r="O4132" s="9" t="s">
        <v>10752</v>
      </c>
      <c r="P4132" s="9" t="str">
        <f>HYPERLINK("https://ceds.ed.gov/cedselementdetails.aspx?termid=14374")</f>
        <v>https://ceds.ed.gov/cedselementdetails.aspx?termid=14374</v>
      </c>
      <c r="Q4132" s="9" t="str">
        <f>HYPERLINK("https://ceds.ed.gov/elementComment.aspx?elementName=Competency Association Origin Node Name &amp;elementID=14374", "Click here to submit comment")</f>
        <v>Click here to submit comment</v>
      </c>
    </row>
    <row r="4133" spans="1:17" ht="45" x14ac:dyDescent="0.25">
      <c r="A4133" s="9" t="s">
        <v>11933</v>
      </c>
      <c r="B4133" s="9" t="s">
        <v>11935</v>
      </c>
      <c r="C4133" s="9" t="s">
        <v>11940</v>
      </c>
      <c r="D4133" s="9" t="s">
        <v>6742</v>
      </c>
      <c r="E4133" s="9" t="s">
        <v>10753</v>
      </c>
      <c r="F4133" s="9" t="s">
        <v>10754</v>
      </c>
      <c r="G4133" s="9" t="s">
        <v>12</v>
      </c>
      <c r="H4133" s="9"/>
      <c r="I4133" s="9" t="s">
        <v>91</v>
      </c>
      <c r="J4133" s="9" t="s">
        <v>1143</v>
      </c>
      <c r="K4133" s="9" t="s">
        <v>10738</v>
      </c>
      <c r="L4133" s="9"/>
      <c r="M4133" s="9" t="s">
        <v>3968</v>
      </c>
      <c r="N4133" s="9" t="s">
        <v>3967</v>
      </c>
      <c r="O4133" s="9" t="s">
        <v>10755</v>
      </c>
      <c r="P4133" s="9" t="str">
        <f>HYPERLINK("https://ceds.ed.gov/cedselementdetails.aspx?termid=14375")</f>
        <v>https://ceds.ed.gov/cedselementdetails.aspx?termid=14375</v>
      </c>
      <c r="Q4133" s="9" t="str">
        <f>HYPERLINK("https://ceds.ed.gov/elementComment.aspx?elementName=Competency Association Origin Node URI &amp;elementID=14375", "Click here to submit comment")</f>
        <v>Click here to submit comment</v>
      </c>
    </row>
    <row r="4134" spans="1:17" ht="135" x14ac:dyDescent="0.25">
      <c r="A4134" s="9" t="s">
        <v>11933</v>
      </c>
      <c r="B4134" s="9" t="s">
        <v>11935</v>
      </c>
      <c r="C4134" s="9" t="s">
        <v>11940</v>
      </c>
      <c r="D4134" s="9" t="s">
        <v>6742</v>
      </c>
      <c r="E4134" s="9" t="s">
        <v>10760</v>
      </c>
      <c r="F4134" s="9" t="s">
        <v>3974</v>
      </c>
      <c r="G4134" s="9" t="s">
        <v>12</v>
      </c>
      <c r="H4134" s="9"/>
      <c r="I4134" s="9" t="s">
        <v>91</v>
      </c>
      <c r="J4134" s="9" t="s">
        <v>3975</v>
      </c>
      <c r="K4134" s="9" t="s">
        <v>10738</v>
      </c>
      <c r="L4134" s="9" t="s">
        <v>3976</v>
      </c>
      <c r="M4134" s="9" t="s">
        <v>3977</v>
      </c>
      <c r="N4134" s="9" t="s">
        <v>3973</v>
      </c>
      <c r="O4134" s="9" t="s">
        <v>10761</v>
      </c>
      <c r="P4134" s="9" t="str">
        <f>HYPERLINK("https://ceds.ed.gov/cedselementdetails.aspx?termid=14376")</f>
        <v>https://ceds.ed.gov/cedselementdetails.aspx?termid=14376</v>
      </c>
      <c r="Q4134" s="9" t="str">
        <f>HYPERLINK("https://ceds.ed.gov/elementComment.aspx?elementName=Competency Association Weight &amp;elementID=14376", "Click here to submit comment")</f>
        <v>Click here to submit comment</v>
      </c>
    </row>
    <row r="4135" spans="1:17" ht="120" x14ac:dyDescent="0.25">
      <c r="A4135" s="9" t="s">
        <v>11933</v>
      </c>
      <c r="B4135" s="9" t="s">
        <v>6921</v>
      </c>
      <c r="C4135" s="9"/>
      <c r="D4135" s="9" t="s">
        <v>6742</v>
      </c>
      <c r="E4135" s="9" t="s">
        <v>1824</v>
      </c>
      <c r="F4135" s="9" t="s">
        <v>1825</v>
      </c>
      <c r="G4135" s="10" t="s">
        <v>6412</v>
      </c>
      <c r="H4135" s="9"/>
      <c r="I4135" s="9"/>
      <c r="J4135" s="9"/>
      <c r="K4135" s="9"/>
      <c r="L4135" s="9" t="s">
        <v>1826</v>
      </c>
      <c r="M4135" s="9" t="s">
        <v>1827</v>
      </c>
      <c r="N4135" s="9"/>
      <c r="O4135" s="9" t="s">
        <v>1828</v>
      </c>
      <c r="P4135" s="9" t="str">
        <f>HYPERLINK("https://ceds.ed.gov/cedselementdetails.aspx?termid=13877")</f>
        <v>https://ceds.ed.gov/cedselementdetails.aspx?termid=13877</v>
      </c>
      <c r="Q4135" s="9" t="str">
        <f>HYPERLINK("https://ceds.ed.gov/elementComment.aspx?elementName=Competency Set Completion Criteria &amp;elementID=13877", "Click here to submit comment")</f>
        <v>Click here to submit comment</v>
      </c>
    </row>
    <row r="4136" spans="1:17" ht="90" x14ac:dyDescent="0.25">
      <c r="A4136" s="9" t="s">
        <v>11933</v>
      </c>
      <c r="B4136" s="9" t="s">
        <v>6921</v>
      </c>
      <c r="C4136" s="9"/>
      <c r="D4136" s="9" t="s">
        <v>6742</v>
      </c>
      <c r="E4136" s="9" t="s">
        <v>1829</v>
      </c>
      <c r="F4136" s="9" t="s">
        <v>1830</v>
      </c>
      <c r="G4136" s="9" t="s">
        <v>12</v>
      </c>
      <c r="H4136" s="9"/>
      <c r="I4136" s="9"/>
      <c r="J4136" s="9" t="s">
        <v>10489</v>
      </c>
      <c r="K4136" s="9"/>
      <c r="L4136" s="9" t="s">
        <v>1831</v>
      </c>
      <c r="M4136" s="9" t="s">
        <v>1832</v>
      </c>
      <c r="N4136" s="9"/>
      <c r="O4136" s="9" t="s">
        <v>1833</v>
      </c>
      <c r="P4136" s="9" t="str">
        <f>HYPERLINK("https://ceds.ed.gov/cedselementdetails.aspx?termid=13878")</f>
        <v>https://ceds.ed.gov/cedselementdetails.aspx?termid=13878</v>
      </c>
      <c r="Q4136" s="9" t="str">
        <f>HYPERLINK("https://ceds.ed.gov/elementComment.aspx?elementName=Competency Set Completion Criteria Threshold &amp;elementID=13878", "Click here to submit comment")</f>
        <v>Click here to submit comment</v>
      </c>
    </row>
    <row r="4137" spans="1:17" ht="45" x14ac:dyDescent="0.25">
      <c r="A4137" s="9" t="s">
        <v>6924</v>
      </c>
      <c r="B4137" s="9" t="s">
        <v>6857</v>
      </c>
      <c r="C4137" s="9"/>
      <c r="D4137" s="9" t="s">
        <v>6742</v>
      </c>
      <c r="E4137" s="9" t="s">
        <v>3894</v>
      </c>
      <c r="F4137" s="9" t="s">
        <v>3895</v>
      </c>
      <c r="G4137" s="9" t="s">
        <v>12</v>
      </c>
      <c r="H4137" s="9"/>
      <c r="I4137" s="9"/>
      <c r="J4137" s="9" t="s">
        <v>87</v>
      </c>
      <c r="K4137" s="9"/>
      <c r="L4137" s="9"/>
      <c r="M4137" s="9" t="s">
        <v>3896</v>
      </c>
      <c r="N4137" s="9"/>
      <c r="O4137" s="9" t="s">
        <v>3897</v>
      </c>
      <c r="P4137" s="9" t="str">
        <f>HYPERLINK("https://ceds.ed.gov/cedselementdetails.aspx?termid=13912")</f>
        <v>https://ceds.ed.gov/cedselementdetails.aspx?termid=13912</v>
      </c>
      <c r="Q4137" s="9" t="str">
        <f>HYPERLINK("https://ceds.ed.gov/elementComment.aspx?elementName=Learning Resource Title &amp;elementID=13912", "Click here to submit comment")</f>
        <v>Click here to submit comment</v>
      </c>
    </row>
    <row r="4138" spans="1:17" ht="360" x14ac:dyDescent="0.25">
      <c r="A4138" s="9" t="s">
        <v>6924</v>
      </c>
      <c r="B4138" s="9" t="s">
        <v>6857</v>
      </c>
      <c r="C4138" s="9"/>
      <c r="D4138" s="9" t="s">
        <v>6742</v>
      </c>
      <c r="E4138" s="9" t="s">
        <v>3898</v>
      </c>
      <c r="F4138" s="9" t="s">
        <v>3899</v>
      </c>
      <c r="G4138" s="10" t="s">
        <v>6592</v>
      </c>
      <c r="H4138" s="9"/>
      <c r="I4138" s="9"/>
      <c r="J4138" s="9"/>
      <c r="K4138" s="9"/>
      <c r="L4138" s="9" t="s">
        <v>3900</v>
      </c>
      <c r="M4138" s="9" t="s">
        <v>3901</v>
      </c>
      <c r="N4138" s="9"/>
      <c r="O4138" s="9" t="s">
        <v>3902</v>
      </c>
      <c r="P4138" s="9" t="str">
        <f>HYPERLINK("https://ceds.ed.gov/cedselementdetails.aspx?termid=13929")</f>
        <v>https://ceds.ed.gov/cedselementdetails.aspx?termid=13929</v>
      </c>
      <c r="Q4138" s="9" t="str">
        <f>HYPERLINK("https://ceds.ed.gov/elementComment.aspx?elementName=Learning Resource Type &amp;elementID=13929", "Click here to submit comment")</f>
        <v>Click here to submit comment</v>
      </c>
    </row>
    <row r="4139" spans="1:17" ht="45" x14ac:dyDescent="0.25">
      <c r="A4139" s="9" t="s">
        <v>6924</v>
      </c>
      <c r="B4139" s="9" t="s">
        <v>6857</v>
      </c>
      <c r="C4139" s="9"/>
      <c r="D4139" s="9" t="s">
        <v>6742</v>
      </c>
      <c r="E4139" s="9" t="s">
        <v>3792</v>
      </c>
      <c r="F4139" s="9" t="s">
        <v>3793</v>
      </c>
      <c r="G4139" s="9" t="s">
        <v>12</v>
      </c>
      <c r="H4139" s="9"/>
      <c r="I4139" s="9"/>
      <c r="J4139" s="9" t="s">
        <v>68</v>
      </c>
      <c r="K4139" s="9"/>
      <c r="L4139" s="9"/>
      <c r="M4139" s="9" t="s">
        <v>3794</v>
      </c>
      <c r="N4139" s="9"/>
      <c r="O4139" s="9" t="s">
        <v>3795</v>
      </c>
      <c r="P4139" s="9" t="str">
        <f>HYPERLINK("https://ceds.ed.gov/cedselementdetails.aspx?termid=14156")</f>
        <v>https://ceds.ed.gov/cedselementdetails.aspx?termid=14156</v>
      </c>
      <c r="Q4139" s="9" t="str">
        <f>HYPERLINK("https://ceds.ed.gov/elementComment.aspx?elementName=Learning Resource Description &amp;elementID=14156", "Click here to submit comment")</f>
        <v>Click here to submit comment</v>
      </c>
    </row>
    <row r="4140" spans="1:17" ht="45" x14ac:dyDescent="0.25">
      <c r="A4140" s="9" t="s">
        <v>6924</v>
      </c>
      <c r="B4140" s="9" t="s">
        <v>6857</v>
      </c>
      <c r="C4140" s="9"/>
      <c r="D4140" s="9" t="s">
        <v>6742</v>
      </c>
      <c r="E4140" s="9" t="s">
        <v>3915</v>
      </c>
      <c r="F4140" s="9" t="s">
        <v>3916</v>
      </c>
      <c r="G4140" s="9" t="s">
        <v>12</v>
      </c>
      <c r="H4140" s="9"/>
      <c r="I4140" s="9"/>
      <c r="J4140" s="9" t="s">
        <v>87</v>
      </c>
      <c r="K4140" s="9"/>
      <c r="L4140" s="9"/>
      <c r="M4140" s="9" t="s">
        <v>3917</v>
      </c>
      <c r="N4140" s="9"/>
      <c r="O4140" s="9" t="s">
        <v>3918</v>
      </c>
      <c r="P4140" s="9" t="str">
        <f>HYPERLINK("https://ceds.ed.gov/cedselementdetails.aspx?termid=14182")</f>
        <v>https://ceds.ed.gov/cedselementdetails.aspx?termid=14182</v>
      </c>
      <c r="Q4140" s="9" t="str">
        <f>HYPERLINK("https://ceds.ed.gov/elementComment.aspx?elementName=Learning Resource Version &amp;elementID=14182", "Click here to submit comment")</f>
        <v>Click here to submit comment</v>
      </c>
    </row>
    <row r="4141" spans="1:17" ht="75" x14ac:dyDescent="0.25">
      <c r="A4141" s="9" t="s">
        <v>6924</v>
      </c>
      <c r="B4141" s="9" t="s">
        <v>6857</v>
      </c>
      <c r="C4141" s="9"/>
      <c r="D4141" s="9" t="s">
        <v>6742</v>
      </c>
      <c r="E4141" s="9" t="s">
        <v>3911</v>
      </c>
      <c r="F4141" s="9" t="s">
        <v>3912</v>
      </c>
      <c r="G4141" s="9" t="s">
        <v>12</v>
      </c>
      <c r="H4141" s="9"/>
      <c r="I4141" s="9"/>
      <c r="J4141" s="9" t="s">
        <v>1143</v>
      </c>
      <c r="K4141" s="9"/>
      <c r="L4141" s="9"/>
      <c r="M4141" s="9" t="s">
        <v>3913</v>
      </c>
      <c r="N4141" s="9"/>
      <c r="O4141" s="9" t="s">
        <v>3914</v>
      </c>
      <c r="P4141" s="9" t="str">
        <f>HYPERLINK("https://ceds.ed.gov/cedselementdetails.aspx?termid=13911")</f>
        <v>https://ceds.ed.gov/cedselementdetails.aspx?termid=13911</v>
      </c>
      <c r="Q4141" s="9" t="str">
        <f>HYPERLINK("https://ceds.ed.gov/elementComment.aspx?elementName=Learning Resource URL &amp;elementID=13911", "Click here to submit comment")</f>
        <v>Click here to submit comment</v>
      </c>
    </row>
    <row r="4142" spans="1:17" ht="45" x14ac:dyDescent="0.25">
      <c r="A4142" s="9" t="s">
        <v>6924</v>
      </c>
      <c r="B4142" s="9" t="s">
        <v>6857</v>
      </c>
      <c r="C4142" s="9"/>
      <c r="D4142" s="9" t="s">
        <v>6742</v>
      </c>
      <c r="E4142" s="9" t="s">
        <v>3726</v>
      </c>
      <c r="F4142" s="9" t="s">
        <v>3727</v>
      </c>
      <c r="G4142" s="9" t="s">
        <v>12</v>
      </c>
      <c r="H4142" s="9"/>
      <c r="I4142" s="9"/>
      <c r="J4142" s="9" t="s">
        <v>1143</v>
      </c>
      <c r="K4142" s="9"/>
      <c r="L4142" s="9"/>
      <c r="M4142" s="9" t="s">
        <v>3728</v>
      </c>
      <c r="N4142" s="9"/>
      <c r="O4142" s="9" t="s">
        <v>3729</v>
      </c>
      <c r="P4142" s="9" t="str">
        <f>HYPERLINK("https://ceds.ed.gov/cedselementdetails.aspx?termid=14361")</f>
        <v>https://ceds.ed.gov/cedselementdetails.aspx?termid=14361</v>
      </c>
      <c r="Q4142" s="9" t="str">
        <f>HYPERLINK("https://ceds.ed.gov/elementComment.aspx?elementName=Learning Resource Adaptation URL &amp;elementID=14361", "Click here to submit comment")</f>
        <v>Click here to submit comment</v>
      </c>
    </row>
    <row r="4143" spans="1:17" ht="45" x14ac:dyDescent="0.25">
      <c r="A4143" s="9" t="s">
        <v>6924</v>
      </c>
      <c r="B4143" s="9" t="s">
        <v>6857</v>
      </c>
      <c r="C4143" s="9"/>
      <c r="D4143" s="9" t="s">
        <v>6742</v>
      </c>
      <c r="E4143" s="9" t="s">
        <v>3730</v>
      </c>
      <c r="F4143" s="9" t="s">
        <v>3731</v>
      </c>
      <c r="G4143" s="9" t="s">
        <v>12</v>
      </c>
      <c r="H4143" s="9"/>
      <c r="I4143" s="9"/>
      <c r="J4143" s="9" t="s">
        <v>1143</v>
      </c>
      <c r="K4143" s="9"/>
      <c r="L4143" s="9"/>
      <c r="M4143" s="9" t="s">
        <v>3732</v>
      </c>
      <c r="N4143" s="9"/>
      <c r="O4143" s="9" t="s">
        <v>3733</v>
      </c>
      <c r="P4143" s="9" t="str">
        <f>HYPERLINK("https://ceds.ed.gov/cedselementdetails.aspx?termid=14367")</f>
        <v>https://ceds.ed.gov/cedselementdetails.aspx?termid=14367</v>
      </c>
      <c r="Q4143" s="9" t="str">
        <f>HYPERLINK("https://ceds.ed.gov/elementComment.aspx?elementName=Learning Resource Adapted From URL &amp;elementID=14367", "Click here to submit comment")</f>
        <v>Click here to submit comment</v>
      </c>
    </row>
    <row r="4144" spans="1:17" ht="45" x14ac:dyDescent="0.25">
      <c r="A4144" s="9" t="s">
        <v>6924</v>
      </c>
      <c r="B4144" s="9" t="s">
        <v>6857</v>
      </c>
      <c r="C4144" s="9"/>
      <c r="D4144" s="9" t="s">
        <v>6742</v>
      </c>
      <c r="E4144" s="9" t="s">
        <v>12215</v>
      </c>
      <c r="F4144" s="9" t="s">
        <v>3751</v>
      </c>
      <c r="G4144" s="9" t="s">
        <v>12</v>
      </c>
      <c r="H4144" s="9"/>
      <c r="I4144" s="9"/>
      <c r="J4144" s="9" t="s">
        <v>1143</v>
      </c>
      <c r="K4144" s="9"/>
      <c r="L4144" s="9" t="s">
        <v>3752</v>
      </c>
      <c r="M4144" s="9" t="s">
        <v>3753</v>
      </c>
      <c r="N4144" s="9"/>
      <c r="O4144" s="9" t="s">
        <v>3754</v>
      </c>
      <c r="P4144" s="9" t="str">
        <f>HYPERLINK("https://ceds.ed.gov/cedselementdetails.aspx?termid=13923")</f>
        <v>https://ceds.ed.gov/cedselementdetails.aspx?termid=13923</v>
      </c>
      <c r="Q4144" s="9" t="str">
        <f>HYPERLINK("https://ceds.ed.gov/elementComment.aspx?elementName=Learning Resource Based on URL &amp;elementID=13923", "Click here to submit comment")</f>
        <v>Click here to submit comment</v>
      </c>
    </row>
    <row r="4145" spans="1:17" ht="225" x14ac:dyDescent="0.25">
      <c r="A4145" s="9" t="s">
        <v>6924</v>
      </c>
      <c r="B4145" s="9" t="s">
        <v>6857</v>
      </c>
      <c r="C4145" s="9"/>
      <c r="D4145" s="9" t="s">
        <v>6742</v>
      </c>
      <c r="E4145" s="9" t="s">
        <v>3709</v>
      </c>
      <c r="F4145" s="9" t="s">
        <v>3710</v>
      </c>
      <c r="G4145" s="10" t="s">
        <v>6577</v>
      </c>
      <c r="H4145" s="9"/>
      <c r="I4145" s="9"/>
      <c r="J4145" s="9"/>
      <c r="K4145" s="9"/>
      <c r="L4145" s="9" t="s">
        <v>3711</v>
      </c>
      <c r="M4145" s="9" t="s">
        <v>3712</v>
      </c>
      <c r="N4145" s="9"/>
      <c r="O4145" s="9" t="s">
        <v>3713</v>
      </c>
      <c r="P4145" s="9" t="str">
        <f>HYPERLINK("https://ceds.ed.gov/cedselementdetails.aspx?termid=14358")</f>
        <v>https://ceds.ed.gov/cedselementdetails.aspx?termid=14358</v>
      </c>
      <c r="Q4145" s="9" t="str">
        <f>HYPERLINK("https://ceds.ed.gov/elementComment.aspx?elementName=Learning Resource Access API Type &amp;elementID=14358", "Click here to submit comment")</f>
        <v>Click here to submit comment</v>
      </c>
    </row>
    <row r="4146" spans="1:17" ht="60" x14ac:dyDescent="0.25">
      <c r="A4146" s="9" t="s">
        <v>6924</v>
      </c>
      <c r="B4146" s="9" t="s">
        <v>6857</v>
      </c>
      <c r="C4146" s="9"/>
      <c r="D4146" s="9" t="s">
        <v>6742</v>
      </c>
      <c r="E4146" s="9" t="s">
        <v>3714</v>
      </c>
      <c r="F4146" s="9" t="s">
        <v>3715</v>
      </c>
      <c r="G4146" s="10" t="s">
        <v>6578</v>
      </c>
      <c r="H4146" s="9"/>
      <c r="I4146" s="9"/>
      <c r="J4146" s="9"/>
      <c r="K4146" s="9"/>
      <c r="L4146" s="9"/>
      <c r="M4146" s="9" t="s">
        <v>3716</v>
      </c>
      <c r="N4146" s="9"/>
      <c r="O4146" s="9" t="s">
        <v>3717</v>
      </c>
      <c r="P4146" s="9" t="str">
        <f>HYPERLINK("https://ceds.ed.gov/cedselementdetails.aspx?termid=14359")</f>
        <v>https://ceds.ed.gov/cedselementdetails.aspx?termid=14359</v>
      </c>
      <c r="Q4146" s="9" t="str">
        <f>HYPERLINK("https://ceds.ed.gov/elementComment.aspx?elementName=Learning Resource Access Hazard Type &amp;elementID=14359", "Click here to submit comment")</f>
        <v>Click here to submit comment</v>
      </c>
    </row>
    <row r="4147" spans="1:17" ht="105" x14ac:dyDescent="0.25">
      <c r="A4147" s="9" t="s">
        <v>6924</v>
      </c>
      <c r="B4147" s="9" t="s">
        <v>6857</v>
      </c>
      <c r="C4147" s="9"/>
      <c r="D4147" s="9" t="s">
        <v>6742</v>
      </c>
      <c r="E4147" s="9" t="s">
        <v>3718</v>
      </c>
      <c r="F4147" s="9" t="s">
        <v>3719</v>
      </c>
      <c r="G4147" s="10" t="s">
        <v>6579</v>
      </c>
      <c r="H4147" s="9"/>
      <c r="I4147" s="9"/>
      <c r="J4147" s="9"/>
      <c r="K4147" s="9"/>
      <c r="L4147" s="9" t="s">
        <v>3720</v>
      </c>
      <c r="M4147" s="9" t="s">
        <v>3721</v>
      </c>
      <c r="N4147" s="9"/>
      <c r="O4147" s="9" t="s">
        <v>3722</v>
      </c>
      <c r="P4147" s="9" t="str">
        <f>HYPERLINK("https://ceds.ed.gov/cedselementdetails.aspx?termid=14360")</f>
        <v>https://ceds.ed.gov/cedselementdetails.aspx?termid=14360</v>
      </c>
      <c r="Q4147" s="9" t="str">
        <f>HYPERLINK("https://ceds.ed.gov/elementComment.aspx?elementName=Learning Resource Access Mode Type &amp;elementID=14360", "Click here to submit comment")</f>
        <v>Click here to submit comment</v>
      </c>
    </row>
    <row r="4148" spans="1:17" ht="165" x14ac:dyDescent="0.25">
      <c r="A4148" s="9" t="s">
        <v>6924</v>
      </c>
      <c r="B4148" s="9" t="s">
        <v>6857</v>
      </c>
      <c r="C4148" s="9"/>
      <c r="D4148" s="9" t="s">
        <v>6742</v>
      </c>
      <c r="E4148" s="9" t="s">
        <v>11625</v>
      </c>
      <c r="F4148" s="9" t="s">
        <v>3723</v>
      </c>
      <c r="G4148" s="10" t="s">
        <v>6580</v>
      </c>
      <c r="H4148" s="9"/>
      <c r="I4148" s="9" t="s">
        <v>91</v>
      </c>
      <c r="J4148" s="9"/>
      <c r="K4148" s="9" t="s">
        <v>11626</v>
      </c>
      <c r="L4148" s="9"/>
      <c r="M4148" s="9" t="s">
        <v>3725</v>
      </c>
      <c r="N4148" s="9"/>
      <c r="O4148" s="9" t="s">
        <v>11627</v>
      </c>
      <c r="P4148" s="9" t="str">
        <f>HYPERLINK("https://ceds.ed.gov/cedselementdetails.aspx?termid=14537")</f>
        <v>https://ceds.ed.gov/cedselementdetails.aspx?termid=14537</v>
      </c>
      <c r="Q4148" s="9" t="str">
        <f>HYPERLINK("https://ceds.ed.gov/elementComment.aspx?elementName=Learning Resource Access Rights URL &amp;elementID=14537", "Click here to submit comment")</f>
        <v>Click here to submit comment</v>
      </c>
    </row>
    <row r="4149" spans="1:17" ht="75" x14ac:dyDescent="0.25">
      <c r="A4149" s="9" t="s">
        <v>6924</v>
      </c>
      <c r="B4149" s="9" t="s">
        <v>6857</v>
      </c>
      <c r="C4149" s="9"/>
      <c r="D4149" s="9" t="s">
        <v>6742</v>
      </c>
      <c r="E4149" s="9" t="s">
        <v>3734</v>
      </c>
      <c r="F4149" s="9" t="s">
        <v>3735</v>
      </c>
      <c r="G4149" s="9" t="s">
        <v>6106</v>
      </c>
      <c r="H4149" s="9"/>
      <c r="I4149" s="9"/>
      <c r="J4149" s="9"/>
      <c r="K4149" s="9"/>
      <c r="L4149" s="9" t="s">
        <v>3736</v>
      </c>
      <c r="M4149" s="9" t="s">
        <v>3737</v>
      </c>
      <c r="N4149" s="9"/>
      <c r="O4149" s="9" t="s">
        <v>3738</v>
      </c>
      <c r="P4149" s="9" t="str">
        <f>HYPERLINK("https://ceds.ed.gov/cedselementdetails.aspx?termid=14362")</f>
        <v>https://ceds.ed.gov/cedselementdetails.aspx?termid=14362</v>
      </c>
      <c r="Q4149" s="9" t="str">
        <f>HYPERLINK("https://ceds.ed.gov/elementComment.aspx?elementName=Learning Resource Assistive Technologies Compatible Indicator &amp;elementID=14362", "Click here to submit comment")</f>
        <v>Click here to submit comment</v>
      </c>
    </row>
    <row r="4150" spans="1:17" ht="135" x14ac:dyDescent="0.25">
      <c r="A4150" s="9" t="s">
        <v>6924</v>
      </c>
      <c r="B4150" s="9" t="s">
        <v>6857</v>
      </c>
      <c r="C4150" s="9"/>
      <c r="D4150" s="9" t="s">
        <v>6742</v>
      </c>
      <c r="E4150" s="9" t="s">
        <v>3755</v>
      </c>
      <c r="F4150" s="9" t="s">
        <v>3756</v>
      </c>
      <c r="G4150" s="10" t="s">
        <v>6582</v>
      </c>
      <c r="H4150" s="9"/>
      <c r="I4150" s="9"/>
      <c r="J4150" s="9"/>
      <c r="K4150" s="9"/>
      <c r="L4150" s="9"/>
      <c r="M4150" s="9" t="s">
        <v>3757</v>
      </c>
      <c r="N4150" s="9"/>
      <c r="O4150" s="9" t="s">
        <v>3758</v>
      </c>
      <c r="P4150" s="9" t="str">
        <f>HYPERLINK("https://ceds.ed.gov/cedselementdetails.aspx?termid=14363")</f>
        <v>https://ceds.ed.gov/cedselementdetails.aspx?termid=14363</v>
      </c>
      <c r="Q4150" s="9" t="str">
        <f>HYPERLINK("https://ceds.ed.gov/elementComment.aspx?elementName=Learning Resource Book Format Type &amp;elementID=14363", "Click here to submit comment")</f>
        <v>Click here to submit comment</v>
      </c>
    </row>
    <row r="4151" spans="1:17" ht="135" x14ac:dyDescent="0.25">
      <c r="A4151" s="9" t="s">
        <v>6924</v>
      </c>
      <c r="B4151" s="9" t="s">
        <v>6857</v>
      </c>
      <c r="C4151" s="9"/>
      <c r="D4151" s="9" t="s">
        <v>6742</v>
      </c>
      <c r="E4151" s="9" t="s">
        <v>3759</v>
      </c>
      <c r="F4151" s="9" t="s">
        <v>3760</v>
      </c>
      <c r="G4151" s="10" t="s">
        <v>6583</v>
      </c>
      <c r="H4151" s="9"/>
      <c r="I4151" s="9"/>
      <c r="J4151" s="9"/>
      <c r="K4151" s="9"/>
      <c r="L4151" s="9" t="s">
        <v>3761</v>
      </c>
      <c r="M4151" s="9" t="s">
        <v>3762</v>
      </c>
      <c r="N4151" s="9"/>
      <c r="O4151" s="9" t="s">
        <v>3763</v>
      </c>
      <c r="P4151" s="9" t="str">
        <f>HYPERLINK("https://ceds.ed.gov/cedselementdetails.aspx?termid=13879")</f>
        <v>https://ceds.ed.gov/cedselementdetails.aspx?termid=13879</v>
      </c>
      <c r="Q4151" s="9" t="str">
        <f>HYPERLINK("https://ceds.ed.gov/elementComment.aspx?elementName=Learning Resource Competency Alignment Type &amp;elementID=13879", "Click here to submit comment")</f>
        <v>Click here to submit comment</v>
      </c>
    </row>
    <row r="4152" spans="1:17" ht="45" x14ac:dyDescent="0.25">
      <c r="A4152" s="9" t="s">
        <v>6924</v>
      </c>
      <c r="B4152" s="9" t="s">
        <v>6857</v>
      </c>
      <c r="C4152" s="9"/>
      <c r="D4152" s="9" t="s">
        <v>6742</v>
      </c>
      <c r="E4152" s="9" t="s">
        <v>3764</v>
      </c>
      <c r="F4152" s="9" t="s">
        <v>3765</v>
      </c>
      <c r="G4152" s="9" t="s">
        <v>12</v>
      </c>
      <c r="H4152" s="9"/>
      <c r="I4152" s="9"/>
      <c r="J4152" s="9" t="s">
        <v>68</v>
      </c>
      <c r="K4152" s="9"/>
      <c r="L4152" s="9"/>
      <c r="M4152" s="9" t="s">
        <v>3766</v>
      </c>
      <c r="N4152" s="9"/>
      <c r="O4152" s="9" t="s">
        <v>3767</v>
      </c>
      <c r="P4152" s="9" t="str">
        <f>HYPERLINK("https://ceds.ed.gov/cedselementdetails.aspx?termid=14159")</f>
        <v>https://ceds.ed.gov/cedselementdetails.aspx?termid=14159</v>
      </c>
      <c r="Q4152" s="9" t="str">
        <f>HYPERLINK("https://ceds.ed.gov/elementComment.aspx?elementName=Learning Resource Concept Keyword &amp;elementID=14159", "Click here to submit comment")</f>
        <v>Click here to submit comment</v>
      </c>
    </row>
    <row r="4153" spans="1:17" ht="105" x14ac:dyDescent="0.25">
      <c r="A4153" s="9" t="s">
        <v>6924</v>
      </c>
      <c r="B4153" s="9" t="s">
        <v>6857</v>
      </c>
      <c r="C4153" s="9"/>
      <c r="D4153" s="9" t="s">
        <v>6742</v>
      </c>
      <c r="E4153" s="9" t="s">
        <v>3768</v>
      </c>
      <c r="F4153" s="9" t="s">
        <v>3769</v>
      </c>
      <c r="G4153" s="10" t="s">
        <v>6584</v>
      </c>
      <c r="H4153" s="9"/>
      <c r="I4153" s="9"/>
      <c r="J4153" s="9"/>
      <c r="K4153" s="9"/>
      <c r="L4153" s="9"/>
      <c r="M4153" s="9" t="s">
        <v>3770</v>
      </c>
      <c r="N4153" s="9"/>
      <c r="O4153" s="9" t="s">
        <v>3771</v>
      </c>
      <c r="P4153" s="9" t="str">
        <f>HYPERLINK("https://ceds.ed.gov/cedselementdetails.aspx?termid=14364")</f>
        <v>https://ceds.ed.gov/cedselementdetails.aspx?termid=14364</v>
      </c>
      <c r="Q4153" s="9" t="str">
        <f>HYPERLINK("https://ceds.ed.gov/elementComment.aspx?elementName=Learning Resource Control Flexibility Type &amp;elementID=14364", "Click here to submit comment")</f>
        <v>Click here to submit comment</v>
      </c>
    </row>
    <row r="4154" spans="1:17" ht="45" x14ac:dyDescent="0.25">
      <c r="A4154" s="9" t="s">
        <v>6924</v>
      </c>
      <c r="B4154" s="9" t="s">
        <v>6857</v>
      </c>
      <c r="C4154" s="9"/>
      <c r="D4154" s="9" t="s">
        <v>6742</v>
      </c>
      <c r="E4154" s="9" t="s">
        <v>3772</v>
      </c>
      <c r="F4154" s="9" t="s">
        <v>3773</v>
      </c>
      <c r="G4154" s="9" t="s">
        <v>12</v>
      </c>
      <c r="H4154" s="9"/>
      <c r="I4154" s="9"/>
      <c r="J4154" s="9" t="s">
        <v>92</v>
      </c>
      <c r="K4154" s="9"/>
      <c r="L4154" s="9"/>
      <c r="M4154" s="9" t="s">
        <v>3774</v>
      </c>
      <c r="N4154" s="9"/>
      <c r="O4154" s="9" t="s">
        <v>3775</v>
      </c>
      <c r="P4154" s="9" t="str">
        <f>HYPERLINK("https://ceds.ed.gov/cedselementdetails.aspx?termid=14157")</f>
        <v>https://ceds.ed.gov/cedselementdetails.aspx?termid=14157</v>
      </c>
      <c r="Q4154" s="9" t="str">
        <f>HYPERLINK("https://ceds.ed.gov/elementComment.aspx?elementName=Learning Resource Copyright Holder Name &amp;elementID=14157", "Click here to submit comment")</f>
        <v>Click here to submit comment</v>
      </c>
    </row>
    <row r="4155" spans="1:17" ht="105" x14ac:dyDescent="0.25">
      <c r="A4155" s="9" t="s">
        <v>6924</v>
      </c>
      <c r="B4155" s="9" t="s">
        <v>6857</v>
      </c>
      <c r="C4155" s="9"/>
      <c r="D4155" s="9" t="s">
        <v>6742</v>
      </c>
      <c r="E4155" s="9" t="s">
        <v>3796</v>
      </c>
      <c r="F4155" s="9" t="s">
        <v>3797</v>
      </c>
      <c r="G4155" s="9" t="s">
        <v>3798</v>
      </c>
      <c r="H4155" s="9"/>
      <c r="I4155" s="9"/>
      <c r="J4155" s="9"/>
      <c r="K4155" s="9"/>
      <c r="L4155" s="9"/>
      <c r="M4155" s="9" t="s">
        <v>3799</v>
      </c>
      <c r="N4155" s="9"/>
      <c r="O4155" s="9" t="s">
        <v>3800</v>
      </c>
      <c r="P4155" s="9" t="str">
        <f>HYPERLINK("https://ceds.ed.gov/cedselementdetails.aspx?termid=14365")</f>
        <v>https://ceds.ed.gov/cedselementdetails.aspx?termid=14365</v>
      </c>
      <c r="Q4155" s="9" t="str">
        <f>HYPERLINK("https://ceds.ed.gov/elementComment.aspx?elementName=Learning Resource Digital Media Sub Type &amp;elementID=14365", "Click here to submit comment")</f>
        <v>Click here to submit comment</v>
      </c>
    </row>
    <row r="4156" spans="1:17" ht="150" x14ac:dyDescent="0.25">
      <c r="A4156" s="9" t="s">
        <v>6924</v>
      </c>
      <c r="B4156" s="9" t="s">
        <v>6857</v>
      </c>
      <c r="C4156" s="9"/>
      <c r="D4156" s="9" t="s">
        <v>6742</v>
      </c>
      <c r="E4156" s="9" t="s">
        <v>3801</v>
      </c>
      <c r="F4156" s="9" t="s">
        <v>3802</v>
      </c>
      <c r="G4156" s="10" t="s">
        <v>6585</v>
      </c>
      <c r="H4156" s="9"/>
      <c r="I4156" s="9"/>
      <c r="J4156" s="9"/>
      <c r="K4156" s="9"/>
      <c r="L4156" s="9"/>
      <c r="M4156" s="9" t="s">
        <v>3803</v>
      </c>
      <c r="N4156" s="9"/>
      <c r="O4156" s="9" t="s">
        <v>3804</v>
      </c>
      <c r="P4156" s="9" t="str">
        <f>HYPERLINK("https://ceds.ed.gov/cedselementdetails.aspx?termid=14366")</f>
        <v>https://ceds.ed.gov/cedselementdetails.aspx?termid=14366</v>
      </c>
      <c r="Q4156" s="9" t="str">
        <f>HYPERLINK("https://ceds.ed.gov/elementComment.aspx?elementName=Learning Resource Digital Media Type &amp;elementID=14366", "Click here to submit comment")</f>
        <v>Click here to submit comment</v>
      </c>
    </row>
    <row r="4157" spans="1:17" ht="409.5" x14ac:dyDescent="0.25">
      <c r="A4157" s="9" t="s">
        <v>6924</v>
      </c>
      <c r="B4157" s="9" t="s">
        <v>6857</v>
      </c>
      <c r="C4157" s="9"/>
      <c r="D4157" s="9" t="s">
        <v>6742</v>
      </c>
      <c r="E4157" s="9" t="s">
        <v>3848</v>
      </c>
      <c r="F4157" s="9" t="s">
        <v>3849</v>
      </c>
      <c r="G4157" s="10" t="s">
        <v>6591</v>
      </c>
      <c r="H4157" s="9"/>
      <c r="I4157" s="9"/>
      <c r="J4157" s="9"/>
      <c r="K4157" s="9"/>
      <c r="L4157" s="9"/>
      <c r="M4157" s="9" t="s">
        <v>3850</v>
      </c>
      <c r="N4157" s="9"/>
      <c r="O4157" s="9" t="s">
        <v>3851</v>
      </c>
      <c r="P4157" s="9" t="str">
        <f>HYPERLINK("https://ceds.ed.gov/cedselementdetails.aspx?termid=14370")</f>
        <v>https://ceds.ed.gov/cedselementdetails.aspx?termid=14370</v>
      </c>
      <c r="Q4157" s="9" t="str">
        <f>HYPERLINK("https://ceds.ed.gov/elementComment.aspx?elementName=Learning Resource Physical Media Type &amp;elementID=14370", "Click here to submit comment")</f>
        <v>Click here to submit comment</v>
      </c>
    </row>
    <row r="4158" spans="1:17" ht="345" x14ac:dyDescent="0.25">
      <c r="A4158" s="9" t="s">
        <v>6924</v>
      </c>
      <c r="B4158" s="9" t="s">
        <v>6857</v>
      </c>
      <c r="C4158" s="9"/>
      <c r="D4158" s="9" t="s">
        <v>6742</v>
      </c>
      <c r="E4158" s="9" t="s">
        <v>3835</v>
      </c>
      <c r="F4158" s="9" t="s">
        <v>3836</v>
      </c>
      <c r="G4158" s="10" t="s">
        <v>6590</v>
      </c>
      <c r="H4158" s="9"/>
      <c r="I4158" s="9"/>
      <c r="J4158" s="9"/>
      <c r="K4158" s="9"/>
      <c r="L4158" s="9" t="s">
        <v>3837</v>
      </c>
      <c r="M4158" s="9" t="s">
        <v>3838</v>
      </c>
      <c r="N4158" s="9"/>
      <c r="O4158" s="9" t="s">
        <v>3839</v>
      </c>
      <c r="P4158" s="9" t="str">
        <f>HYPERLINK("https://ceds.ed.gov/cedselementdetails.aspx?termid=14368")</f>
        <v>https://ceds.ed.gov/cedselementdetails.aspx?termid=14368</v>
      </c>
      <c r="Q4158" s="9" t="str">
        <f>HYPERLINK("https://ceds.ed.gov/elementComment.aspx?elementName=Learning Resource Media Feature Type &amp;elementID=14368", "Click here to submit comment")</f>
        <v>Click here to submit comment</v>
      </c>
    </row>
    <row r="4159" spans="1:17" ht="409.5" x14ac:dyDescent="0.25">
      <c r="A4159" s="9" t="s">
        <v>6924</v>
      </c>
      <c r="B4159" s="9" t="s">
        <v>6857</v>
      </c>
      <c r="C4159" s="9"/>
      <c r="D4159" s="9" t="s">
        <v>6742</v>
      </c>
      <c r="E4159" s="9" t="s">
        <v>3805</v>
      </c>
      <c r="F4159" s="9" t="s">
        <v>3806</v>
      </c>
      <c r="G4159" s="10" t="s">
        <v>6420</v>
      </c>
      <c r="H4159" s="9"/>
      <c r="I4159" s="9"/>
      <c r="J4159" s="9"/>
      <c r="K4159" s="9"/>
      <c r="L4159" s="9"/>
      <c r="M4159" s="9" t="s">
        <v>3807</v>
      </c>
      <c r="N4159" s="9"/>
      <c r="O4159" s="9" t="s">
        <v>3808</v>
      </c>
      <c r="P4159" s="9" t="str">
        <f>HYPERLINK("https://ceds.ed.gov/cedselementdetails.aspx?termid=14212")</f>
        <v>https://ceds.ed.gov/cedselementdetails.aspx?termid=14212</v>
      </c>
      <c r="Q4159" s="9" t="str">
        <f>HYPERLINK("https://ceds.ed.gov/elementComment.aspx?elementName=Learning Resource Education Level  &amp;elementID=14212", "Click here to submit comment")</f>
        <v>Click here to submit comment</v>
      </c>
    </row>
    <row r="4160" spans="1:17" ht="45" x14ac:dyDescent="0.25">
      <c r="A4160" s="9" t="s">
        <v>6924</v>
      </c>
      <c r="B4160" s="9" t="s">
        <v>6857</v>
      </c>
      <c r="C4160" s="9"/>
      <c r="D4160" s="9" t="s">
        <v>6742</v>
      </c>
      <c r="E4160" s="9" t="s">
        <v>3907</v>
      </c>
      <c r="F4160" s="9" t="s">
        <v>3908</v>
      </c>
      <c r="G4160" s="9" t="s">
        <v>12</v>
      </c>
      <c r="H4160" s="9"/>
      <c r="I4160" s="9"/>
      <c r="J4160" s="9" t="s">
        <v>10489</v>
      </c>
      <c r="K4160" s="9"/>
      <c r="L4160" s="9"/>
      <c r="M4160" s="9" t="s">
        <v>3909</v>
      </c>
      <c r="N4160" s="9"/>
      <c r="O4160" s="9" t="s">
        <v>3910</v>
      </c>
      <c r="P4160" s="9" t="str">
        <f>HYPERLINK("https://ceds.ed.gov/cedselementdetails.aspx?termid=13926")</f>
        <v>https://ceds.ed.gov/cedselementdetails.aspx?termid=13926</v>
      </c>
      <c r="Q4160" s="9" t="str">
        <f>HYPERLINK("https://ceds.ed.gov/elementComment.aspx?elementName=Learning Resource Typical Age Range Minimum &amp;elementID=13926", "Click here to submit comment")</f>
        <v>Click here to submit comment</v>
      </c>
    </row>
    <row r="4161" spans="1:17" ht="45" x14ac:dyDescent="0.25">
      <c r="A4161" s="9" t="s">
        <v>6924</v>
      </c>
      <c r="B4161" s="9" t="s">
        <v>6857</v>
      </c>
      <c r="C4161" s="9"/>
      <c r="D4161" s="9" t="s">
        <v>6742</v>
      </c>
      <c r="E4161" s="9" t="s">
        <v>3903</v>
      </c>
      <c r="F4161" s="9" t="s">
        <v>3904</v>
      </c>
      <c r="G4161" s="9" t="s">
        <v>12</v>
      </c>
      <c r="H4161" s="9"/>
      <c r="I4161" s="9"/>
      <c r="J4161" s="9" t="s">
        <v>10489</v>
      </c>
      <c r="K4161" s="9"/>
      <c r="L4161" s="9"/>
      <c r="M4161" s="9" t="s">
        <v>3905</v>
      </c>
      <c r="N4161" s="9"/>
      <c r="O4161" s="9" t="s">
        <v>3906</v>
      </c>
      <c r="P4161" s="9" t="str">
        <f>HYPERLINK("https://ceds.ed.gov/cedselementdetails.aspx?termid=13927")</f>
        <v>https://ceds.ed.gov/cedselementdetails.aspx?termid=13927</v>
      </c>
      <c r="Q4161" s="9" t="str">
        <f>HYPERLINK("https://ceds.ed.gov/elementComment.aspx?elementName=Learning Resource Typical Age Range Maximum &amp;elementID=13927", "Click here to submit comment")</f>
        <v>Click here to submit comment</v>
      </c>
    </row>
    <row r="4162" spans="1:17" ht="150" x14ac:dyDescent="0.25">
      <c r="A4162" s="9" t="s">
        <v>6924</v>
      </c>
      <c r="B4162" s="9" t="s">
        <v>6857</v>
      </c>
      <c r="C4162" s="9"/>
      <c r="D4162" s="9" t="s">
        <v>6742</v>
      </c>
      <c r="E4162" s="9" t="s">
        <v>3813</v>
      </c>
      <c r="F4162" s="9" t="s">
        <v>3814</v>
      </c>
      <c r="G4162" s="10" t="s">
        <v>6587</v>
      </c>
      <c r="H4162" s="9"/>
      <c r="I4162" s="9"/>
      <c r="J4162" s="9"/>
      <c r="K4162" s="9"/>
      <c r="L4162" s="9"/>
      <c r="M4162" s="9" t="s">
        <v>3815</v>
      </c>
      <c r="N4162" s="9"/>
      <c r="O4162" s="9" t="s">
        <v>3816</v>
      </c>
      <c r="P4162" s="9" t="str">
        <f>HYPERLINK("https://ceds.ed.gov/cedselementdetails.aspx?termid=13924")</f>
        <v>https://ceds.ed.gov/cedselementdetails.aspx?termid=13924</v>
      </c>
      <c r="Q4162" s="9" t="str">
        <f>HYPERLINK("https://ceds.ed.gov/elementComment.aspx?elementName=Learning Resource Intended End User Role &amp;elementID=13924", "Click here to submit comment")</f>
        <v>Click here to submit comment</v>
      </c>
    </row>
    <row r="4163" spans="1:17" ht="105" x14ac:dyDescent="0.25">
      <c r="A4163" s="9" t="s">
        <v>6924</v>
      </c>
      <c r="B4163" s="9" t="s">
        <v>6857</v>
      </c>
      <c r="C4163" s="9"/>
      <c r="D4163" s="9" t="s">
        <v>6742</v>
      </c>
      <c r="E4163" s="9" t="s">
        <v>3809</v>
      </c>
      <c r="F4163" s="9" t="s">
        <v>3810</v>
      </c>
      <c r="G4163" s="10" t="s">
        <v>6586</v>
      </c>
      <c r="H4163" s="9"/>
      <c r="I4163" s="9"/>
      <c r="J4163" s="9"/>
      <c r="K4163" s="9"/>
      <c r="L4163" s="9"/>
      <c r="M4163" s="9" t="s">
        <v>3811</v>
      </c>
      <c r="N4163" s="9"/>
      <c r="O4163" s="9" t="s">
        <v>3812</v>
      </c>
      <c r="P4163" s="9" t="str">
        <f>HYPERLINK("https://ceds.ed.gov/cedselementdetails.aspx?termid=14005")</f>
        <v>https://ceds.ed.gov/cedselementdetails.aspx?termid=14005</v>
      </c>
      <c r="Q4163" s="9" t="str">
        <f>HYPERLINK("https://ceds.ed.gov/elementComment.aspx?elementName=Learning Resource Educational Use &amp;elementID=14005", "Click here to submit comment")</f>
        <v>Click here to submit comment</v>
      </c>
    </row>
    <row r="4164" spans="1:17" ht="150" x14ac:dyDescent="0.25">
      <c r="A4164" s="9" t="s">
        <v>6924</v>
      </c>
      <c r="B4164" s="9" t="s">
        <v>6857</v>
      </c>
      <c r="C4164" s="9"/>
      <c r="D4164" s="9" t="s">
        <v>6742</v>
      </c>
      <c r="E4164" s="9" t="s">
        <v>3817</v>
      </c>
      <c r="F4164" s="9" t="s">
        <v>3818</v>
      </c>
      <c r="G4164" s="10" t="s">
        <v>6588</v>
      </c>
      <c r="H4164" s="9"/>
      <c r="I4164" s="9"/>
      <c r="J4164" s="9"/>
      <c r="K4164" s="9"/>
      <c r="L4164" s="9"/>
      <c r="M4164" s="9" t="s">
        <v>3819</v>
      </c>
      <c r="N4164" s="9"/>
      <c r="O4164" s="9" t="s">
        <v>3820</v>
      </c>
      <c r="P4164" s="9" t="str">
        <f>HYPERLINK("https://ceds.ed.gov/cedselementdetails.aspx?termid=14543")</f>
        <v>https://ceds.ed.gov/cedselementdetails.aspx?termid=14543</v>
      </c>
      <c r="Q4164" s="9" t="str">
        <f>HYPERLINK("https://ceds.ed.gov/elementComment.aspx?elementName=Learning Resource Interaction Mode &amp;elementID=14543", "Click here to submit comment")</f>
        <v>Click here to submit comment</v>
      </c>
    </row>
    <row r="4165" spans="1:17" ht="60" x14ac:dyDescent="0.25">
      <c r="A4165" s="9" t="s">
        <v>6924</v>
      </c>
      <c r="B4165" s="9" t="s">
        <v>6857</v>
      </c>
      <c r="C4165" s="9"/>
      <c r="D4165" s="9" t="s">
        <v>6742</v>
      </c>
      <c r="E4165" s="9" t="s">
        <v>3821</v>
      </c>
      <c r="F4165" s="9" t="s">
        <v>3822</v>
      </c>
      <c r="G4165" s="10" t="s">
        <v>6589</v>
      </c>
      <c r="H4165" s="9"/>
      <c r="I4165" s="9"/>
      <c r="J4165" s="9"/>
      <c r="K4165" s="9"/>
      <c r="L4165" s="9"/>
      <c r="M4165" s="9" t="s">
        <v>3823</v>
      </c>
      <c r="N4165" s="9"/>
      <c r="O4165" s="9" t="s">
        <v>3824</v>
      </c>
      <c r="P4165" s="9" t="str">
        <f>HYPERLINK("https://ceds.ed.gov/cedselementdetails.aspx?termid=13928")</f>
        <v>https://ceds.ed.gov/cedselementdetails.aspx?termid=13928</v>
      </c>
      <c r="Q4165" s="9" t="str">
        <f>HYPERLINK("https://ceds.ed.gov/elementComment.aspx?elementName=Learning Resource Interactivity Type &amp;elementID=13928", "Click here to submit comment")</f>
        <v>Click here to submit comment</v>
      </c>
    </row>
    <row r="4166" spans="1:17" ht="90" x14ac:dyDescent="0.25">
      <c r="A4166" s="18" t="s">
        <v>6924</v>
      </c>
      <c r="B4166" s="18" t="s">
        <v>6857</v>
      </c>
      <c r="C4166" s="18"/>
      <c r="D4166" s="18" t="s">
        <v>6742</v>
      </c>
      <c r="E4166" s="18" t="s">
        <v>3825</v>
      </c>
      <c r="F4166" s="18" t="s">
        <v>3826</v>
      </c>
      <c r="G4166" s="20" t="s">
        <v>966</v>
      </c>
      <c r="H4166" s="18"/>
      <c r="I4166" s="18"/>
      <c r="J4166" s="18"/>
      <c r="K4166" s="18"/>
      <c r="L4166" s="11" t="s">
        <v>967</v>
      </c>
      <c r="M4166" s="18" t="s">
        <v>3828</v>
      </c>
      <c r="N4166" s="18"/>
      <c r="O4166" s="18" t="s">
        <v>3829</v>
      </c>
      <c r="P4166" s="18" t="str">
        <f>HYPERLINK("https://ceds.ed.gov/cedselementdetails.aspx?termid=13920")</f>
        <v>https://ceds.ed.gov/cedselementdetails.aspx?termid=13920</v>
      </c>
      <c r="Q4166" s="18" t="str">
        <f>HYPERLINK("https://ceds.ed.gov/elementComment.aspx?elementName=Learning Resource Language &amp;elementID=13920", "Click here to submit comment")</f>
        <v>Click here to submit comment</v>
      </c>
    </row>
    <row r="4167" spans="1:17" ht="75" x14ac:dyDescent="0.25">
      <c r="A4167" s="18"/>
      <c r="B4167" s="18"/>
      <c r="C4167" s="18"/>
      <c r="D4167" s="18"/>
      <c r="E4167" s="18"/>
      <c r="F4167" s="18"/>
      <c r="G4167" s="20"/>
      <c r="H4167" s="18"/>
      <c r="I4167" s="18"/>
      <c r="J4167" s="18"/>
      <c r="K4167" s="18"/>
      <c r="L4167" s="9" t="s">
        <v>3827</v>
      </c>
      <c r="M4167" s="18"/>
      <c r="N4167" s="18"/>
      <c r="O4167" s="18"/>
      <c r="P4167" s="18"/>
      <c r="Q4167" s="18"/>
    </row>
    <row r="4168" spans="1:17" ht="210" x14ac:dyDescent="0.25">
      <c r="A4168" s="9" t="s">
        <v>6924</v>
      </c>
      <c r="B4168" s="9" t="s">
        <v>6857</v>
      </c>
      <c r="C4168" s="9"/>
      <c r="D4168" s="9" t="s">
        <v>6742</v>
      </c>
      <c r="E4168" s="9" t="s">
        <v>3868</v>
      </c>
      <c r="F4168" s="9" t="s">
        <v>3869</v>
      </c>
      <c r="G4168" s="9" t="s">
        <v>12</v>
      </c>
      <c r="H4168" s="9"/>
      <c r="I4168" s="9"/>
      <c r="J4168" s="9" t="s">
        <v>87</v>
      </c>
      <c r="K4168" s="9"/>
      <c r="L4168" s="9" t="s">
        <v>3870</v>
      </c>
      <c r="M4168" s="9" t="s">
        <v>3871</v>
      </c>
      <c r="N4168" s="9"/>
      <c r="O4168" s="9" t="s">
        <v>3872</v>
      </c>
      <c r="P4168" s="9" t="str">
        <f>HYPERLINK("https://ceds.ed.gov/cedselementdetails.aspx?termid=13914")</f>
        <v>https://ceds.ed.gov/cedselementdetails.aspx?termid=13914</v>
      </c>
      <c r="Q4168" s="9" t="str">
        <f>HYPERLINK("https://ceds.ed.gov/elementComment.aspx?elementName=Learning Resource Subject Code &amp;elementID=13914", "Click here to submit comment")</f>
        <v>Click here to submit comment</v>
      </c>
    </row>
    <row r="4169" spans="1:17" ht="240" x14ac:dyDescent="0.25">
      <c r="A4169" s="9" t="s">
        <v>6924</v>
      </c>
      <c r="B4169" s="9" t="s">
        <v>6857</v>
      </c>
      <c r="C4169" s="9"/>
      <c r="D4169" s="9" t="s">
        <v>6742</v>
      </c>
      <c r="E4169" s="9" t="s">
        <v>3873</v>
      </c>
      <c r="F4169" s="9" t="s">
        <v>3874</v>
      </c>
      <c r="G4169" s="9" t="s">
        <v>12</v>
      </c>
      <c r="H4169" s="9"/>
      <c r="I4169" s="9"/>
      <c r="J4169" s="9" t="s">
        <v>87</v>
      </c>
      <c r="K4169" s="9"/>
      <c r="L4169" s="9" t="s">
        <v>3875</v>
      </c>
      <c r="M4169" s="9" t="s">
        <v>3876</v>
      </c>
      <c r="N4169" s="9"/>
      <c r="O4169" s="9" t="s">
        <v>3877</v>
      </c>
      <c r="P4169" s="9" t="str">
        <f>HYPERLINK("https://ceds.ed.gov/cedselementdetails.aspx?termid=13915")</f>
        <v>https://ceds.ed.gov/cedselementdetails.aspx?termid=13915</v>
      </c>
      <c r="Q4169" s="9" t="str">
        <f>HYPERLINK("https://ceds.ed.gov/elementComment.aspx?elementName=Learning Resource Subject Code System &amp;elementID=13915", "Click here to submit comment")</f>
        <v>Click here to submit comment</v>
      </c>
    </row>
    <row r="4170" spans="1:17" ht="45" x14ac:dyDescent="0.25">
      <c r="A4170" s="9" t="s">
        <v>6924</v>
      </c>
      <c r="B4170" s="9" t="s">
        <v>6857</v>
      </c>
      <c r="C4170" s="9"/>
      <c r="D4170" s="9" t="s">
        <v>6742</v>
      </c>
      <c r="E4170" s="9" t="s">
        <v>3878</v>
      </c>
      <c r="F4170" s="9" t="s">
        <v>3879</v>
      </c>
      <c r="G4170" s="9" t="s">
        <v>12</v>
      </c>
      <c r="H4170" s="9"/>
      <c r="I4170" s="9"/>
      <c r="J4170" s="9" t="s">
        <v>87</v>
      </c>
      <c r="K4170" s="9"/>
      <c r="L4170" s="9"/>
      <c r="M4170" s="9" t="s">
        <v>3880</v>
      </c>
      <c r="N4170" s="9"/>
      <c r="O4170" s="9" t="s">
        <v>3881</v>
      </c>
      <c r="P4170" s="9" t="str">
        <f>HYPERLINK("https://ceds.ed.gov/cedselementdetails.aspx?termid=13913")</f>
        <v>https://ceds.ed.gov/cedselementdetails.aspx?termid=13913</v>
      </c>
      <c r="Q4170" s="9" t="str">
        <f>HYPERLINK("https://ceds.ed.gov/elementComment.aspx?elementName=Learning Resource Subject Name &amp;elementID=13913", "Click here to submit comment")</f>
        <v>Click here to submit comment</v>
      </c>
    </row>
    <row r="4171" spans="1:17" ht="45" x14ac:dyDescent="0.25">
      <c r="A4171" s="9" t="s">
        <v>6924</v>
      </c>
      <c r="B4171" s="9" t="s">
        <v>6857</v>
      </c>
      <c r="C4171" s="9"/>
      <c r="D4171" s="9" t="s">
        <v>6742</v>
      </c>
      <c r="E4171" s="9" t="s">
        <v>3882</v>
      </c>
      <c r="F4171" s="9" t="s">
        <v>3883</v>
      </c>
      <c r="G4171" s="9" t="s">
        <v>12</v>
      </c>
      <c r="H4171" s="9"/>
      <c r="I4171" s="9"/>
      <c r="J4171" s="9" t="s">
        <v>87</v>
      </c>
      <c r="K4171" s="9"/>
      <c r="L4171" s="9"/>
      <c r="M4171" s="9" t="s">
        <v>3884</v>
      </c>
      <c r="N4171" s="9"/>
      <c r="O4171" s="9" t="s">
        <v>3885</v>
      </c>
      <c r="P4171" s="9" t="str">
        <f>HYPERLINK("https://ceds.ed.gov/cedselementdetails.aspx?termid=13931")</f>
        <v>https://ceds.ed.gov/cedselementdetails.aspx?termid=13931</v>
      </c>
      <c r="Q4171" s="9" t="str">
        <f>HYPERLINK("https://ceds.ed.gov/elementComment.aspx?elementName=Learning Resource Text Complexity System &amp;elementID=13931", "Click here to submit comment")</f>
        <v>Click here to submit comment</v>
      </c>
    </row>
    <row r="4172" spans="1:17" ht="45" x14ac:dyDescent="0.25">
      <c r="A4172" s="9" t="s">
        <v>6924</v>
      </c>
      <c r="B4172" s="9" t="s">
        <v>6857</v>
      </c>
      <c r="C4172" s="9"/>
      <c r="D4172" s="9" t="s">
        <v>6742</v>
      </c>
      <c r="E4172" s="9" t="s">
        <v>3886</v>
      </c>
      <c r="F4172" s="9" t="s">
        <v>3887</v>
      </c>
      <c r="G4172" s="9" t="s">
        <v>12</v>
      </c>
      <c r="H4172" s="9"/>
      <c r="I4172" s="9"/>
      <c r="J4172" s="9" t="s">
        <v>87</v>
      </c>
      <c r="K4172" s="9"/>
      <c r="L4172" s="9"/>
      <c r="M4172" s="9" t="s">
        <v>3888</v>
      </c>
      <c r="N4172" s="9"/>
      <c r="O4172" s="9" t="s">
        <v>3889</v>
      </c>
      <c r="P4172" s="9" t="str">
        <f>HYPERLINK("https://ceds.ed.gov/cedselementdetails.aspx?termid=13930")</f>
        <v>https://ceds.ed.gov/cedselementdetails.aspx?termid=13930</v>
      </c>
      <c r="Q4172" s="9" t="str">
        <f>HYPERLINK("https://ceds.ed.gov/elementComment.aspx?elementName=Learning Resource Text Complexity Value &amp;elementID=13930", "Click here to submit comment")</f>
        <v>Click here to submit comment</v>
      </c>
    </row>
    <row r="4173" spans="1:17" ht="60" x14ac:dyDescent="0.25">
      <c r="A4173" s="9" t="s">
        <v>6924</v>
      </c>
      <c r="B4173" s="9" t="s">
        <v>6857</v>
      </c>
      <c r="C4173" s="9"/>
      <c r="D4173" s="9" t="s">
        <v>6742</v>
      </c>
      <c r="E4173" s="9" t="s">
        <v>3890</v>
      </c>
      <c r="F4173" s="9" t="s">
        <v>3891</v>
      </c>
      <c r="G4173" s="9" t="s">
        <v>12</v>
      </c>
      <c r="H4173" s="9"/>
      <c r="I4173" s="9"/>
      <c r="J4173" s="9" t="s">
        <v>4841</v>
      </c>
      <c r="K4173" s="9"/>
      <c r="L4173" s="9"/>
      <c r="M4173" s="9" t="s">
        <v>3892</v>
      </c>
      <c r="N4173" s="9"/>
      <c r="O4173" s="9" t="s">
        <v>3893</v>
      </c>
      <c r="P4173" s="9" t="str">
        <f>HYPERLINK("https://ceds.ed.gov/cedselementdetails.aspx?termid=13925")</f>
        <v>https://ceds.ed.gov/cedselementdetails.aspx?termid=13925</v>
      </c>
      <c r="Q4173" s="9" t="str">
        <f>HYPERLINK("https://ceds.ed.gov/elementComment.aspx?elementName=Learning Resource Time Required &amp;elementID=13925", "Click here to submit comment")</f>
        <v>Click here to submit comment</v>
      </c>
    </row>
    <row r="4174" spans="1:17" ht="45" x14ac:dyDescent="0.25">
      <c r="A4174" s="9" t="s">
        <v>6924</v>
      </c>
      <c r="B4174" s="9" t="s">
        <v>6857</v>
      </c>
      <c r="C4174" s="9"/>
      <c r="D4174" s="9" t="s">
        <v>6742</v>
      </c>
      <c r="E4174" s="9" t="s">
        <v>3830</v>
      </c>
      <c r="F4174" s="9" t="s">
        <v>3831</v>
      </c>
      <c r="G4174" s="9" t="s">
        <v>12</v>
      </c>
      <c r="H4174" s="9"/>
      <c r="I4174" s="9"/>
      <c r="J4174" s="9" t="s">
        <v>1143</v>
      </c>
      <c r="K4174" s="9"/>
      <c r="L4174" s="9" t="s">
        <v>3832</v>
      </c>
      <c r="M4174" s="9" t="s">
        <v>3833</v>
      </c>
      <c r="N4174" s="9"/>
      <c r="O4174" s="9" t="s">
        <v>3834</v>
      </c>
      <c r="P4174" s="9" t="str">
        <f>HYPERLINK("https://ceds.ed.gov/cedselementdetails.aspx?termid=13922")</f>
        <v>https://ceds.ed.gov/cedselementdetails.aspx?termid=13922</v>
      </c>
      <c r="Q4174" s="9" t="str">
        <f>HYPERLINK("https://ceds.ed.gov/elementComment.aspx?elementName=Learning Resource License URL &amp;elementID=13922", "Click here to submit comment")</f>
        <v>Click here to submit comment</v>
      </c>
    </row>
    <row r="4175" spans="1:17" ht="45" x14ac:dyDescent="0.25">
      <c r="A4175" s="9" t="s">
        <v>6924</v>
      </c>
      <c r="B4175" s="9" t="s">
        <v>6857</v>
      </c>
      <c r="C4175" s="9"/>
      <c r="D4175" s="9" t="s">
        <v>6742</v>
      </c>
      <c r="E4175" s="9" t="s">
        <v>3780</v>
      </c>
      <c r="F4175" s="9" t="s">
        <v>3781</v>
      </c>
      <c r="G4175" s="9" t="s">
        <v>12</v>
      </c>
      <c r="H4175" s="9"/>
      <c r="I4175" s="9"/>
      <c r="J4175" s="9" t="s">
        <v>92</v>
      </c>
      <c r="K4175" s="9"/>
      <c r="L4175" s="9"/>
      <c r="M4175" s="9" t="s">
        <v>3782</v>
      </c>
      <c r="N4175" s="9"/>
      <c r="O4175" s="9" t="s">
        <v>3783</v>
      </c>
      <c r="P4175" s="9" t="str">
        <f>HYPERLINK("https://ceds.ed.gov/cedselementdetails.aspx?termid=13918")</f>
        <v>https://ceds.ed.gov/cedselementdetails.aspx?termid=13918</v>
      </c>
      <c r="Q4175" s="9" t="str">
        <f>HYPERLINK("https://ceds.ed.gov/elementComment.aspx?elementName=Learning Resource Creator &amp;elementID=13918", "Click here to submit comment")</f>
        <v>Click here to submit comment</v>
      </c>
    </row>
    <row r="4176" spans="1:17" ht="45" x14ac:dyDescent="0.25">
      <c r="A4176" s="9" t="s">
        <v>6924</v>
      </c>
      <c r="B4176" s="9" t="s">
        <v>6857</v>
      </c>
      <c r="C4176" s="9"/>
      <c r="D4176" s="9" t="s">
        <v>6742</v>
      </c>
      <c r="E4176" s="9" t="s">
        <v>3784</v>
      </c>
      <c r="F4176" s="9" t="s">
        <v>3785</v>
      </c>
      <c r="G4176" s="9" t="s">
        <v>12</v>
      </c>
      <c r="H4176" s="9"/>
      <c r="I4176" s="9"/>
      <c r="J4176" s="9" t="s">
        <v>73</v>
      </c>
      <c r="K4176" s="9"/>
      <c r="L4176" s="9"/>
      <c r="M4176" s="9" t="s">
        <v>3786</v>
      </c>
      <c r="N4176" s="9"/>
      <c r="O4176" s="9" t="s">
        <v>3787</v>
      </c>
      <c r="P4176" s="9" t="str">
        <f>HYPERLINK("https://ceds.ed.gov/cedselementdetails.aspx?termid=13916")</f>
        <v>https://ceds.ed.gov/cedselementdetails.aspx?termid=13916</v>
      </c>
      <c r="Q4176" s="9" t="str">
        <f>HYPERLINK("https://ceds.ed.gov/elementComment.aspx?elementName=Learning Resource Date Created &amp;elementID=13916", "Click here to submit comment")</f>
        <v>Click here to submit comment</v>
      </c>
    </row>
    <row r="4177" spans="1:17" ht="45" x14ac:dyDescent="0.25">
      <c r="A4177" s="9" t="s">
        <v>6924</v>
      </c>
      <c r="B4177" s="9" t="s">
        <v>6857</v>
      </c>
      <c r="C4177" s="9"/>
      <c r="D4177" s="9" t="s">
        <v>6742</v>
      </c>
      <c r="E4177" s="9" t="s">
        <v>3788</v>
      </c>
      <c r="F4177" s="9" t="s">
        <v>3789</v>
      </c>
      <c r="G4177" s="9" t="s">
        <v>12</v>
      </c>
      <c r="H4177" s="9"/>
      <c r="I4177" s="9"/>
      <c r="J4177" s="9" t="s">
        <v>73</v>
      </c>
      <c r="K4177" s="9"/>
      <c r="L4177" s="9"/>
      <c r="M4177" s="9" t="s">
        <v>3790</v>
      </c>
      <c r="N4177" s="9"/>
      <c r="O4177" s="9" t="s">
        <v>3791</v>
      </c>
      <c r="P4177" s="9" t="str">
        <f>HYPERLINK("https://ceds.ed.gov/cedselementdetails.aspx?termid=14542")</f>
        <v>https://ceds.ed.gov/cedselementdetails.aspx?termid=14542</v>
      </c>
      <c r="Q4177" s="9" t="str">
        <f>HYPERLINK("https://ceds.ed.gov/elementComment.aspx?elementName=Learning Resource Date Modified &amp;elementID=14542", "Click here to submit comment")</f>
        <v>Click here to submit comment</v>
      </c>
    </row>
    <row r="4178" spans="1:17" ht="45" x14ac:dyDescent="0.25">
      <c r="A4178" s="9" t="s">
        <v>6924</v>
      </c>
      <c r="B4178" s="9" t="s">
        <v>6857</v>
      </c>
      <c r="C4178" s="9"/>
      <c r="D4178" s="9" t="s">
        <v>6742</v>
      </c>
      <c r="E4178" s="9" t="s">
        <v>3739</v>
      </c>
      <c r="F4178" s="9" t="s">
        <v>3740</v>
      </c>
      <c r="G4178" s="9" t="s">
        <v>12</v>
      </c>
      <c r="H4178" s="9"/>
      <c r="I4178" s="9"/>
      <c r="J4178" s="9" t="s">
        <v>11127</v>
      </c>
      <c r="K4178" s="9"/>
      <c r="L4178" s="9"/>
      <c r="M4178" s="9" t="s">
        <v>3741</v>
      </c>
      <c r="N4178" s="9"/>
      <c r="O4178" s="9" t="s">
        <v>3742</v>
      </c>
      <c r="P4178" s="9" t="str">
        <f>HYPERLINK("https://ceds.ed.gov/cedselementdetails.aspx?termid=14544")</f>
        <v>https://ceds.ed.gov/cedselementdetails.aspx?termid=14544</v>
      </c>
      <c r="Q4178" s="9" t="str">
        <f>HYPERLINK("https://ceds.ed.gov/elementComment.aspx?elementName=Learning Resource Author Email &amp;elementID=14544", "Click here to submit comment")</f>
        <v>Click here to submit comment</v>
      </c>
    </row>
    <row r="4179" spans="1:17" ht="45" x14ac:dyDescent="0.25">
      <c r="A4179" s="9" t="s">
        <v>6924</v>
      </c>
      <c r="B4179" s="9" t="s">
        <v>6857</v>
      </c>
      <c r="C4179" s="9"/>
      <c r="D4179" s="9" t="s">
        <v>6742</v>
      </c>
      <c r="E4179" s="9" t="s">
        <v>3743</v>
      </c>
      <c r="F4179" s="9" t="s">
        <v>3744</v>
      </c>
      <c r="G4179" s="10" t="s">
        <v>6581</v>
      </c>
      <c r="H4179" s="9"/>
      <c r="I4179" s="9"/>
      <c r="J4179" s="9"/>
      <c r="K4179" s="9"/>
      <c r="L4179" s="9"/>
      <c r="M4179" s="9" t="s">
        <v>3745</v>
      </c>
      <c r="N4179" s="9"/>
      <c r="O4179" s="9" t="s">
        <v>3746</v>
      </c>
      <c r="P4179" s="9" t="str">
        <f>HYPERLINK("https://ceds.ed.gov/cedselementdetails.aspx?termid=14540")</f>
        <v>https://ceds.ed.gov/cedselementdetails.aspx?termid=14540</v>
      </c>
      <c r="Q4179" s="9" t="str">
        <f>HYPERLINK("https://ceds.ed.gov/elementComment.aspx?elementName=Learning Resource Author Type &amp;elementID=14540", "Click here to submit comment")</f>
        <v>Click here to submit comment</v>
      </c>
    </row>
    <row r="4180" spans="1:17" ht="45" x14ac:dyDescent="0.25">
      <c r="A4180" s="9" t="s">
        <v>6924</v>
      </c>
      <c r="B4180" s="9" t="s">
        <v>6857</v>
      </c>
      <c r="C4180" s="9"/>
      <c r="D4180" s="9" t="s">
        <v>6742</v>
      </c>
      <c r="E4180" s="9" t="s">
        <v>3747</v>
      </c>
      <c r="F4180" s="9" t="s">
        <v>3748</v>
      </c>
      <c r="G4180" s="9" t="s">
        <v>12</v>
      </c>
      <c r="H4180" s="9"/>
      <c r="I4180" s="9"/>
      <c r="J4180" s="9" t="s">
        <v>1143</v>
      </c>
      <c r="K4180" s="9"/>
      <c r="L4180" s="9"/>
      <c r="M4180" s="9" t="s">
        <v>3749</v>
      </c>
      <c r="N4180" s="9"/>
      <c r="O4180" s="9" t="s">
        <v>3750</v>
      </c>
      <c r="P4180" s="9" t="str">
        <f>HYPERLINK("https://ceds.ed.gov/cedselementdetails.aspx?termid=14541")</f>
        <v>https://ceds.ed.gov/cedselementdetails.aspx?termid=14541</v>
      </c>
      <c r="Q4180" s="9" t="str">
        <f>HYPERLINK("https://ceds.ed.gov/elementComment.aspx?elementName=Learning Resource Author URL &amp;elementID=14541", "Click here to submit comment")</f>
        <v>Click here to submit comment</v>
      </c>
    </row>
    <row r="4181" spans="1:17" ht="45" x14ac:dyDescent="0.25">
      <c r="A4181" s="9" t="s">
        <v>6924</v>
      </c>
      <c r="B4181" s="9" t="s">
        <v>6857</v>
      </c>
      <c r="C4181" s="9"/>
      <c r="D4181" s="9" t="s">
        <v>6742</v>
      </c>
      <c r="E4181" s="9" t="s">
        <v>3856</v>
      </c>
      <c r="F4181" s="9" t="s">
        <v>3857</v>
      </c>
      <c r="G4181" s="9" t="s">
        <v>12</v>
      </c>
      <c r="H4181" s="9"/>
      <c r="I4181" s="9"/>
      <c r="J4181" s="9" t="s">
        <v>11127</v>
      </c>
      <c r="K4181" s="9"/>
      <c r="L4181" s="9"/>
      <c r="M4181" s="9" t="s">
        <v>3858</v>
      </c>
      <c r="N4181" s="9"/>
      <c r="O4181" s="9" t="s">
        <v>3859</v>
      </c>
      <c r="P4181" s="9" t="str">
        <f>HYPERLINK("https://ceds.ed.gov/cedselementdetails.aspx?termid=14545")</f>
        <v>https://ceds.ed.gov/cedselementdetails.aspx?termid=14545</v>
      </c>
      <c r="Q4181" s="9" t="str">
        <f>HYPERLINK("https://ceds.ed.gov/elementComment.aspx?elementName=Learning Resource Publisher Email &amp;elementID=14545", "Click here to submit comment")</f>
        <v>Click here to submit comment</v>
      </c>
    </row>
    <row r="4182" spans="1:17" ht="45" x14ac:dyDescent="0.25">
      <c r="A4182" s="9" t="s">
        <v>6924</v>
      </c>
      <c r="B4182" s="9" t="s">
        <v>6857</v>
      </c>
      <c r="C4182" s="9"/>
      <c r="D4182" s="9" t="s">
        <v>6742</v>
      </c>
      <c r="E4182" s="9" t="s">
        <v>3860</v>
      </c>
      <c r="F4182" s="9" t="s">
        <v>3861</v>
      </c>
      <c r="G4182" s="9" t="s">
        <v>12</v>
      </c>
      <c r="H4182" s="9"/>
      <c r="I4182" s="9"/>
      <c r="J4182" s="9" t="s">
        <v>92</v>
      </c>
      <c r="K4182" s="9"/>
      <c r="L4182" s="9"/>
      <c r="M4182" s="9" t="s">
        <v>3862</v>
      </c>
      <c r="N4182" s="9"/>
      <c r="O4182" s="9" t="s">
        <v>3863</v>
      </c>
      <c r="P4182" s="9" t="str">
        <f>HYPERLINK("https://ceds.ed.gov/cedselementdetails.aspx?termid=13919")</f>
        <v>https://ceds.ed.gov/cedselementdetails.aspx?termid=13919</v>
      </c>
      <c r="Q4182" s="9" t="str">
        <f>HYPERLINK("https://ceds.ed.gov/elementComment.aspx?elementName=Learning Resource Publisher Name &amp;elementID=13919", "Click here to submit comment")</f>
        <v>Click here to submit comment</v>
      </c>
    </row>
    <row r="4183" spans="1:17" ht="45" x14ac:dyDescent="0.25">
      <c r="A4183" s="9" t="s">
        <v>6924</v>
      </c>
      <c r="B4183" s="9" t="s">
        <v>6857</v>
      </c>
      <c r="C4183" s="9"/>
      <c r="D4183" s="9" t="s">
        <v>6742</v>
      </c>
      <c r="E4183" s="9" t="s">
        <v>3864</v>
      </c>
      <c r="F4183" s="9" t="s">
        <v>3865</v>
      </c>
      <c r="G4183" s="9" t="s">
        <v>12</v>
      </c>
      <c r="H4183" s="9"/>
      <c r="I4183" s="9"/>
      <c r="J4183" s="9" t="s">
        <v>1143</v>
      </c>
      <c r="K4183" s="9"/>
      <c r="L4183" s="9"/>
      <c r="M4183" s="9" t="s">
        <v>3866</v>
      </c>
      <c r="N4183" s="9"/>
      <c r="O4183" s="9" t="s">
        <v>3867</v>
      </c>
      <c r="P4183" s="9" t="str">
        <f>HYPERLINK("https://ceds.ed.gov/cedselementdetails.aspx?termid=14547")</f>
        <v>https://ceds.ed.gov/cedselementdetails.aspx?termid=14547</v>
      </c>
      <c r="Q4183" s="9" t="str">
        <f>HYPERLINK("https://ceds.ed.gov/elementComment.aspx?elementName=Learning Resource Publisher URL &amp;elementID=14547", "Click here to submit comment")</f>
        <v>Click here to submit comment</v>
      </c>
    </row>
    <row r="4184" spans="1:17" ht="45" x14ac:dyDescent="0.25">
      <c r="A4184" s="9" t="s">
        <v>6924</v>
      </c>
      <c r="B4184" s="9" t="s">
        <v>6857</v>
      </c>
      <c r="C4184" s="9"/>
      <c r="D4184" s="9" t="s">
        <v>6742</v>
      </c>
      <c r="E4184" s="9" t="s">
        <v>3776</v>
      </c>
      <c r="F4184" s="9" t="s">
        <v>3777</v>
      </c>
      <c r="G4184" s="9" t="s">
        <v>12</v>
      </c>
      <c r="H4184" s="9"/>
      <c r="I4184" s="9"/>
      <c r="J4184" s="9" t="s">
        <v>1813</v>
      </c>
      <c r="K4184" s="9"/>
      <c r="L4184" s="9"/>
      <c r="M4184" s="9" t="s">
        <v>3778</v>
      </c>
      <c r="N4184" s="9"/>
      <c r="O4184" s="9" t="s">
        <v>3779</v>
      </c>
      <c r="P4184" s="9" t="str">
        <f>HYPERLINK("https://ceds.ed.gov/cedselementdetails.aspx?termid=14158")</f>
        <v>https://ceds.ed.gov/cedselementdetails.aspx?termid=14158</v>
      </c>
      <c r="Q4184" s="9" t="str">
        <f>HYPERLINK("https://ceds.ed.gov/elementComment.aspx?elementName=Learning Resource Copyright Year &amp;elementID=14158", "Click here to submit comment")</f>
        <v>Click here to submit comment</v>
      </c>
    </row>
    <row r="4185" spans="1:17" ht="360" x14ac:dyDescent="0.25">
      <c r="A4185" s="9" t="s">
        <v>6924</v>
      </c>
      <c r="B4185" s="9" t="s">
        <v>6857</v>
      </c>
      <c r="C4185" s="9"/>
      <c r="D4185" s="9" t="s">
        <v>6742</v>
      </c>
      <c r="E4185" s="9" t="s">
        <v>1627</v>
      </c>
      <c r="F4185" s="9" t="s">
        <v>1628</v>
      </c>
      <c r="G4185" s="10" t="s">
        <v>6396</v>
      </c>
      <c r="H4185" s="9"/>
      <c r="I4185" s="9"/>
      <c r="J4185" s="9"/>
      <c r="K4185" s="9"/>
      <c r="L4185" s="9" t="s">
        <v>1629</v>
      </c>
      <c r="M4185" s="9" t="s">
        <v>1630</v>
      </c>
      <c r="N4185" s="9"/>
      <c r="O4185" s="9" t="s">
        <v>1631</v>
      </c>
      <c r="P4185" s="9" t="str">
        <f>HYPERLINK("https://ceds.ed.gov/cedselementdetails.aspx?termid=14254")</f>
        <v>https://ceds.ed.gov/cedselementdetails.aspx?termid=14254</v>
      </c>
      <c r="Q4185" s="9" t="str">
        <f>HYPERLINK("https://ceds.ed.gov/elementComment.aspx?elementName=Career Cluster &amp;elementID=14254", "Click here to submit comment")</f>
        <v>Click here to submit comment</v>
      </c>
    </row>
    <row r="4186" spans="1:17" ht="75" x14ac:dyDescent="0.25">
      <c r="A4186" s="9" t="s">
        <v>6924</v>
      </c>
      <c r="B4186" s="9" t="s">
        <v>6857</v>
      </c>
      <c r="C4186" s="9"/>
      <c r="D4186" s="9" t="s">
        <v>6742</v>
      </c>
      <c r="E4186" s="9" t="s">
        <v>10746</v>
      </c>
      <c r="F4186" s="9" t="s">
        <v>10747</v>
      </c>
      <c r="G4186" s="9" t="s">
        <v>12</v>
      </c>
      <c r="H4186" s="9"/>
      <c r="I4186" s="9" t="s">
        <v>91</v>
      </c>
      <c r="J4186" s="9" t="s">
        <v>1143</v>
      </c>
      <c r="K4186" s="9" t="s">
        <v>10738</v>
      </c>
      <c r="L4186" s="9"/>
      <c r="M4186" s="9" t="s">
        <v>3964</v>
      </c>
      <c r="N4186" s="9" t="s">
        <v>3963</v>
      </c>
      <c r="O4186" s="9" t="s">
        <v>10749</v>
      </c>
      <c r="P4186" s="9" t="str">
        <f>HYPERLINK("https://ceds.ed.gov/cedselementdetails.aspx?termid=13871")</f>
        <v>https://ceds.ed.gov/cedselementdetails.aspx?termid=13871</v>
      </c>
      <c r="Q4186" s="9" t="str">
        <f>HYPERLINK("https://ceds.ed.gov/elementComment.aspx?elementName=Competency Association Identifier URI &amp;elementID=13871", "Click here to submit comment")</f>
        <v>Click here to submit comment</v>
      </c>
    </row>
    <row r="4187" spans="1:17" ht="300" customHeight="1" x14ac:dyDescent="0.25">
      <c r="A4187" s="18" t="s">
        <v>6924</v>
      </c>
      <c r="B4187" s="18" t="s">
        <v>6857</v>
      </c>
      <c r="C4187" s="18"/>
      <c r="D4187" s="18" t="s">
        <v>6742</v>
      </c>
      <c r="E4187" s="18" t="s">
        <v>10756</v>
      </c>
      <c r="F4187" s="18" t="s">
        <v>10757</v>
      </c>
      <c r="G4187" s="19" t="s">
        <v>6594</v>
      </c>
      <c r="H4187" s="18"/>
      <c r="I4187" s="18" t="s">
        <v>91</v>
      </c>
      <c r="J4187" s="18"/>
      <c r="K4187" s="18" t="s">
        <v>10758</v>
      </c>
      <c r="L4187" s="9" t="s">
        <v>3970</v>
      </c>
      <c r="M4187" s="18" t="s">
        <v>3972</v>
      </c>
      <c r="N4187" s="18" t="s">
        <v>3969</v>
      </c>
      <c r="O4187" s="18" t="s">
        <v>10759</v>
      </c>
      <c r="P4187" s="18" t="str">
        <f>HYPERLINK("https://ceds.ed.gov/cedselementdetails.aspx?termid=13869")</f>
        <v>https://ceds.ed.gov/cedselementdetails.aspx?termid=13869</v>
      </c>
      <c r="Q4187" s="18" t="str">
        <f>HYPERLINK("https://ceds.ed.gov/elementComment.aspx?elementName=Competency Association Type &amp;elementID=13869", "Click here to submit comment")</f>
        <v>Click here to submit comment</v>
      </c>
    </row>
    <row r="4188" spans="1:17" x14ac:dyDescent="0.25">
      <c r="A4188" s="18"/>
      <c r="B4188" s="18"/>
      <c r="C4188" s="18"/>
      <c r="D4188" s="18"/>
      <c r="E4188" s="18"/>
      <c r="F4188" s="18"/>
      <c r="G4188" s="18"/>
      <c r="H4188" s="18"/>
      <c r="I4188" s="18"/>
      <c r="J4188" s="18"/>
      <c r="K4188" s="18"/>
      <c r="L4188" s="9"/>
      <c r="M4188" s="18"/>
      <c r="N4188" s="18"/>
      <c r="O4188" s="18"/>
      <c r="P4188" s="18"/>
      <c r="Q4188" s="18"/>
    </row>
    <row r="4189" spans="1:17" x14ac:dyDescent="0.25">
      <c r="A4189" s="18"/>
      <c r="B4189" s="18"/>
      <c r="C4189" s="18"/>
      <c r="D4189" s="18"/>
      <c r="E4189" s="18"/>
      <c r="F4189" s="18"/>
      <c r="G4189" s="18"/>
      <c r="H4189" s="18"/>
      <c r="I4189" s="18"/>
      <c r="J4189" s="18"/>
      <c r="K4189" s="18"/>
      <c r="L4189" s="9"/>
      <c r="M4189" s="18"/>
      <c r="N4189" s="18"/>
      <c r="O4189" s="18"/>
      <c r="P4189" s="18"/>
      <c r="Q4189" s="18"/>
    </row>
    <row r="4190" spans="1:17" ht="135" x14ac:dyDescent="0.25">
      <c r="A4190" s="18"/>
      <c r="B4190" s="18"/>
      <c r="C4190" s="18"/>
      <c r="D4190" s="18"/>
      <c r="E4190" s="18"/>
      <c r="F4190" s="18"/>
      <c r="G4190" s="18"/>
      <c r="H4190" s="18"/>
      <c r="I4190" s="18"/>
      <c r="J4190" s="18"/>
      <c r="K4190" s="18"/>
      <c r="L4190" s="9" t="s">
        <v>3971</v>
      </c>
      <c r="M4190" s="18"/>
      <c r="N4190" s="18"/>
      <c r="O4190" s="18"/>
      <c r="P4190" s="18"/>
      <c r="Q4190" s="18"/>
    </row>
    <row r="4191" spans="1:17" ht="60" x14ac:dyDescent="0.25">
      <c r="A4191" s="9" t="s">
        <v>6924</v>
      </c>
      <c r="B4191" s="9" t="s">
        <v>6857</v>
      </c>
      <c r="C4191" s="9" t="s">
        <v>6858</v>
      </c>
      <c r="D4191" s="9" t="s">
        <v>6742</v>
      </c>
      <c r="E4191" s="9" t="s">
        <v>3840</v>
      </c>
      <c r="F4191" s="9" t="s">
        <v>3841</v>
      </c>
      <c r="G4191" s="9" t="s">
        <v>12</v>
      </c>
      <c r="H4191" s="9"/>
      <c r="I4191" s="9"/>
      <c r="J4191" s="9" t="s">
        <v>10489</v>
      </c>
      <c r="K4191" s="9"/>
      <c r="L4191" s="9"/>
      <c r="M4191" s="9" t="s">
        <v>3842</v>
      </c>
      <c r="N4191" s="9"/>
      <c r="O4191" s="9" t="s">
        <v>3843</v>
      </c>
      <c r="P4191" s="9" t="str">
        <f>HYPERLINK("https://ceds.ed.gov/cedselementdetails.aspx?termid=14369")</f>
        <v>https://ceds.ed.gov/cedselementdetails.aspx?termid=14369</v>
      </c>
      <c r="Q4191" s="9" t="str">
        <f>HYPERLINK("https://ceds.ed.gov/elementComment.aspx?elementName=Learning Resource Peer Rating Sample Size &amp;elementID=14369", "Click here to submit comment")</f>
        <v>Click here to submit comment</v>
      </c>
    </row>
    <row r="4192" spans="1:17" ht="90" x14ac:dyDescent="0.25">
      <c r="A4192" s="9" t="s">
        <v>6924</v>
      </c>
      <c r="B4192" s="9" t="s">
        <v>6857</v>
      </c>
      <c r="C4192" s="9" t="s">
        <v>6858</v>
      </c>
      <c r="D4192" s="9" t="s">
        <v>6742</v>
      </c>
      <c r="E4192" s="9" t="s">
        <v>3844</v>
      </c>
      <c r="F4192" s="9" t="s">
        <v>3845</v>
      </c>
      <c r="G4192" s="9" t="s">
        <v>12</v>
      </c>
      <c r="H4192" s="9"/>
      <c r="I4192" s="9"/>
      <c r="J4192" s="9" t="s">
        <v>3018</v>
      </c>
      <c r="K4192" s="9"/>
      <c r="L4192" s="9"/>
      <c r="M4192" s="9" t="s">
        <v>3846</v>
      </c>
      <c r="N4192" s="9"/>
      <c r="O4192" s="9" t="s">
        <v>3847</v>
      </c>
      <c r="P4192" s="9" t="str">
        <f>HYPERLINK("https://ceds.ed.gov/cedselementdetails.aspx?termid=14161")</f>
        <v>https://ceds.ed.gov/cedselementdetails.aspx?termid=14161</v>
      </c>
      <c r="Q4192" s="9" t="str">
        <f>HYPERLINK("https://ceds.ed.gov/elementComment.aspx?elementName=Learning Resource Peer Rating Value &amp;elementID=14161", "Click here to submit comment")</f>
        <v>Click here to submit comment</v>
      </c>
    </row>
    <row r="4193" spans="1:17" ht="45" x14ac:dyDescent="0.25">
      <c r="A4193" s="9" t="s">
        <v>6924</v>
      </c>
      <c r="B4193" s="9" t="s">
        <v>6857</v>
      </c>
      <c r="C4193" s="9" t="s">
        <v>6858</v>
      </c>
      <c r="D4193" s="9" t="s">
        <v>6742</v>
      </c>
      <c r="E4193" s="9" t="s">
        <v>4545</v>
      </c>
      <c r="F4193" s="9" t="s">
        <v>4546</v>
      </c>
      <c r="G4193" s="9" t="s">
        <v>12</v>
      </c>
      <c r="H4193" s="9"/>
      <c r="I4193" s="9"/>
      <c r="J4193" s="9" t="s">
        <v>73</v>
      </c>
      <c r="K4193" s="9"/>
      <c r="L4193" s="9"/>
      <c r="M4193" s="9" t="s">
        <v>4547</v>
      </c>
      <c r="N4193" s="9"/>
      <c r="O4193" s="9" t="s">
        <v>4548</v>
      </c>
      <c r="P4193" s="9" t="str">
        <f>HYPERLINK("https://ceds.ed.gov/cedselementdetails.aspx?termid=14171")</f>
        <v>https://ceds.ed.gov/cedselementdetails.aspx?termid=14171</v>
      </c>
      <c r="Q4193" s="9" t="str">
        <f>HYPERLINK("https://ceds.ed.gov/elementComment.aspx?elementName=Peer Rating Date &amp;elementID=14171", "Click here to submit comment")</f>
        <v>Click here to submit comment</v>
      </c>
    </row>
    <row r="4194" spans="1:17" ht="45" x14ac:dyDescent="0.25">
      <c r="A4194" s="9" t="s">
        <v>6924</v>
      </c>
      <c r="B4194" s="9" t="s">
        <v>6859</v>
      </c>
      <c r="C4194" s="9"/>
      <c r="D4194" s="9" t="s">
        <v>6742</v>
      </c>
      <c r="E4194" s="9" t="s">
        <v>4557</v>
      </c>
      <c r="F4194" s="9" t="s">
        <v>4558</v>
      </c>
      <c r="G4194" s="9" t="s">
        <v>12</v>
      </c>
      <c r="H4194" s="9"/>
      <c r="I4194" s="9"/>
      <c r="J4194" s="9" t="s">
        <v>92</v>
      </c>
      <c r="K4194" s="9"/>
      <c r="L4194" s="9"/>
      <c r="M4194" s="9" t="s">
        <v>4559</v>
      </c>
      <c r="N4194" s="9"/>
      <c r="O4194" s="9" t="s">
        <v>4560</v>
      </c>
      <c r="P4194" s="9" t="str">
        <f>HYPERLINK("https://ceds.ed.gov/cedselementdetails.aspx?termid=14160")</f>
        <v>https://ceds.ed.gov/cedselementdetails.aspx?termid=14160</v>
      </c>
      <c r="Q4194" s="9" t="str">
        <f>HYPERLINK("https://ceds.ed.gov/elementComment.aspx?elementName=Peer Rating System Name &amp;elementID=14160", "Click here to submit comment")</f>
        <v>Click here to submit comment</v>
      </c>
    </row>
    <row r="4195" spans="1:17" ht="45" x14ac:dyDescent="0.25">
      <c r="A4195" s="9" t="s">
        <v>6924</v>
      </c>
      <c r="B4195" s="9" t="s">
        <v>6859</v>
      </c>
      <c r="C4195" s="9"/>
      <c r="D4195" s="9" t="s">
        <v>6742</v>
      </c>
      <c r="E4195" s="9" t="s">
        <v>4553</v>
      </c>
      <c r="F4195" s="9" t="s">
        <v>4554</v>
      </c>
      <c r="G4195" s="9" t="s">
        <v>12</v>
      </c>
      <c r="H4195" s="9"/>
      <c r="I4195" s="9"/>
      <c r="J4195" s="9" t="s">
        <v>3018</v>
      </c>
      <c r="K4195" s="9"/>
      <c r="L4195" s="9"/>
      <c r="M4195" s="9" t="s">
        <v>4555</v>
      </c>
      <c r="N4195" s="9"/>
      <c r="O4195" s="9" t="s">
        <v>4556</v>
      </c>
      <c r="P4195" s="9" t="str">
        <f>HYPERLINK("https://ceds.ed.gov/cedselementdetails.aspx?termid=14163")</f>
        <v>https://ceds.ed.gov/cedselementdetails.aspx?termid=14163</v>
      </c>
      <c r="Q4195" s="9" t="str">
        <f>HYPERLINK("https://ceds.ed.gov/elementComment.aspx?elementName=Peer Rating System Minimum Value &amp;elementID=14163", "Click here to submit comment")</f>
        <v>Click here to submit comment</v>
      </c>
    </row>
    <row r="4196" spans="1:17" ht="45" x14ac:dyDescent="0.25">
      <c r="A4196" s="9" t="s">
        <v>6924</v>
      </c>
      <c r="B4196" s="9" t="s">
        <v>6859</v>
      </c>
      <c r="C4196" s="9"/>
      <c r="D4196" s="9" t="s">
        <v>6742</v>
      </c>
      <c r="E4196" s="9" t="s">
        <v>4549</v>
      </c>
      <c r="F4196" s="9" t="s">
        <v>4550</v>
      </c>
      <c r="G4196" s="9" t="s">
        <v>12</v>
      </c>
      <c r="H4196" s="9"/>
      <c r="I4196" s="9"/>
      <c r="J4196" s="9" t="s">
        <v>3018</v>
      </c>
      <c r="K4196" s="9"/>
      <c r="L4196" s="9"/>
      <c r="M4196" s="9" t="s">
        <v>4551</v>
      </c>
      <c r="N4196" s="9"/>
      <c r="O4196" s="9" t="s">
        <v>4552</v>
      </c>
      <c r="P4196" s="9" t="str">
        <f>HYPERLINK("https://ceds.ed.gov/cedselementdetails.aspx?termid=14162")</f>
        <v>https://ceds.ed.gov/cedselementdetails.aspx?termid=14162</v>
      </c>
      <c r="Q4196" s="9" t="str">
        <f>HYPERLINK("https://ceds.ed.gov/elementComment.aspx?elementName=Peer Rating System Maximum Value &amp;elementID=14162", "Click here to submit comment")</f>
        <v>Click here to submit comment</v>
      </c>
    </row>
    <row r="4197" spans="1:17" ht="75" x14ac:dyDescent="0.25">
      <c r="A4197" s="9" t="s">
        <v>6924</v>
      </c>
      <c r="B4197" s="9" t="s">
        <v>6859</v>
      </c>
      <c r="C4197" s="9"/>
      <c r="D4197" s="9" t="s">
        <v>6742</v>
      </c>
      <c r="E4197" s="9" t="s">
        <v>4561</v>
      </c>
      <c r="F4197" s="9" t="s">
        <v>4562</v>
      </c>
      <c r="G4197" s="9" t="s">
        <v>12</v>
      </c>
      <c r="H4197" s="9"/>
      <c r="I4197" s="9"/>
      <c r="J4197" s="9" t="s">
        <v>3018</v>
      </c>
      <c r="K4197" s="9"/>
      <c r="L4197" s="9"/>
      <c r="M4197" s="9" t="s">
        <v>4563</v>
      </c>
      <c r="N4197" s="9"/>
      <c r="O4197" s="9" t="s">
        <v>4564</v>
      </c>
      <c r="P4197" s="9" t="str">
        <f>HYPERLINK("https://ceds.ed.gov/cedselementdetails.aspx?termid=14164")</f>
        <v>https://ceds.ed.gov/cedselementdetails.aspx?termid=14164</v>
      </c>
      <c r="Q4197" s="9" t="str">
        <f>HYPERLINK("https://ceds.ed.gov/elementComment.aspx?elementName=Peer Rating System Optimum Value &amp;elementID=14164", "Click here to submit comment")</f>
        <v>Click here to submit comment</v>
      </c>
    </row>
    <row r="4198" spans="1:17" ht="45" x14ac:dyDescent="0.25">
      <c r="A4198" s="9" t="s">
        <v>11941</v>
      </c>
      <c r="B4198" s="9" t="s">
        <v>6788</v>
      </c>
      <c r="C4198" s="9"/>
      <c r="D4198" s="9" t="s">
        <v>6746</v>
      </c>
      <c r="E4198" s="9" t="s">
        <v>11660</v>
      </c>
      <c r="F4198" s="9" t="s">
        <v>11661</v>
      </c>
      <c r="G4198" s="9" t="s">
        <v>12</v>
      </c>
      <c r="H4198" s="9"/>
      <c r="I4198" s="9" t="s">
        <v>91</v>
      </c>
      <c r="J4198" s="9" t="s">
        <v>11025</v>
      </c>
      <c r="K4198" s="9" t="s">
        <v>11663</v>
      </c>
      <c r="L4198" s="9"/>
      <c r="M4198" s="9" t="s">
        <v>11664</v>
      </c>
      <c r="N4198" s="9"/>
      <c r="O4198" s="9" t="s">
        <v>11665</v>
      </c>
      <c r="P4198" s="9" t="str">
        <f>HYPERLINK("https://ceds.ed.gov/cedselementdetails.aspx?termid=14731")</f>
        <v>https://ceds.ed.gov/cedselementdetails.aspx?termid=14731</v>
      </c>
      <c r="Q4198" s="9" t="str">
        <f>HYPERLINK("https://ceds.ed.gov/elementComment.aspx?elementName=Organization Region GeoJSON &amp;elementID=14731", "Click here to submit comment")</f>
        <v>Click here to submit comment</v>
      </c>
    </row>
    <row r="4199" spans="1:17" ht="105" x14ac:dyDescent="0.25">
      <c r="A4199" s="18" t="s">
        <v>11941</v>
      </c>
      <c r="B4199" s="18" t="s">
        <v>6788</v>
      </c>
      <c r="C4199" s="18" t="s">
        <v>6777</v>
      </c>
      <c r="D4199" s="18" t="s">
        <v>6746</v>
      </c>
      <c r="E4199" s="18" t="s">
        <v>2727</v>
      </c>
      <c r="F4199" s="18" t="s">
        <v>2728</v>
      </c>
      <c r="G4199" s="18" t="s">
        <v>12</v>
      </c>
      <c r="H4199" s="18"/>
      <c r="I4199" s="18"/>
      <c r="J4199" s="18" t="s">
        <v>119</v>
      </c>
      <c r="K4199" s="18"/>
      <c r="L4199" s="9" t="s">
        <v>120</v>
      </c>
      <c r="M4199" s="18" t="s">
        <v>2729</v>
      </c>
      <c r="N4199" s="18"/>
      <c r="O4199" s="18" t="s">
        <v>2730</v>
      </c>
      <c r="P4199" s="18" t="str">
        <f>HYPERLINK("https://ceds.ed.gov/cedselementdetails.aspx?termid=13495")</f>
        <v>https://ceds.ed.gov/cedselementdetails.aspx?termid=13495</v>
      </c>
      <c r="Q4199" s="18" t="str">
        <f>HYPERLINK("https://ceds.ed.gov/elementComment.aspx?elementName=Facilities Identifier &amp;elementID=13495", "Click here to submit comment")</f>
        <v>Click here to submit comment</v>
      </c>
    </row>
    <row r="4200" spans="1:17" x14ac:dyDescent="0.25">
      <c r="A4200" s="18"/>
      <c r="B4200" s="18"/>
      <c r="C4200" s="18"/>
      <c r="D4200" s="18"/>
      <c r="E4200" s="18"/>
      <c r="F4200" s="18"/>
      <c r="G4200" s="18"/>
      <c r="H4200" s="18"/>
      <c r="I4200" s="18"/>
      <c r="J4200" s="18"/>
      <c r="K4200" s="18"/>
      <c r="L4200" s="9"/>
      <c r="M4200" s="18"/>
      <c r="N4200" s="18"/>
      <c r="O4200" s="18"/>
      <c r="P4200" s="18"/>
      <c r="Q4200" s="18"/>
    </row>
    <row r="4201" spans="1:17" ht="90" x14ac:dyDescent="0.25">
      <c r="A4201" s="18"/>
      <c r="B4201" s="18"/>
      <c r="C4201" s="18"/>
      <c r="D4201" s="18"/>
      <c r="E4201" s="18"/>
      <c r="F4201" s="18"/>
      <c r="G4201" s="18"/>
      <c r="H4201" s="18"/>
      <c r="I4201" s="18"/>
      <c r="J4201" s="18"/>
      <c r="K4201" s="18"/>
      <c r="L4201" s="9" t="s">
        <v>121</v>
      </c>
      <c r="M4201" s="18"/>
      <c r="N4201" s="18"/>
      <c r="O4201" s="18"/>
      <c r="P4201" s="18"/>
      <c r="Q4201" s="18"/>
    </row>
    <row r="4202" spans="1:17" ht="45" x14ac:dyDescent="0.25">
      <c r="A4202" s="9" t="s">
        <v>11941</v>
      </c>
      <c r="B4202" s="9" t="s">
        <v>6788</v>
      </c>
      <c r="C4202" s="9" t="s">
        <v>6777</v>
      </c>
      <c r="D4202" s="9" t="s">
        <v>6746</v>
      </c>
      <c r="E4202" s="9" t="s">
        <v>4456</v>
      </c>
      <c r="F4202" s="9" t="s">
        <v>4457</v>
      </c>
      <c r="G4202" s="9" t="s">
        <v>12</v>
      </c>
      <c r="H4202" s="9" t="s">
        <v>182</v>
      </c>
      <c r="I4202" s="9"/>
      <c r="J4202" s="9" t="s">
        <v>92</v>
      </c>
      <c r="K4202" s="9"/>
      <c r="L4202" s="9"/>
      <c r="M4202" s="9" t="s">
        <v>4458</v>
      </c>
      <c r="N4202" s="9"/>
      <c r="O4202" s="9" t="s">
        <v>4459</v>
      </c>
      <c r="P4202" s="9" t="str">
        <f>HYPERLINK("https://ceds.ed.gov/cedselementdetails.aspx?termid=13204")</f>
        <v>https://ceds.ed.gov/cedselementdetails.aspx?termid=13204</v>
      </c>
      <c r="Q4202" s="9" t="str">
        <f>HYPERLINK("https://ceds.ed.gov/elementComment.aspx?elementName=Organization Name &amp;elementID=13204", "Click here to submit comment")</f>
        <v>Click here to submit comment</v>
      </c>
    </row>
    <row r="4203" spans="1:17" ht="105" x14ac:dyDescent="0.25">
      <c r="A4203" s="18" t="s">
        <v>11941</v>
      </c>
      <c r="B4203" s="18" t="s">
        <v>6788</v>
      </c>
      <c r="C4203" s="18" t="s">
        <v>6777</v>
      </c>
      <c r="D4203" s="18" t="s">
        <v>6746</v>
      </c>
      <c r="E4203" s="18" t="s">
        <v>4448</v>
      </c>
      <c r="F4203" s="18" t="s">
        <v>4449</v>
      </c>
      <c r="G4203" s="18" t="s">
        <v>12</v>
      </c>
      <c r="H4203" s="18" t="s">
        <v>64</v>
      </c>
      <c r="I4203" s="18"/>
      <c r="J4203" s="18" t="s">
        <v>119</v>
      </c>
      <c r="K4203" s="18"/>
      <c r="L4203" s="9" t="s">
        <v>120</v>
      </c>
      <c r="M4203" s="18" t="s">
        <v>4450</v>
      </c>
      <c r="N4203" s="18"/>
      <c r="O4203" s="18" t="s">
        <v>4451</v>
      </c>
      <c r="P4203" s="18" t="str">
        <f>HYPERLINK("https://ceds.ed.gov/cedselementdetails.aspx?termid=13825")</f>
        <v>https://ceds.ed.gov/cedselementdetails.aspx?termid=13825</v>
      </c>
      <c r="Q4203" s="18" t="str">
        <f>HYPERLINK("https://ceds.ed.gov/elementComment.aspx?elementName=Organization Identifier &amp;elementID=13825", "Click here to submit comment")</f>
        <v>Click here to submit comment</v>
      </c>
    </row>
    <row r="4204" spans="1:17" x14ac:dyDescent="0.25">
      <c r="A4204" s="18"/>
      <c r="B4204" s="18"/>
      <c r="C4204" s="18"/>
      <c r="D4204" s="18"/>
      <c r="E4204" s="18"/>
      <c r="F4204" s="18"/>
      <c r="G4204" s="18"/>
      <c r="H4204" s="18"/>
      <c r="I4204" s="18"/>
      <c r="J4204" s="18"/>
      <c r="K4204" s="18"/>
      <c r="L4204" s="9"/>
      <c r="M4204" s="18"/>
      <c r="N4204" s="18"/>
      <c r="O4204" s="18"/>
      <c r="P4204" s="18"/>
      <c r="Q4204" s="18"/>
    </row>
    <row r="4205" spans="1:17" ht="90" x14ac:dyDescent="0.25">
      <c r="A4205" s="18"/>
      <c r="B4205" s="18"/>
      <c r="C4205" s="18"/>
      <c r="D4205" s="18"/>
      <c r="E4205" s="18"/>
      <c r="F4205" s="18"/>
      <c r="G4205" s="18"/>
      <c r="H4205" s="18"/>
      <c r="I4205" s="18"/>
      <c r="J4205" s="18"/>
      <c r="K4205" s="18"/>
      <c r="L4205" s="9" t="s">
        <v>121</v>
      </c>
      <c r="M4205" s="18"/>
      <c r="N4205" s="18"/>
      <c r="O4205" s="18"/>
      <c r="P4205" s="18"/>
      <c r="Q4205" s="18"/>
    </row>
    <row r="4206" spans="1:17" ht="240" x14ac:dyDescent="0.25">
      <c r="A4206" s="9" t="s">
        <v>11941</v>
      </c>
      <c r="B4206" s="9" t="s">
        <v>6788</v>
      </c>
      <c r="C4206" s="9" t="s">
        <v>6777</v>
      </c>
      <c r="D4206" s="9" t="s">
        <v>6746</v>
      </c>
      <c r="E4206" s="9" t="s">
        <v>4444</v>
      </c>
      <c r="F4206" s="9" t="s">
        <v>4445</v>
      </c>
      <c r="G4206" s="10" t="s">
        <v>11903</v>
      </c>
      <c r="H4206" s="9" t="s">
        <v>64</v>
      </c>
      <c r="I4206" s="9"/>
      <c r="J4206" s="9"/>
      <c r="K4206" s="9"/>
      <c r="L4206" s="9"/>
      <c r="M4206" s="9" t="s">
        <v>4446</v>
      </c>
      <c r="N4206" s="9"/>
      <c r="O4206" s="9" t="s">
        <v>4447</v>
      </c>
      <c r="P4206" s="9" t="str">
        <f>HYPERLINK("https://ceds.ed.gov/cedselementdetails.aspx?termid=13827")</f>
        <v>https://ceds.ed.gov/cedselementdetails.aspx?termid=13827</v>
      </c>
      <c r="Q4206" s="9" t="str">
        <f>HYPERLINK("https://ceds.ed.gov/elementComment.aspx?elementName=Organization Identification System &amp;elementID=13827", "Click here to submit comment")</f>
        <v>Click here to submit comment</v>
      </c>
    </row>
    <row r="4207" spans="1:17" ht="45" x14ac:dyDescent="0.25">
      <c r="A4207" s="9" t="s">
        <v>11941</v>
      </c>
      <c r="B4207" s="9" t="s">
        <v>6788</v>
      </c>
      <c r="C4207" s="9" t="s">
        <v>6777</v>
      </c>
      <c r="D4207" s="9" t="s">
        <v>6746</v>
      </c>
      <c r="E4207" s="9" t="s">
        <v>2731</v>
      </c>
      <c r="F4207" s="9" t="s">
        <v>2732</v>
      </c>
      <c r="G4207" s="9" t="s">
        <v>12</v>
      </c>
      <c r="H4207" s="9"/>
      <c r="I4207" s="9"/>
      <c r="J4207" s="9" t="s">
        <v>92</v>
      </c>
      <c r="K4207" s="9"/>
      <c r="L4207" s="9"/>
      <c r="M4207" s="9" t="s">
        <v>2733</v>
      </c>
      <c r="N4207" s="9"/>
      <c r="O4207" s="9" t="s">
        <v>2734</v>
      </c>
      <c r="P4207" s="9" t="str">
        <f>HYPERLINK("https://ceds.ed.gov/cedselementdetails.aspx?termid=14172")</f>
        <v>https://ceds.ed.gov/cedselementdetails.aspx?termid=14172</v>
      </c>
      <c r="Q4207" s="9" t="str">
        <f>HYPERLINK("https://ceds.ed.gov/elementComment.aspx?elementName=Facility Building Name &amp;elementID=14172", "Click here to submit comment")</f>
        <v>Click here to submit comment</v>
      </c>
    </row>
    <row r="4208" spans="1:17" ht="409.5" x14ac:dyDescent="0.25">
      <c r="A4208" s="9" t="s">
        <v>11941</v>
      </c>
      <c r="B4208" s="9" t="s">
        <v>6788</v>
      </c>
      <c r="C4208" s="9" t="s">
        <v>6777</v>
      </c>
      <c r="D4208" s="9" t="s">
        <v>6746</v>
      </c>
      <c r="E4208" s="9" t="s">
        <v>4468</v>
      </c>
      <c r="F4208" s="9" t="s">
        <v>4469</v>
      </c>
      <c r="G4208" s="10" t="s">
        <v>11905</v>
      </c>
      <c r="H4208" s="9"/>
      <c r="I4208" s="9" t="s">
        <v>91</v>
      </c>
      <c r="J4208" s="9"/>
      <c r="K4208" s="9"/>
      <c r="L4208" s="9" t="s">
        <v>4470</v>
      </c>
      <c r="M4208" s="9" t="s">
        <v>4471</v>
      </c>
      <c r="N4208" s="9"/>
      <c r="O4208" s="9" t="s">
        <v>4472</v>
      </c>
      <c r="P4208" s="9" t="str">
        <f>HYPERLINK("https://ceds.ed.gov/cedselementdetails.aspx?termid=14165")</f>
        <v>https://ceds.ed.gov/cedselementdetails.aspx?termid=14165</v>
      </c>
      <c r="Q4208" s="9" t="str">
        <f>HYPERLINK("https://ceds.ed.gov/elementComment.aspx?elementName=Organization Type &amp;elementID=14165", "Click here to submit comment")</f>
        <v>Click here to submit comment</v>
      </c>
    </row>
    <row r="4209" spans="1:17" ht="60" x14ac:dyDescent="0.25">
      <c r="A4209" s="9" t="s">
        <v>11941</v>
      </c>
      <c r="B4209" s="9" t="s">
        <v>6788</v>
      </c>
      <c r="C4209" s="9" t="s">
        <v>6777</v>
      </c>
      <c r="D4209" s="9" t="s">
        <v>6746</v>
      </c>
      <c r="E4209" s="9" t="s">
        <v>7446</v>
      </c>
      <c r="F4209" s="9" t="s">
        <v>7447</v>
      </c>
      <c r="G4209" s="9" t="s">
        <v>12</v>
      </c>
      <c r="H4209" s="9"/>
      <c r="I4209" s="9" t="s">
        <v>1457</v>
      </c>
      <c r="J4209" s="9" t="s">
        <v>87</v>
      </c>
      <c r="K4209" s="9"/>
      <c r="L4209" s="9"/>
      <c r="M4209" s="9" t="s">
        <v>10529</v>
      </c>
      <c r="N4209" s="9"/>
      <c r="O4209" s="9" t="s">
        <v>10530</v>
      </c>
      <c r="P4209" s="9" t="str">
        <f>HYPERLINK("https://ceds.ed.gov/cedselementdetails.aspx?termid=14757")</f>
        <v>https://ceds.ed.gov/cedselementdetails.aspx?termid=14757</v>
      </c>
      <c r="Q4209" s="9" t="str">
        <f>HYPERLINK("https://ceds.ed.gov/elementComment.aspx?elementName=Building Addition Code &amp;elementID=14757", "Click here to submit comment")</f>
        <v>Click here to submit comment</v>
      </c>
    </row>
    <row r="4210" spans="1:17" ht="45" x14ac:dyDescent="0.25">
      <c r="A4210" s="9" t="s">
        <v>11941</v>
      </c>
      <c r="B4210" s="9" t="s">
        <v>6788</v>
      </c>
      <c r="C4210" s="9" t="s">
        <v>6777</v>
      </c>
      <c r="D4210" s="9" t="s">
        <v>6746</v>
      </c>
      <c r="E4210" s="9" t="s">
        <v>10531</v>
      </c>
      <c r="F4210" s="9" t="s">
        <v>7445</v>
      </c>
      <c r="G4210" s="9" t="s">
        <v>12</v>
      </c>
      <c r="H4210" s="9"/>
      <c r="I4210" s="9" t="s">
        <v>1457</v>
      </c>
      <c r="J4210" s="9" t="s">
        <v>22</v>
      </c>
      <c r="K4210" s="9"/>
      <c r="L4210" s="9"/>
      <c r="M4210" s="9" t="s">
        <v>10532</v>
      </c>
      <c r="N4210" s="9"/>
      <c r="O4210" s="9" t="s">
        <v>10533</v>
      </c>
      <c r="P4210" s="9" t="str">
        <f>HYPERLINK("https://ceds.ed.gov/cedselementdetails.aspx?termid=14756")</f>
        <v>https://ceds.ed.gov/cedselementdetails.aspx?termid=14756</v>
      </c>
      <c r="Q4210" s="9" t="str">
        <f>HYPERLINK("https://ceds.ed.gov/elementComment.aspx?elementName=Building Addition Description &amp;elementID=14756", "Click here to submit comment")</f>
        <v>Click here to submit comment</v>
      </c>
    </row>
    <row r="4211" spans="1:17" ht="165" x14ac:dyDescent="0.25">
      <c r="A4211" s="9" t="s">
        <v>11941</v>
      </c>
      <c r="B4211" s="9" t="s">
        <v>6788</v>
      </c>
      <c r="C4211" s="9" t="s">
        <v>6777</v>
      </c>
      <c r="D4211" s="9" t="s">
        <v>6746</v>
      </c>
      <c r="E4211" s="9" t="s">
        <v>7448</v>
      </c>
      <c r="F4211" s="9" t="s">
        <v>7449</v>
      </c>
      <c r="G4211" s="9" t="s">
        <v>12</v>
      </c>
      <c r="H4211" s="9"/>
      <c r="I4211" s="9" t="s">
        <v>1457</v>
      </c>
      <c r="J4211" s="9" t="s">
        <v>87</v>
      </c>
      <c r="K4211" s="9"/>
      <c r="L4211" s="9"/>
      <c r="M4211" s="9" t="s">
        <v>10548</v>
      </c>
      <c r="N4211" s="9"/>
      <c r="O4211" s="9" t="s">
        <v>10549</v>
      </c>
      <c r="P4211" s="9" t="str">
        <f>HYPERLINK("https://ceds.ed.gov/cedselementdetails.aspx?termid=14745")</f>
        <v>https://ceds.ed.gov/cedselementdetails.aspx?termid=14745</v>
      </c>
      <c r="Q4211" s="9" t="str">
        <f>HYPERLINK("https://ceds.ed.gov/elementComment.aspx?elementName=Building Area &amp;elementID=14745", "Click here to submit comment")</f>
        <v>Click here to submit comment</v>
      </c>
    </row>
    <row r="4212" spans="1:17" ht="195" x14ac:dyDescent="0.25">
      <c r="A4212" s="9" t="s">
        <v>11941</v>
      </c>
      <c r="B4212" s="9" t="s">
        <v>6788</v>
      </c>
      <c r="C4212" s="9" t="s">
        <v>6777</v>
      </c>
      <c r="D4212" s="9" t="s">
        <v>6746</v>
      </c>
      <c r="E4212" s="9" t="s">
        <v>10615</v>
      </c>
      <c r="F4212" s="9" t="s">
        <v>8227</v>
      </c>
      <c r="G4212" s="10" t="s">
        <v>11809</v>
      </c>
      <c r="H4212" s="9"/>
      <c r="I4212" s="9" t="s">
        <v>1457</v>
      </c>
      <c r="J4212" s="9"/>
      <c r="K4212" s="9"/>
      <c r="L4212" s="9"/>
      <c r="M4212" s="9" t="s">
        <v>10616</v>
      </c>
      <c r="N4212" s="9"/>
      <c r="O4212" s="9" t="s">
        <v>10617</v>
      </c>
      <c r="P4212" s="9" t="str">
        <f>HYPERLINK("https://ceds.ed.gov/cedselementdetails.aspx?termid=14753")</f>
        <v>https://ceds.ed.gov/cedselementdetails.aspx?termid=14753</v>
      </c>
      <c r="Q4212" s="9" t="str">
        <f>HYPERLINK("https://ceds.ed.gov/elementComment.aspx?elementName=Building Historic Status &amp;elementID=14753", "Click here to submit comment")</f>
        <v>Click here to submit comment</v>
      </c>
    </row>
    <row r="4213" spans="1:17" ht="60" x14ac:dyDescent="0.25">
      <c r="A4213" s="9" t="s">
        <v>11941</v>
      </c>
      <c r="B4213" s="9" t="s">
        <v>6788</v>
      </c>
      <c r="C4213" s="9" t="s">
        <v>6777</v>
      </c>
      <c r="D4213" s="9" t="s">
        <v>6746</v>
      </c>
      <c r="E4213" s="9" t="s">
        <v>10647</v>
      </c>
      <c r="F4213" s="9" t="s">
        <v>8678</v>
      </c>
      <c r="G4213" s="9" t="s">
        <v>12</v>
      </c>
      <c r="H4213" s="9"/>
      <c r="I4213" s="9" t="s">
        <v>1457</v>
      </c>
      <c r="J4213" s="9" t="s">
        <v>589</v>
      </c>
      <c r="K4213" s="9"/>
      <c r="L4213" s="9"/>
      <c r="M4213" s="9" t="s">
        <v>10648</v>
      </c>
      <c r="N4213" s="9"/>
      <c r="O4213" s="9" t="s">
        <v>12180</v>
      </c>
      <c r="P4213" s="9" t="str">
        <f>HYPERLINK("https://ceds.ed.gov/cedselementdetails.aspx?termid=14766")</f>
        <v>https://ceds.ed.gov/cedselementdetails.aspx?termid=14766</v>
      </c>
      <c r="Q4213" s="9" t="str">
        <f>HYPERLINK("https://ceds.ed.gov/elementComment.aspx?elementName=Building Number of Stories &amp;elementID=14766", "Click here to submit comment")</f>
        <v>Click here to submit comment</v>
      </c>
    </row>
    <row r="4214" spans="1:17" ht="90" x14ac:dyDescent="0.25">
      <c r="A4214" s="9" t="s">
        <v>11941</v>
      </c>
      <c r="B4214" s="9" t="s">
        <v>6788</v>
      </c>
      <c r="C4214" s="9" t="s">
        <v>6777</v>
      </c>
      <c r="D4214" s="9" t="s">
        <v>6746</v>
      </c>
      <c r="E4214" s="9" t="s">
        <v>10661</v>
      </c>
      <c r="F4214" s="9" t="s">
        <v>10662</v>
      </c>
      <c r="G4214" s="10" t="s">
        <v>11824</v>
      </c>
      <c r="H4214" s="9"/>
      <c r="I4214" s="9" t="s">
        <v>1457</v>
      </c>
      <c r="J4214" s="9"/>
      <c r="K4214" s="9"/>
      <c r="L4214" s="9"/>
      <c r="M4214" s="9" t="s">
        <v>10663</v>
      </c>
      <c r="N4214" s="9"/>
      <c r="O4214" s="9" t="s">
        <v>10664</v>
      </c>
      <c r="P4214" s="9" t="str">
        <f>HYPERLINK("https://ceds.ed.gov/cedselementdetails.aspx?termid=14758")</f>
        <v>https://ceds.ed.gov/cedselementdetails.aspx?termid=14758</v>
      </c>
      <c r="Q4214" s="9" t="str">
        <f>HYPERLINK("https://ceds.ed.gov/elementComment.aspx?elementName=Building Primary Use Type &amp;elementID=14758", "Click here to submit comment")</f>
        <v>Click here to submit comment</v>
      </c>
    </row>
    <row r="4215" spans="1:17" ht="45" x14ac:dyDescent="0.25">
      <c r="A4215" s="9" t="s">
        <v>11941</v>
      </c>
      <c r="B4215" s="9" t="s">
        <v>6788</v>
      </c>
      <c r="C4215" s="9" t="s">
        <v>6777</v>
      </c>
      <c r="D4215" s="9" t="s">
        <v>6746</v>
      </c>
      <c r="E4215" s="9" t="s">
        <v>10708</v>
      </c>
      <c r="F4215" s="9" t="s">
        <v>9577</v>
      </c>
      <c r="G4215" s="9" t="s">
        <v>12</v>
      </c>
      <c r="H4215" s="9"/>
      <c r="I4215" s="9" t="s">
        <v>1457</v>
      </c>
      <c r="J4215" s="9" t="s">
        <v>1813</v>
      </c>
      <c r="K4215" s="9"/>
      <c r="L4215" s="9"/>
      <c r="M4215" s="9" t="s">
        <v>10709</v>
      </c>
      <c r="N4215" s="9"/>
      <c r="O4215" s="9" t="s">
        <v>10710</v>
      </c>
      <c r="P4215" s="9" t="str">
        <f>HYPERLINK("https://ceds.ed.gov/cedselementdetails.aspx?termid=14769")</f>
        <v>https://ceds.ed.gov/cedselementdetails.aspx?termid=14769</v>
      </c>
      <c r="Q4215" s="9" t="str">
        <f>HYPERLINK("https://ceds.ed.gov/elementComment.aspx?elementName=Building Year Built &amp;elementID=14769", "Click here to submit comment")</f>
        <v>Click here to submit comment</v>
      </c>
    </row>
    <row r="4216" spans="1:17" ht="105" x14ac:dyDescent="0.25">
      <c r="A4216" s="9" t="s">
        <v>11941</v>
      </c>
      <c r="B4216" s="9" t="s">
        <v>6788</v>
      </c>
      <c r="C4216" s="9" t="s">
        <v>6777</v>
      </c>
      <c r="D4216" s="9" t="s">
        <v>6746</v>
      </c>
      <c r="E4216" s="9" t="s">
        <v>10711</v>
      </c>
      <c r="F4216" s="9" t="s">
        <v>10712</v>
      </c>
      <c r="G4216" s="9" t="s">
        <v>12</v>
      </c>
      <c r="H4216" s="9"/>
      <c r="I4216" s="9" t="s">
        <v>1457</v>
      </c>
      <c r="J4216" s="9" t="s">
        <v>1813</v>
      </c>
      <c r="K4216" s="9"/>
      <c r="L4216" s="9"/>
      <c r="M4216" s="9" t="s">
        <v>10713</v>
      </c>
      <c r="N4216" s="9"/>
      <c r="O4216" s="9" t="s">
        <v>12188</v>
      </c>
      <c r="P4216" s="9" t="str">
        <f>HYPERLINK("https://ceds.ed.gov/cedselementdetails.aspx?termid=14770")</f>
        <v>https://ceds.ed.gov/cedselementdetails.aspx?termid=14770</v>
      </c>
      <c r="Q4216" s="9" t="str">
        <f>HYPERLINK("https://ceds.ed.gov/elementComment.aspx?elementName=Building Year of Last Modernization &amp;elementID=14770", "Click here to submit comment")</f>
        <v>Click here to submit comment</v>
      </c>
    </row>
    <row r="4217" spans="1:17" ht="90" x14ac:dyDescent="0.25">
      <c r="A4217" s="9" t="s">
        <v>11941</v>
      </c>
      <c r="B4217" s="9" t="s">
        <v>6788</v>
      </c>
      <c r="C4217" s="9" t="s">
        <v>6777</v>
      </c>
      <c r="D4217" s="9" t="s">
        <v>6746</v>
      </c>
      <c r="E4217" s="9" t="s">
        <v>10715</v>
      </c>
      <c r="F4217" s="9" t="s">
        <v>10716</v>
      </c>
      <c r="G4217" s="10" t="s">
        <v>11837</v>
      </c>
      <c r="H4217" s="9"/>
      <c r="I4217" s="9" t="s">
        <v>1457</v>
      </c>
      <c r="J4217" s="9"/>
      <c r="K4217" s="9"/>
      <c r="L4217" s="9"/>
      <c r="M4217" s="9" t="s">
        <v>10717</v>
      </c>
      <c r="N4217" s="9"/>
      <c r="O4217" s="9" t="s">
        <v>10718</v>
      </c>
      <c r="P4217" s="9" t="str">
        <f>HYPERLINK("https://ceds.ed.gov/cedselementdetails.aspx?termid=14759")</f>
        <v>https://ceds.ed.gov/cedselementdetails.aspx?termid=14759</v>
      </c>
      <c r="Q4217" s="9" t="str">
        <f>HYPERLINK("https://ceds.ed.gov/elementComment.aspx?elementName=Campus Status &amp;elementID=14759", "Click here to submit comment")</f>
        <v>Click here to submit comment</v>
      </c>
    </row>
    <row r="4218" spans="1:17" ht="90" x14ac:dyDescent="0.25">
      <c r="A4218" s="9" t="s">
        <v>11941</v>
      </c>
      <c r="B4218" s="9" t="s">
        <v>6788</v>
      </c>
      <c r="C4218" s="9" t="s">
        <v>6777</v>
      </c>
      <c r="D4218" s="9" t="s">
        <v>6746</v>
      </c>
      <c r="E4218" s="9" t="s">
        <v>10719</v>
      </c>
      <c r="F4218" s="9" t="s">
        <v>10720</v>
      </c>
      <c r="G4218" s="10" t="s">
        <v>11838</v>
      </c>
      <c r="H4218" s="9"/>
      <c r="I4218" s="9" t="s">
        <v>1457</v>
      </c>
      <c r="J4218" s="9"/>
      <c r="K4218" s="9"/>
      <c r="L4218" s="9"/>
      <c r="M4218" s="9" t="s">
        <v>10721</v>
      </c>
      <c r="N4218" s="9"/>
      <c r="O4218" s="9" t="s">
        <v>10722</v>
      </c>
      <c r="P4218" s="9" t="str">
        <f>HYPERLINK("https://ceds.ed.gov/cedselementdetails.aspx?termid=14878")</f>
        <v>https://ceds.ed.gov/cedselementdetails.aspx?termid=14878</v>
      </c>
      <c r="Q4218" s="9" t="str">
        <f>HYPERLINK("https://ceds.ed.gov/elementComment.aspx?elementName=Campus Type &amp;elementID=14878", "Click here to submit comment")</f>
        <v>Click here to submit comment</v>
      </c>
    </row>
    <row r="4219" spans="1:17" ht="45" x14ac:dyDescent="0.25">
      <c r="A4219" s="9" t="s">
        <v>11941</v>
      </c>
      <c r="B4219" s="9" t="s">
        <v>6788</v>
      </c>
      <c r="C4219" s="9" t="s">
        <v>6777</v>
      </c>
      <c r="D4219" s="9" t="s">
        <v>6746</v>
      </c>
      <c r="E4219" s="9" t="s">
        <v>11168</v>
      </c>
      <c r="F4219" s="9" t="s">
        <v>7199</v>
      </c>
      <c r="G4219" s="9" t="s">
        <v>12</v>
      </c>
      <c r="H4219" s="9"/>
      <c r="I4219" s="9" t="s">
        <v>1457</v>
      </c>
      <c r="J4219" s="9" t="s">
        <v>73</v>
      </c>
      <c r="K4219" s="9"/>
      <c r="L4219" s="9"/>
      <c r="M4219" s="9" t="s">
        <v>11169</v>
      </c>
      <c r="N4219" s="9"/>
      <c r="O4219" s="9" t="s">
        <v>11170</v>
      </c>
      <c r="P4219" s="9" t="str">
        <f>HYPERLINK("https://ceds.ed.gov/cedselementdetails.aspx?termid=14749")</f>
        <v>https://ceds.ed.gov/cedselementdetails.aspx?termid=14749</v>
      </c>
      <c r="Q4219" s="9" t="str">
        <f>HYPERLINK("https://ceds.ed.gov/elementComment.aspx?elementName=Facility Acquisition Date &amp;elementID=14749", "Click here to submit comment")</f>
        <v>Click here to submit comment</v>
      </c>
    </row>
    <row r="4220" spans="1:17" ht="45" x14ac:dyDescent="0.25">
      <c r="A4220" s="9" t="s">
        <v>11941</v>
      </c>
      <c r="B4220" s="9" t="s">
        <v>6788</v>
      </c>
      <c r="C4220" s="9" t="s">
        <v>6777</v>
      </c>
      <c r="D4220" s="9" t="s">
        <v>6746</v>
      </c>
      <c r="E4220" s="9" t="s">
        <v>11171</v>
      </c>
      <c r="F4220" s="9" t="s">
        <v>7219</v>
      </c>
      <c r="G4220" s="9" t="s">
        <v>12</v>
      </c>
      <c r="H4220" s="9"/>
      <c r="I4220" s="9" t="s">
        <v>1457</v>
      </c>
      <c r="J4220" s="9" t="s">
        <v>1813</v>
      </c>
      <c r="K4220" s="9"/>
      <c r="L4220" s="9"/>
      <c r="M4220" s="9" t="s">
        <v>11172</v>
      </c>
      <c r="N4220" s="9"/>
      <c r="O4220" s="9" t="s">
        <v>11173</v>
      </c>
      <c r="P4220" s="9" t="str">
        <f>HYPERLINK("https://ceds.ed.gov/cedselementdetails.aspx?termid=14750")</f>
        <v>https://ceds.ed.gov/cedselementdetails.aspx?termid=14750</v>
      </c>
      <c r="Q4220" s="9" t="str">
        <f>HYPERLINK("https://ceds.ed.gov/elementComment.aspx?elementName=Facility Addition Year &amp;elementID=14750", "Click here to submit comment")</f>
        <v>Click here to submit comment</v>
      </c>
    </row>
    <row r="4221" spans="1:17" ht="60" x14ac:dyDescent="0.25">
      <c r="A4221" s="9" t="s">
        <v>11941</v>
      </c>
      <c r="B4221" s="9" t="s">
        <v>6788</v>
      </c>
      <c r="C4221" s="9" t="s">
        <v>6777</v>
      </c>
      <c r="D4221" s="9" t="s">
        <v>6746</v>
      </c>
      <c r="E4221" s="9" t="s">
        <v>12193</v>
      </c>
      <c r="F4221" s="9" t="s">
        <v>7430</v>
      </c>
      <c r="G4221" s="9" t="s">
        <v>12</v>
      </c>
      <c r="H4221" s="9"/>
      <c r="I4221" s="9" t="s">
        <v>1457</v>
      </c>
      <c r="J4221" s="9" t="s">
        <v>92</v>
      </c>
      <c r="K4221" s="9"/>
      <c r="L4221" s="9"/>
      <c r="M4221" s="9" t="s">
        <v>11184</v>
      </c>
      <c r="N4221" s="9" t="s">
        <v>12194</v>
      </c>
      <c r="O4221" s="9" t="s">
        <v>12195</v>
      </c>
      <c r="P4221" s="9" t="str">
        <f>HYPERLINK("https://ceds.ed.gov/cedselementdetails.aspx?termid=14755")</f>
        <v>https://ceds.ed.gov/cedselementdetails.aspx?termid=14755</v>
      </c>
      <c r="Q4221" s="9" t="str">
        <f>HYPERLINK("https://ceds.ed.gov/elementComment.aspx?elementName=Facility Block Number Area &amp;elementID=14755", "Click here to submit comment")</f>
        <v>Click here to submit comment</v>
      </c>
    </row>
    <row r="4222" spans="1:17" ht="45" x14ac:dyDescent="0.25">
      <c r="A4222" s="9" t="s">
        <v>11941</v>
      </c>
      <c r="B4222" s="9" t="s">
        <v>6788</v>
      </c>
      <c r="C4222" s="9" t="s">
        <v>6777</v>
      </c>
      <c r="D4222" s="9" t="s">
        <v>6746</v>
      </c>
      <c r="E4222" s="9" t="s">
        <v>11185</v>
      </c>
      <c r="F4222" s="9" t="s">
        <v>7454</v>
      </c>
      <c r="G4222" s="10" t="s">
        <v>11854</v>
      </c>
      <c r="H4222" s="9"/>
      <c r="I4222" s="9" t="s">
        <v>1457</v>
      </c>
      <c r="J4222" s="9"/>
      <c r="K4222" s="9"/>
      <c r="L4222" s="9"/>
      <c r="M4222" s="9" t="s">
        <v>11186</v>
      </c>
      <c r="N4222" s="9"/>
      <c r="O4222" s="9" t="s">
        <v>11187</v>
      </c>
      <c r="P4222" s="9" t="str">
        <f>HYPERLINK("https://ceds.ed.gov/cedselementdetails.aspx?termid=14751")</f>
        <v>https://ceds.ed.gov/cedselementdetails.aspx?termid=14751</v>
      </c>
      <c r="Q4222" s="9" t="str">
        <f>HYPERLINK("https://ceds.ed.gov/elementComment.aspx?elementName=Facility Building Permanency &amp;elementID=14751", "Click here to submit comment")</f>
        <v>Click here to submit comment</v>
      </c>
    </row>
    <row r="4223" spans="1:17" ht="45" x14ac:dyDescent="0.25">
      <c r="A4223" s="9" t="s">
        <v>11941</v>
      </c>
      <c r="B4223" s="9" t="s">
        <v>6788</v>
      </c>
      <c r="C4223" s="9" t="s">
        <v>6777</v>
      </c>
      <c r="D4223" s="9" t="s">
        <v>6746</v>
      </c>
      <c r="E4223" s="9" t="s">
        <v>11190</v>
      </c>
      <c r="F4223" s="9" t="s">
        <v>7555</v>
      </c>
      <c r="G4223" s="9" t="s">
        <v>12</v>
      </c>
      <c r="H4223" s="9"/>
      <c r="I4223" s="9" t="s">
        <v>1457</v>
      </c>
      <c r="J4223" s="9" t="s">
        <v>11191</v>
      </c>
      <c r="K4223" s="9"/>
      <c r="L4223" s="9"/>
      <c r="M4223" s="9" t="s">
        <v>11192</v>
      </c>
      <c r="N4223" s="9"/>
      <c r="O4223" s="9" t="s">
        <v>11193</v>
      </c>
      <c r="P4223" s="9" t="str">
        <f>HYPERLINK("https://ceds.ed.gov/cedselementdetails.aspx?termid=14760")</f>
        <v>https://ceds.ed.gov/cedselementdetails.aspx?termid=14760</v>
      </c>
      <c r="Q4223" s="9" t="str">
        <f>HYPERLINK("https://ceds.ed.gov/elementComment.aspx?elementName=Facility Census Tract &amp;elementID=14760", "Click here to submit comment")</f>
        <v>Click here to submit comment</v>
      </c>
    </row>
    <row r="4224" spans="1:17" ht="45" x14ac:dyDescent="0.25">
      <c r="A4224" s="9" t="s">
        <v>11941</v>
      </c>
      <c r="B4224" s="9" t="s">
        <v>6788</v>
      </c>
      <c r="C4224" s="9" t="s">
        <v>6777</v>
      </c>
      <c r="D4224" s="9" t="s">
        <v>6746</v>
      </c>
      <c r="E4224" s="9" t="s">
        <v>11212</v>
      </c>
      <c r="F4224" s="9" t="s">
        <v>7628</v>
      </c>
      <c r="G4224" s="9" t="s">
        <v>12</v>
      </c>
      <c r="H4224" s="9"/>
      <c r="I4224" s="9" t="s">
        <v>1457</v>
      </c>
      <c r="J4224" s="9" t="s">
        <v>73</v>
      </c>
      <c r="K4224" s="9"/>
      <c r="L4224" s="9"/>
      <c r="M4224" s="9" t="s">
        <v>11213</v>
      </c>
      <c r="N4224" s="9"/>
      <c r="O4224" s="9" t="s">
        <v>11214</v>
      </c>
      <c r="P4224" s="9" t="str">
        <f>HYPERLINK("https://ceds.ed.gov/cedselementdetails.aspx?termid=14761")</f>
        <v>https://ceds.ed.gov/cedselementdetails.aspx?termid=14761</v>
      </c>
      <c r="Q4224" s="9" t="str">
        <f>HYPERLINK("https://ceds.ed.gov/elementComment.aspx?elementName=Facility Construction Date &amp;elementID=14761", "Click here to submit comment")</f>
        <v>Click here to submit comment</v>
      </c>
    </row>
    <row r="4225" spans="1:17" ht="45" x14ac:dyDescent="0.25">
      <c r="A4225" s="9" t="s">
        <v>11941</v>
      </c>
      <c r="B4225" s="9" t="s">
        <v>6788</v>
      </c>
      <c r="C4225" s="9" t="s">
        <v>6777</v>
      </c>
      <c r="D4225" s="9" t="s">
        <v>6746</v>
      </c>
      <c r="E4225" s="9" t="s">
        <v>11215</v>
      </c>
      <c r="F4225" s="9" t="s">
        <v>7629</v>
      </c>
      <c r="G4225" s="10" t="s">
        <v>11858</v>
      </c>
      <c r="H4225" s="9"/>
      <c r="I4225" s="9" t="s">
        <v>1457</v>
      </c>
      <c r="J4225" s="9"/>
      <c r="K4225" s="9"/>
      <c r="L4225" s="9"/>
      <c r="M4225" s="9" t="s">
        <v>11216</v>
      </c>
      <c r="N4225" s="9"/>
      <c r="O4225" s="9" t="s">
        <v>11217</v>
      </c>
      <c r="P4225" s="9" t="str">
        <f>HYPERLINK("https://ceds.ed.gov/cedselementdetails.aspx?termid=14762")</f>
        <v>https://ceds.ed.gov/cedselementdetails.aspx?termid=14762</v>
      </c>
      <c r="Q4225" s="9" t="str">
        <f>HYPERLINK("https://ceds.ed.gov/elementComment.aspx?elementName=Facility Construction Date Type &amp;elementID=14762", "Click here to submit comment")</f>
        <v>Click here to submit comment</v>
      </c>
    </row>
    <row r="4226" spans="1:17" ht="165" x14ac:dyDescent="0.25">
      <c r="A4226" s="9" t="s">
        <v>11941</v>
      </c>
      <c r="B4226" s="9" t="s">
        <v>6788</v>
      </c>
      <c r="C4226" s="9" t="s">
        <v>6777</v>
      </c>
      <c r="D4226" s="9" t="s">
        <v>6746</v>
      </c>
      <c r="E4226" s="9" t="s">
        <v>11218</v>
      </c>
      <c r="F4226" s="9" t="s">
        <v>7630</v>
      </c>
      <c r="G4226" s="10" t="s">
        <v>11859</v>
      </c>
      <c r="H4226" s="9"/>
      <c r="I4226" s="9" t="s">
        <v>1457</v>
      </c>
      <c r="J4226" s="9"/>
      <c r="K4226" s="9"/>
      <c r="L4226" s="9"/>
      <c r="M4226" s="9" t="s">
        <v>11219</v>
      </c>
      <c r="N4226" s="9"/>
      <c r="O4226" s="9" t="s">
        <v>11220</v>
      </c>
      <c r="P4226" s="9" t="str">
        <f>HYPERLINK("https://ceds.ed.gov/cedselementdetails.aspx?termid=14763")</f>
        <v>https://ceds.ed.gov/cedselementdetails.aspx?termid=14763</v>
      </c>
      <c r="Q4226" s="9" t="str">
        <f>HYPERLINK("https://ceds.ed.gov/elementComment.aspx?elementName=Facility Construction Material Type &amp;elementID=14763", "Click here to submit comment")</f>
        <v>Click here to submit comment</v>
      </c>
    </row>
    <row r="4227" spans="1:17" ht="45" x14ac:dyDescent="0.25">
      <c r="A4227" s="9" t="s">
        <v>11941</v>
      </c>
      <c r="B4227" s="9" t="s">
        <v>6788</v>
      </c>
      <c r="C4227" s="9" t="s">
        <v>6777</v>
      </c>
      <c r="D4227" s="9" t="s">
        <v>6746</v>
      </c>
      <c r="E4227" s="9" t="s">
        <v>11221</v>
      </c>
      <c r="F4227" s="9" t="s">
        <v>7640</v>
      </c>
      <c r="G4227" s="9" t="s">
        <v>12</v>
      </c>
      <c r="H4227" s="9"/>
      <c r="I4227" s="9" t="s">
        <v>1457</v>
      </c>
      <c r="J4227" s="9" t="s">
        <v>1813</v>
      </c>
      <c r="K4227" s="9"/>
      <c r="L4227" s="9"/>
      <c r="M4227" s="9" t="s">
        <v>11222</v>
      </c>
      <c r="N4227" s="9"/>
      <c r="O4227" s="9" t="s">
        <v>11223</v>
      </c>
      <c r="P4227" s="9" t="str">
        <f>HYPERLINK("https://ceds.ed.gov/cedselementdetails.aspx?termid=14752")</f>
        <v>https://ceds.ed.gov/cedselementdetails.aspx?termid=14752</v>
      </c>
      <c r="Q4227" s="9" t="str">
        <f>HYPERLINK("https://ceds.ed.gov/elementComment.aspx?elementName=Facility Construction Year &amp;elementID=14752", "Click here to submit comment")</f>
        <v>Click here to submit comment</v>
      </c>
    </row>
    <row r="4228" spans="1:17" ht="45" x14ac:dyDescent="0.25">
      <c r="A4228" s="9" t="s">
        <v>11941</v>
      </c>
      <c r="B4228" s="9" t="s">
        <v>6788</v>
      </c>
      <c r="C4228" s="9" t="s">
        <v>6777</v>
      </c>
      <c r="D4228" s="9" t="s">
        <v>6746</v>
      </c>
      <c r="E4228" s="9" t="s">
        <v>11230</v>
      </c>
      <c r="F4228" s="9" t="s">
        <v>8016</v>
      </c>
      <c r="G4228" s="9" t="s">
        <v>12</v>
      </c>
      <c r="H4228" s="9"/>
      <c r="I4228" s="9" t="s">
        <v>1457</v>
      </c>
      <c r="J4228" s="9" t="s">
        <v>589</v>
      </c>
      <c r="K4228" s="9"/>
      <c r="L4228" s="9"/>
      <c r="M4228" s="9" t="s">
        <v>11231</v>
      </c>
      <c r="N4228" s="9"/>
      <c r="O4228" s="9" t="s">
        <v>11232</v>
      </c>
      <c r="P4228" s="9" t="str">
        <f>HYPERLINK("https://ceds.ed.gov/cedselementdetails.aspx?termid=14764")</f>
        <v>https://ceds.ed.gov/cedselementdetails.aspx?termid=14764</v>
      </c>
      <c r="Q4228" s="9" t="str">
        <f>HYPERLINK("https://ceds.ed.gov/elementComment.aspx?elementName=Facility Expected Life &amp;elementID=14764", "Click here to submit comment")</f>
        <v>Click here to submit comment</v>
      </c>
    </row>
    <row r="4229" spans="1:17" ht="45" x14ac:dyDescent="0.25">
      <c r="A4229" s="9" t="s">
        <v>11941</v>
      </c>
      <c r="B4229" s="9" t="s">
        <v>6788</v>
      </c>
      <c r="C4229" s="9" t="s">
        <v>6777</v>
      </c>
      <c r="D4229" s="9" t="s">
        <v>6746</v>
      </c>
      <c r="E4229" s="9" t="s">
        <v>11289</v>
      </c>
      <c r="F4229" s="9" t="s">
        <v>11290</v>
      </c>
      <c r="G4229" s="9" t="s">
        <v>6106</v>
      </c>
      <c r="H4229" s="9"/>
      <c r="I4229" s="9" t="s">
        <v>1457</v>
      </c>
      <c r="J4229" s="9"/>
      <c r="K4229" s="9"/>
      <c r="L4229" s="9"/>
      <c r="M4229" s="9" t="s">
        <v>11291</v>
      </c>
      <c r="N4229" s="9"/>
      <c r="O4229" s="9" t="s">
        <v>11292</v>
      </c>
      <c r="P4229" s="9" t="str">
        <f>HYPERLINK("https://ceds.ed.gov/cedselementdetails.aspx?termid=14887")</f>
        <v>https://ceds.ed.gov/cedselementdetails.aspx?termid=14887</v>
      </c>
      <c r="Q4229" s="9" t="str">
        <f>HYPERLINK("https://ceds.ed.gov/elementComment.aspx?elementName=Facility Ownership Indicator &amp;elementID=14887", "Click here to submit comment")</f>
        <v>Click here to submit comment</v>
      </c>
    </row>
    <row r="4230" spans="1:17" ht="45" x14ac:dyDescent="0.25">
      <c r="A4230" s="9" t="s">
        <v>11941</v>
      </c>
      <c r="B4230" s="9" t="s">
        <v>6788</v>
      </c>
      <c r="C4230" s="9" t="s">
        <v>6777</v>
      </c>
      <c r="D4230" s="9" t="s">
        <v>6746</v>
      </c>
      <c r="E4230" s="9" t="s">
        <v>8059</v>
      </c>
      <c r="F4230" s="9" t="s">
        <v>8060</v>
      </c>
      <c r="G4230" s="9" t="s">
        <v>12</v>
      </c>
      <c r="H4230" s="9"/>
      <c r="I4230" s="9" t="s">
        <v>1457</v>
      </c>
      <c r="J4230" s="9" t="s">
        <v>1513</v>
      </c>
      <c r="K4230" s="9"/>
      <c r="L4230" s="9"/>
      <c r="M4230" s="9" t="s">
        <v>11293</v>
      </c>
      <c r="N4230" s="9"/>
      <c r="O4230" s="9" t="s">
        <v>11294</v>
      </c>
      <c r="P4230" s="9" t="str">
        <f>HYPERLINK("https://ceds.ed.gov/cedselementdetails.aspx?termid=14765")</f>
        <v>https://ceds.ed.gov/cedselementdetails.aspx?termid=14765</v>
      </c>
      <c r="Q4230" s="9" t="str">
        <f>HYPERLINK("https://ceds.ed.gov/elementComment.aspx?elementName=Facility Replacement Value &amp;elementID=14765", "Click here to submit comment")</f>
        <v>Click here to submit comment</v>
      </c>
    </row>
    <row r="4231" spans="1:17" ht="90" x14ac:dyDescent="0.25">
      <c r="A4231" s="9" t="s">
        <v>11941</v>
      </c>
      <c r="B4231" s="9" t="s">
        <v>6788</v>
      </c>
      <c r="C4231" s="9" t="s">
        <v>6777</v>
      </c>
      <c r="D4231" s="9" t="s">
        <v>6746</v>
      </c>
      <c r="E4231" s="9" t="s">
        <v>11295</v>
      </c>
      <c r="F4231" s="9" t="s">
        <v>9221</v>
      </c>
      <c r="G4231" s="9" t="s">
        <v>12</v>
      </c>
      <c r="H4231" s="9"/>
      <c r="I4231" s="9" t="s">
        <v>1457</v>
      </c>
      <c r="J4231" s="9" t="s">
        <v>4991</v>
      </c>
      <c r="K4231" s="9"/>
      <c r="L4231" s="9"/>
      <c r="M4231" s="9" t="s">
        <v>11296</v>
      </c>
      <c r="N4231" s="9"/>
      <c r="O4231" s="9" t="s">
        <v>11297</v>
      </c>
      <c r="P4231" s="9" t="str">
        <f>HYPERLINK("https://ceds.ed.gov/cedselementdetails.aspx?termid=14754")</f>
        <v>https://ceds.ed.gov/cedselementdetails.aspx?termid=14754</v>
      </c>
      <c r="Q4231" s="9" t="str">
        <f>HYPERLINK("https://ceds.ed.gov/elementComment.aspx?elementName=Facility Site Area &amp;elementID=14754", "Click here to submit comment")</f>
        <v>Click here to submit comment</v>
      </c>
    </row>
    <row r="4232" spans="1:17" ht="45" x14ac:dyDescent="0.25">
      <c r="A4232" s="9" t="s">
        <v>11941</v>
      </c>
      <c r="B4232" s="9" t="s">
        <v>6788</v>
      </c>
      <c r="C4232" s="9" t="s">
        <v>6777</v>
      </c>
      <c r="D4232" s="9" t="s">
        <v>6746</v>
      </c>
      <c r="E4232" s="9" t="s">
        <v>11298</v>
      </c>
      <c r="F4232" s="9" t="s">
        <v>9226</v>
      </c>
      <c r="G4232" s="9" t="s">
        <v>12</v>
      </c>
      <c r="H4232" s="9"/>
      <c r="I4232" s="9" t="s">
        <v>1457</v>
      </c>
      <c r="J4232" s="9" t="s">
        <v>1165</v>
      </c>
      <c r="K4232" s="9"/>
      <c r="L4232" s="9"/>
      <c r="M4232" s="9" t="s">
        <v>11299</v>
      </c>
      <c r="N4232" s="9"/>
      <c r="O4232" s="9" t="s">
        <v>11300</v>
      </c>
      <c r="P4232" s="9" t="str">
        <f>HYPERLINK("https://ceds.ed.gov/cedselementdetails.aspx?termid=14767")</f>
        <v>https://ceds.ed.gov/cedselementdetails.aspx?termid=14767</v>
      </c>
      <c r="Q4232" s="9" t="str">
        <f>HYPERLINK("https://ceds.ed.gov/elementComment.aspx?elementName=Facility Site Identifier &amp;elementID=14767", "Click here to submit comment")</f>
        <v>Click here to submit comment</v>
      </c>
    </row>
    <row r="4233" spans="1:17" ht="240" x14ac:dyDescent="0.25">
      <c r="A4233" s="9" t="s">
        <v>11941</v>
      </c>
      <c r="B4233" s="9" t="s">
        <v>6788</v>
      </c>
      <c r="C4233" s="9" t="s">
        <v>6777</v>
      </c>
      <c r="D4233" s="9" t="s">
        <v>6746</v>
      </c>
      <c r="E4233" s="9" t="s">
        <v>11301</v>
      </c>
      <c r="F4233" s="9" t="s">
        <v>11302</v>
      </c>
      <c r="G4233" s="10" t="s">
        <v>11872</v>
      </c>
      <c r="H4233" s="9"/>
      <c r="I4233" s="9" t="s">
        <v>1457</v>
      </c>
      <c r="J4233" s="9"/>
      <c r="K4233" s="9"/>
      <c r="L4233" s="9"/>
      <c r="M4233" s="9" t="s">
        <v>11303</v>
      </c>
      <c r="N4233" s="9"/>
      <c r="O4233" s="9" t="s">
        <v>11304</v>
      </c>
      <c r="P4233" s="9" t="str">
        <f>HYPERLINK("https://ceds.ed.gov/cedselementdetails.aspx?termid=14768")</f>
        <v>https://ceds.ed.gov/cedselementdetails.aspx?termid=14768</v>
      </c>
      <c r="Q4233" s="9" t="str">
        <f>HYPERLINK("https://ceds.ed.gov/elementComment.aspx?elementName=Facility Site Improvement Location Type &amp;elementID=14768", "Click here to submit comment")</f>
        <v>Click here to submit comment</v>
      </c>
    </row>
    <row r="4234" spans="1:17" ht="45" x14ac:dyDescent="0.25">
      <c r="A4234" s="9" t="s">
        <v>11941</v>
      </c>
      <c r="B4234" s="9" t="s">
        <v>6788</v>
      </c>
      <c r="C4234" s="9" t="s">
        <v>6777</v>
      </c>
      <c r="D4234" s="9" t="s">
        <v>6746</v>
      </c>
      <c r="E4234" s="9" t="s">
        <v>11666</v>
      </c>
      <c r="F4234" s="9" t="s">
        <v>11667</v>
      </c>
      <c r="G4234" s="10" t="s">
        <v>11904</v>
      </c>
      <c r="H4234" s="9"/>
      <c r="I4234" s="9" t="s">
        <v>1457</v>
      </c>
      <c r="J4234" s="9"/>
      <c r="K4234" s="9"/>
      <c r="L4234" s="9"/>
      <c r="M4234" s="9" t="s">
        <v>11669</v>
      </c>
      <c r="N4234" s="9"/>
      <c r="O4234" s="9" t="s">
        <v>11670</v>
      </c>
      <c r="P4234" s="9" t="str">
        <f>HYPERLINK("https://ceds.ed.gov/cedselementdetails.aspx?termid=14886")</f>
        <v>https://ceds.ed.gov/cedselementdetails.aspx?termid=14886</v>
      </c>
      <c r="Q4234" s="9" t="str">
        <f>HYPERLINK("https://ceds.ed.gov/elementComment.aspx?elementName=Organization Relationship Type &amp;elementID=14886", "Click here to submit comment")</f>
        <v>Click here to submit comment</v>
      </c>
    </row>
    <row r="4235" spans="1:17" ht="90" x14ac:dyDescent="0.25">
      <c r="A4235" s="9" t="s">
        <v>11941</v>
      </c>
      <c r="B4235" s="9" t="s">
        <v>6788</v>
      </c>
      <c r="C4235" s="9" t="s">
        <v>6783</v>
      </c>
      <c r="D4235" s="9" t="s">
        <v>6746</v>
      </c>
      <c r="E4235" s="9" t="s">
        <v>174</v>
      </c>
      <c r="F4235" s="9" t="s">
        <v>175</v>
      </c>
      <c r="G4235" s="10" t="s">
        <v>6320</v>
      </c>
      <c r="H4235" s="9" t="s">
        <v>6109</v>
      </c>
      <c r="I4235" s="9"/>
      <c r="J4235" s="9" t="s">
        <v>87</v>
      </c>
      <c r="K4235" s="9"/>
      <c r="L4235" s="9"/>
      <c r="M4235" s="9" t="s">
        <v>176</v>
      </c>
      <c r="N4235" s="9"/>
      <c r="O4235" s="9" t="s">
        <v>177</v>
      </c>
      <c r="P4235" s="9" t="str">
        <f>HYPERLINK("https://ceds.ed.gov/cedselementdetails.aspx?termid=13644")</f>
        <v>https://ceds.ed.gov/cedselementdetails.aspx?termid=13644</v>
      </c>
      <c r="Q4235" s="9" t="str">
        <f>HYPERLINK("https://ceds.ed.gov/elementComment.aspx?elementName=Address Type for Organization &amp;elementID=13644", "Click here to submit comment")</f>
        <v>Click here to submit comment</v>
      </c>
    </row>
    <row r="4236" spans="1:17" ht="225" x14ac:dyDescent="0.25">
      <c r="A4236" s="9" t="s">
        <v>11941</v>
      </c>
      <c r="B4236" s="9" t="s">
        <v>6788</v>
      </c>
      <c r="C4236" s="9" t="s">
        <v>6783</v>
      </c>
      <c r="D4236" s="9" t="s">
        <v>6746</v>
      </c>
      <c r="E4236" s="9" t="s">
        <v>166</v>
      </c>
      <c r="F4236" s="9" t="s">
        <v>167</v>
      </c>
      <c r="G4236" s="9" t="s">
        <v>12</v>
      </c>
      <c r="H4236" s="9" t="s">
        <v>6113</v>
      </c>
      <c r="I4236" s="9"/>
      <c r="J4236" s="9" t="s">
        <v>119</v>
      </c>
      <c r="K4236" s="9"/>
      <c r="L4236" s="9"/>
      <c r="M4236" s="9" t="s">
        <v>168</v>
      </c>
      <c r="N4236" s="9"/>
      <c r="O4236" s="9" t="s">
        <v>169</v>
      </c>
      <c r="P4236" s="9" t="str">
        <f>HYPERLINK("https://ceds.ed.gov/cedselementdetails.aspx?termid=13269")</f>
        <v>https://ceds.ed.gov/cedselementdetails.aspx?termid=13269</v>
      </c>
      <c r="Q4236" s="9" t="str">
        <f>HYPERLINK("https://ceds.ed.gov/elementComment.aspx?elementName=Address Street Number and Name &amp;elementID=13269", "Click here to submit comment")</f>
        <v>Click here to submit comment</v>
      </c>
    </row>
    <row r="4237" spans="1:17" ht="225" x14ac:dyDescent="0.25">
      <c r="A4237" s="9" t="s">
        <v>11941</v>
      </c>
      <c r="B4237" s="9" t="s">
        <v>6788</v>
      </c>
      <c r="C4237" s="9" t="s">
        <v>6783</v>
      </c>
      <c r="D4237" s="9" t="s">
        <v>6746</v>
      </c>
      <c r="E4237" s="9" t="s">
        <v>149</v>
      </c>
      <c r="F4237" s="9" t="s">
        <v>150</v>
      </c>
      <c r="G4237" s="9" t="s">
        <v>12</v>
      </c>
      <c r="H4237" s="9" t="s">
        <v>6113</v>
      </c>
      <c r="I4237" s="9"/>
      <c r="J4237" s="9" t="s">
        <v>87</v>
      </c>
      <c r="K4237" s="9"/>
      <c r="L4237" s="9"/>
      <c r="M4237" s="9" t="s">
        <v>151</v>
      </c>
      <c r="N4237" s="9"/>
      <c r="O4237" s="9" t="s">
        <v>152</v>
      </c>
      <c r="P4237" s="9" t="str">
        <f>HYPERLINK("https://ceds.ed.gov/cedselementdetails.aspx?termid=13019")</f>
        <v>https://ceds.ed.gov/cedselementdetails.aspx?termid=13019</v>
      </c>
      <c r="Q4237" s="9" t="str">
        <f>HYPERLINK("https://ceds.ed.gov/elementComment.aspx?elementName=Address Apartment Room or Suite Number &amp;elementID=13019", "Click here to submit comment")</f>
        <v>Click here to submit comment</v>
      </c>
    </row>
    <row r="4238" spans="1:17" ht="225" x14ac:dyDescent="0.25">
      <c r="A4238" s="9" t="s">
        <v>11941</v>
      </c>
      <c r="B4238" s="9" t="s">
        <v>6788</v>
      </c>
      <c r="C4238" s="9" t="s">
        <v>6783</v>
      </c>
      <c r="D4238" s="9" t="s">
        <v>6746</v>
      </c>
      <c r="E4238" s="9" t="s">
        <v>153</v>
      </c>
      <c r="F4238" s="9" t="s">
        <v>154</v>
      </c>
      <c r="G4238" s="9" t="s">
        <v>12</v>
      </c>
      <c r="H4238" s="9" t="s">
        <v>6113</v>
      </c>
      <c r="I4238" s="9"/>
      <c r="J4238" s="9" t="s">
        <v>87</v>
      </c>
      <c r="K4238" s="9"/>
      <c r="L4238" s="9"/>
      <c r="M4238" s="9" t="s">
        <v>155</v>
      </c>
      <c r="N4238" s="9"/>
      <c r="O4238" s="9" t="s">
        <v>156</v>
      </c>
      <c r="P4238" s="9" t="str">
        <f>HYPERLINK("https://ceds.ed.gov/cedselementdetails.aspx?termid=13040")</f>
        <v>https://ceds.ed.gov/cedselementdetails.aspx?termid=13040</v>
      </c>
      <c r="Q4238" s="9" t="str">
        <f>HYPERLINK("https://ceds.ed.gov/elementComment.aspx?elementName=Address City &amp;elementID=13040", "Click here to submit comment")</f>
        <v>Click here to submit comment</v>
      </c>
    </row>
    <row r="4239" spans="1:17" ht="409.5" x14ac:dyDescent="0.25">
      <c r="A4239" s="9" t="s">
        <v>11941</v>
      </c>
      <c r="B4239" s="9" t="s">
        <v>6788</v>
      </c>
      <c r="C4239" s="9" t="s">
        <v>6783</v>
      </c>
      <c r="D4239" s="9" t="s">
        <v>6746</v>
      </c>
      <c r="E4239" s="9" t="s">
        <v>5647</v>
      </c>
      <c r="F4239" s="9" t="s">
        <v>5648</v>
      </c>
      <c r="G4239" s="10" t="s">
        <v>6702</v>
      </c>
      <c r="H4239" s="9" t="s">
        <v>6285</v>
      </c>
      <c r="I4239" s="9"/>
      <c r="J4239" s="9"/>
      <c r="K4239" s="9"/>
      <c r="L4239" s="9"/>
      <c r="M4239" s="9" t="s">
        <v>5649</v>
      </c>
      <c r="N4239" s="9"/>
      <c r="O4239" s="9" t="s">
        <v>5650</v>
      </c>
      <c r="P4239" s="9" t="str">
        <f>HYPERLINK("https://ceds.ed.gov/cedselementdetails.aspx?termid=13267")</f>
        <v>https://ceds.ed.gov/cedselementdetails.aspx?termid=13267</v>
      </c>
      <c r="Q4239" s="9" t="str">
        <f>HYPERLINK("https://ceds.ed.gov/elementComment.aspx?elementName=State Abbreviation &amp;elementID=13267", "Click here to submit comment")</f>
        <v>Click here to submit comment</v>
      </c>
    </row>
    <row r="4240" spans="1:17" ht="225" x14ac:dyDescent="0.25">
      <c r="A4240" s="9" t="s">
        <v>11941</v>
      </c>
      <c r="B4240" s="9" t="s">
        <v>6788</v>
      </c>
      <c r="C4240" s="9" t="s">
        <v>6783</v>
      </c>
      <c r="D4240" s="9" t="s">
        <v>6746</v>
      </c>
      <c r="E4240" s="9" t="s">
        <v>161</v>
      </c>
      <c r="F4240" s="9" t="s">
        <v>162</v>
      </c>
      <c r="G4240" s="9" t="s">
        <v>12</v>
      </c>
      <c r="H4240" s="9" t="s">
        <v>6113</v>
      </c>
      <c r="I4240" s="9"/>
      <c r="J4240" s="9" t="s">
        <v>163</v>
      </c>
      <c r="K4240" s="9"/>
      <c r="L4240" s="9"/>
      <c r="M4240" s="9" t="s">
        <v>164</v>
      </c>
      <c r="N4240" s="9"/>
      <c r="O4240" s="9" t="s">
        <v>165</v>
      </c>
      <c r="P4240" s="9" t="str">
        <f>HYPERLINK("https://ceds.ed.gov/cedselementdetails.aspx?termid=13214")</f>
        <v>https://ceds.ed.gov/cedselementdetails.aspx?termid=13214</v>
      </c>
      <c r="Q4240" s="9" t="str">
        <f>HYPERLINK("https://ceds.ed.gov/elementComment.aspx?elementName=Address Postal Code &amp;elementID=13214", "Click here to submit comment")</f>
        <v>Click here to submit comment</v>
      </c>
    </row>
    <row r="4241" spans="1:17" ht="225" x14ac:dyDescent="0.25">
      <c r="A4241" s="9" t="s">
        <v>11941</v>
      </c>
      <c r="B4241" s="9" t="s">
        <v>6788</v>
      </c>
      <c r="C4241" s="9" t="s">
        <v>6783</v>
      </c>
      <c r="D4241" s="9" t="s">
        <v>6746</v>
      </c>
      <c r="E4241" s="9" t="s">
        <v>157</v>
      </c>
      <c r="F4241" s="9" t="s">
        <v>158</v>
      </c>
      <c r="G4241" s="9" t="s">
        <v>12</v>
      </c>
      <c r="H4241" s="9" t="s">
        <v>6113</v>
      </c>
      <c r="I4241" s="9"/>
      <c r="J4241" s="9" t="s">
        <v>87</v>
      </c>
      <c r="K4241" s="9"/>
      <c r="L4241" s="9"/>
      <c r="M4241" s="9" t="s">
        <v>159</v>
      </c>
      <c r="N4241" s="9"/>
      <c r="O4241" s="9" t="s">
        <v>160</v>
      </c>
      <c r="P4241" s="9" t="str">
        <f>HYPERLINK("https://ceds.ed.gov/cedselementdetails.aspx?termid=13190")</f>
        <v>https://ceds.ed.gov/cedselementdetails.aspx?termid=13190</v>
      </c>
      <c r="Q4241" s="9" t="str">
        <f>HYPERLINK("https://ceds.ed.gov/elementComment.aspx?elementName=Address County Name &amp;elementID=13190", "Click here to submit comment")</f>
        <v>Click here to submit comment</v>
      </c>
    </row>
    <row r="4242" spans="1:17" ht="75" x14ac:dyDescent="0.25">
      <c r="A4242" s="9" t="s">
        <v>11941</v>
      </c>
      <c r="B4242" s="9" t="s">
        <v>6788</v>
      </c>
      <c r="C4242" s="9" t="s">
        <v>6783</v>
      </c>
      <c r="D4242" s="9" t="s">
        <v>6746</v>
      </c>
      <c r="E4242" s="9" t="s">
        <v>3606</v>
      </c>
      <c r="F4242" s="9" t="s">
        <v>3607</v>
      </c>
      <c r="G4242" s="9" t="s">
        <v>12</v>
      </c>
      <c r="H4242" s="9"/>
      <c r="I4242" s="9"/>
      <c r="J4242" s="9" t="s">
        <v>1165</v>
      </c>
      <c r="K4242" s="9"/>
      <c r="L4242" s="9"/>
      <c r="M4242" s="9" t="s">
        <v>3608</v>
      </c>
      <c r="N4242" s="9"/>
      <c r="O4242" s="9" t="s">
        <v>3606</v>
      </c>
      <c r="P4242" s="9" t="str">
        <f>HYPERLINK("https://ceds.ed.gov/cedselementdetails.aspx?termid=13599")</f>
        <v>https://ceds.ed.gov/cedselementdetails.aspx?termid=13599</v>
      </c>
      <c r="Q4242" s="9" t="str">
        <f>HYPERLINK("https://ceds.ed.gov/elementComment.aspx?elementName=Latitude &amp;elementID=13599", "Click here to submit comment")</f>
        <v>Click here to submit comment</v>
      </c>
    </row>
    <row r="4243" spans="1:17" ht="75" x14ac:dyDescent="0.25">
      <c r="A4243" s="9" t="s">
        <v>11941</v>
      </c>
      <c r="B4243" s="9" t="s">
        <v>6788</v>
      </c>
      <c r="C4243" s="9" t="s">
        <v>6783</v>
      </c>
      <c r="D4243" s="9" t="s">
        <v>6746</v>
      </c>
      <c r="E4243" s="9" t="s">
        <v>4139</v>
      </c>
      <c r="F4243" s="9" t="s">
        <v>4140</v>
      </c>
      <c r="G4243" s="9" t="s">
        <v>12</v>
      </c>
      <c r="H4243" s="9"/>
      <c r="I4243" s="9"/>
      <c r="J4243" s="9" t="s">
        <v>1165</v>
      </c>
      <c r="K4243" s="9"/>
      <c r="L4243" s="9"/>
      <c r="M4243" s="9" t="s">
        <v>4141</v>
      </c>
      <c r="N4243" s="9"/>
      <c r="O4243" s="9" t="s">
        <v>4139</v>
      </c>
      <c r="P4243" s="9" t="str">
        <f>HYPERLINK("https://ceds.ed.gov/cedselementdetails.aspx?termid=13600")</f>
        <v>https://ceds.ed.gov/cedselementdetails.aspx?termid=13600</v>
      </c>
      <c r="Q4243" s="9" t="str">
        <f>HYPERLINK("https://ceds.ed.gov/elementComment.aspx?elementName=Longitude &amp;elementID=13600", "Click here to submit comment")</f>
        <v>Click here to submit comment</v>
      </c>
    </row>
    <row r="4244" spans="1:17" ht="45" x14ac:dyDescent="0.25">
      <c r="A4244" s="9" t="s">
        <v>11941</v>
      </c>
      <c r="B4244" s="9" t="s">
        <v>6788</v>
      </c>
      <c r="C4244" s="9" t="s">
        <v>6783</v>
      </c>
      <c r="D4244" s="9" t="s">
        <v>6746</v>
      </c>
      <c r="E4244" s="9" t="s">
        <v>1557</v>
      </c>
      <c r="F4244" s="9" t="s">
        <v>1558</v>
      </c>
      <c r="G4244" s="9" t="s">
        <v>12</v>
      </c>
      <c r="H4244" s="9"/>
      <c r="I4244" s="9"/>
      <c r="J4244" s="9" t="s">
        <v>87</v>
      </c>
      <c r="K4244" s="9"/>
      <c r="L4244" s="9"/>
      <c r="M4244" s="9" t="s">
        <v>1559</v>
      </c>
      <c r="N4244" s="9"/>
      <c r="O4244" s="9" t="s">
        <v>1560</v>
      </c>
      <c r="P4244" s="9" t="str">
        <f>HYPERLINK("https://ceds.ed.gov/cedselementdetails.aspx?termid=13595")</f>
        <v>https://ceds.ed.gov/cedselementdetails.aspx?termid=13595</v>
      </c>
      <c r="Q4244" s="9" t="str">
        <f>HYPERLINK("https://ceds.ed.gov/elementComment.aspx?elementName=Building Site Number &amp;elementID=13595", "Click here to submit comment")</f>
        <v>Click here to submit comment</v>
      </c>
    </row>
    <row r="4245" spans="1:17" ht="180" x14ac:dyDescent="0.25">
      <c r="A4245" s="9" t="s">
        <v>11941</v>
      </c>
      <c r="B4245" s="9" t="s">
        <v>6788</v>
      </c>
      <c r="C4245" s="9" t="s">
        <v>6783</v>
      </c>
      <c r="D4245" s="9" t="s">
        <v>6746</v>
      </c>
      <c r="E4245" s="9" t="s">
        <v>1894</v>
      </c>
      <c r="F4245" s="9" t="s">
        <v>1895</v>
      </c>
      <c r="G4245" s="9" t="s">
        <v>12</v>
      </c>
      <c r="H4245" s="9"/>
      <c r="I4245" s="9"/>
      <c r="J4245" s="9" t="s">
        <v>10933</v>
      </c>
      <c r="K4245" s="9"/>
      <c r="L4245" s="9"/>
      <c r="M4245" s="9" t="s">
        <v>1896</v>
      </c>
      <c r="N4245" s="9"/>
      <c r="O4245" s="9" t="s">
        <v>1897</v>
      </c>
      <c r="P4245" s="9" t="str">
        <f>HYPERLINK("https://ceds.ed.gov/cedselementdetails.aspx?termid=14176")</f>
        <v>https://ceds.ed.gov/cedselementdetails.aspx?termid=14176</v>
      </c>
      <c r="Q4245" s="9" t="str">
        <f>HYPERLINK("https://ceds.ed.gov/elementComment.aspx?elementName=County ANSI Code &amp;elementID=14176", "Click here to submit comment")</f>
        <v>Click here to submit comment</v>
      </c>
    </row>
    <row r="4246" spans="1:17" ht="135" x14ac:dyDescent="0.25">
      <c r="A4246" s="9" t="s">
        <v>11941</v>
      </c>
      <c r="B4246" s="9" t="s">
        <v>6788</v>
      </c>
      <c r="C4246" s="9" t="s">
        <v>11942</v>
      </c>
      <c r="D4246" s="9" t="s">
        <v>6746</v>
      </c>
      <c r="E4246" s="9" t="s">
        <v>10538</v>
      </c>
      <c r="F4246" s="9" t="s">
        <v>7252</v>
      </c>
      <c r="G4246" s="10" t="s">
        <v>11789</v>
      </c>
      <c r="H4246" s="9"/>
      <c r="I4246" s="9" t="s">
        <v>1457</v>
      </c>
      <c r="J4246" s="9"/>
      <c r="K4246" s="9"/>
      <c r="L4246" s="9"/>
      <c r="M4246" s="9" t="s">
        <v>10540</v>
      </c>
      <c r="N4246" s="9"/>
      <c r="O4246" s="9" t="s">
        <v>10541</v>
      </c>
      <c r="P4246" s="9" t="str">
        <f>HYPERLINK("https://ceds.ed.gov/cedselementdetails.aspx?termid=14771")</f>
        <v>https://ceds.ed.gov/cedselementdetails.aspx?termid=14771</v>
      </c>
      <c r="Q4246" s="9" t="str">
        <f>HYPERLINK("https://ceds.ed.gov/elementComment.aspx?elementName=Building Air Distribution System Type &amp;elementID=14771", "Click here to submit comment")</f>
        <v>Click here to submit comment</v>
      </c>
    </row>
    <row r="4247" spans="1:17" ht="120" x14ac:dyDescent="0.25">
      <c r="A4247" s="9" t="s">
        <v>11941</v>
      </c>
      <c r="B4247" s="9" t="s">
        <v>6788</v>
      </c>
      <c r="C4247" s="9" t="s">
        <v>11942</v>
      </c>
      <c r="D4247" s="9" t="s">
        <v>6746</v>
      </c>
      <c r="E4247" s="9" t="s">
        <v>10576</v>
      </c>
      <c r="F4247" s="9" t="s">
        <v>10577</v>
      </c>
      <c r="G4247" s="10" t="s">
        <v>11797</v>
      </c>
      <c r="H4247" s="9"/>
      <c r="I4247" s="9" t="s">
        <v>1457</v>
      </c>
      <c r="J4247" s="9"/>
      <c r="K4247" s="9"/>
      <c r="L4247" s="9"/>
      <c r="M4247" s="9" t="s">
        <v>10578</v>
      </c>
      <c r="N4247" s="9"/>
      <c r="O4247" s="9" t="s">
        <v>10579</v>
      </c>
      <c r="P4247" s="9" t="str">
        <f>HYPERLINK("https://ceds.ed.gov/cedselementdetails.aspx?termid=14772")</f>
        <v>https://ceds.ed.gov/cedselementdetails.aspx?termid=14772</v>
      </c>
      <c r="Q4247" s="9" t="str">
        <f>HYPERLINK("https://ceds.ed.gov/elementComment.aspx?elementName=Building Communications Management Component System Type &amp;elementID=14772", "Click here to submit comment")</f>
        <v>Click here to submit comment</v>
      </c>
    </row>
    <row r="4248" spans="1:17" ht="150" x14ac:dyDescent="0.25">
      <c r="A4248" s="9" t="s">
        <v>11941</v>
      </c>
      <c r="B4248" s="9" t="s">
        <v>6788</v>
      </c>
      <c r="C4248" s="9" t="s">
        <v>11942</v>
      </c>
      <c r="D4248" s="9" t="s">
        <v>6746</v>
      </c>
      <c r="E4248" s="9" t="s">
        <v>10583</v>
      </c>
      <c r="F4248" s="9" t="s">
        <v>7641</v>
      </c>
      <c r="G4248" s="10" t="s">
        <v>11799</v>
      </c>
      <c r="H4248" s="9"/>
      <c r="I4248" s="9" t="s">
        <v>1457</v>
      </c>
      <c r="J4248" s="9"/>
      <c r="K4248" s="9"/>
      <c r="L4248" s="9"/>
      <c r="M4248" s="9" t="s">
        <v>10584</v>
      </c>
      <c r="N4248" s="9"/>
      <c r="O4248" s="9" t="s">
        <v>10585</v>
      </c>
      <c r="P4248" s="9" t="str">
        <f>HYPERLINK("https://ceds.ed.gov/cedselementdetails.aspx?termid=14775")</f>
        <v>https://ceds.ed.gov/cedselementdetails.aspx?termid=14775</v>
      </c>
      <c r="Q4248" s="9" t="str">
        <f>HYPERLINK("https://ceds.ed.gov/elementComment.aspx?elementName=Building Cooling Generation System Type &amp;elementID=14775", "Click here to submit comment")</f>
        <v>Click here to submit comment</v>
      </c>
    </row>
    <row r="4249" spans="1:17" ht="165" x14ac:dyDescent="0.25">
      <c r="A4249" s="9" t="s">
        <v>11941</v>
      </c>
      <c r="B4249" s="9" t="s">
        <v>6788</v>
      </c>
      <c r="C4249" s="9" t="s">
        <v>11942</v>
      </c>
      <c r="D4249" s="9" t="s">
        <v>6746</v>
      </c>
      <c r="E4249" s="9" t="s">
        <v>10590</v>
      </c>
      <c r="F4249" s="9" t="s">
        <v>7911</v>
      </c>
      <c r="G4249" s="10" t="s">
        <v>11801</v>
      </c>
      <c r="H4249" s="9"/>
      <c r="I4249" s="9" t="s">
        <v>1457</v>
      </c>
      <c r="J4249" s="9"/>
      <c r="K4249" s="9"/>
      <c r="L4249" s="9"/>
      <c r="M4249" s="9" t="s">
        <v>10591</v>
      </c>
      <c r="N4249" s="9"/>
      <c r="O4249" s="9" t="s">
        <v>10592</v>
      </c>
      <c r="P4249" s="9" t="str">
        <f>HYPERLINK("https://ceds.ed.gov/cedselementdetails.aspx?termid=14776")</f>
        <v>https://ceds.ed.gov/cedselementdetails.aspx?termid=14776</v>
      </c>
      <c r="Q4249" s="9" t="str">
        <f>HYPERLINK("https://ceds.ed.gov/elementComment.aspx?elementName=Building Electrical System Type &amp;elementID=14776", "Click here to submit comment")</f>
        <v>Click here to submit comment</v>
      </c>
    </row>
    <row r="4250" spans="1:17" ht="135" x14ac:dyDescent="0.25">
      <c r="A4250" s="9" t="s">
        <v>11941</v>
      </c>
      <c r="B4250" s="9" t="s">
        <v>6788</v>
      </c>
      <c r="C4250" s="9" t="s">
        <v>11942</v>
      </c>
      <c r="D4250" s="9" t="s">
        <v>6746</v>
      </c>
      <c r="E4250" s="9" t="s">
        <v>10603</v>
      </c>
      <c r="F4250" s="9" t="s">
        <v>8118</v>
      </c>
      <c r="G4250" s="10" t="s">
        <v>11805</v>
      </c>
      <c r="H4250" s="9"/>
      <c r="I4250" s="9" t="s">
        <v>1457</v>
      </c>
      <c r="J4250" s="9"/>
      <c r="K4250" s="9"/>
      <c r="L4250" s="9"/>
      <c r="M4250" s="9" t="s">
        <v>10604</v>
      </c>
      <c r="N4250" s="9"/>
      <c r="O4250" s="9" t="s">
        <v>10605</v>
      </c>
      <c r="P4250" s="9" t="str">
        <f>HYPERLINK("https://ceds.ed.gov/cedselementdetails.aspx?termid=14779")</f>
        <v>https://ceds.ed.gov/cedselementdetails.aspx?termid=14779</v>
      </c>
      <c r="Q4250" s="9" t="str">
        <f>HYPERLINK("https://ceds.ed.gov/elementComment.aspx?elementName=Building Fire Protection System Type &amp;elementID=14779", "Click here to submit comment")</f>
        <v>Click here to submit comment</v>
      </c>
    </row>
    <row r="4251" spans="1:17" ht="165" x14ac:dyDescent="0.25">
      <c r="A4251" s="9" t="s">
        <v>11941</v>
      </c>
      <c r="B4251" s="9" t="s">
        <v>6788</v>
      </c>
      <c r="C4251" s="9" t="s">
        <v>11942</v>
      </c>
      <c r="D4251" s="9" t="s">
        <v>6746</v>
      </c>
      <c r="E4251" s="9" t="s">
        <v>10612</v>
      </c>
      <c r="F4251" s="9" t="s">
        <v>8226</v>
      </c>
      <c r="G4251" s="10" t="s">
        <v>11808</v>
      </c>
      <c r="H4251" s="9"/>
      <c r="I4251" s="9" t="s">
        <v>1457</v>
      </c>
      <c r="J4251" s="9"/>
      <c r="K4251" s="9"/>
      <c r="L4251" s="9"/>
      <c r="M4251" s="9" t="s">
        <v>10613</v>
      </c>
      <c r="N4251" s="9"/>
      <c r="O4251" s="9" t="s">
        <v>10614</v>
      </c>
      <c r="P4251" s="9" t="str">
        <f>HYPERLINK("https://ceds.ed.gov/cedselementdetails.aspx?termid=14780")</f>
        <v>https://ceds.ed.gov/cedselementdetails.aspx?termid=14780</v>
      </c>
      <c r="Q4251" s="9" t="str">
        <f>HYPERLINK("https://ceds.ed.gov/elementComment.aspx?elementName=Building Heating Generation System Type &amp;elementID=14780", "Click here to submit comment")</f>
        <v>Click here to submit comment</v>
      </c>
    </row>
    <row r="4252" spans="1:17" ht="150" x14ac:dyDescent="0.25">
      <c r="A4252" s="9" t="s">
        <v>11941</v>
      </c>
      <c r="B4252" s="9" t="s">
        <v>6788</v>
      </c>
      <c r="C4252" s="9" t="s">
        <v>11942</v>
      </c>
      <c r="D4252" s="9" t="s">
        <v>6746</v>
      </c>
      <c r="E4252" s="9" t="s">
        <v>10619</v>
      </c>
      <c r="F4252" s="9" t="s">
        <v>8246</v>
      </c>
      <c r="G4252" s="10" t="s">
        <v>11810</v>
      </c>
      <c r="H4252" s="9"/>
      <c r="I4252" s="9" t="s">
        <v>1457</v>
      </c>
      <c r="J4252" s="9"/>
      <c r="K4252" s="9"/>
      <c r="L4252" s="9"/>
      <c r="M4252" s="9" t="s">
        <v>10620</v>
      </c>
      <c r="N4252" s="9"/>
      <c r="O4252" s="9" t="s">
        <v>10621</v>
      </c>
      <c r="P4252" s="9" t="str">
        <f>HYPERLINK("https://ceds.ed.gov/cedselementdetails.aspx?termid=14781")</f>
        <v>https://ceds.ed.gov/cedselementdetails.aspx?termid=14781</v>
      </c>
      <c r="Q4252" s="9" t="str">
        <f>HYPERLINK("https://ceds.ed.gov/elementComment.aspx?elementName=Building HVAC System Type &amp;elementID=14781", "Click here to submit comment")</f>
        <v>Click here to submit comment</v>
      </c>
    </row>
    <row r="4253" spans="1:17" ht="75" x14ac:dyDescent="0.25">
      <c r="A4253" s="9" t="s">
        <v>11941</v>
      </c>
      <c r="B4253" s="9" t="s">
        <v>6788</v>
      </c>
      <c r="C4253" s="9" t="s">
        <v>11942</v>
      </c>
      <c r="D4253" s="9" t="s">
        <v>6746</v>
      </c>
      <c r="E4253" s="9" t="s">
        <v>10623</v>
      </c>
      <c r="F4253" s="9" t="s">
        <v>8310</v>
      </c>
      <c r="G4253" s="9" t="s">
        <v>12</v>
      </c>
      <c r="H4253" s="9"/>
      <c r="I4253" s="9" t="s">
        <v>1457</v>
      </c>
      <c r="J4253" s="9" t="s">
        <v>22</v>
      </c>
      <c r="K4253" s="9"/>
      <c r="L4253" s="9"/>
      <c r="M4253" s="9" t="s">
        <v>10624</v>
      </c>
      <c r="N4253" s="9"/>
      <c r="O4253" s="9" t="s">
        <v>10625</v>
      </c>
      <c r="P4253" s="9" t="str">
        <f>HYPERLINK("https://ceds.ed.gov/cedselementdetails.aspx?termid=14782")</f>
        <v>https://ceds.ed.gov/cedselementdetails.aspx?termid=14782</v>
      </c>
      <c r="Q4253" s="9" t="str">
        <f>HYPERLINK("https://ceds.ed.gov/elementComment.aspx?elementName=Building Institutional Equipment Description &amp;elementID=14782", "Click here to submit comment")</f>
        <v>Click here to submit comment</v>
      </c>
    </row>
    <row r="4254" spans="1:17" ht="90" x14ac:dyDescent="0.25">
      <c r="A4254" s="9" t="s">
        <v>11941</v>
      </c>
      <c r="B4254" s="9" t="s">
        <v>6788</v>
      </c>
      <c r="C4254" s="9" t="s">
        <v>11942</v>
      </c>
      <c r="D4254" s="9" t="s">
        <v>6746</v>
      </c>
      <c r="E4254" s="9" t="s">
        <v>10639</v>
      </c>
      <c r="F4254" s="9" t="s">
        <v>8511</v>
      </c>
      <c r="G4254" s="10" t="s">
        <v>11817</v>
      </c>
      <c r="H4254" s="9"/>
      <c r="I4254" s="9" t="s">
        <v>1457</v>
      </c>
      <c r="J4254" s="9"/>
      <c r="K4254" s="9"/>
      <c r="L4254" s="9"/>
      <c r="M4254" s="9" t="s">
        <v>10640</v>
      </c>
      <c r="N4254" s="9"/>
      <c r="O4254" s="9" t="s">
        <v>10641</v>
      </c>
      <c r="P4254" s="9" t="str">
        <f>HYPERLINK("https://ceds.ed.gov/cedselementdetails.aspx?termid=14783")</f>
        <v>https://ceds.ed.gov/cedselementdetails.aspx?termid=14783</v>
      </c>
      <c r="Q4254" s="9" t="str">
        <f>HYPERLINK("https://ceds.ed.gov/elementComment.aspx?elementName=Building Mechanical Conveying System Type &amp;elementID=14783", "Click here to submit comment")</f>
        <v>Click here to submit comment</v>
      </c>
    </row>
    <row r="4255" spans="1:17" ht="75" x14ac:dyDescent="0.25">
      <c r="A4255" s="9" t="s">
        <v>11941</v>
      </c>
      <c r="B4255" s="9" t="s">
        <v>6788</v>
      </c>
      <c r="C4255" s="9" t="s">
        <v>11942</v>
      </c>
      <c r="D4255" s="9" t="s">
        <v>6746</v>
      </c>
      <c r="E4255" s="9" t="s">
        <v>10642</v>
      </c>
      <c r="F4255" s="9" t="s">
        <v>8512</v>
      </c>
      <c r="G4255" s="10" t="s">
        <v>11818</v>
      </c>
      <c r="H4255" s="9"/>
      <c r="I4255" s="9" t="s">
        <v>1457</v>
      </c>
      <c r="J4255" s="9"/>
      <c r="K4255" s="9"/>
      <c r="L4255" s="9"/>
      <c r="M4255" s="9" t="s">
        <v>10643</v>
      </c>
      <c r="N4255" s="9"/>
      <c r="O4255" s="9" t="s">
        <v>10644</v>
      </c>
      <c r="P4255" s="9" t="str">
        <f>HYPERLINK("https://ceds.ed.gov/cedselementdetails.aspx?termid=14790")</f>
        <v>https://ceds.ed.gov/cedselementdetails.aspx?termid=14790</v>
      </c>
      <c r="Q4255" s="9" t="str">
        <f>HYPERLINK("https://ceds.ed.gov/elementComment.aspx?elementName=Building Mechanical System Type &amp;elementID=14790", "Click here to submit comment")</f>
        <v>Click here to submit comment</v>
      </c>
    </row>
    <row r="4256" spans="1:17" ht="240" x14ac:dyDescent="0.25">
      <c r="A4256" s="9" t="s">
        <v>11941</v>
      </c>
      <c r="B4256" s="9" t="s">
        <v>6788</v>
      </c>
      <c r="C4256" s="9" t="s">
        <v>11942</v>
      </c>
      <c r="D4256" s="9" t="s">
        <v>6746</v>
      </c>
      <c r="E4256" s="9" t="s">
        <v>10658</v>
      </c>
      <c r="F4256" s="9" t="s">
        <v>8802</v>
      </c>
      <c r="G4256" s="10" t="s">
        <v>11823</v>
      </c>
      <c r="H4256" s="9"/>
      <c r="I4256" s="9" t="s">
        <v>1457</v>
      </c>
      <c r="J4256" s="9"/>
      <c r="K4256" s="9"/>
      <c r="L4256" s="9"/>
      <c r="M4256" s="9" t="s">
        <v>10659</v>
      </c>
      <c r="N4256" s="9"/>
      <c r="O4256" s="9" t="s">
        <v>10660</v>
      </c>
      <c r="P4256" s="9" t="str">
        <f>HYPERLINK("https://ceds.ed.gov/cedselementdetails.aspx?termid=14784")</f>
        <v>https://ceds.ed.gov/cedselementdetails.aspx?termid=14784</v>
      </c>
      <c r="Q4256" s="9" t="str">
        <f>HYPERLINK("https://ceds.ed.gov/elementComment.aspx?elementName=Building Plumbing System Type &amp;elementID=14784", "Click here to submit comment")</f>
        <v>Click here to submit comment</v>
      </c>
    </row>
    <row r="4257" spans="1:17" ht="105" x14ac:dyDescent="0.25">
      <c r="A4257" s="9" t="s">
        <v>11941</v>
      </c>
      <c r="B4257" s="9" t="s">
        <v>6788</v>
      </c>
      <c r="C4257" s="9" t="s">
        <v>11942</v>
      </c>
      <c r="D4257" s="9" t="s">
        <v>6746</v>
      </c>
      <c r="E4257" s="9" t="s">
        <v>10674</v>
      </c>
      <c r="F4257" s="9" t="s">
        <v>9180</v>
      </c>
      <c r="G4257" s="10" t="s">
        <v>11827</v>
      </c>
      <c r="H4257" s="9"/>
      <c r="I4257" s="9" t="s">
        <v>1457</v>
      </c>
      <c r="J4257" s="9"/>
      <c r="K4257" s="9"/>
      <c r="L4257" s="9"/>
      <c r="M4257" s="9" t="s">
        <v>10675</v>
      </c>
      <c r="N4257" s="9"/>
      <c r="O4257" s="9" t="s">
        <v>10676</v>
      </c>
      <c r="P4257" s="9" t="str">
        <f>HYPERLINK("https://ceds.ed.gov/cedselementdetails.aspx?termid=14785")</f>
        <v>https://ceds.ed.gov/cedselementdetails.aspx?termid=14785</v>
      </c>
      <c r="Q4257" s="9" t="str">
        <f>HYPERLINK("https://ceds.ed.gov/elementComment.aspx?elementName=Building Security System Type &amp;elementID=14785", "Click here to submit comment")</f>
        <v>Click here to submit comment</v>
      </c>
    </row>
    <row r="4258" spans="1:17" ht="180" x14ac:dyDescent="0.25">
      <c r="A4258" s="9" t="s">
        <v>11941</v>
      </c>
      <c r="B4258" s="9" t="s">
        <v>6788</v>
      </c>
      <c r="C4258" s="9" t="s">
        <v>11942</v>
      </c>
      <c r="D4258" s="9" t="s">
        <v>6746</v>
      </c>
      <c r="E4258" s="9" t="s">
        <v>10696</v>
      </c>
      <c r="F4258" s="9" t="s">
        <v>9339</v>
      </c>
      <c r="G4258" s="10" t="s">
        <v>11832</v>
      </c>
      <c r="H4258" s="9"/>
      <c r="I4258" s="9" t="s">
        <v>1457</v>
      </c>
      <c r="J4258" s="9"/>
      <c r="K4258" s="9"/>
      <c r="L4258" s="9"/>
      <c r="M4258" s="9" t="s">
        <v>10697</v>
      </c>
      <c r="N4258" s="9"/>
      <c r="O4258" s="9" t="s">
        <v>10698</v>
      </c>
      <c r="P4258" s="9" t="str">
        <f>HYPERLINK("https://ceds.ed.gov/cedselementdetails.aspx?termid=14792")</f>
        <v>https://ceds.ed.gov/cedselementdetails.aspx?termid=14792</v>
      </c>
      <c r="Q4258" s="9" t="str">
        <f>HYPERLINK("https://ceds.ed.gov/elementComment.aspx?elementName=Building System Type &amp;elementID=14792", "Click here to submit comment")</f>
        <v>Click here to submit comment</v>
      </c>
    </row>
    <row r="4259" spans="1:17" ht="105" x14ac:dyDescent="0.25">
      <c r="A4259" s="9" t="s">
        <v>11941</v>
      </c>
      <c r="B4259" s="9" t="s">
        <v>6788</v>
      </c>
      <c r="C4259" s="9" t="s">
        <v>11942</v>
      </c>
      <c r="D4259" s="9" t="s">
        <v>6746</v>
      </c>
      <c r="E4259" s="9" t="s">
        <v>10699</v>
      </c>
      <c r="F4259" s="9" t="s">
        <v>9364</v>
      </c>
      <c r="G4259" s="10" t="s">
        <v>11833</v>
      </c>
      <c r="H4259" s="9"/>
      <c r="I4259" s="9" t="s">
        <v>1457</v>
      </c>
      <c r="J4259" s="9"/>
      <c r="K4259" s="9"/>
      <c r="L4259" s="9"/>
      <c r="M4259" s="9" t="s">
        <v>10700</v>
      </c>
      <c r="N4259" s="9"/>
      <c r="O4259" s="9" t="s">
        <v>10701</v>
      </c>
      <c r="P4259" s="9" t="str">
        <f>HYPERLINK("https://ceds.ed.gov/cedselementdetails.aspx?termid=14788")</f>
        <v>https://ceds.ed.gov/cedselementdetails.aspx?termid=14788</v>
      </c>
      <c r="Q4259" s="9" t="str">
        <f>HYPERLINK("https://ceds.ed.gov/elementComment.aspx?elementName=Building Technology Wiring System Type &amp;elementID=14788", "Click here to submit comment")</f>
        <v>Click here to submit comment</v>
      </c>
    </row>
    <row r="4260" spans="1:17" ht="75" x14ac:dyDescent="0.25">
      <c r="A4260" s="9" t="s">
        <v>11941</v>
      </c>
      <c r="B4260" s="9" t="s">
        <v>6788</v>
      </c>
      <c r="C4260" s="9" t="s">
        <v>11942</v>
      </c>
      <c r="D4260" s="9" t="s">
        <v>6746</v>
      </c>
      <c r="E4260" s="9" t="s">
        <v>10705</v>
      </c>
      <c r="F4260" s="9" t="s">
        <v>9516</v>
      </c>
      <c r="G4260" s="10" t="s">
        <v>11835</v>
      </c>
      <c r="H4260" s="9"/>
      <c r="I4260" s="9" t="s">
        <v>1457</v>
      </c>
      <c r="J4260" s="9"/>
      <c r="K4260" s="9"/>
      <c r="L4260" s="9"/>
      <c r="M4260" s="9" t="s">
        <v>10706</v>
      </c>
      <c r="N4260" s="9"/>
      <c r="O4260" s="9" t="s">
        <v>10707</v>
      </c>
      <c r="P4260" s="9" t="str">
        <f>HYPERLINK("https://ceds.ed.gov/cedselementdetails.aspx?termid=14793")</f>
        <v>https://ceds.ed.gov/cedselementdetails.aspx?termid=14793</v>
      </c>
      <c r="Q4260" s="9" t="str">
        <f>HYPERLINK("https://ceds.ed.gov/elementComment.aspx?elementName=Building Vertical Transportation System Type &amp;elementID=14793", "Click here to submit comment")</f>
        <v>Click here to submit comment</v>
      </c>
    </row>
    <row r="4261" spans="1:17" ht="150" x14ac:dyDescent="0.25">
      <c r="A4261" s="9" t="s">
        <v>11941</v>
      </c>
      <c r="B4261" s="9" t="s">
        <v>6788</v>
      </c>
      <c r="C4261" s="9" t="s">
        <v>11942</v>
      </c>
      <c r="D4261" s="9" t="s">
        <v>6746</v>
      </c>
      <c r="E4261" s="9" t="s">
        <v>11174</v>
      </c>
      <c r="F4261" s="9" t="s">
        <v>8087</v>
      </c>
      <c r="G4261" s="10" t="s">
        <v>11852</v>
      </c>
      <c r="H4261" s="9"/>
      <c r="I4261" s="9" t="s">
        <v>1457</v>
      </c>
      <c r="J4261" s="9"/>
      <c r="K4261" s="9"/>
      <c r="L4261" s="9"/>
      <c r="M4261" s="9" t="s">
        <v>11175</v>
      </c>
      <c r="N4261" s="9"/>
      <c r="O4261" s="9" t="s">
        <v>11176</v>
      </c>
      <c r="P4261" s="9" t="str">
        <f>HYPERLINK("https://ceds.ed.gov/cedselementdetails.aspx?termid=14777")</f>
        <v>https://ceds.ed.gov/cedselementdetails.aspx?termid=14777</v>
      </c>
      <c r="Q4261" s="9" t="str">
        <f>HYPERLINK("https://ceds.ed.gov/elementComment.aspx?elementName=Facility Applicable Federal Mandate Type &amp;elementID=14777", "Click here to submit comment")</f>
        <v>Click here to submit comment</v>
      </c>
    </row>
    <row r="4262" spans="1:17" ht="120" x14ac:dyDescent="0.25">
      <c r="A4262" s="9" t="s">
        <v>11941</v>
      </c>
      <c r="B4262" s="9" t="s">
        <v>6788</v>
      </c>
      <c r="C4262" s="9" t="s">
        <v>11942</v>
      </c>
      <c r="D4262" s="9" t="s">
        <v>6746</v>
      </c>
      <c r="E4262" s="9" t="s">
        <v>11203</v>
      </c>
      <c r="F4262" s="9" t="s">
        <v>7608</v>
      </c>
      <c r="G4262" s="10" t="s">
        <v>11857</v>
      </c>
      <c r="H4262" s="9"/>
      <c r="I4262" s="9" t="s">
        <v>1457</v>
      </c>
      <c r="J4262" s="9"/>
      <c r="K4262" s="9"/>
      <c r="L4262" s="9"/>
      <c r="M4262" s="9" t="s">
        <v>11204</v>
      </c>
      <c r="N4262" s="9"/>
      <c r="O4262" s="9" t="s">
        <v>11205</v>
      </c>
      <c r="P4262" s="9" t="str">
        <f>HYPERLINK("https://ceds.ed.gov/cedselementdetails.aspx?termid=14773")</f>
        <v>https://ceds.ed.gov/cedselementdetails.aspx?termid=14773</v>
      </c>
      <c r="Q4262" s="9" t="str">
        <f>HYPERLINK("https://ceds.ed.gov/elementComment.aspx?elementName=Facility Compliance Status &amp;elementID=14773", "Click here to submit comment")</f>
        <v>Click here to submit comment</v>
      </c>
    </row>
    <row r="4263" spans="1:17" ht="255" x14ac:dyDescent="0.25">
      <c r="A4263" s="9" t="s">
        <v>11941</v>
      </c>
      <c r="B4263" s="9" t="s">
        <v>6788</v>
      </c>
      <c r="C4263" s="9" t="s">
        <v>11942</v>
      </c>
      <c r="D4263" s="9" t="s">
        <v>6746</v>
      </c>
      <c r="E4263" s="9" t="s">
        <v>11233</v>
      </c>
      <c r="F4263" s="9" t="s">
        <v>8088</v>
      </c>
      <c r="G4263" s="10" t="s">
        <v>11860</v>
      </c>
      <c r="H4263" s="9"/>
      <c r="I4263" s="9" t="s">
        <v>1457</v>
      </c>
      <c r="J4263" s="9"/>
      <c r="K4263" s="9"/>
      <c r="L4263" s="9"/>
      <c r="M4263" s="9" t="s">
        <v>11234</v>
      </c>
      <c r="N4263" s="9"/>
      <c r="O4263" s="9" t="s">
        <v>11235</v>
      </c>
      <c r="P4263" s="9" t="str">
        <f>HYPERLINK("https://ceds.ed.gov/cedselementdetails.aspx?termid=14778")</f>
        <v>https://ceds.ed.gov/cedselementdetails.aspx?termid=14778</v>
      </c>
      <c r="Q4263" s="9" t="str">
        <f>HYPERLINK("https://ceds.ed.gov/elementComment.aspx?elementName=Facility Federal Mandate Interest Type &amp;elementID=14778", "Click here to submit comment")</f>
        <v>Click here to submit comment</v>
      </c>
    </row>
    <row r="4264" spans="1:17" ht="45" x14ac:dyDescent="0.25">
      <c r="A4264" s="9" t="s">
        <v>11941</v>
      </c>
      <c r="B4264" s="9" t="s">
        <v>6788</v>
      </c>
      <c r="C4264" s="9" t="s">
        <v>11942</v>
      </c>
      <c r="D4264" s="9" t="s">
        <v>6746</v>
      </c>
      <c r="E4264" s="9" t="s">
        <v>11266</v>
      </c>
      <c r="F4264" s="9" t="s">
        <v>8460</v>
      </c>
      <c r="G4264" s="9" t="s">
        <v>12</v>
      </c>
      <c r="H4264" s="9"/>
      <c r="I4264" s="9" t="s">
        <v>1457</v>
      </c>
      <c r="J4264" s="9" t="s">
        <v>92</v>
      </c>
      <c r="K4264" s="9"/>
      <c r="L4264" s="9"/>
      <c r="M4264" s="9" t="s">
        <v>11267</v>
      </c>
      <c r="N4264" s="9"/>
      <c r="O4264" s="9" t="s">
        <v>12198</v>
      </c>
      <c r="P4264" s="9" t="str">
        <f>HYPERLINK("https://ceds.ed.gov/cedselementdetails.aspx?termid=14789")</f>
        <v>https://ceds.ed.gov/cedselementdetails.aspx?termid=14789</v>
      </c>
      <c r="Q4264" s="9" t="str">
        <f>HYPERLINK("https://ceds.ed.gov/elementComment.aspx?elementName=Facility Location of Hazardous Materials &amp;elementID=14789", "Click here to submit comment")</f>
        <v>Click here to submit comment</v>
      </c>
    </row>
    <row r="4265" spans="1:17" ht="90" x14ac:dyDescent="0.25">
      <c r="A4265" s="9" t="s">
        <v>11941</v>
      </c>
      <c r="B4265" s="9" t="s">
        <v>6788</v>
      </c>
      <c r="C4265" s="9" t="s">
        <v>11942</v>
      </c>
      <c r="D4265" s="9" t="s">
        <v>6746</v>
      </c>
      <c r="E4265" s="9" t="s">
        <v>11283</v>
      </c>
      <c r="F4265" s="9" t="s">
        <v>11284</v>
      </c>
      <c r="G4265" s="9" t="s">
        <v>12</v>
      </c>
      <c r="H4265" s="9"/>
      <c r="I4265" s="9" t="s">
        <v>1457</v>
      </c>
      <c r="J4265" s="9" t="s">
        <v>303</v>
      </c>
      <c r="K4265" s="9"/>
      <c r="L4265" s="9"/>
      <c r="M4265" s="9" t="s">
        <v>11285</v>
      </c>
      <c r="N4265" s="9"/>
      <c r="O4265" s="9" t="s">
        <v>11286</v>
      </c>
      <c r="P4265" s="9" t="str">
        <f>HYPERLINK("https://ceds.ed.gov/cedselementdetails.aspx?termid=14791")</f>
        <v>https://ceds.ed.gov/cedselementdetails.aspx?termid=14791</v>
      </c>
      <c r="Q4265" s="9" t="str">
        <f>HYPERLINK("https://ceds.ed.gov/elementComment.aspx?elementName=Facility Nearby Environmental Hazard Description &amp;elementID=14791", "Click here to submit comment")</f>
        <v>Click here to submit comment</v>
      </c>
    </row>
    <row r="4266" spans="1:17" ht="240" x14ac:dyDescent="0.25">
      <c r="A4266" s="9" t="s">
        <v>11941</v>
      </c>
      <c r="B4266" s="9" t="s">
        <v>6788</v>
      </c>
      <c r="C4266" s="9" t="s">
        <v>11942</v>
      </c>
      <c r="D4266" s="9" t="s">
        <v>6746</v>
      </c>
      <c r="E4266" s="9" t="s">
        <v>11311</v>
      </c>
      <c r="F4266" s="9" t="s">
        <v>9296</v>
      </c>
      <c r="G4266" s="10" t="s">
        <v>11875</v>
      </c>
      <c r="H4266" s="9"/>
      <c r="I4266" s="9" t="s">
        <v>1457</v>
      </c>
      <c r="J4266" s="9"/>
      <c r="K4266" s="9"/>
      <c r="L4266" s="9"/>
      <c r="M4266" s="9" t="s">
        <v>11312</v>
      </c>
      <c r="N4266" s="9"/>
      <c r="O4266" s="9" t="s">
        <v>12199</v>
      </c>
      <c r="P4266" s="9" t="str">
        <f>HYPERLINK("https://ceds.ed.gov/cedselementdetails.aspx?termid=14786")</f>
        <v>https://ceds.ed.gov/cedselementdetails.aspx?termid=14786</v>
      </c>
      <c r="Q4266" s="9" t="str">
        <f>HYPERLINK("https://ceds.ed.gov/elementComment.aspx?elementName=Facility State or Local Mandate Interest Type &amp;elementID=14786", "Click here to submit comment")</f>
        <v>Click here to submit comment</v>
      </c>
    </row>
    <row r="4267" spans="1:17" ht="45" x14ac:dyDescent="0.25">
      <c r="A4267" s="9" t="s">
        <v>11941</v>
      </c>
      <c r="B4267" s="9" t="s">
        <v>6788</v>
      </c>
      <c r="C4267" s="9" t="s">
        <v>11942</v>
      </c>
      <c r="D4267" s="9" t="s">
        <v>6746</v>
      </c>
      <c r="E4267" s="9" t="s">
        <v>11313</v>
      </c>
      <c r="F4267" s="9" t="s">
        <v>9297</v>
      </c>
      <c r="G4267" s="9" t="s">
        <v>12</v>
      </c>
      <c r="H4267" s="9"/>
      <c r="I4267" s="9" t="s">
        <v>1457</v>
      </c>
      <c r="J4267" s="9" t="s">
        <v>92</v>
      </c>
      <c r="K4267" s="9"/>
      <c r="L4267" s="9"/>
      <c r="M4267" s="9" t="s">
        <v>11314</v>
      </c>
      <c r="N4267" s="9"/>
      <c r="O4267" s="9" t="s">
        <v>12200</v>
      </c>
      <c r="P4267" s="9" t="str">
        <f>HYPERLINK("https://ceds.ed.gov/cedselementdetails.aspx?termid=14787")</f>
        <v>https://ceds.ed.gov/cedselementdetails.aspx?termid=14787</v>
      </c>
      <c r="Q4267" s="9" t="str">
        <f>HYPERLINK("https://ceds.ed.gov/elementComment.aspx?elementName=Facility State or Local Mandate Name &amp;elementID=14787", "Click here to submit comment")</f>
        <v>Click here to submit comment</v>
      </c>
    </row>
    <row r="4268" spans="1:17" ht="255" x14ac:dyDescent="0.25">
      <c r="A4268" s="9" t="s">
        <v>11941</v>
      </c>
      <c r="B4268" s="9" t="s">
        <v>6788</v>
      </c>
      <c r="C4268" s="9" t="s">
        <v>11942</v>
      </c>
      <c r="D4268" s="9" t="s">
        <v>6746</v>
      </c>
      <c r="E4268" s="9" t="s">
        <v>11315</v>
      </c>
      <c r="F4268" s="9" t="s">
        <v>7623</v>
      </c>
      <c r="G4268" s="10" t="s">
        <v>11876</v>
      </c>
      <c r="H4268" s="9"/>
      <c r="I4268" s="9" t="s">
        <v>1457</v>
      </c>
      <c r="J4268" s="9"/>
      <c r="K4268" s="9"/>
      <c r="L4268" s="9"/>
      <c r="M4268" s="9" t="s">
        <v>11316</v>
      </c>
      <c r="N4268" s="9"/>
      <c r="O4268" s="9" t="s">
        <v>12201</v>
      </c>
      <c r="P4268" s="9" t="str">
        <f>HYPERLINK("https://ceds.ed.gov/cedselementdetails.aspx?termid=14774")</f>
        <v>https://ceds.ed.gov/cedselementdetails.aspx?termid=14774</v>
      </c>
      <c r="Q4268" s="9" t="str">
        <f>HYPERLINK("https://ceds.ed.gov/elementComment.aspx?elementName=Facility System or Component Condition &amp;elementID=14774", "Click here to submit comment")</f>
        <v>Click here to submit comment</v>
      </c>
    </row>
    <row r="4269" spans="1:17" ht="45" x14ac:dyDescent="0.25">
      <c r="A4269" s="9" t="s">
        <v>11941</v>
      </c>
      <c r="B4269" s="9" t="s">
        <v>6788</v>
      </c>
      <c r="C4269" s="9" t="s">
        <v>11943</v>
      </c>
      <c r="D4269" s="9" t="s">
        <v>6746</v>
      </c>
      <c r="E4269" s="9" t="s">
        <v>10907</v>
      </c>
      <c r="F4269" s="9" t="s">
        <v>10908</v>
      </c>
      <c r="G4269" s="9" t="s">
        <v>12</v>
      </c>
      <c r="H4269" s="9"/>
      <c r="I4269" s="9" t="s">
        <v>1457</v>
      </c>
      <c r="J4269" s="9" t="s">
        <v>73</v>
      </c>
      <c r="K4269" s="9"/>
      <c r="L4269" s="9"/>
      <c r="M4269" s="9" t="s">
        <v>10910</v>
      </c>
      <c r="N4269" s="9"/>
      <c r="O4269" s="9" t="s">
        <v>12189</v>
      </c>
      <c r="P4269" s="9" t="str">
        <f>HYPERLINK("https://ceds.ed.gov/cedselementdetails.aspx?termid=14879")</f>
        <v>https://ceds.ed.gov/cedselementdetails.aspx?termid=14879</v>
      </c>
      <c r="Q4269" s="9" t="str">
        <f>HYPERLINK("https://ceds.ed.gov/elementComment.aspx?elementName=Component or Fixture Check Date &amp;elementID=14879", "Click here to submit comment")</f>
        <v>Click here to submit comment</v>
      </c>
    </row>
    <row r="4270" spans="1:17" ht="60" x14ac:dyDescent="0.25">
      <c r="A4270" s="9" t="s">
        <v>11941</v>
      </c>
      <c r="B4270" s="9" t="s">
        <v>6788</v>
      </c>
      <c r="C4270" s="9" t="s">
        <v>11943</v>
      </c>
      <c r="D4270" s="9" t="s">
        <v>6746</v>
      </c>
      <c r="E4270" s="9" t="s">
        <v>10911</v>
      </c>
      <c r="F4270" s="9" t="s">
        <v>8621</v>
      </c>
      <c r="G4270" s="9" t="s">
        <v>12</v>
      </c>
      <c r="H4270" s="9"/>
      <c r="I4270" s="9" t="s">
        <v>1457</v>
      </c>
      <c r="J4270" s="9" t="s">
        <v>73</v>
      </c>
      <c r="K4270" s="9"/>
      <c r="L4270" s="9"/>
      <c r="M4270" s="9" t="s">
        <v>10912</v>
      </c>
      <c r="N4270" s="9"/>
      <c r="O4270" s="9" t="s">
        <v>12190</v>
      </c>
      <c r="P4270" s="9" t="str">
        <f>HYPERLINK("https://ceds.ed.gov/cedselementdetails.aspx?termid=14881")</f>
        <v>https://ceds.ed.gov/cedselementdetails.aspx?termid=14881</v>
      </c>
      <c r="Q4270" s="9" t="str">
        <f>HYPERLINK("https://ceds.ed.gov/elementComment.aspx?elementName=Component or Fixture Scheduled Serviced Date &amp;elementID=14881", "Click here to submit comment")</f>
        <v>Click here to submit comment</v>
      </c>
    </row>
    <row r="4271" spans="1:17" ht="60" x14ac:dyDescent="0.25">
      <c r="A4271" s="9" t="s">
        <v>11941</v>
      </c>
      <c r="B4271" s="9" t="s">
        <v>6788</v>
      </c>
      <c r="C4271" s="9" t="s">
        <v>11943</v>
      </c>
      <c r="D4271" s="9" t="s">
        <v>6746</v>
      </c>
      <c r="E4271" s="9" t="s">
        <v>10913</v>
      </c>
      <c r="F4271" s="9" t="s">
        <v>10914</v>
      </c>
      <c r="G4271" s="9" t="s">
        <v>12</v>
      </c>
      <c r="H4271" s="9"/>
      <c r="I4271" s="9" t="s">
        <v>1457</v>
      </c>
      <c r="J4271" s="9" t="s">
        <v>73</v>
      </c>
      <c r="K4271" s="9"/>
      <c r="L4271" s="9"/>
      <c r="M4271" s="9" t="s">
        <v>10915</v>
      </c>
      <c r="N4271" s="9"/>
      <c r="O4271" s="9" t="s">
        <v>12191</v>
      </c>
      <c r="P4271" s="9" t="str">
        <f>HYPERLINK("https://ceds.ed.gov/cedselementdetails.aspx?termid=14880")</f>
        <v>https://ceds.ed.gov/cedselementdetails.aspx?termid=14880</v>
      </c>
      <c r="Q4271" s="9" t="str">
        <f>HYPERLINK("https://ceds.ed.gov/elementComment.aspx?elementName=Component or Fixture Serviced Date &amp;elementID=14880", "Click here to submit comment")</f>
        <v>Click here to submit comment</v>
      </c>
    </row>
    <row r="4272" spans="1:17" ht="90" x14ac:dyDescent="0.25">
      <c r="A4272" s="9" t="s">
        <v>11941</v>
      </c>
      <c r="B4272" s="9" t="s">
        <v>6788</v>
      </c>
      <c r="C4272" s="9" t="s">
        <v>11943</v>
      </c>
      <c r="D4272" s="9" t="s">
        <v>6746</v>
      </c>
      <c r="E4272" s="9" t="s">
        <v>10916</v>
      </c>
      <c r="F4272" s="9" t="s">
        <v>9491</v>
      </c>
      <c r="G4272" s="9" t="s">
        <v>12</v>
      </c>
      <c r="H4272" s="9"/>
      <c r="I4272" s="9" t="s">
        <v>1457</v>
      </c>
      <c r="J4272" s="9" t="s">
        <v>589</v>
      </c>
      <c r="K4272" s="9"/>
      <c r="L4272" s="9"/>
      <c r="M4272" s="9" t="s">
        <v>10917</v>
      </c>
      <c r="N4272" s="9"/>
      <c r="O4272" s="9" t="s">
        <v>12192</v>
      </c>
      <c r="P4272" s="9" t="str">
        <f>HYPERLINK("https://ceds.ed.gov/cedselementdetails.aspx?termid=14882")</f>
        <v>https://ceds.ed.gov/cedselementdetails.aspx?termid=14882</v>
      </c>
      <c r="Q4272" s="9" t="str">
        <f>HYPERLINK("https://ceds.ed.gov/elementComment.aspx?elementName=Component or Fixture Useful Life &amp;elementID=14882", "Click here to submit comment")</f>
        <v>Click here to submit comment</v>
      </c>
    </row>
    <row r="4273" spans="1:17" ht="45" x14ac:dyDescent="0.25">
      <c r="A4273" s="9" t="s">
        <v>11941</v>
      </c>
      <c r="B4273" s="9" t="s">
        <v>6788</v>
      </c>
      <c r="C4273" s="9" t="s">
        <v>11944</v>
      </c>
      <c r="D4273" s="9" t="s">
        <v>6746</v>
      </c>
      <c r="E4273" s="9" t="s">
        <v>2744</v>
      </c>
      <c r="F4273" s="9" t="s">
        <v>2745</v>
      </c>
      <c r="G4273" s="9" t="s">
        <v>12</v>
      </c>
      <c r="H4273" s="9"/>
      <c r="I4273" s="9"/>
      <c r="J4273" s="9" t="s">
        <v>68</v>
      </c>
      <c r="K4273" s="9"/>
      <c r="L4273" s="9"/>
      <c r="M4273" s="9" t="s">
        <v>2746</v>
      </c>
      <c r="N4273" s="9"/>
      <c r="O4273" s="9" t="s">
        <v>2747</v>
      </c>
      <c r="P4273" s="9" t="str">
        <f>HYPERLINK("https://ceds.ed.gov/cedselementdetails.aspx?termid=14174")</f>
        <v>https://ceds.ed.gov/cedselementdetails.aspx?termid=14174</v>
      </c>
      <c r="Q4273" s="9" t="str">
        <f>HYPERLINK("https://ceds.ed.gov/elementComment.aspx?elementName=Facility Space Description &amp;elementID=14174", "Click here to submit comment")</f>
        <v>Click here to submit comment</v>
      </c>
    </row>
    <row r="4274" spans="1:17" ht="375" x14ac:dyDescent="0.25">
      <c r="A4274" s="9" t="s">
        <v>11941</v>
      </c>
      <c r="B4274" s="9" t="s">
        <v>6788</v>
      </c>
      <c r="C4274" s="9" t="s">
        <v>11944</v>
      </c>
      <c r="D4274" s="9" t="s">
        <v>6746</v>
      </c>
      <c r="E4274" s="9" t="s">
        <v>10534</v>
      </c>
      <c r="F4274" s="9" t="s">
        <v>7239</v>
      </c>
      <c r="G4274" s="10" t="s">
        <v>11788</v>
      </c>
      <c r="H4274" s="9"/>
      <c r="I4274" s="9" t="s">
        <v>1457</v>
      </c>
      <c r="J4274" s="9"/>
      <c r="K4274" s="9"/>
      <c r="L4274" s="9"/>
      <c r="M4274" s="9" t="s">
        <v>10536</v>
      </c>
      <c r="N4274" s="9"/>
      <c r="O4274" s="9" t="s">
        <v>10537</v>
      </c>
      <c r="P4274" s="9" t="str">
        <f>HYPERLINK("https://ceds.ed.gov/cedselementdetails.aspx?termid=14794")</f>
        <v>https://ceds.ed.gov/cedselementdetails.aspx?termid=14794</v>
      </c>
      <c r="Q4274" s="9" t="str">
        <f>HYPERLINK("https://ceds.ed.gov/elementComment.aspx?elementName=Building Administrative Space Type &amp;elementID=14794", "Click here to submit comment")</f>
        <v>Click here to submit comment</v>
      </c>
    </row>
    <row r="4275" spans="1:17" ht="45" x14ac:dyDescent="0.25">
      <c r="A4275" s="9" t="s">
        <v>11941</v>
      </c>
      <c r="B4275" s="9" t="s">
        <v>6788</v>
      </c>
      <c r="C4275" s="9" t="s">
        <v>11944</v>
      </c>
      <c r="D4275" s="9" t="s">
        <v>6746</v>
      </c>
      <c r="E4275" s="9" t="s">
        <v>10542</v>
      </c>
      <c r="F4275" s="9" t="s">
        <v>7290</v>
      </c>
      <c r="G4275" s="9" t="s">
        <v>12</v>
      </c>
      <c r="H4275" s="9"/>
      <c r="I4275" s="9" t="s">
        <v>1457</v>
      </c>
      <c r="J4275" s="9" t="s">
        <v>1347</v>
      </c>
      <c r="K4275" s="9"/>
      <c r="L4275" s="9"/>
      <c r="M4275" s="9" t="s">
        <v>10543</v>
      </c>
      <c r="N4275" s="9"/>
      <c r="O4275" s="9" t="s">
        <v>10544</v>
      </c>
      <c r="P4275" s="9" t="str">
        <f>HYPERLINK("https://ceds.ed.gov/cedselementdetails.aspx?termid=14815")</f>
        <v>https://ceds.ed.gov/cedselementdetails.aspx?termid=14815</v>
      </c>
      <c r="Q4275" s="9" t="str">
        <f>HYPERLINK("https://ceds.ed.gov/elementComment.aspx?elementName=Building Architect Name &amp;elementID=14815", "Click here to submit comment")</f>
        <v>Click here to submit comment</v>
      </c>
    </row>
    <row r="4276" spans="1:17" ht="45" x14ac:dyDescent="0.25">
      <c r="A4276" s="9" t="s">
        <v>11941</v>
      </c>
      <c r="B4276" s="9" t="s">
        <v>6788</v>
      </c>
      <c r="C4276" s="9" t="s">
        <v>11944</v>
      </c>
      <c r="D4276" s="9" t="s">
        <v>6746</v>
      </c>
      <c r="E4276" s="9" t="s">
        <v>10545</v>
      </c>
      <c r="F4276" s="9" t="s">
        <v>7291</v>
      </c>
      <c r="G4276" s="9" t="s">
        <v>12</v>
      </c>
      <c r="H4276" s="9"/>
      <c r="I4276" s="9" t="s">
        <v>1457</v>
      </c>
      <c r="J4276" s="9" t="s">
        <v>92</v>
      </c>
      <c r="K4276" s="9"/>
      <c r="L4276" s="9"/>
      <c r="M4276" s="9" t="s">
        <v>10546</v>
      </c>
      <c r="N4276" s="9"/>
      <c r="O4276" s="9" t="s">
        <v>10547</v>
      </c>
      <c r="P4276" s="9" t="str">
        <f>HYPERLINK("https://ceds.ed.gov/cedselementdetails.aspx?termid=14816")</f>
        <v>https://ceds.ed.gov/cedselementdetails.aspx?termid=14816</v>
      </c>
      <c r="Q4276" s="9" t="str">
        <f>HYPERLINK("https://ceds.ed.gov/elementComment.aspx?elementName=Building Architectural Firm Name &amp;elementID=14816", "Click here to submit comment")</f>
        <v>Click here to submit comment</v>
      </c>
    </row>
    <row r="4277" spans="1:17" ht="135" x14ac:dyDescent="0.25">
      <c r="A4277" s="9" t="s">
        <v>11941</v>
      </c>
      <c r="B4277" s="9" t="s">
        <v>6788</v>
      </c>
      <c r="C4277" s="9" t="s">
        <v>11944</v>
      </c>
      <c r="D4277" s="9" t="s">
        <v>6746</v>
      </c>
      <c r="E4277" s="9" t="s">
        <v>10550</v>
      </c>
      <c r="F4277" s="9" t="s">
        <v>7294</v>
      </c>
      <c r="G4277" s="10" t="s">
        <v>11790</v>
      </c>
      <c r="H4277" s="9"/>
      <c r="I4277" s="9" t="s">
        <v>1457</v>
      </c>
      <c r="J4277" s="9"/>
      <c r="K4277" s="9"/>
      <c r="L4277" s="9"/>
      <c r="M4277" s="9" t="s">
        <v>10551</v>
      </c>
      <c r="N4277" s="9"/>
      <c r="O4277" s="9" t="s">
        <v>10552</v>
      </c>
      <c r="P4277" s="9" t="str">
        <f>HYPERLINK("https://ceds.ed.gov/cedselementdetails.aspx?termid=14795")</f>
        <v>https://ceds.ed.gov/cedselementdetails.aspx?termid=14795</v>
      </c>
      <c r="Q4277" s="9" t="str">
        <f>HYPERLINK("https://ceds.ed.gov/elementComment.aspx?elementName=Building Art Specialty Space Type &amp;elementID=14795", "Click here to submit comment")</f>
        <v>Click here to submit comment</v>
      </c>
    </row>
    <row r="4278" spans="1:17" ht="135" x14ac:dyDescent="0.25">
      <c r="A4278" s="9" t="s">
        <v>11941</v>
      </c>
      <c r="B4278" s="9" t="s">
        <v>6788</v>
      </c>
      <c r="C4278" s="9" t="s">
        <v>11944</v>
      </c>
      <c r="D4278" s="9" t="s">
        <v>6746</v>
      </c>
      <c r="E4278" s="9" t="s">
        <v>10553</v>
      </c>
      <c r="F4278" s="9" t="s">
        <v>7295</v>
      </c>
      <c r="G4278" s="10" t="s">
        <v>11791</v>
      </c>
      <c r="H4278" s="9"/>
      <c r="I4278" s="9" t="s">
        <v>1457</v>
      </c>
      <c r="J4278" s="9"/>
      <c r="K4278" s="9"/>
      <c r="L4278" s="9"/>
      <c r="M4278" s="9" t="s">
        <v>10554</v>
      </c>
      <c r="N4278" s="9"/>
      <c r="O4278" s="9" t="s">
        <v>10555</v>
      </c>
      <c r="P4278" s="9" t="str">
        <f>HYPERLINK("https://ceds.ed.gov/cedselementdetails.aspx?termid=14817")</f>
        <v>https://ceds.ed.gov/cedselementdetails.aspx?termid=14817</v>
      </c>
      <c r="Q4278" s="9" t="str">
        <f>HYPERLINK("https://ceds.ed.gov/elementComment.aspx?elementName=Building Assembly Space Type &amp;elementID=14817", "Click here to submit comment")</f>
        <v>Click here to submit comment</v>
      </c>
    </row>
    <row r="4279" spans="1:17" ht="105" x14ac:dyDescent="0.25">
      <c r="A4279" s="9" t="s">
        <v>11941</v>
      </c>
      <c r="B4279" s="9" t="s">
        <v>6788</v>
      </c>
      <c r="C4279" s="9" t="s">
        <v>11944</v>
      </c>
      <c r="D4279" s="9" t="s">
        <v>6746</v>
      </c>
      <c r="E4279" s="9" t="s">
        <v>10556</v>
      </c>
      <c r="F4279" s="9" t="s">
        <v>7408</v>
      </c>
      <c r="G4279" s="10" t="s">
        <v>11792</v>
      </c>
      <c r="H4279" s="9"/>
      <c r="I4279" s="9" t="s">
        <v>1457</v>
      </c>
      <c r="J4279" s="9"/>
      <c r="K4279" s="9"/>
      <c r="L4279" s="9"/>
      <c r="M4279" s="9" t="s">
        <v>10557</v>
      </c>
      <c r="N4279" s="9"/>
      <c r="O4279" s="9" t="s">
        <v>10558</v>
      </c>
      <c r="P4279" s="9" t="str">
        <f>HYPERLINK("https://ceds.ed.gov/cedselementdetails.aspx?termid=14796")</f>
        <v>https://ceds.ed.gov/cedselementdetails.aspx?termid=14796</v>
      </c>
      <c r="Q4279" s="9" t="str">
        <f>HYPERLINK("https://ceds.ed.gov/elementComment.aspx?elementName=Building Basic Classroom Design Type &amp;elementID=14796", "Click here to submit comment")</f>
        <v>Click here to submit comment</v>
      </c>
    </row>
    <row r="4280" spans="1:17" ht="409.5" x14ac:dyDescent="0.25">
      <c r="A4280" s="9" t="s">
        <v>11941</v>
      </c>
      <c r="B4280" s="9" t="s">
        <v>6788</v>
      </c>
      <c r="C4280" s="9" t="s">
        <v>11944</v>
      </c>
      <c r="D4280" s="9" t="s">
        <v>6746</v>
      </c>
      <c r="E4280" s="9" t="s">
        <v>10562</v>
      </c>
      <c r="F4280" s="9" t="s">
        <v>7547</v>
      </c>
      <c r="G4280" s="10" t="s">
        <v>11793</v>
      </c>
      <c r="H4280" s="9"/>
      <c r="I4280" s="9" t="s">
        <v>1457</v>
      </c>
      <c r="J4280" s="9"/>
      <c r="K4280" s="9"/>
      <c r="L4280" s="9"/>
      <c r="M4280" s="9" t="s">
        <v>10563</v>
      </c>
      <c r="N4280" s="9"/>
      <c r="O4280" s="9" t="s">
        <v>10564</v>
      </c>
      <c r="P4280" s="9" t="str">
        <f>HYPERLINK("https://ceds.ed.gov/cedselementdetails.aspx?termid=14798")</f>
        <v>https://ceds.ed.gov/cedselementdetails.aspx?termid=14798</v>
      </c>
      <c r="Q4280" s="9" t="str">
        <f>HYPERLINK("https://ceds.ed.gov/elementComment.aspx?elementName=Building Career-Technical Education Space Type &amp;elementID=14798", "Click here to submit comment")</f>
        <v>Click here to submit comment</v>
      </c>
    </row>
    <row r="4281" spans="1:17" ht="150" x14ac:dyDescent="0.25">
      <c r="A4281" s="9" t="s">
        <v>11941</v>
      </c>
      <c r="B4281" s="9" t="s">
        <v>6788</v>
      </c>
      <c r="C4281" s="9" t="s">
        <v>11944</v>
      </c>
      <c r="D4281" s="9" t="s">
        <v>6746</v>
      </c>
      <c r="E4281" s="9" t="s">
        <v>10570</v>
      </c>
      <c r="F4281" s="9" t="s">
        <v>7569</v>
      </c>
      <c r="G4281" s="10" t="s">
        <v>11795</v>
      </c>
      <c r="H4281" s="9"/>
      <c r="I4281" s="9" t="s">
        <v>1457</v>
      </c>
      <c r="J4281" s="9"/>
      <c r="K4281" s="9"/>
      <c r="L4281" s="9"/>
      <c r="M4281" s="9" t="s">
        <v>10571</v>
      </c>
      <c r="N4281" s="9"/>
      <c r="O4281" s="9" t="s">
        <v>10572</v>
      </c>
      <c r="P4281" s="9" t="str">
        <f>HYPERLINK("https://ceds.ed.gov/cedselementdetails.aspx?termid=14799")</f>
        <v>https://ceds.ed.gov/cedselementdetails.aspx?termid=14799</v>
      </c>
      <c r="Q4281" s="9" t="str">
        <f>HYPERLINK("https://ceds.ed.gov/elementComment.aspx?elementName=Building Circulation Space Type &amp;elementID=14799", "Click here to submit comment")</f>
        <v>Click here to submit comment</v>
      </c>
    </row>
    <row r="4282" spans="1:17" ht="240" x14ac:dyDescent="0.25">
      <c r="A4282" s="9" t="s">
        <v>11941</v>
      </c>
      <c r="B4282" s="9" t="s">
        <v>6788</v>
      </c>
      <c r="C4282" s="9" t="s">
        <v>11944</v>
      </c>
      <c r="D4282" s="9" t="s">
        <v>6746</v>
      </c>
      <c r="E4282" s="9" t="s">
        <v>7450</v>
      </c>
      <c r="F4282" s="9" t="s">
        <v>7451</v>
      </c>
      <c r="G4282" s="10" t="s">
        <v>11800</v>
      </c>
      <c r="H4282" s="9"/>
      <c r="I4282" s="9" t="s">
        <v>1457</v>
      </c>
      <c r="J4282" s="9"/>
      <c r="K4282" s="9"/>
      <c r="L4282" s="9"/>
      <c r="M4282" s="9" t="s">
        <v>10588</v>
      </c>
      <c r="N4282" s="9"/>
      <c r="O4282" s="9" t="s">
        <v>10589</v>
      </c>
      <c r="P4282" s="9" t="str">
        <f>HYPERLINK("https://ceds.ed.gov/cedselementdetails.aspx?termid=14797")</f>
        <v>https://ceds.ed.gov/cedselementdetails.aspx?termid=14797</v>
      </c>
      <c r="Q4282" s="9" t="str">
        <f>HYPERLINK("https://ceds.ed.gov/elementComment.aspx?elementName=Building Design Type &amp;elementID=14797", "Click here to submit comment")</f>
        <v>Click here to submit comment</v>
      </c>
    </row>
    <row r="4283" spans="1:17" ht="165" x14ac:dyDescent="0.25">
      <c r="A4283" s="9" t="s">
        <v>11941</v>
      </c>
      <c r="B4283" s="9" t="s">
        <v>6788</v>
      </c>
      <c r="C4283" s="9" t="s">
        <v>11944</v>
      </c>
      <c r="D4283" s="9" t="s">
        <v>6746</v>
      </c>
      <c r="E4283" s="9" t="s">
        <v>12172</v>
      </c>
      <c r="F4283" s="9" t="s">
        <v>7978</v>
      </c>
      <c r="G4283" s="10" t="s">
        <v>11804</v>
      </c>
      <c r="H4283" s="9"/>
      <c r="I4283" s="9" t="s">
        <v>1457</v>
      </c>
      <c r="J4283" s="9"/>
      <c r="K4283" s="9"/>
      <c r="L4283" s="9"/>
      <c r="M4283" s="9" t="s">
        <v>10602</v>
      </c>
      <c r="N4283" s="9"/>
      <c r="O4283" s="9" t="s">
        <v>12173</v>
      </c>
      <c r="P4283" s="9" t="str">
        <f>HYPERLINK("https://ceds.ed.gov/cedselementdetails.aspx?termid=14800")</f>
        <v>https://ceds.ed.gov/cedselementdetails.aspx?termid=14800</v>
      </c>
      <c r="Q4283" s="9" t="str">
        <f>HYPERLINK("https://ceds.ed.gov/elementComment.aspx?elementName=Building Environmental or Energy Performance Rating Category &amp;elementID=14800", "Click here to submit comment")</f>
        <v>Click here to submit comment</v>
      </c>
    </row>
    <row r="4284" spans="1:17" ht="315" x14ac:dyDescent="0.25">
      <c r="A4284" s="9" t="s">
        <v>11941</v>
      </c>
      <c r="B4284" s="9" t="s">
        <v>6788</v>
      </c>
      <c r="C4284" s="9" t="s">
        <v>11944</v>
      </c>
      <c r="D4284" s="9" t="s">
        <v>6746</v>
      </c>
      <c r="E4284" s="9" t="s">
        <v>10606</v>
      </c>
      <c r="F4284" s="9" t="s">
        <v>8135</v>
      </c>
      <c r="G4284" s="10" t="s">
        <v>11806</v>
      </c>
      <c r="H4284" s="9"/>
      <c r="I4284" s="9" t="s">
        <v>1457</v>
      </c>
      <c r="J4284" s="9"/>
      <c r="K4284" s="9"/>
      <c r="L4284" s="9"/>
      <c r="M4284" s="9" t="s">
        <v>10607</v>
      </c>
      <c r="N4284" s="9"/>
      <c r="O4284" s="9" t="s">
        <v>10608</v>
      </c>
      <c r="P4284" s="9" t="str">
        <f>HYPERLINK("https://ceds.ed.gov/cedselementdetails.aspx?termid=14802")</f>
        <v>https://ceds.ed.gov/cedselementdetails.aspx?termid=14802</v>
      </c>
      <c r="Q4284" s="9" t="str">
        <f>HYPERLINK("https://ceds.ed.gov/elementComment.aspx?elementName=Building Food Service Space Type &amp;elementID=14802", "Click here to submit comment")</f>
        <v>Click here to submit comment</v>
      </c>
    </row>
    <row r="4285" spans="1:17" ht="75" x14ac:dyDescent="0.25">
      <c r="A4285" s="9" t="s">
        <v>11941</v>
      </c>
      <c r="B4285" s="9" t="s">
        <v>6788</v>
      </c>
      <c r="C4285" s="9" t="s">
        <v>11944</v>
      </c>
      <c r="D4285" s="9" t="s">
        <v>6746</v>
      </c>
      <c r="E4285" s="9" t="s">
        <v>10609</v>
      </c>
      <c r="F4285" s="9" t="s">
        <v>8156</v>
      </c>
      <c r="G4285" s="10" t="s">
        <v>11807</v>
      </c>
      <c r="H4285" s="9"/>
      <c r="I4285" s="9" t="s">
        <v>1457</v>
      </c>
      <c r="J4285" s="9"/>
      <c r="K4285" s="9"/>
      <c r="L4285" s="9"/>
      <c r="M4285" s="9" t="s">
        <v>10610</v>
      </c>
      <c r="N4285" s="9"/>
      <c r="O4285" s="9" t="s">
        <v>10611</v>
      </c>
      <c r="P4285" s="9" t="str">
        <f>HYPERLINK("https://ceds.ed.gov/cedselementdetails.aspx?termid=14824")</f>
        <v>https://ceds.ed.gov/cedselementdetails.aspx?termid=14824</v>
      </c>
      <c r="Q4285" s="9" t="str">
        <f>HYPERLINK("https://ceds.ed.gov/elementComment.aspx?elementName=Building Full Service Kitchen Type &amp;elementID=14824", "Click here to submit comment")</f>
        <v>Click here to submit comment</v>
      </c>
    </row>
    <row r="4286" spans="1:17" ht="240" x14ac:dyDescent="0.25">
      <c r="A4286" s="9" t="s">
        <v>11941</v>
      </c>
      <c r="B4286" s="9" t="s">
        <v>6788</v>
      </c>
      <c r="C4286" s="9" t="s">
        <v>11944</v>
      </c>
      <c r="D4286" s="9" t="s">
        <v>6746</v>
      </c>
      <c r="E4286" s="9" t="s">
        <v>12175</v>
      </c>
      <c r="F4286" s="9" t="s">
        <v>8287</v>
      </c>
      <c r="G4286" s="10" t="s">
        <v>11811</v>
      </c>
      <c r="H4286" s="9"/>
      <c r="I4286" s="9" t="s">
        <v>1457</v>
      </c>
      <c r="J4286" s="9"/>
      <c r="K4286" s="9"/>
      <c r="L4286" s="9"/>
      <c r="M4286" s="9" t="s">
        <v>10622</v>
      </c>
      <c r="N4286" s="9"/>
      <c r="O4286" s="9" t="s">
        <v>12176</v>
      </c>
      <c r="P4286" s="9" t="str">
        <f>HYPERLINK("https://ceds.ed.gov/cedselementdetails.aspx?termid=14803")</f>
        <v>https://ceds.ed.gov/cedselementdetails.aspx?termid=14803</v>
      </c>
      <c r="Q4286" s="9" t="str">
        <f>HYPERLINK("https://ceds.ed.gov/elementComment.aspx?elementName=Building Indoor Athletic or Physical Education Space Type &amp;elementID=14803", "Click here to submit comment")</f>
        <v>Click here to submit comment</v>
      </c>
    </row>
    <row r="4287" spans="1:17" ht="135" x14ac:dyDescent="0.25">
      <c r="A4287" s="9" t="s">
        <v>11941</v>
      </c>
      <c r="B4287" s="9" t="s">
        <v>6788</v>
      </c>
      <c r="C4287" s="9" t="s">
        <v>11944</v>
      </c>
      <c r="D4287" s="9" t="s">
        <v>6746</v>
      </c>
      <c r="E4287" s="9" t="s">
        <v>12177</v>
      </c>
      <c r="F4287" s="9" t="s">
        <v>8433</v>
      </c>
      <c r="G4287" s="10" t="s">
        <v>11816</v>
      </c>
      <c r="H4287" s="9"/>
      <c r="I4287" s="9" t="s">
        <v>1457</v>
      </c>
      <c r="J4287" s="9"/>
      <c r="K4287" s="9"/>
      <c r="L4287" s="9"/>
      <c r="M4287" s="9" t="s">
        <v>10638</v>
      </c>
      <c r="N4287" s="9"/>
      <c r="O4287" s="9" t="s">
        <v>12178</v>
      </c>
      <c r="P4287" s="9" t="str">
        <f>HYPERLINK("https://ceds.ed.gov/cedselementdetails.aspx?termid=14804")</f>
        <v>https://ceds.ed.gov/cedselementdetails.aspx?termid=14804</v>
      </c>
      <c r="Q4287" s="9" t="str">
        <f>HYPERLINK("https://ceds.ed.gov/elementComment.aspx?elementName=Building Library or Media Center Specialty Space Type &amp;elementID=14804", "Click here to submit comment")</f>
        <v>Click here to submit comment</v>
      </c>
    </row>
    <row r="4288" spans="1:17" ht="270" x14ac:dyDescent="0.25">
      <c r="A4288" s="9" t="s">
        <v>11941</v>
      </c>
      <c r="B4288" s="9" t="s">
        <v>6788</v>
      </c>
      <c r="C4288" s="9" t="s">
        <v>11944</v>
      </c>
      <c r="D4288" s="9" t="s">
        <v>6746</v>
      </c>
      <c r="E4288" s="9" t="s">
        <v>12182</v>
      </c>
      <c r="F4288" s="9" t="s">
        <v>8704</v>
      </c>
      <c r="G4288" s="10" t="s">
        <v>11819</v>
      </c>
      <c r="H4288" s="9"/>
      <c r="I4288" s="9" t="s">
        <v>1457</v>
      </c>
      <c r="J4288" s="9"/>
      <c r="K4288" s="9"/>
      <c r="L4288" s="9"/>
      <c r="M4288" s="9" t="s">
        <v>10651</v>
      </c>
      <c r="N4288" s="9"/>
      <c r="O4288" s="9" t="s">
        <v>12183</v>
      </c>
      <c r="P4288" s="9" t="str">
        <f>HYPERLINK("https://ceds.ed.gov/cedselementdetails.aspx?termid=14805")</f>
        <v>https://ceds.ed.gov/cedselementdetails.aspx?termid=14805</v>
      </c>
      <c r="Q4288" s="9" t="str">
        <f>HYPERLINK("https://ceds.ed.gov/elementComment.aspx?elementName=Building Operations or Maintenance Space Type &amp;elementID=14805", "Click here to submit comment")</f>
        <v>Click here to submit comment</v>
      </c>
    </row>
    <row r="4289" spans="1:17" ht="240" x14ac:dyDescent="0.25">
      <c r="A4289" s="9" t="s">
        <v>11941</v>
      </c>
      <c r="B4289" s="9" t="s">
        <v>6788</v>
      </c>
      <c r="C4289" s="9" t="s">
        <v>11944</v>
      </c>
      <c r="D4289" s="9" t="s">
        <v>6746</v>
      </c>
      <c r="E4289" s="9" t="s">
        <v>12184</v>
      </c>
      <c r="F4289" s="9" t="s">
        <v>8721</v>
      </c>
      <c r="G4289" s="10" t="s">
        <v>11820</v>
      </c>
      <c r="H4289" s="9"/>
      <c r="I4289" s="9" t="s">
        <v>1457</v>
      </c>
      <c r="J4289" s="9"/>
      <c r="K4289" s="9"/>
      <c r="L4289" s="9"/>
      <c r="M4289" s="9" t="s">
        <v>10652</v>
      </c>
      <c r="N4289" s="9"/>
      <c r="O4289" s="9" t="s">
        <v>12185</v>
      </c>
      <c r="P4289" s="9" t="str">
        <f>HYPERLINK("https://ceds.ed.gov/cedselementdetails.aspx?termid=14806")</f>
        <v>https://ceds.ed.gov/cedselementdetails.aspx?termid=14806</v>
      </c>
      <c r="Q4289" s="9" t="str">
        <f>HYPERLINK("https://ceds.ed.gov/elementComment.aspx?elementName=Building Outdoor Athletic or Physical Education Space Type &amp;elementID=14806", "Click here to submit comment")</f>
        <v>Click here to submit comment</v>
      </c>
    </row>
    <row r="4290" spans="1:17" ht="135" x14ac:dyDescent="0.25">
      <c r="A4290" s="9" t="s">
        <v>11941</v>
      </c>
      <c r="B4290" s="9" t="s">
        <v>6788</v>
      </c>
      <c r="C4290" s="9" t="s">
        <v>11944</v>
      </c>
      <c r="D4290" s="9" t="s">
        <v>6746</v>
      </c>
      <c r="E4290" s="9" t="s">
        <v>12186</v>
      </c>
      <c r="F4290" s="9" t="s">
        <v>10653</v>
      </c>
      <c r="G4290" s="10" t="s">
        <v>11821</v>
      </c>
      <c r="H4290" s="9"/>
      <c r="I4290" s="9" t="s">
        <v>1457</v>
      </c>
      <c r="J4290" s="9"/>
      <c r="K4290" s="9"/>
      <c r="L4290" s="9"/>
      <c r="M4290" s="9" t="s">
        <v>10654</v>
      </c>
      <c r="N4290" s="9"/>
      <c r="O4290" s="9" t="s">
        <v>12187</v>
      </c>
      <c r="P4290" s="9" t="str">
        <f>HYPERLINK("https://ceds.ed.gov/cedselementdetails.aspx?termid=14807")</f>
        <v>https://ceds.ed.gov/cedselementdetails.aspx?termid=14807</v>
      </c>
      <c r="Q4290" s="9" t="str">
        <f>HYPERLINK("https://ceds.ed.gov/elementComment.aspx?elementName=Building Outdoor or Non-athletic Space Type &amp;elementID=14807", "Click here to submit comment")</f>
        <v>Click here to submit comment</v>
      </c>
    </row>
    <row r="4291" spans="1:17" ht="300" x14ac:dyDescent="0.25">
      <c r="A4291" s="9" t="s">
        <v>11941</v>
      </c>
      <c r="B4291" s="9" t="s">
        <v>6788</v>
      </c>
      <c r="C4291" s="9" t="s">
        <v>11944</v>
      </c>
      <c r="D4291" s="9" t="s">
        <v>6746</v>
      </c>
      <c r="E4291" s="9" t="s">
        <v>10655</v>
      </c>
      <c r="F4291" s="9" t="s">
        <v>8783</v>
      </c>
      <c r="G4291" s="10" t="s">
        <v>11822</v>
      </c>
      <c r="H4291" s="9"/>
      <c r="I4291" s="9" t="s">
        <v>1457</v>
      </c>
      <c r="J4291" s="9"/>
      <c r="K4291" s="9"/>
      <c r="L4291" s="9"/>
      <c r="M4291" s="9" t="s">
        <v>10656</v>
      </c>
      <c r="N4291" s="9"/>
      <c r="O4291" s="9" t="s">
        <v>10657</v>
      </c>
      <c r="P4291" s="9" t="str">
        <f>HYPERLINK("https://ceds.ed.gov/cedselementdetails.aspx?termid=14808")</f>
        <v>https://ceds.ed.gov/cedselementdetails.aspx?termid=14808</v>
      </c>
      <c r="Q4291" s="9" t="str">
        <f>HYPERLINK("https://ceds.ed.gov/elementComment.aspx?elementName=Building Performing Arts Specialty Space Type &amp;elementID=14808", "Click here to submit comment")</f>
        <v>Click here to submit comment</v>
      </c>
    </row>
    <row r="4292" spans="1:17" ht="255" x14ac:dyDescent="0.25">
      <c r="A4292" s="9" t="s">
        <v>11941</v>
      </c>
      <c r="B4292" s="9" t="s">
        <v>6788</v>
      </c>
      <c r="C4292" s="9" t="s">
        <v>11944</v>
      </c>
      <c r="D4292" s="9" t="s">
        <v>6746</v>
      </c>
      <c r="E4292" s="9" t="s">
        <v>10668</v>
      </c>
      <c r="F4292" s="9" t="s">
        <v>9126</v>
      </c>
      <c r="G4292" s="10" t="s">
        <v>11825</v>
      </c>
      <c r="H4292" s="9"/>
      <c r="I4292" s="9" t="s">
        <v>1457</v>
      </c>
      <c r="J4292" s="9"/>
      <c r="K4292" s="9"/>
      <c r="L4292" s="9"/>
      <c r="M4292" s="9" t="s">
        <v>10669</v>
      </c>
      <c r="N4292" s="9"/>
      <c r="O4292" s="9" t="s">
        <v>10670</v>
      </c>
      <c r="P4292" s="9" t="str">
        <f>HYPERLINK("https://ceds.ed.gov/cedselementdetails.aspx?termid=14809")</f>
        <v>https://ceds.ed.gov/cedselementdetails.aspx?termid=14809</v>
      </c>
      <c r="Q4292" s="9" t="str">
        <f>HYPERLINK("https://ceds.ed.gov/elementComment.aspx?elementName=Building School Design Type &amp;elementID=14809", "Click here to submit comment")</f>
        <v>Click here to submit comment</v>
      </c>
    </row>
    <row r="4293" spans="1:17" ht="210" x14ac:dyDescent="0.25">
      <c r="A4293" s="9" t="s">
        <v>11941</v>
      </c>
      <c r="B4293" s="9" t="s">
        <v>6788</v>
      </c>
      <c r="C4293" s="9" t="s">
        <v>11944</v>
      </c>
      <c r="D4293" s="9" t="s">
        <v>6746</v>
      </c>
      <c r="E4293" s="9" t="s">
        <v>10671</v>
      </c>
      <c r="F4293" s="9" t="s">
        <v>9158</v>
      </c>
      <c r="G4293" s="10" t="s">
        <v>11826</v>
      </c>
      <c r="H4293" s="9"/>
      <c r="I4293" s="9" t="s">
        <v>1457</v>
      </c>
      <c r="J4293" s="9"/>
      <c r="K4293" s="9"/>
      <c r="L4293" s="9"/>
      <c r="M4293" s="9" t="s">
        <v>10672</v>
      </c>
      <c r="N4293" s="9"/>
      <c r="O4293" s="9" t="s">
        <v>10673</v>
      </c>
      <c r="P4293" s="9" t="str">
        <f>HYPERLINK("https://ceds.ed.gov/cedselementdetails.aspx?termid=14810")</f>
        <v>https://ceds.ed.gov/cedselementdetails.aspx?termid=14810</v>
      </c>
      <c r="Q4293" s="9" t="str">
        <f>HYPERLINK("https://ceds.ed.gov/elementComment.aspx?elementName=Building Science Specialty Space Type &amp;elementID=14810", "Click here to submit comment")</f>
        <v>Click here to submit comment</v>
      </c>
    </row>
    <row r="4294" spans="1:17" ht="45" x14ac:dyDescent="0.25">
      <c r="A4294" s="9" t="s">
        <v>11941</v>
      </c>
      <c r="B4294" s="9" t="s">
        <v>6788</v>
      </c>
      <c r="C4294" s="9" t="s">
        <v>11944</v>
      </c>
      <c r="D4294" s="9" t="s">
        <v>6746</v>
      </c>
      <c r="E4294" s="9" t="s">
        <v>10677</v>
      </c>
      <c r="F4294" s="9" t="s">
        <v>9227</v>
      </c>
      <c r="G4294" s="9" t="s">
        <v>12</v>
      </c>
      <c r="H4294" s="9"/>
      <c r="I4294" s="9" t="s">
        <v>1457</v>
      </c>
      <c r="J4294" s="9" t="s">
        <v>22</v>
      </c>
      <c r="K4294" s="9"/>
      <c r="L4294" s="9"/>
      <c r="M4294" s="9" t="s">
        <v>10678</v>
      </c>
      <c r="N4294" s="9"/>
      <c r="O4294" s="9" t="s">
        <v>10679</v>
      </c>
      <c r="P4294" s="9" t="str">
        <f>HYPERLINK("https://ceds.ed.gov/cedselementdetails.aspx?termid=14831")</f>
        <v>https://ceds.ed.gov/cedselementdetails.aspx?termid=14831</v>
      </c>
      <c r="Q4294" s="9" t="str">
        <f>HYPERLINK("https://ceds.ed.gov/elementComment.aspx?elementName=Building Site Improvement Description &amp;elementID=14831", "Click here to submit comment")</f>
        <v>Click here to submit comment</v>
      </c>
    </row>
    <row r="4295" spans="1:17" ht="255" x14ac:dyDescent="0.25">
      <c r="A4295" s="9" t="s">
        <v>11941</v>
      </c>
      <c r="B4295" s="9" t="s">
        <v>6788</v>
      </c>
      <c r="C4295" s="9" t="s">
        <v>11944</v>
      </c>
      <c r="D4295" s="9" t="s">
        <v>6746</v>
      </c>
      <c r="E4295" s="9" t="s">
        <v>10684</v>
      </c>
      <c r="F4295" s="9" t="s">
        <v>9244</v>
      </c>
      <c r="G4295" s="10" t="s">
        <v>11829</v>
      </c>
      <c r="H4295" s="9"/>
      <c r="I4295" s="9" t="s">
        <v>1457</v>
      </c>
      <c r="J4295" s="9"/>
      <c r="K4295" s="9"/>
      <c r="L4295" s="9"/>
      <c r="M4295" s="9" t="s">
        <v>10685</v>
      </c>
      <c r="N4295" s="9"/>
      <c r="O4295" s="9" t="s">
        <v>10686</v>
      </c>
      <c r="P4295" s="9" t="str">
        <f>HYPERLINK("https://ceds.ed.gov/cedselementdetails.aspx?termid=14812")</f>
        <v>https://ceds.ed.gov/cedselementdetails.aspx?termid=14812</v>
      </c>
      <c r="Q4295" s="9" t="str">
        <f>HYPERLINK("https://ceds.ed.gov/elementComment.aspx?elementName=Building Space Design Type &amp;elementID=14812", "Click here to submit comment")</f>
        <v>Click here to submit comment</v>
      </c>
    </row>
    <row r="4296" spans="1:17" ht="135" x14ac:dyDescent="0.25">
      <c r="A4296" s="9" t="s">
        <v>11941</v>
      </c>
      <c r="B4296" s="9" t="s">
        <v>6788</v>
      </c>
      <c r="C4296" s="9" t="s">
        <v>11944</v>
      </c>
      <c r="D4296" s="9" t="s">
        <v>6746</v>
      </c>
      <c r="E4296" s="9" t="s">
        <v>10690</v>
      </c>
      <c r="F4296" s="9" t="s">
        <v>9265</v>
      </c>
      <c r="G4296" s="10" t="s">
        <v>11830</v>
      </c>
      <c r="H4296" s="9"/>
      <c r="I4296" s="9" t="s">
        <v>1457</v>
      </c>
      <c r="J4296" s="9"/>
      <c r="K4296" s="9"/>
      <c r="L4296" s="9"/>
      <c r="M4296" s="9" t="s">
        <v>10691</v>
      </c>
      <c r="N4296" s="9"/>
      <c r="O4296" s="9" t="s">
        <v>10692</v>
      </c>
      <c r="P4296" s="9" t="str">
        <f>HYPERLINK("https://ceds.ed.gov/cedselementdetails.aspx?termid=14813")</f>
        <v>https://ceds.ed.gov/cedselementdetails.aspx?termid=14813</v>
      </c>
      <c r="Q4296" s="9" t="str">
        <f>HYPERLINK("https://ceds.ed.gov/elementComment.aspx?elementName=Building Special Education Specialty Space Type &amp;elementID=14813", "Click here to submit comment")</f>
        <v>Click here to submit comment</v>
      </c>
    </row>
    <row r="4297" spans="1:17" ht="165" x14ac:dyDescent="0.25">
      <c r="A4297" s="9" t="s">
        <v>11941</v>
      </c>
      <c r="B4297" s="9" t="s">
        <v>6788</v>
      </c>
      <c r="C4297" s="9" t="s">
        <v>11944</v>
      </c>
      <c r="D4297" s="9" t="s">
        <v>6746</v>
      </c>
      <c r="E4297" s="9" t="s">
        <v>10693</v>
      </c>
      <c r="F4297" s="9" t="s">
        <v>9322</v>
      </c>
      <c r="G4297" s="10" t="s">
        <v>11831</v>
      </c>
      <c r="H4297" s="9"/>
      <c r="I4297" s="9" t="s">
        <v>1457</v>
      </c>
      <c r="J4297" s="9"/>
      <c r="K4297" s="9"/>
      <c r="L4297" s="9"/>
      <c r="M4297" s="9" t="s">
        <v>10694</v>
      </c>
      <c r="N4297" s="9"/>
      <c r="O4297" s="9" t="s">
        <v>10695</v>
      </c>
      <c r="P4297" s="9" t="str">
        <f>HYPERLINK("https://ceds.ed.gov/cedselementdetails.aspx?termid=14814")</f>
        <v>https://ceds.ed.gov/cedselementdetails.aspx?termid=14814</v>
      </c>
      <c r="Q4297" s="9" t="str">
        <f>HYPERLINK("https://ceds.ed.gov/elementComment.aspx?elementName=Building Student Support Space Type &amp;elementID=14814", "Click here to submit comment")</f>
        <v>Click here to submit comment</v>
      </c>
    </row>
    <row r="4298" spans="1:17" ht="60" x14ac:dyDescent="0.25">
      <c r="A4298" s="9" t="s">
        <v>11941</v>
      </c>
      <c r="B4298" s="9" t="s">
        <v>6788</v>
      </c>
      <c r="C4298" s="9" t="s">
        <v>11944</v>
      </c>
      <c r="D4298" s="9" t="s">
        <v>6746</v>
      </c>
      <c r="E4298" s="9" t="s">
        <v>11197</v>
      </c>
      <c r="F4298" s="9" t="s">
        <v>7606</v>
      </c>
      <c r="G4298" s="9" t="s">
        <v>12</v>
      </c>
      <c r="H4298" s="9"/>
      <c r="I4298" s="9" t="s">
        <v>1457</v>
      </c>
      <c r="J4298" s="9" t="s">
        <v>73</v>
      </c>
      <c r="K4298" s="9"/>
      <c r="L4298" s="9"/>
      <c r="M4298" s="9" t="s">
        <v>11198</v>
      </c>
      <c r="N4298" s="9"/>
      <c r="O4298" s="9" t="s">
        <v>11199</v>
      </c>
      <c r="P4298" s="9" t="str">
        <f>HYPERLINK("https://ceds.ed.gov/cedselementdetails.aspx?termid=14818")</f>
        <v>https://ceds.ed.gov/cedselementdetails.aspx?termid=14818</v>
      </c>
      <c r="Q4298" s="9" t="str">
        <f>HYPERLINK("https://ceds.ed.gov/elementComment.aspx?elementName=Facility Compliance Determination Date &amp;elementID=14818", "Click here to submit comment")</f>
        <v>Click here to submit comment</v>
      </c>
    </row>
    <row r="4299" spans="1:17" ht="75" x14ac:dyDescent="0.25">
      <c r="A4299" s="9" t="s">
        <v>11941</v>
      </c>
      <c r="B4299" s="9" t="s">
        <v>6788</v>
      </c>
      <c r="C4299" s="9" t="s">
        <v>11944</v>
      </c>
      <c r="D4299" s="9" t="s">
        <v>6746</v>
      </c>
      <c r="E4299" s="9" t="s">
        <v>11200</v>
      </c>
      <c r="F4299" s="9" t="s">
        <v>7607</v>
      </c>
      <c r="G4299" s="9" t="s">
        <v>12</v>
      </c>
      <c r="H4299" s="9"/>
      <c r="I4299" s="9" t="s">
        <v>1457</v>
      </c>
      <c r="J4299" s="9" t="s">
        <v>22</v>
      </c>
      <c r="K4299" s="9"/>
      <c r="L4299" s="9"/>
      <c r="M4299" s="9" t="s">
        <v>11201</v>
      </c>
      <c r="N4299" s="9"/>
      <c r="O4299" s="9" t="s">
        <v>11202</v>
      </c>
      <c r="P4299" s="9" t="str">
        <f>HYPERLINK("https://ceds.ed.gov/cedselementdetails.aspx?termid=14819")</f>
        <v>https://ceds.ed.gov/cedselementdetails.aspx?termid=14819</v>
      </c>
      <c r="Q4299" s="9" t="str">
        <f>HYPERLINK("https://ceds.ed.gov/elementComment.aspx?elementName=Facility Compliance Name &amp;elementID=14819", "Click here to submit comment")</f>
        <v>Click here to submit comment</v>
      </c>
    </row>
    <row r="4300" spans="1:17" ht="60" x14ac:dyDescent="0.25">
      <c r="A4300" s="9" t="s">
        <v>11941</v>
      </c>
      <c r="B4300" s="9" t="s">
        <v>6788</v>
      </c>
      <c r="C4300" s="9" t="s">
        <v>11944</v>
      </c>
      <c r="D4300" s="9" t="s">
        <v>6746</v>
      </c>
      <c r="E4300" s="9" t="s">
        <v>11206</v>
      </c>
      <c r="F4300" s="9" t="s">
        <v>7609</v>
      </c>
      <c r="G4300" s="9" t="s">
        <v>12</v>
      </c>
      <c r="H4300" s="9"/>
      <c r="I4300" s="9" t="s">
        <v>1457</v>
      </c>
      <c r="J4300" s="9" t="s">
        <v>22</v>
      </c>
      <c r="K4300" s="9"/>
      <c r="L4300" s="9"/>
      <c r="M4300" s="9" t="s">
        <v>11207</v>
      </c>
      <c r="N4300" s="9"/>
      <c r="O4300" s="9" t="s">
        <v>11208</v>
      </c>
      <c r="P4300" s="9" t="str">
        <f>HYPERLINK("https://ceds.ed.gov/cedselementdetails.aspx?termid=14820")</f>
        <v>https://ceds.ed.gov/cedselementdetails.aspx?termid=14820</v>
      </c>
      <c r="Q4300" s="9" t="str">
        <f>HYPERLINK("https://ceds.ed.gov/elementComment.aspx?elementName=Facility Component Deficiency Description &amp;elementID=14820", "Click here to submit comment")</f>
        <v>Click here to submit comment</v>
      </c>
    </row>
    <row r="4301" spans="1:17" ht="60" x14ac:dyDescent="0.25">
      <c r="A4301" s="9" t="s">
        <v>11941</v>
      </c>
      <c r="B4301" s="9" t="s">
        <v>6788</v>
      </c>
      <c r="C4301" s="9" t="s">
        <v>11944</v>
      </c>
      <c r="D4301" s="9" t="s">
        <v>6746</v>
      </c>
      <c r="E4301" s="9" t="s">
        <v>11209</v>
      </c>
      <c r="F4301" s="9" t="s">
        <v>7610</v>
      </c>
      <c r="G4301" s="9" t="s">
        <v>12</v>
      </c>
      <c r="H4301" s="9"/>
      <c r="I4301" s="9" t="s">
        <v>1457</v>
      </c>
      <c r="J4301" s="9" t="s">
        <v>87</v>
      </c>
      <c r="K4301" s="9"/>
      <c r="L4301" s="9"/>
      <c r="M4301" s="9" t="s">
        <v>11210</v>
      </c>
      <c r="N4301" s="9"/>
      <c r="O4301" s="9" t="s">
        <v>11211</v>
      </c>
      <c r="P4301" s="9" t="str">
        <f>HYPERLINK("https://ceds.ed.gov/cedselementdetails.aspx?termid=14821")</f>
        <v>https://ceds.ed.gov/cedselementdetails.aspx?termid=14821</v>
      </c>
      <c r="Q4301" s="9" t="str">
        <f>HYPERLINK("https://ceds.ed.gov/elementComment.aspx?elementName=Facility Component Identification Code &amp;elementID=14821", "Click here to submit comment")</f>
        <v>Click here to submit comment</v>
      </c>
    </row>
    <row r="4302" spans="1:17" ht="45" x14ac:dyDescent="0.25">
      <c r="A4302" s="9" t="s">
        <v>11941</v>
      </c>
      <c r="B4302" s="9" t="s">
        <v>6788</v>
      </c>
      <c r="C4302" s="9" t="s">
        <v>11944</v>
      </c>
      <c r="D4302" s="9" t="s">
        <v>6746</v>
      </c>
      <c r="E4302" s="9" t="s">
        <v>11228</v>
      </c>
      <c r="F4302" s="9" t="s">
        <v>7995</v>
      </c>
      <c r="G4302" s="9" t="s">
        <v>12</v>
      </c>
      <c r="H4302" s="9"/>
      <c r="I4302" s="9" t="s">
        <v>1457</v>
      </c>
      <c r="J4302" s="9" t="s">
        <v>1513</v>
      </c>
      <c r="K4302" s="9"/>
      <c r="L4302" s="9"/>
      <c r="M4302" s="9" t="s">
        <v>11229</v>
      </c>
      <c r="N4302" s="9"/>
      <c r="O4302" s="9" t="s">
        <v>12196</v>
      </c>
      <c r="P4302" s="9" t="str">
        <f>HYPERLINK("https://ceds.ed.gov/cedselementdetails.aspx?termid=14822")</f>
        <v>https://ceds.ed.gov/cedselementdetails.aspx?termid=14822</v>
      </c>
      <c r="Q4302" s="9" t="str">
        <f>HYPERLINK("https://ceds.ed.gov/elementComment.aspx?elementName=Facility Estimated Cost to Eliminate Deferred Maintenance &amp;elementID=14822", "Click here to submit comment")</f>
        <v>Click here to submit comment</v>
      </c>
    </row>
    <row r="4303" spans="1:17" ht="105" x14ac:dyDescent="0.25">
      <c r="A4303" s="9" t="s">
        <v>11941</v>
      </c>
      <c r="B4303" s="9" t="s">
        <v>6788</v>
      </c>
      <c r="C4303" s="9" t="s">
        <v>11944</v>
      </c>
      <c r="D4303" s="9" t="s">
        <v>6746</v>
      </c>
      <c r="E4303" s="9" t="s">
        <v>8055</v>
      </c>
      <c r="F4303" s="9" t="s">
        <v>8056</v>
      </c>
      <c r="G4303" s="10" t="s">
        <v>11862</v>
      </c>
      <c r="H4303" s="9"/>
      <c r="I4303" s="9" t="s">
        <v>1457</v>
      </c>
      <c r="J4303" s="9"/>
      <c r="K4303" s="9"/>
      <c r="L4303" s="9"/>
      <c r="M4303" s="9" t="s">
        <v>11240</v>
      </c>
      <c r="N4303" s="9"/>
      <c r="O4303" s="9" t="s">
        <v>11241</v>
      </c>
      <c r="P4303" s="9" t="str">
        <f>HYPERLINK("https://ceds.ed.gov/cedselementdetails.aspx?termid=14801")</f>
        <v>https://ceds.ed.gov/cedselementdetails.aspx?termid=14801</v>
      </c>
      <c r="Q4303" s="9" t="str">
        <f>HYPERLINK("https://ceds.ed.gov/elementComment.aspx?elementName=Facility Furnishings Type &amp;elementID=14801", "Click here to submit comment")</f>
        <v>Click here to submit comment</v>
      </c>
    </row>
    <row r="4304" spans="1:17" ht="45" x14ac:dyDescent="0.25">
      <c r="A4304" s="9" t="s">
        <v>11941</v>
      </c>
      <c r="B4304" s="9" t="s">
        <v>6788</v>
      </c>
      <c r="C4304" s="9" t="s">
        <v>11944</v>
      </c>
      <c r="D4304" s="9" t="s">
        <v>6746</v>
      </c>
      <c r="E4304" s="9" t="s">
        <v>11242</v>
      </c>
      <c r="F4304" s="9" t="s">
        <v>8017</v>
      </c>
      <c r="G4304" s="9" t="s">
        <v>12</v>
      </c>
      <c r="H4304" s="9"/>
      <c r="I4304" s="9" t="s">
        <v>1457</v>
      </c>
      <c r="J4304" s="9" t="s">
        <v>73</v>
      </c>
      <c r="K4304" s="9"/>
      <c r="L4304" s="9"/>
      <c r="M4304" s="9" t="s">
        <v>11243</v>
      </c>
      <c r="N4304" s="9"/>
      <c r="O4304" s="9" t="s">
        <v>11244</v>
      </c>
      <c r="P4304" s="9" t="str">
        <f>HYPERLINK("https://ceds.ed.gov/cedselementdetails.aspx?termid=14823")</f>
        <v>https://ceds.ed.gov/cedselementdetails.aspx?termid=14823</v>
      </c>
      <c r="Q4304" s="9" t="str">
        <f>HYPERLINK("https://ceds.ed.gov/elementComment.aspx?elementName=Facility Hazardous Condition Expected Remediation Date &amp;elementID=14823", "Click here to submit comment")</f>
        <v>Click here to submit comment</v>
      </c>
    </row>
    <row r="4305" spans="1:17" ht="45" x14ac:dyDescent="0.25">
      <c r="A4305" s="9" t="s">
        <v>11941</v>
      </c>
      <c r="B4305" s="9" t="s">
        <v>6788</v>
      </c>
      <c r="C4305" s="9" t="s">
        <v>11944</v>
      </c>
      <c r="D4305" s="9" t="s">
        <v>6746</v>
      </c>
      <c r="E4305" s="9" t="s">
        <v>11247</v>
      </c>
      <c r="F4305" s="9" t="s">
        <v>8306</v>
      </c>
      <c r="G4305" s="9" t="s">
        <v>12</v>
      </c>
      <c r="H4305" s="9"/>
      <c r="I4305" s="9" t="s">
        <v>1457</v>
      </c>
      <c r="J4305" s="9" t="s">
        <v>1310</v>
      </c>
      <c r="K4305" s="9"/>
      <c r="L4305" s="9"/>
      <c r="M4305" s="9" t="s">
        <v>11248</v>
      </c>
      <c r="N4305" s="9"/>
      <c r="O4305" s="9" t="s">
        <v>11249</v>
      </c>
      <c r="P4305" s="9" t="str">
        <f>HYPERLINK("https://ceds.ed.gov/cedselementdetails.aspx?termid=14827")</f>
        <v>https://ceds.ed.gov/cedselementdetails.aspx?termid=14827</v>
      </c>
      <c r="Q4305" s="9" t="str">
        <f>HYPERLINK("https://ceds.ed.gov/elementComment.aspx?elementName=Facility Inspection Score Result Description &amp;elementID=14827", "Click here to submit comment")</f>
        <v>Click here to submit comment</v>
      </c>
    </row>
    <row r="4306" spans="1:17" ht="45" x14ac:dyDescent="0.25">
      <c r="A4306" s="9" t="s">
        <v>11941</v>
      </c>
      <c r="B4306" s="9" t="s">
        <v>6788</v>
      </c>
      <c r="C4306" s="9" t="s">
        <v>11944</v>
      </c>
      <c r="D4306" s="9" t="s">
        <v>6746</v>
      </c>
      <c r="E4306" s="9" t="s">
        <v>11250</v>
      </c>
      <c r="F4306" s="9" t="s">
        <v>8307</v>
      </c>
      <c r="G4306" s="9" t="s">
        <v>12</v>
      </c>
      <c r="H4306" s="9"/>
      <c r="I4306" s="9" t="s">
        <v>1457</v>
      </c>
      <c r="J4306" s="9" t="s">
        <v>22</v>
      </c>
      <c r="K4306" s="9"/>
      <c r="L4306" s="9"/>
      <c r="M4306" s="9" t="s">
        <v>11251</v>
      </c>
      <c r="N4306" s="9"/>
      <c r="O4306" s="9" t="s">
        <v>11252</v>
      </c>
      <c r="P4306" s="9" t="str">
        <f>HYPERLINK("https://ceds.ed.gov/cedselementdetails.aspx?termid=14828")</f>
        <v>https://ceds.ed.gov/cedselementdetails.aspx?termid=14828</v>
      </c>
      <c r="Q4306" s="9" t="str">
        <f>HYPERLINK("https://ceds.ed.gov/elementComment.aspx?elementName=Facility Inspection Violation Description &amp;elementID=14828", "Click here to submit comment")</f>
        <v>Click here to submit comment</v>
      </c>
    </row>
    <row r="4307" spans="1:17" ht="270" x14ac:dyDescent="0.25">
      <c r="A4307" s="9" t="s">
        <v>11941</v>
      </c>
      <c r="B4307" s="9" t="s">
        <v>6788</v>
      </c>
      <c r="C4307" s="9" t="s">
        <v>11944</v>
      </c>
      <c r="D4307" s="9" t="s">
        <v>6746</v>
      </c>
      <c r="E4307" s="9" t="s">
        <v>11305</v>
      </c>
      <c r="F4307" s="9" t="s">
        <v>9222</v>
      </c>
      <c r="G4307" s="10" t="s">
        <v>11873</v>
      </c>
      <c r="H4307" s="9"/>
      <c r="I4307" s="9" t="s">
        <v>1457</v>
      </c>
      <c r="J4307" s="9"/>
      <c r="K4307" s="9"/>
      <c r="L4307" s="9"/>
      <c r="M4307" s="9" t="s">
        <v>11306</v>
      </c>
      <c r="N4307" s="9"/>
      <c r="O4307" s="9" t="s">
        <v>11307</v>
      </c>
      <c r="P4307" s="9" t="str">
        <f>HYPERLINK("https://ceds.ed.gov/cedselementdetails.aspx?termid=14811")</f>
        <v>https://ceds.ed.gov/cedselementdetails.aspx?termid=14811</v>
      </c>
      <c r="Q4307" s="9" t="str">
        <f>HYPERLINK("https://ceds.ed.gov/elementComment.aspx?elementName=Facility Site Outdoor Area Type &amp;elementID=14811", "Click here to submit comment")</f>
        <v>Click here to submit comment</v>
      </c>
    </row>
    <row r="4308" spans="1:17" ht="45" x14ac:dyDescent="0.25">
      <c r="A4308" s="9" t="s">
        <v>11941</v>
      </c>
      <c r="B4308" s="9" t="s">
        <v>6788</v>
      </c>
      <c r="C4308" s="9" t="s">
        <v>11944</v>
      </c>
      <c r="D4308" s="9" t="s">
        <v>6746</v>
      </c>
      <c r="E4308" s="9" t="s">
        <v>12202</v>
      </c>
      <c r="F4308" s="9" t="s">
        <v>8212</v>
      </c>
      <c r="G4308" s="9" t="s">
        <v>12</v>
      </c>
      <c r="H4308" s="9"/>
      <c r="I4308" s="9" t="s">
        <v>1457</v>
      </c>
      <c r="J4308" s="9" t="s">
        <v>22</v>
      </c>
      <c r="K4308" s="9"/>
      <c r="L4308" s="9"/>
      <c r="M4308" s="9" t="s">
        <v>11423</v>
      </c>
      <c r="N4308" s="9"/>
      <c r="O4308" s="9" t="s">
        <v>11424</v>
      </c>
      <c r="P4308" s="9" t="str">
        <f>HYPERLINK("https://ceds.ed.gov/cedselementdetails.aspx?termid=14825")</f>
        <v>https://ceds.ed.gov/cedselementdetails.aspx?termid=14825</v>
      </c>
      <c r="Q4308" s="9" t="str">
        <f>HYPERLINK("https://ceds.ed.gov/elementComment.aspx?elementName=Hazardous Material Or Condition Description &amp;elementID=14825", "Click here to submit comment")</f>
        <v>Click here to submit comment</v>
      </c>
    </row>
    <row r="4309" spans="1:17" ht="45" x14ac:dyDescent="0.25">
      <c r="A4309" s="9" t="s">
        <v>11941</v>
      </c>
      <c r="B4309" s="9" t="s">
        <v>6788</v>
      </c>
      <c r="C4309" s="9" t="s">
        <v>11944</v>
      </c>
      <c r="D4309" s="9" t="s">
        <v>6746</v>
      </c>
      <c r="E4309" s="9" t="s">
        <v>12203</v>
      </c>
      <c r="F4309" s="9" t="s">
        <v>8213</v>
      </c>
      <c r="G4309" s="9" t="s">
        <v>12</v>
      </c>
      <c r="H4309" s="9"/>
      <c r="I4309" s="9" t="s">
        <v>1457</v>
      </c>
      <c r="J4309" s="9" t="s">
        <v>73</v>
      </c>
      <c r="K4309" s="9"/>
      <c r="L4309" s="9"/>
      <c r="M4309" s="9" t="s">
        <v>11425</v>
      </c>
      <c r="N4309" s="9"/>
      <c r="O4309" s="9" t="s">
        <v>11426</v>
      </c>
      <c r="P4309" s="9" t="str">
        <f>HYPERLINK("https://ceds.ed.gov/cedselementdetails.aspx?termid=14826")</f>
        <v>https://ceds.ed.gov/cedselementdetails.aspx?termid=14826</v>
      </c>
      <c r="Q4309" s="9" t="str">
        <f>HYPERLINK("https://ceds.ed.gov/elementComment.aspx?elementName=Hazardous Material Or Condition Testing Date &amp;elementID=14826", "Click here to submit comment")</f>
        <v>Click here to submit comment</v>
      </c>
    </row>
    <row r="4310" spans="1:17" ht="45" x14ac:dyDescent="0.25">
      <c r="A4310" s="9" t="s">
        <v>11941</v>
      </c>
      <c r="B4310" s="9" t="s">
        <v>6788</v>
      </c>
      <c r="C4310" s="9" t="s">
        <v>11944</v>
      </c>
      <c r="D4310" s="9" t="s">
        <v>6746</v>
      </c>
      <c r="E4310" s="9" t="s">
        <v>8308</v>
      </c>
      <c r="F4310" s="9" t="s">
        <v>8309</v>
      </c>
      <c r="G4310" s="9" t="s">
        <v>12</v>
      </c>
      <c r="H4310" s="9"/>
      <c r="I4310" s="9" t="s">
        <v>1457</v>
      </c>
      <c r="J4310" s="9" t="s">
        <v>1813</v>
      </c>
      <c r="K4310" s="9"/>
      <c r="L4310" s="9"/>
      <c r="M4310" s="9" t="s">
        <v>11562</v>
      </c>
      <c r="N4310" s="9"/>
      <c r="O4310" s="9" t="s">
        <v>11563</v>
      </c>
      <c r="P4310" s="9" t="str">
        <f>HYPERLINK("https://ceds.ed.gov/cedselementdetails.aspx?termid=14829")</f>
        <v>https://ceds.ed.gov/cedselementdetails.aspx?termid=14829</v>
      </c>
      <c r="Q4310" s="9" t="str">
        <f>HYPERLINK("https://ceds.ed.gov/elementComment.aspx?elementName=Installation Date &amp;elementID=14829", "Click here to submit comment")</f>
        <v>Click here to submit comment</v>
      </c>
    </row>
    <row r="4311" spans="1:17" ht="60" x14ac:dyDescent="0.25">
      <c r="A4311" s="9" t="s">
        <v>11941</v>
      </c>
      <c r="B4311" s="9" t="s">
        <v>6788</v>
      </c>
      <c r="C4311" s="9" t="s">
        <v>11944</v>
      </c>
      <c r="D4311" s="9" t="s">
        <v>6746</v>
      </c>
      <c r="E4311" s="9" t="s">
        <v>8439</v>
      </c>
      <c r="F4311" s="9" t="s">
        <v>8440</v>
      </c>
      <c r="G4311" s="9" t="s">
        <v>12</v>
      </c>
      <c r="H4311" s="9"/>
      <c r="I4311" s="9" t="s">
        <v>1457</v>
      </c>
      <c r="J4311" s="9" t="s">
        <v>1513</v>
      </c>
      <c r="K4311" s="9"/>
      <c r="L4311" s="9"/>
      <c r="M4311" s="9" t="s">
        <v>11630</v>
      </c>
      <c r="N4311" s="9"/>
      <c r="O4311" s="9" t="s">
        <v>11631</v>
      </c>
      <c r="P4311" s="9" t="str">
        <f>HYPERLINK("https://ceds.ed.gov/cedselementdetails.aspx?termid=14830")</f>
        <v>https://ceds.ed.gov/cedselementdetails.aspx?termid=14830</v>
      </c>
      <c r="Q4311" s="9" t="str">
        <f>HYPERLINK("https://ceds.ed.gov/elementComment.aspx?elementName=Life-cycle Cost &amp;elementID=14830", "Click here to submit comment")</f>
        <v>Click here to submit comment</v>
      </c>
    </row>
    <row r="4312" spans="1:17" ht="360" x14ac:dyDescent="0.25">
      <c r="A4312" s="9" t="s">
        <v>11941</v>
      </c>
      <c r="B4312" s="9" t="s">
        <v>6788</v>
      </c>
      <c r="C4312" s="9" t="s">
        <v>11945</v>
      </c>
      <c r="D4312" s="9" t="s">
        <v>6746</v>
      </c>
      <c r="E4312" s="9" t="s">
        <v>1561</v>
      </c>
      <c r="F4312" s="9" t="s">
        <v>1562</v>
      </c>
      <c r="G4312" s="10" t="s">
        <v>11834</v>
      </c>
      <c r="H4312" s="9"/>
      <c r="I4312" s="9" t="s">
        <v>91</v>
      </c>
      <c r="J4312" s="9"/>
      <c r="K4312" s="9"/>
      <c r="L4312" s="9"/>
      <c r="M4312" s="9" t="s">
        <v>1563</v>
      </c>
      <c r="N4312" s="9"/>
      <c r="O4312" s="9" t="s">
        <v>1564</v>
      </c>
      <c r="P4312" s="9" t="str">
        <f>HYPERLINK("https://ceds.ed.gov/cedselementdetails.aspx?termid=14173")</f>
        <v>https://ceds.ed.gov/cedselementdetails.aspx?termid=14173</v>
      </c>
      <c r="Q4312" s="9" t="str">
        <f>HYPERLINK("https://ceds.ed.gov/elementComment.aspx?elementName=Building Use Type &amp;elementID=14173", "Click here to submit comment")</f>
        <v>Click here to submit comment</v>
      </c>
    </row>
    <row r="4313" spans="1:17" ht="255" x14ac:dyDescent="0.25">
      <c r="A4313" s="9" t="s">
        <v>11941</v>
      </c>
      <c r="B4313" s="9" t="s">
        <v>6788</v>
      </c>
      <c r="C4313" s="9" t="s">
        <v>11945</v>
      </c>
      <c r="D4313" s="9" t="s">
        <v>6746</v>
      </c>
      <c r="E4313" s="9" t="s">
        <v>2748</v>
      </c>
      <c r="F4313" s="9" t="s">
        <v>2749</v>
      </c>
      <c r="G4313" s="10" t="s">
        <v>6501</v>
      </c>
      <c r="H4313" s="9"/>
      <c r="I4313" s="9"/>
      <c r="J4313" s="9"/>
      <c r="K4313" s="9"/>
      <c r="L4313" s="9"/>
      <c r="M4313" s="9" t="s">
        <v>2750</v>
      </c>
      <c r="N4313" s="9"/>
      <c r="O4313" s="9" t="s">
        <v>2751</v>
      </c>
      <c r="P4313" s="9" t="str">
        <f>HYPERLINK("https://ceds.ed.gov/cedselementdetails.aspx?termid=14175")</f>
        <v>https://ceds.ed.gov/cedselementdetails.aspx?termid=14175</v>
      </c>
      <c r="Q4313" s="9" t="str">
        <f>HYPERLINK("https://ceds.ed.gov/elementComment.aspx?elementName=Facility Space Use Type &amp;elementID=14175", "Click here to submit comment")</f>
        <v>Click here to submit comment</v>
      </c>
    </row>
    <row r="4314" spans="1:17" ht="45" x14ac:dyDescent="0.25">
      <c r="A4314" s="9" t="s">
        <v>11941</v>
      </c>
      <c r="B4314" s="9" t="s">
        <v>6788</v>
      </c>
      <c r="C4314" s="9" t="s">
        <v>11945</v>
      </c>
      <c r="D4314" s="9" t="s">
        <v>6746</v>
      </c>
      <c r="E4314" s="9" t="s">
        <v>10521</v>
      </c>
      <c r="F4314" s="9" t="s">
        <v>7353</v>
      </c>
      <c r="G4314" s="9" t="s">
        <v>6106</v>
      </c>
      <c r="H4314" s="9"/>
      <c r="I4314" s="9" t="s">
        <v>1457</v>
      </c>
      <c r="J4314" s="9"/>
      <c r="K4314" s="9"/>
      <c r="L4314" s="9"/>
      <c r="M4314" s="9" t="s">
        <v>10523</v>
      </c>
      <c r="N4314" s="9"/>
      <c r="O4314" s="9" t="s">
        <v>10524</v>
      </c>
      <c r="P4314" s="9" t="str">
        <f>HYPERLINK("https://ceds.ed.gov/cedselementdetails.aspx?termid=14883")</f>
        <v>https://ceds.ed.gov/cedselementdetails.aspx?termid=14883</v>
      </c>
      <c r="Q4314" s="9" t="str">
        <f>HYPERLINK("https://ceds.ed.gov/elementComment.aspx?elementName=Available Utilized Instructional Space &amp;elementID=14883", "Click here to submit comment")</f>
        <v>Click here to submit comment</v>
      </c>
    </row>
    <row r="4315" spans="1:17" ht="60" x14ac:dyDescent="0.25">
      <c r="A4315" s="9" t="s">
        <v>11941</v>
      </c>
      <c r="B4315" s="9" t="s">
        <v>6788</v>
      </c>
      <c r="C4315" s="9" t="s">
        <v>11945</v>
      </c>
      <c r="D4315" s="9" t="s">
        <v>6746</v>
      </c>
      <c r="E4315" s="9" t="s">
        <v>10559</v>
      </c>
      <c r="F4315" s="9" t="s">
        <v>7498</v>
      </c>
      <c r="G4315" s="9" t="s">
        <v>6106</v>
      </c>
      <c r="H4315" s="9"/>
      <c r="I4315" s="9" t="s">
        <v>1457</v>
      </c>
      <c r="J4315" s="9"/>
      <c r="K4315" s="9"/>
      <c r="L4315" s="9"/>
      <c r="M4315" s="9" t="s">
        <v>10560</v>
      </c>
      <c r="N4315" s="9"/>
      <c r="O4315" s="9" t="s">
        <v>10561</v>
      </c>
      <c r="P4315" s="9" t="str">
        <f>HYPERLINK("https://ceds.ed.gov/cedselementdetails.aspx?termid=14884")</f>
        <v>https://ceds.ed.gov/cedselementdetails.aspx?termid=14884</v>
      </c>
      <c r="Q4315" s="9" t="str">
        <f>HYPERLINK("https://ceds.ed.gov/elementComment.aspx?elementName=Building Capacity Factor Indicator &amp;elementID=14884", "Click here to submit comment")</f>
        <v>Click here to submit comment</v>
      </c>
    </row>
    <row r="4316" spans="1:17" ht="180" x14ac:dyDescent="0.25">
      <c r="A4316" s="9" t="s">
        <v>11941</v>
      </c>
      <c r="B4316" s="9" t="s">
        <v>6788</v>
      </c>
      <c r="C4316" s="9" t="s">
        <v>11945</v>
      </c>
      <c r="D4316" s="9" t="s">
        <v>6746</v>
      </c>
      <c r="E4316" s="9" t="s">
        <v>10580</v>
      </c>
      <c r="F4316" s="9" t="s">
        <v>7596</v>
      </c>
      <c r="G4316" s="10" t="s">
        <v>11798</v>
      </c>
      <c r="H4316" s="9"/>
      <c r="I4316" s="9" t="s">
        <v>1457</v>
      </c>
      <c r="J4316" s="9"/>
      <c r="K4316" s="9"/>
      <c r="L4316" s="9"/>
      <c r="M4316" s="9" t="s">
        <v>10581</v>
      </c>
      <c r="N4316" s="9"/>
      <c r="O4316" s="9" t="s">
        <v>10582</v>
      </c>
      <c r="P4316" s="9" t="str">
        <f>HYPERLINK("https://ceds.ed.gov/cedselementdetails.aspx?termid=14836")</f>
        <v>https://ceds.ed.gov/cedselementdetails.aspx?termid=14836</v>
      </c>
      <c r="Q4316" s="9" t="str">
        <f>HYPERLINK("https://ceds.ed.gov/elementComment.aspx?elementName=Building Community Use Space Type &amp;elementID=14836", "Click here to submit comment")</f>
        <v>Click here to submit comment</v>
      </c>
    </row>
    <row r="4317" spans="1:17" ht="60" x14ac:dyDescent="0.25">
      <c r="A4317" s="9" t="s">
        <v>11941</v>
      </c>
      <c r="B4317" s="9" t="s">
        <v>6788</v>
      </c>
      <c r="C4317" s="9" t="s">
        <v>11945</v>
      </c>
      <c r="D4317" s="9" t="s">
        <v>6746</v>
      </c>
      <c r="E4317" s="9" t="s">
        <v>12222</v>
      </c>
      <c r="F4317" s="9" t="s">
        <v>8241</v>
      </c>
      <c r="G4317" s="9" t="s">
        <v>12</v>
      </c>
      <c r="H4317" s="9"/>
      <c r="I4317" s="9" t="s">
        <v>1457</v>
      </c>
      <c r="J4317" s="9" t="s">
        <v>589</v>
      </c>
      <c r="K4317" s="9"/>
      <c r="L4317" s="9"/>
      <c r="M4317" s="9" t="s">
        <v>10618</v>
      </c>
      <c r="N4317" s="9"/>
      <c r="O4317" s="9" t="s">
        <v>12174</v>
      </c>
      <c r="P4317" s="9" t="str">
        <f>HYPERLINK("https://ceds.ed.gov/cedselementdetails.aspx?termid=14837")</f>
        <v>https://ceds.ed.gov/cedselementdetails.aspx?termid=14837</v>
      </c>
      <c r="Q4317" s="9" t="str">
        <f>HYPERLINK("https://ceds.ed.gov/elementComment.aspx?elementName=Building Hours of Public Use Per Week &amp;elementID=14837", "Click here to submit comment")</f>
        <v>Click here to submit comment</v>
      </c>
    </row>
    <row r="4318" spans="1:17" ht="45" x14ac:dyDescent="0.25">
      <c r="A4318" s="9" t="s">
        <v>11941</v>
      </c>
      <c r="B4318" s="9" t="s">
        <v>6788</v>
      </c>
      <c r="C4318" s="9" t="s">
        <v>11945</v>
      </c>
      <c r="D4318" s="9" t="s">
        <v>6746</v>
      </c>
      <c r="E4318" s="9" t="s">
        <v>10626</v>
      </c>
      <c r="F4318" s="9" t="s">
        <v>8313</v>
      </c>
      <c r="G4318" s="10" t="s">
        <v>11812</v>
      </c>
      <c r="H4318" s="9"/>
      <c r="I4318" s="9" t="s">
        <v>1457</v>
      </c>
      <c r="J4318" s="9"/>
      <c r="K4318" s="9"/>
      <c r="L4318" s="9"/>
      <c r="M4318" s="9" t="s">
        <v>10627</v>
      </c>
      <c r="N4318" s="9"/>
      <c r="O4318" s="9" t="s">
        <v>10628</v>
      </c>
      <c r="P4318" s="9" t="str">
        <f>HYPERLINK("https://ceds.ed.gov/cedselementdetails.aspx?termid=14832")</f>
        <v>https://ceds.ed.gov/cedselementdetails.aspx?termid=14832</v>
      </c>
      <c r="Q4318" s="9" t="str">
        <f>HYPERLINK("https://ceds.ed.gov/elementComment.aspx?elementName=Building Instructional Space Factor Type &amp;elementID=14832", "Click here to submit comment")</f>
        <v>Click here to submit comment</v>
      </c>
    </row>
    <row r="4319" spans="1:17" ht="120" x14ac:dyDescent="0.25">
      <c r="A4319" s="9" t="s">
        <v>11941</v>
      </c>
      <c r="B4319" s="9" t="s">
        <v>6788</v>
      </c>
      <c r="C4319" s="9" t="s">
        <v>11945</v>
      </c>
      <c r="D4319" s="9" t="s">
        <v>6746</v>
      </c>
      <c r="E4319" s="9" t="s">
        <v>10629</v>
      </c>
      <c r="F4319" s="9" t="s">
        <v>8362</v>
      </c>
      <c r="G4319" s="10" t="s">
        <v>11813</v>
      </c>
      <c r="H4319" s="9"/>
      <c r="I4319" s="9" t="s">
        <v>1457</v>
      </c>
      <c r="J4319" s="9"/>
      <c r="K4319" s="9"/>
      <c r="L4319" s="9"/>
      <c r="M4319" s="9" t="s">
        <v>10630</v>
      </c>
      <c r="N4319" s="9"/>
      <c r="O4319" s="9" t="s">
        <v>10631</v>
      </c>
      <c r="P4319" s="9" t="str">
        <f>HYPERLINK("https://ceds.ed.gov/cedselementdetails.aspx?termid=14833")</f>
        <v>https://ceds.ed.gov/cedselementdetails.aspx?termid=14833</v>
      </c>
      <c r="Q4319" s="9" t="str">
        <f>HYPERLINK("https://ceds.ed.gov/elementComment.aspx?elementName=Building Joint Use Rationale Type &amp;elementID=14833", "Click here to submit comment")</f>
        <v>Click here to submit comment</v>
      </c>
    </row>
    <row r="4320" spans="1:17" ht="75" x14ac:dyDescent="0.25">
      <c r="A4320" s="9" t="s">
        <v>11941</v>
      </c>
      <c r="B4320" s="9" t="s">
        <v>6788</v>
      </c>
      <c r="C4320" s="9" t="s">
        <v>11945</v>
      </c>
      <c r="D4320" s="9" t="s">
        <v>6746</v>
      </c>
      <c r="E4320" s="9" t="s">
        <v>10632</v>
      </c>
      <c r="F4320" s="9" t="s">
        <v>8363</v>
      </c>
      <c r="G4320" s="10" t="s">
        <v>11814</v>
      </c>
      <c r="H4320" s="9"/>
      <c r="I4320" s="9" t="s">
        <v>1457</v>
      </c>
      <c r="J4320" s="9"/>
      <c r="K4320" s="9"/>
      <c r="L4320" s="9"/>
      <c r="M4320" s="9" t="s">
        <v>10633</v>
      </c>
      <c r="N4320" s="9"/>
      <c r="O4320" s="9" t="s">
        <v>10634</v>
      </c>
      <c r="P4320" s="9" t="str">
        <f>HYPERLINK("https://ceds.ed.gov/cedselementdetails.aspx?termid=14834")</f>
        <v>https://ceds.ed.gov/cedselementdetails.aspx?termid=14834</v>
      </c>
      <c r="Q4320" s="9" t="str">
        <f>HYPERLINK("https://ceds.ed.gov/elementComment.aspx?elementName=Building Joint Use Scheduling Type &amp;elementID=14834", "Click here to submit comment")</f>
        <v>Click here to submit comment</v>
      </c>
    </row>
    <row r="4321" spans="1:17" ht="90" x14ac:dyDescent="0.25">
      <c r="A4321" s="9" t="s">
        <v>11941</v>
      </c>
      <c r="B4321" s="9" t="s">
        <v>6788</v>
      </c>
      <c r="C4321" s="9" t="s">
        <v>11945</v>
      </c>
      <c r="D4321" s="9" t="s">
        <v>6746</v>
      </c>
      <c r="E4321" s="9" t="s">
        <v>10635</v>
      </c>
      <c r="F4321" s="9" t="s">
        <v>8364</v>
      </c>
      <c r="G4321" s="10" t="s">
        <v>11815</v>
      </c>
      <c r="H4321" s="9"/>
      <c r="I4321" s="9" t="s">
        <v>1457</v>
      </c>
      <c r="J4321" s="9"/>
      <c r="K4321" s="9"/>
      <c r="L4321" s="9"/>
      <c r="M4321" s="9" t="s">
        <v>10636</v>
      </c>
      <c r="N4321" s="9"/>
      <c r="O4321" s="9" t="s">
        <v>10637</v>
      </c>
      <c r="P4321" s="9" t="str">
        <f>HYPERLINK("https://ceds.ed.gov/cedselementdetails.aspx?termid=14835")</f>
        <v>https://ceds.ed.gov/cedselementdetails.aspx?termid=14835</v>
      </c>
      <c r="Q4321" s="9" t="str">
        <f>HYPERLINK("https://ceds.ed.gov/elementComment.aspx?elementName=Building Joint User Type &amp;elementID=14835", "Click here to submit comment")</f>
        <v>Click here to submit comment</v>
      </c>
    </row>
    <row r="4322" spans="1:17" ht="60" x14ac:dyDescent="0.25">
      <c r="A4322" s="9" t="s">
        <v>11941</v>
      </c>
      <c r="B4322" s="9" t="s">
        <v>6788</v>
      </c>
      <c r="C4322" s="9" t="s">
        <v>11945</v>
      </c>
      <c r="D4322" s="9" t="s">
        <v>6746</v>
      </c>
      <c r="E4322" s="9" t="s">
        <v>10645</v>
      </c>
      <c r="F4322" s="9" t="s">
        <v>8617</v>
      </c>
      <c r="G4322" s="9" t="s">
        <v>12</v>
      </c>
      <c r="H4322" s="9"/>
      <c r="I4322" s="9" t="s">
        <v>1457</v>
      </c>
      <c r="J4322" s="9" t="s">
        <v>1513</v>
      </c>
      <c r="K4322" s="9"/>
      <c r="L4322" s="9"/>
      <c r="M4322" s="9" t="s">
        <v>10646</v>
      </c>
      <c r="N4322" s="9"/>
      <c r="O4322" s="9" t="s">
        <v>12179</v>
      </c>
      <c r="P4322" s="9" t="str">
        <f>HYPERLINK("https://ceds.ed.gov/cedselementdetails.aspx?termid=14838")</f>
        <v>https://ceds.ed.gov/cedselementdetails.aspx?termid=14838</v>
      </c>
      <c r="Q4322" s="9" t="str">
        <f>HYPERLINK("https://ceds.ed.gov/elementComment.aspx?elementName=Building Net Area of Instructional Space &amp;elementID=14838", "Click here to submit comment")</f>
        <v>Click here to submit comment</v>
      </c>
    </row>
    <row r="4323" spans="1:17" ht="60" x14ac:dyDescent="0.25">
      <c r="A4323" s="9" t="s">
        <v>11941</v>
      </c>
      <c r="B4323" s="9" t="s">
        <v>6788</v>
      </c>
      <c r="C4323" s="9" t="s">
        <v>11945</v>
      </c>
      <c r="D4323" s="9" t="s">
        <v>6746</v>
      </c>
      <c r="E4323" s="9" t="s">
        <v>10649</v>
      </c>
      <c r="F4323" s="9" t="s">
        <v>8683</v>
      </c>
      <c r="G4323" s="9" t="s">
        <v>12</v>
      </c>
      <c r="H4323" s="9"/>
      <c r="I4323" s="9" t="s">
        <v>1457</v>
      </c>
      <c r="J4323" s="9" t="s">
        <v>589</v>
      </c>
      <c r="K4323" s="9"/>
      <c r="L4323" s="9"/>
      <c r="M4323" s="9" t="s">
        <v>10650</v>
      </c>
      <c r="N4323" s="9"/>
      <c r="O4323" s="9" t="s">
        <v>12181</v>
      </c>
      <c r="P4323" s="9" t="str">
        <f>HYPERLINK("https://ceds.ed.gov/cedselementdetails.aspx?termid=14839")</f>
        <v>https://ceds.ed.gov/cedselementdetails.aspx?termid=14839</v>
      </c>
      <c r="Q4323" s="9" t="str">
        <f>HYPERLINK("https://ceds.ed.gov/elementComment.aspx?elementName=Building Number of Teaching Stations &amp;elementID=14839", "Click here to submit comment")</f>
        <v>Click here to submit comment</v>
      </c>
    </row>
    <row r="4324" spans="1:17" ht="75" x14ac:dyDescent="0.25">
      <c r="A4324" s="9" t="s">
        <v>11941</v>
      </c>
      <c r="B4324" s="9" t="s">
        <v>6788</v>
      </c>
      <c r="C4324" s="9" t="s">
        <v>11945</v>
      </c>
      <c r="D4324" s="9" t="s">
        <v>6746</v>
      </c>
      <c r="E4324" s="9" t="s">
        <v>10665</v>
      </c>
      <c r="F4324" s="9" t="s">
        <v>8936</v>
      </c>
      <c r="G4324" s="9" t="s">
        <v>12</v>
      </c>
      <c r="H4324" s="9"/>
      <c r="I4324" s="9" t="s">
        <v>1457</v>
      </c>
      <c r="J4324" s="9" t="s">
        <v>22</v>
      </c>
      <c r="K4324" s="9"/>
      <c r="L4324" s="9"/>
      <c r="M4324" s="9" t="s">
        <v>10666</v>
      </c>
      <c r="N4324" s="9"/>
      <c r="O4324" s="9" t="s">
        <v>10667</v>
      </c>
      <c r="P4324" s="9" t="str">
        <f>HYPERLINK("https://ceds.ed.gov/cedselementdetails.aspx?termid=14840")</f>
        <v>https://ceds.ed.gov/cedselementdetails.aspx?termid=14840</v>
      </c>
      <c r="Q4324" s="9" t="str">
        <f>HYPERLINK("https://ceds.ed.gov/elementComment.aspx?elementName=Building Public Use Policy Description &amp;elementID=14840", "Click here to submit comment")</f>
        <v>Click here to submit comment</v>
      </c>
    </row>
    <row r="4325" spans="1:17" ht="120" x14ac:dyDescent="0.25">
      <c r="A4325" s="9" t="s">
        <v>11941</v>
      </c>
      <c r="B4325" s="9" t="s">
        <v>6788</v>
      </c>
      <c r="C4325" s="9" t="s">
        <v>11945</v>
      </c>
      <c r="D4325" s="9" t="s">
        <v>6746</v>
      </c>
      <c r="E4325" s="9" t="s">
        <v>10681</v>
      </c>
      <c r="F4325" s="9" t="s">
        <v>9234</v>
      </c>
      <c r="G4325" s="10" t="s">
        <v>11828</v>
      </c>
      <c r="H4325" s="9"/>
      <c r="I4325" s="9" t="s">
        <v>1457</v>
      </c>
      <c r="J4325" s="9"/>
      <c r="K4325" s="9"/>
      <c r="L4325" s="9"/>
      <c r="M4325" s="9" t="s">
        <v>10682</v>
      </c>
      <c r="N4325" s="9"/>
      <c r="O4325" s="9" t="s">
        <v>10683</v>
      </c>
      <c r="P4325" s="9" t="str">
        <f>HYPERLINK("https://ceds.ed.gov/cedselementdetails.aspx?termid=14841")</f>
        <v>https://ceds.ed.gov/cedselementdetails.aspx?termid=14841</v>
      </c>
      <c r="Q4325" s="9" t="str">
        <f>HYPERLINK("https://ceds.ed.gov/elementComment.aspx?elementName=Building Site Use Restrictions Type &amp;elementID=14841", "Click here to submit comment")</f>
        <v>Click here to submit comment</v>
      </c>
    </row>
    <row r="4326" spans="1:17" ht="90" x14ac:dyDescent="0.25">
      <c r="A4326" s="9" t="s">
        <v>11941</v>
      </c>
      <c r="B4326" s="9" t="s">
        <v>6788</v>
      </c>
      <c r="C4326" s="9" t="s">
        <v>11945</v>
      </c>
      <c r="D4326" s="9" t="s">
        <v>6746</v>
      </c>
      <c r="E4326" s="9" t="s">
        <v>10687</v>
      </c>
      <c r="F4326" s="9" t="s">
        <v>9245</v>
      </c>
      <c r="G4326" s="9" t="s">
        <v>12</v>
      </c>
      <c r="H4326" s="9"/>
      <c r="I4326" s="9" t="s">
        <v>1457</v>
      </c>
      <c r="J4326" s="9" t="s">
        <v>1513</v>
      </c>
      <c r="K4326" s="9"/>
      <c r="L4326" s="9"/>
      <c r="M4326" s="9" t="s">
        <v>10688</v>
      </c>
      <c r="N4326" s="9"/>
      <c r="O4326" s="9" t="s">
        <v>10689</v>
      </c>
      <c r="P4326" s="9" t="str">
        <f>HYPERLINK("https://ceds.ed.gov/cedselementdetails.aspx?termid=14842")</f>
        <v>https://ceds.ed.gov/cedselementdetails.aspx?termid=14842</v>
      </c>
      <c r="Q4326" s="9" t="str">
        <f>HYPERLINK("https://ceds.ed.gov/elementComment.aspx?elementName=Building Space Utilization Area &amp;elementID=14842", "Click here to submit comment")</f>
        <v>Click here to submit comment</v>
      </c>
    </row>
    <row r="4327" spans="1:17" ht="75" x14ac:dyDescent="0.25">
      <c r="A4327" s="9" t="s">
        <v>11941</v>
      </c>
      <c r="B4327" s="9" t="s">
        <v>6788</v>
      </c>
      <c r="C4327" s="9" t="s">
        <v>11945</v>
      </c>
      <c r="D4327" s="9" t="s">
        <v>6746</v>
      </c>
      <c r="E4327" s="9" t="s">
        <v>10702</v>
      </c>
      <c r="F4327" s="9" t="s">
        <v>9463</v>
      </c>
      <c r="G4327" s="9" t="s">
        <v>6106</v>
      </c>
      <c r="H4327" s="9"/>
      <c r="I4327" s="9" t="s">
        <v>1457</v>
      </c>
      <c r="J4327" s="9"/>
      <c r="K4327" s="9"/>
      <c r="L4327" s="9"/>
      <c r="M4327" s="9" t="s">
        <v>10703</v>
      </c>
      <c r="N4327" s="9"/>
      <c r="O4327" s="9" t="s">
        <v>10704</v>
      </c>
      <c r="P4327" s="9" t="str">
        <f>HYPERLINK("https://ceds.ed.gov/cedselementdetails.aspx?termid=14844")</f>
        <v>https://ceds.ed.gov/cedselementdetails.aspx?termid=14844</v>
      </c>
      <c r="Q4327" s="9" t="str">
        <f>HYPERLINK("https://ceds.ed.gov/elementComment.aspx?elementName=Building Unassigned Space Indicator &amp;elementID=14844", "Click here to submit comment")</f>
        <v>Click here to submit comment</v>
      </c>
    </row>
    <row r="4328" spans="1:17" ht="90" x14ac:dyDescent="0.25">
      <c r="A4328" s="9" t="s">
        <v>11941</v>
      </c>
      <c r="B4328" s="9" t="s">
        <v>6788</v>
      </c>
      <c r="C4328" s="9" t="s">
        <v>11945</v>
      </c>
      <c r="D4328" s="9" t="s">
        <v>6746</v>
      </c>
      <c r="E4328" s="9" t="s">
        <v>11224</v>
      </c>
      <c r="F4328" s="9" t="s">
        <v>11225</v>
      </c>
      <c r="G4328" s="9" t="s">
        <v>12</v>
      </c>
      <c r="H4328" s="9"/>
      <c r="I4328" s="9" t="s">
        <v>1457</v>
      </c>
      <c r="J4328" s="9" t="s">
        <v>589</v>
      </c>
      <c r="K4328" s="9"/>
      <c r="L4328" s="9"/>
      <c r="M4328" s="9" t="s">
        <v>11226</v>
      </c>
      <c r="N4328" s="9"/>
      <c r="O4328" s="9" t="s">
        <v>11227</v>
      </c>
      <c r="P4328" s="9" t="str">
        <f>HYPERLINK("https://ceds.ed.gov/cedselementdetails.aspx?termid=14885")</f>
        <v>https://ceds.ed.gov/cedselementdetails.aspx?termid=14885</v>
      </c>
      <c r="Q4328" s="9" t="str">
        <f>HYPERLINK("https://ceds.ed.gov/elementComment.aspx?elementName=Facility Enrollment Capacity &amp;elementID=14885", "Click here to submit comment")</f>
        <v>Click here to submit comment</v>
      </c>
    </row>
    <row r="4329" spans="1:17" ht="120" x14ac:dyDescent="0.25">
      <c r="A4329" s="9" t="s">
        <v>11941</v>
      </c>
      <c r="B4329" s="9" t="s">
        <v>6788</v>
      </c>
      <c r="C4329" s="9" t="s">
        <v>11946</v>
      </c>
      <c r="D4329" s="9" t="s">
        <v>6746</v>
      </c>
      <c r="E4329" s="9" t="s">
        <v>10565</v>
      </c>
      <c r="F4329" s="9" t="s">
        <v>10566</v>
      </c>
      <c r="G4329" s="10" t="s">
        <v>11794</v>
      </c>
      <c r="H4329" s="9"/>
      <c r="I4329" s="9" t="s">
        <v>1457</v>
      </c>
      <c r="J4329" s="9"/>
      <c r="K4329" s="9"/>
      <c r="L4329" s="9"/>
      <c r="M4329" s="9" t="s">
        <v>10568</v>
      </c>
      <c r="N4329" s="9"/>
      <c r="O4329" s="9" t="s">
        <v>10569</v>
      </c>
      <c r="P4329" s="9" t="str">
        <f>HYPERLINK("https://ceds.ed.gov/cedselementdetails.aspx?termid=14846")</f>
        <v>https://ceds.ed.gov/cedselementdetails.aspx?termid=14846</v>
      </c>
      <c r="Q4329" s="9" t="str">
        <f>HYPERLINK("https://ceds.ed.gov/elementComment.aspx?elementName=Building Charter School Realty Access Type &amp;elementID=14846", "Click here to submit comment")</f>
        <v>Click here to submit comment</v>
      </c>
    </row>
    <row r="4330" spans="1:17" ht="90" x14ac:dyDescent="0.25">
      <c r="A4330" s="9" t="s">
        <v>11941</v>
      </c>
      <c r="B4330" s="9" t="s">
        <v>6788</v>
      </c>
      <c r="C4330" s="9" t="s">
        <v>11946</v>
      </c>
      <c r="D4330" s="9" t="s">
        <v>6746</v>
      </c>
      <c r="E4330" s="9" t="s">
        <v>10573</v>
      </c>
      <c r="F4330" s="9" t="s">
        <v>7582</v>
      </c>
      <c r="G4330" s="10" t="s">
        <v>11796</v>
      </c>
      <c r="H4330" s="9"/>
      <c r="I4330" s="9" t="s">
        <v>1457</v>
      </c>
      <c r="J4330" s="9"/>
      <c r="K4330" s="9"/>
      <c r="L4330" s="9"/>
      <c r="M4330" s="9" t="s">
        <v>10574</v>
      </c>
      <c r="N4330" s="9"/>
      <c r="O4330" s="9" t="s">
        <v>10575</v>
      </c>
      <c r="P4330" s="9" t="str">
        <f>HYPERLINK("https://ceds.ed.gov/cedselementdetails.aspx?termid=14847")</f>
        <v>https://ceds.ed.gov/cedselementdetails.aspx?termid=14847</v>
      </c>
      <c r="Q4330" s="9" t="str">
        <f>HYPERLINK("https://ceds.ed.gov/elementComment.aspx?elementName=Building Cleaning Standard Type &amp;elementID=14847", "Click here to submit comment")</f>
        <v>Click here to submit comment</v>
      </c>
    </row>
    <row r="4331" spans="1:17" ht="45" x14ac:dyDescent="0.25">
      <c r="A4331" s="9" t="s">
        <v>11941</v>
      </c>
      <c r="B4331" s="9" t="s">
        <v>6788</v>
      </c>
      <c r="C4331" s="9" t="s">
        <v>11946</v>
      </c>
      <c r="D4331" s="9" t="s">
        <v>6746</v>
      </c>
      <c r="E4331" s="9" t="s">
        <v>10586</v>
      </c>
      <c r="F4331" s="9" t="s">
        <v>7745</v>
      </c>
      <c r="G4331" s="9" t="s">
        <v>12</v>
      </c>
      <c r="H4331" s="9"/>
      <c r="I4331" s="9" t="s">
        <v>1457</v>
      </c>
      <c r="J4331" s="9" t="s">
        <v>73</v>
      </c>
      <c r="K4331" s="9"/>
      <c r="L4331" s="9"/>
      <c r="M4331" s="9" t="s">
        <v>10587</v>
      </c>
      <c r="N4331" s="9"/>
      <c r="O4331" s="9" t="s">
        <v>12171</v>
      </c>
      <c r="P4331" s="9" t="str">
        <f>HYPERLINK("https://ceds.ed.gov/cedselementdetails.aspx?termid=14861")</f>
        <v>https://ceds.ed.gov/cedselementdetails.aspx?termid=14861</v>
      </c>
      <c r="Q4331" s="9" t="str">
        <f>HYPERLINK("https://ceds.ed.gov/elementComment.aspx?elementName=Building Date of Certificate of Occupancy &amp;elementID=14861", "Click here to submit comment")</f>
        <v>Click here to submit comment</v>
      </c>
    </row>
    <row r="4332" spans="1:17" ht="165" x14ac:dyDescent="0.25">
      <c r="A4332" s="9" t="s">
        <v>11941</v>
      </c>
      <c r="B4332" s="9" t="s">
        <v>6788</v>
      </c>
      <c r="C4332" s="9" t="s">
        <v>11946</v>
      </c>
      <c r="D4332" s="9" t="s">
        <v>6746</v>
      </c>
      <c r="E4332" s="9" t="s">
        <v>10593</v>
      </c>
      <c r="F4332" s="9" t="s">
        <v>7958</v>
      </c>
      <c r="G4332" s="10" t="s">
        <v>11802</v>
      </c>
      <c r="H4332" s="9"/>
      <c r="I4332" s="9" t="s">
        <v>1457</v>
      </c>
      <c r="J4332" s="9"/>
      <c r="K4332" s="9"/>
      <c r="L4332" s="9"/>
      <c r="M4332" s="9" t="s">
        <v>10594</v>
      </c>
      <c r="N4332" s="9"/>
      <c r="O4332" s="9" t="s">
        <v>10595</v>
      </c>
      <c r="P4332" s="9" t="str">
        <f>HYPERLINK("https://ceds.ed.gov/cedselementdetails.aspx?termid=14849")</f>
        <v>https://ceds.ed.gov/cedselementdetails.aspx?termid=14849</v>
      </c>
      <c r="Q4332" s="9" t="str">
        <f>HYPERLINK("https://ceds.ed.gov/elementComment.aspx?elementName=Building Energy Conservation Measure Type &amp;elementID=14849", "Click here to submit comment")</f>
        <v>Click here to submit comment</v>
      </c>
    </row>
    <row r="4333" spans="1:17" ht="75" x14ac:dyDescent="0.25">
      <c r="A4333" s="9" t="s">
        <v>11941</v>
      </c>
      <c r="B4333" s="9" t="s">
        <v>6788</v>
      </c>
      <c r="C4333" s="9" t="s">
        <v>11946</v>
      </c>
      <c r="D4333" s="9" t="s">
        <v>6746</v>
      </c>
      <c r="E4333" s="9" t="s">
        <v>10596</v>
      </c>
      <c r="F4333" s="9" t="s">
        <v>7959</v>
      </c>
      <c r="G4333" s="9" t="s">
        <v>12</v>
      </c>
      <c r="H4333" s="9"/>
      <c r="I4333" s="9" t="s">
        <v>1457</v>
      </c>
      <c r="J4333" s="9" t="s">
        <v>92</v>
      </c>
      <c r="K4333" s="9"/>
      <c r="L4333" s="9"/>
      <c r="M4333" s="9" t="s">
        <v>10597</v>
      </c>
      <c r="N4333" s="9"/>
      <c r="O4333" s="9" t="s">
        <v>10598</v>
      </c>
      <c r="P4333" s="9" t="str">
        <f>HYPERLINK("https://ceds.ed.gov/cedselementdetails.aspx?termid=14850")</f>
        <v>https://ceds.ed.gov/cedselementdetails.aspx?termid=14850</v>
      </c>
      <c r="Q4333" s="9" t="str">
        <f>HYPERLINK("https://ceds.ed.gov/elementComment.aspx?elementName=Building Energy Service Company Name &amp;elementID=14850", "Click here to submit comment")</f>
        <v>Click here to submit comment</v>
      </c>
    </row>
    <row r="4334" spans="1:17" ht="180" x14ac:dyDescent="0.25">
      <c r="A4334" s="9" t="s">
        <v>11941</v>
      </c>
      <c r="B4334" s="9" t="s">
        <v>6788</v>
      </c>
      <c r="C4334" s="9" t="s">
        <v>11946</v>
      </c>
      <c r="D4334" s="9" t="s">
        <v>6746</v>
      </c>
      <c r="E4334" s="9" t="s">
        <v>10599</v>
      </c>
      <c r="F4334" s="9" t="s">
        <v>7960</v>
      </c>
      <c r="G4334" s="10" t="s">
        <v>11803</v>
      </c>
      <c r="H4334" s="9"/>
      <c r="I4334" s="9" t="s">
        <v>1457</v>
      </c>
      <c r="J4334" s="9"/>
      <c r="K4334" s="9"/>
      <c r="L4334" s="9"/>
      <c r="M4334" s="9" t="s">
        <v>10600</v>
      </c>
      <c r="N4334" s="9"/>
      <c r="O4334" s="9" t="s">
        <v>10601</v>
      </c>
      <c r="P4334" s="9" t="str">
        <f>HYPERLINK("https://ceds.ed.gov/cedselementdetails.aspx?termid=14851")</f>
        <v>https://ceds.ed.gov/cedselementdetails.aspx?termid=14851</v>
      </c>
      <c r="Q4334" s="9" t="str">
        <f>HYPERLINK("https://ceds.ed.gov/elementComment.aspx?elementName=Building Energy Source Type &amp;elementID=14851", "Click here to submit comment")</f>
        <v>Click here to submit comment</v>
      </c>
    </row>
    <row r="4335" spans="1:17" ht="345" x14ac:dyDescent="0.25">
      <c r="A4335" s="9" t="s">
        <v>11941</v>
      </c>
      <c r="B4335" s="9" t="s">
        <v>6788</v>
      </c>
      <c r="C4335" s="9" t="s">
        <v>11946</v>
      </c>
      <c r="D4335" s="9" t="s">
        <v>6746</v>
      </c>
      <c r="E4335" s="9" t="s">
        <v>8041</v>
      </c>
      <c r="F4335" s="9" t="s">
        <v>8042</v>
      </c>
      <c r="G4335" s="10" t="s">
        <v>11849</v>
      </c>
      <c r="H4335" s="9"/>
      <c r="I4335" s="9" t="s">
        <v>1457</v>
      </c>
      <c r="J4335" s="9"/>
      <c r="K4335" s="9"/>
      <c r="L4335" s="9"/>
      <c r="M4335" s="9" t="s">
        <v>11158</v>
      </c>
      <c r="N4335" s="9"/>
      <c r="O4335" s="9" t="s">
        <v>11159</v>
      </c>
      <c r="P4335" s="9" t="str">
        <f>HYPERLINK("https://ceds.ed.gov/cedselementdetails.aspx?termid=14852")</f>
        <v>https://ceds.ed.gov/cedselementdetails.aspx?termid=14852</v>
      </c>
      <c r="Q4335" s="9" t="str">
        <f>HYPERLINK("https://ceds.ed.gov/elementComment.aspx?elementName=Facilities Management Emergency Type &amp;elementID=14852", "Click here to submit comment")</f>
        <v>Click here to submit comment</v>
      </c>
    </row>
    <row r="4336" spans="1:17" ht="60" x14ac:dyDescent="0.25">
      <c r="A4336" s="9" t="s">
        <v>11941</v>
      </c>
      <c r="B4336" s="9" t="s">
        <v>6788</v>
      </c>
      <c r="C4336" s="9" t="s">
        <v>11946</v>
      </c>
      <c r="D4336" s="9" t="s">
        <v>6746</v>
      </c>
      <c r="E4336" s="9" t="s">
        <v>11160</v>
      </c>
      <c r="F4336" s="9" t="s">
        <v>8466</v>
      </c>
      <c r="G4336" s="10" t="s">
        <v>11850</v>
      </c>
      <c r="H4336" s="9"/>
      <c r="I4336" s="9" t="s">
        <v>1457</v>
      </c>
      <c r="J4336" s="9"/>
      <c r="K4336" s="9"/>
      <c r="L4336" s="9"/>
      <c r="M4336" s="9" t="s">
        <v>11161</v>
      </c>
      <c r="N4336" s="9"/>
      <c r="O4336" s="9" t="s">
        <v>11162</v>
      </c>
      <c r="P4336" s="9" t="str">
        <f>HYPERLINK("https://ceds.ed.gov/cedselementdetails.aspx?termid=14866")</f>
        <v>https://ceds.ed.gov/cedselementdetails.aspx?termid=14866</v>
      </c>
      <c r="Q4336" s="9" t="str">
        <f>HYPERLINK("https://ceds.ed.gov/elementComment.aspx?elementName=Facilities Mandate Authority Type &amp;elementID=14866", "Click here to submit comment")</f>
        <v>Click here to submit comment</v>
      </c>
    </row>
    <row r="4337" spans="1:17" ht="45" x14ac:dyDescent="0.25">
      <c r="A4337" s="9" t="s">
        <v>11941</v>
      </c>
      <c r="B4337" s="9" t="s">
        <v>6788</v>
      </c>
      <c r="C4337" s="9" t="s">
        <v>11946</v>
      </c>
      <c r="D4337" s="9" t="s">
        <v>6746</v>
      </c>
      <c r="E4337" s="9" t="s">
        <v>11163</v>
      </c>
      <c r="F4337" s="9" t="s">
        <v>8048</v>
      </c>
      <c r="G4337" s="9" t="s">
        <v>12</v>
      </c>
      <c r="H4337" s="9"/>
      <c r="I4337" s="9" t="s">
        <v>1457</v>
      </c>
      <c r="J4337" s="9" t="s">
        <v>22</v>
      </c>
      <c r="K4337" s="9"/>
      <c r="L4337" s="9"/>
      <c r="M4337" s="9" t="s">
        <v>11164</v>
      </c>
      <c r="N4337" s="9"/>
      <c r="O4337" s="9" t="s">
        <v>11165</v>
      </c>
      <c r="P4337" s="9" t="str">
        <f>HYPERLINK("https://ceds.ed.gov/cedselementdetails.aspx?termid=14863")</f>
        <v>https://ceds.ed.gov/cedselementdetails.aspx?termid=14863</v>
      </c>
      <c r="Q4337" s="9" t="str">
        <f>HYPERLINK("https://ceds.ed.gov/elementComment.aspx?elementName=Facilities Plan Description &amp;elementID=14863", "Click here to submit comment")</f>
        <v>Click here to submit comment</v>
      </c>
    </row>
    <row r="4338" spans="1:17" ht="150" x14ac:dyDescent="0.25">
      <c r="A4338" s="9" t="s">
        <v>11941</v>
      </c>
      <c r="B4338" s="9" t="s">
        <v>6788</v>
      </c>
      <c r="C4338" s="9" t="s">
        <v>11946</v>
      </c>
      <c r="D4338" s="9" t="s">
        <v>6746</v>
      </c>
      <c r="E4338" s="9" t="s">
        <v>8051</v>
      </c>
      <c r="F4338" s="9" t="s">
        <v>8052</v>
      </c>
      <c r="G4338" s="10" t="s">
        <v>11851</v>
      </c>
      <c r="H4338" s="9"/>
      <c r="I4338" s="9" t="s">
        <v>1457</v>
      </c>
      <c r="J4338" s="9"/>
      <c r="K4338" s="9"/>
      <c r="L4338" s="9"/>
      <c r="M4338" s="9" t="s">
        <v>11166</v>
      </c>
      <c r="N4338" s="9"/>
      <c r="O4338" s="9" t="s">
        <v>11167</v>
      </c>
      <c r="P4338" s="9" t="str">
        <f>HYPERLINK("https://ceds.ed.gov/cedselementdetails.aspx?termid=14864")</f>
        <v>https://ceds.ed.gov/cedselementdetails.aspx?termid=14864</v>
      </c>
      <c r="Q4338" s="9" t="str">
        <f>HYPERLINK("https://ceds.ed.gov/elementComment.aspx?elementName=Facilities Plan Type &amp;elementID=14864", "Click here to submit comment")</f>
        <v>Click here to submit comment</v>
      </c>
    </row>
    <row r="4339" spans="1:17" ht="60" x14ac:dyDescent="0.25">
      <c r="A4339" s="9" t="s">
        <v>11941</v>
      </c>
      <c r="B4339" s="9" t="s">
        <v>6788</v>
      </c>
      <c r="C4339" s="9" t="s">
        <v>11946</v>
      </c>
      <c r="D4339" s="9" t="s">
        <v>6746</v>
      </c>
      <c r="E4339" s="9" t="s">
        <v>11177</v>
      </c>
      <c r="F4339" s="9" t="s">
        <v>11178</v>
      </c>
      <c r="G4339" s="9" t="s">
        <v>12</v>
      </c>
      <c r="H4339" s="9"/>
      <c r="I4339" s="9" t="s">
        <v>1457</v>
      </c>
      <c r="J4339" s="9" t="s">
        <v>73</v>
      </c>
      <c r="K4339" s="9"/>
      <c r="L4339" s="9"/>
      <c r="M4339" s="9" t="s">
        <v>11179</v>
      </c>
      <c r="N4339" s="9"/>
      <c r="O4339" s="9" t="s">
        <v>11180</v>
      </c>
      <c r="P4339" s="9" t="str">
        <f>HYPERLINK("https://ceds.ed.gov/cedselementdetails.aspx?termid=14862")</f>
        <v>https://ceds.ed.gov/cedselementdetails.aspx?termid=14862</v>
      </c>
      <c r="Q4339" s="9" t="str">
        <f>HYPERLINK("https://ceds.ed.gov/elementComment.aspx?elementName=Facility Audit Date &amp;elementID=14862", "Click here to submit comment")</f>
        <v>Click here to submit comment</v>
      </c>
    </row>
    <row r="4340" spans="1:17" ht="150" x14ac:dyDescent="0.25">
      <c r="A4340" s="9" t="s">
        <v>11941</v>
      </c>
      <c r="B4340" s="9" t="s">
        <v>6788</v>
      </c>
      <c r="C4340" s="9" t="s">
        <v>11946</v>
      </c>
      <c r="D4340" s="9" t="s">
        <v>6746</v>
      </c>
      <c r="E4340" s="9" t="s">
        <v>11181</v>
      </c>
      <c r="F4340" s="9" t="s">
        <v>7377</v>
      </c>
      <c r="G4340" s="10" t="s">
        <v>11853</v>
      </c>
      <c r="H4340" s="9"/>
      <c r="I4340" s="9" t="s">
        <v>1457</v>
      </c>
      <c r="J4340" s="9"/>
      <c r="K4340" s="9"/>
      <c r="L4340" s="9"/>
      <c r="M4340" s="9" t="s">
        <v>11182</v>
      </c>
      <c r="N4340" s="9"/>
      <c r="O4340" s="9" t="s">
        <v>11183</v>
      </c>
      <c r="P4340" s="9" t="str">
        <f>HYPERLINK("https://ceds.ed.gov/cedselementdetails.aspx?termid=14845")</f>
        <v>https://ceds.ed.gov/cedselementdetails.aspx?termid=14845</v>
      </c>
      <c r="Q4340" s="9" t="str">
        <f>HYPERLINK("https://ceds.ed.gov/elementComment.aspx?elementName=Facility Audit Type &amp;elementID=14845", "Click here to submit comment")</f>
        <v>Click here to submit comment</v>
      </c>
    </row>
    <row r="4341" spans="1:17" ht="90" x14ac:dyDescent="0.25">
      <c r="A4341" s="9" t="s">
        <v>11941</v>
      </c>
      <c r="B4341" s="9" t="s">
        <v>6788</v>
      </c>
      <c r="C4341" s="9" t="s">
        <v>11946</v>
      </c>
      <c r="D4341" s="9" t="s">
        <v>6746</v>
      </c>
      <c r="E4341" s="9" t="s">
        <v>8053</v>
      </c>
      <c r="F4341" s="9" t="s">
        <v>8054</v>
      </c>
      <c r="G4341" s="10" t="s">
        <v>11855</v>
      </c>
      <c r="H4341" s="9"/>
      <c r="I4341" s="9" t="s">
        <v>1457</v>
      </c>
      <c r="J4341" s="9"/>
      <c r="K4341" s="9"/>
      <c r="L4341" s="9"/>
      <c r="M4341" s="9" t="s">
        <v>11188</v>
      </c>
      <c r="N4341" s="9"/>
      <c r="O4341" s="9" t="s">
        <v>11189</v>
      </c>
      <c r="P4341" s="9" t="str">
        <f>HYPERLINK("https://ceds.ed.gov/cedselementdetails.aspx?termid=14853")</f>
        <v>https://ceds.ed.gov/cedselementdetails.aspx?termid=14853</v>
      </c>
      <c r="Q4341" s="9" t="str">
        <f>HYPERLINK("https://ceds.ed.gov/elementComment.aspx?elementName=Facility Capital Program Management Type &amp;elementID=14853", "Click here to submit comment")</f>
        <v>Click here to submit comment</v>
      </c>
    </row>
    <row r="4342" spans="1:17" ht="135" x14ac:dyDescent="0.25">
      <c r="A4342" s="9" t="s">
        <v>11941</v>
      </c>
      <c r="B4342" s="9" t="s">
        <v>6788</v>
      </c>
      <c r="C4342" s="9" t="s">
        <v>11946</v>
      </c>
      <c r="D4342" s="9" t="s">
        <v>6746</v>
      </c>
      <c r="E4342" s="9" t="s">
        <v>11194</v>
      </c>
      <c r="F4342" s="9" t="s">
        <v>7605</v>
      </c>
      <c r="G4342" s="10" t="s">
        <v>11856</v>
      </c>
      <c r="H4342" s="9"/>
      <c r="I4342" s="9" t="s">
        <v>1457</v>
      </c>
      <c r="J4342" s="9"/>
      <c r="K4342" s="9"/>
      <c r="L4342" s="9"/>
      <c r="M4342" s="9" t="s">
        <v>11195</v>
      </c>
      <c r="N4342" s="9"/>
      <c r="O4342" s="9" t="s">
        <v>11196</v>
      </c>
      <c r="P4342" s="9" t="str">
        <f>HYPERLINK("https://ceds.ed.gov/cedselementdetails.aspx?termid=14848")</f>
        <v>https://ceds.ed.gov/cedselementdetails.aspx?termid=14848</v>
      </c>
      <c r="Q4342" s="9" t="str">
        <f>HYPERLINK("https://ceds.ed.gov/elementComment.aspx?elementName=Facility Compliance Agency Type &amp;elementID=14848", "Click here to submit comment")</f>
        <v>Click here to submit comment</v>
      </c>
    </row>
    <row r="4343" spans="1:17" ht="409.5" x14ac:dyDescent="0.25">
      <c r="A4343" s="9" t="s">
        <v>11941</v>
      </c>
      <c r="B4343" s="9" t="s">
        <v>6788</v>
      </c>
      <c r="C4343" s="9" t="s">
        <v>11946</v>
      </c>
      <c r="D4343" s="9" t="s">
        <v>6746</v>
      </c>
      <c r="E4343" s="9" t="s">
        <v>11245</v>
      </c>
      <c r="F4343" s="9" t="s">
        <v>8214</v>
      </c>
      <c r="G4343" s="10" t="s">
        <v>11863</v>
      </c>
      <c r="H4343" s="9"/>
      <c r="I4343" s="9" t="s">
        <v>1457</v>
      </c>
      <c r="J4343" s="9"/>
      <c r="K4343" s="9"/>
      <c r="L4343" s="9"/>
      <c r="M4343" s="9" t="s">
        <v>11246</v>
      </c>
      <c r="N4343" s="9"/>
      <c r="O4343" s="9" t="s">
        <v>12197</v>
      </c>
      <c r="P4343" s="9" t="str">
        <f>HYPERLINK("https://ceds.ed.gov/cedselementdetails.aspx?termid=14855")</f>
        <v>https://ceds.ed.gov/cedselementdetails.aspx?termid=14855</v>
      </c>
      <c r="Q4343" s="9" t="str">
        <f>HYPERLINK("https://ceds.ed.gov/elementComment.aspx?elementName=Facility Hazardous Materials or Condition Type &amp;elementID=14855", "Click here to submit comment")</f>
        <v>Click here to submit comment</v>
      </c>
    </row>
    <row r="4344" spans="1:17" ht="90" x14ac:dyDescent="0.25">
      <c r="A4344" s="9" t="s">
        <v>11941</v>
      </c>
      <c r="B4344" s="9" t="s">
        <v>6788</v>
      </c>
      <c r="C4344" s="9" t="s">
        <v>11946</v>
      </c>
      <c r="D4344" s="9" t="s">
        <v>6746</v>
      </c>
      <c r="E4344" s="9" t="s">
        <v>11253</v>
      </c>
      <c r="F4344" s="9" t="s">
        <v>8361</v>
      </c>
      <c r="G4344" s="10" t="s">
        <v>11864</v>
      </c>
      <c r="H4344" s="9"/>
      <c r="I4344" s="9" t="s">
        <v>1457</v>
      </c>
      <c r="J4344" s="9"/>
      <c r="K4344" s="9"/>
      <c r="L4344" s="9"/>
      <c r="M4344" s="9" t="s">
        <v>11254</v>
      </c>
      <c r="N4344" s="9"/>
      <c r="O4344" s="9" t="s">
        <v>11255</v>
      </c>
      <c r="P4344" s="9" t="str">
        <f>HYPERLINK("https://ceds.ed.gov/cedselementdetails.aspx?termid=14856")</f>
        <v>https://ceds.ed.gov/cedselementdetails.aspx?termid=14856</v>
      </c>
      <c r="Q4344" s="9" t="str">
        <f>HYPERLINK("https://ceds.ed.gov/elementComment.aspx?elementName=Facility Joint Development Type &amp;elementID=14856", "Click here to submit comment")</f>
        <v>Click here to submit comment</v>
      </c>
    </row>
    <row r="4345" spans="1:17" ht="90" x14ac:dyDescent="0.25">
      <c r="A4345" s="9" t="s">
        <v>11941</v>
      </c>
      <c r="B4345" s="9" t="s">
        <v>6788</v>
      </c>
      <c r="C4345" s="9" t="s">
        <v>11946</v>
      </c>
      <c r="D4345" s="9" t="s">
        <v>6746</v>
      </c>
      <c r="E4345" s="9" t="s">
        <v>11268</v>
      </c>
      <c r="F4345" s="9" t="s">
        <v>8461</v>
      </c>
      <c r="G4345" s="10" t="s">
        <v>11867</v>
      </c>
      <c r="H4345" s="9"/>
      <c r="I4345" s="9" t="s">
        <v>1457</v>
      </c>
      <c r="J4345" s="9"/>
      <c r="K4345" s="9"/>
      <c r="L4345" s="9"/>
      <c r="M4345" s="9" t="s">
        <v>11269</v>
      </c>
      <c r="N4345" s="9"/>
      <c r="O4345" s="9" t="s">
        <v>11270</v>
      </c>
      <c r="P4345" s="9" t="str">
        <f>HYPERLINK("https://ceds.ed.gov/cedselementdetails.aspx?termid=14857")</f>
        <v>https://ceds.ed.gov/cedselementdetails.aspx?termid=14857</v>
      </c>
      <c r="Q4345" s="9" t="str">
        <f>HYPERLINK("https://ceds.ed.gov/elementComment.aspx?elementName=Facility Maintenance Standard Type &amp;elementID=14857", "Click here to submit comment")</f>
        <v>Click here to submit comment</v>
      </c>
    </row>
    <row r="4346" spans="1:17" ht="120" x14ac:dyDescent="0.25">
      <c r="A4346" s="9" t="s">
        <v>11941</v>
      </c>
      <c r="B4346" s="9" t="s">
        <v>6788</v>
      </c>
      <c r="C4346" s="9" t="s">
        <v>11946</v>
      </c>
      <c r="D4346" s="9" t="s">
        <v>6746</v>
      </c>
      <c r="E4346" s="9" t="s">
        <v>11280</v>
      </c>
      <c r="F4346" s="9" t="s">
        <v>8610</v>
      </c>
      <c r="G4346" s="10" t="s">
        <v>11870</v>
      </c>
      <c r="H4346" s="9"/>
      <c r="I4346" s="9" t="s">
        <v>1457</v>
      </c>
      <c r="J4346" s="9"/>
      <c r="K4346" s="9"/>
      <c r="L4346" s="9"/>
      <c r="M4346" s="9" t="s">
        <v>11281</v>
      </c>
      <c r="N4346" s="9"/>
      <c r="O4346" s="9" t="s">
        <v>11282</v>
      </c>
      <c r="P4346" s="9" t="str">
        <f>HYPERLINK("https://ceds.ed.gov/cedselementdetails.aspx?termid=14858")</f>
        <v>https://ceds.ed.gov/cedselementdetails.aspx?termid=14858</v>
      </c>
      <c r="Q4346" s="9" t="str">
        <f>HYPERLINK("https://ceds.ed.gov/elementComment.aspx?elementName=Facility Naturally Occurring Hazard Type &amp;elementID=14858", "Click here to submit comment")</f>
        <v>Click here to submit comment</v>
      </c>
    </row>
    <row r="4347" spans="1:17" ht="120" x14ac:dyDescent="0.25">
      <c r="A4347" s="9" t="s">
        <v>11941</v>
      </c>
      <c r="B4347" s="9" t="s">
        <v>6788</v>
      </c>
      <c r="C4347" s="9" t="s">
        <v>11946</v>
      </c>
      <c r="D4347" s="9" t="s">
        <v>6746</v>
      </c>
      <c r="E4347" s="9" t="s">
        <v>8057</v>
      </c>
      <c r="F4347" s="9" t="s">
        <v>8058</v>
      </c>
      <c r="G4347" s="10" t="s">
        <v>11871</v>
      </c>
      <c r="H4347" s="9"/>
      <c r="I4347" s="9" t="s">
        <v>1457</v>
      </c>
      <c r="J4347" s="9"/>
      <c r="K4347" s="9"/>
      <c r="L4347" s="9"/>
      <c r="M4347" s="9" t="s">
        <v>11287</v>
      </c>
      <c r="N4347" s="9"/>
      <c r="O4347" s="9" t="s">
        <v>11288</v>
      </c>
      <c r="P4347" s="9" t="str">
        <f>HYPERLINK("https://ceds.ed.gov/cedselementdetails.aspx?termid=14854")</f>
        <v>https://ceds.ed.gov/cedselementdetails.aspx?termid=14854</v>
      </c>
      <c r="Q4347" s="9" t="str">
        <f>HYPERLINK("https://ceds.ed.gov/elementComment.aspx?elementName=Facility Operations Management Type &amp;elementID=14854", "Click here to submit comment")</f>
        <v>Click here to submit comment</v>
      </c>
    </row>
    <row r="4348" spans="1:17" ht="150" x14ac:dyDescent="0.25">
      <c r="A4348" s="9" t="s">
        <v>11941</v>
      </c>
      <c r="B4348" s="9" t="s">
        <v>6788</v>
      </c>
      <c r="C4348" s="9" t="s">
        <v>11946</v>
      </c>
      <c r="D4348" s="9" t="s">
        <v>6746</v>
      </c>
      <c r="E4348" s="9" t="s">
        <v>11308</v>
      </c>
      <c r="F4348" s="9" t="s">
        <v>8061</v>
      </c>
      <c r="G4348" s="10" t="s">
        <v>11874</v>
      </c>
      <c r="H4348" s="9"/>
      <c r="I4348" s="9" t="s">
        <v>1457</v>
      </c>
      <c r="J4348" s="9"/>
      <c r="K4348" s="9"/>
      <c r="L4348" s="9"/>
      <c r="M4348" s="9" t="s">
        <v>11309</v>
      </c>
      <c r="N4348" s="9"/>
      <c r="O4348" s="9" t="s">
        <v>11310</v>
      </c>
      <c r="P4348" s="9" t="str">
        <f>HYPERLINK("https://ceds.ed.gov/cedselementdetails.aspx?termid=14865")</f>
        <v>https://ceds.ed.gov/cedselementdetails.aspx?termid=14865</v>
      </c>
      <c r="Q4348" s="9" t="str">
        <f>HYPERLINK("https://ceds.ed.gov/elementComment.aspx?elementName=Facility Standard Type &amp;elementID=14865", "Click here to submit comment")</f>
        <v>Click here to submit comment</v>
      </c>
    </row>
    <row r="4349" spans="1:17" ht="45" x14ac:dyDescent="0.25">
      <c r="A4349" s="9" t="s">
        <v>11941</v>
      </c>
      <c r="B4349" s="9" t="s">
        <v>6788</v>
      </c>
      <c r="C4349" s="9" t="s">
        <v>11946</v>
      </c>
      <c r="D4349" s="9" t="s">
        <v>6746</v>
      </c>
      <c r="E4349" s="9" t="s">
        <v>11320</v>
      </c>
      <c r="F4349" s="9" t="s">
        <v>9492</v>
      </c>
      <c r="G4349" s="10" t="s">
        <v>11877</v>
      </c>
      <c r="H4349" s="9"/>
      <c r="I4349" s="9" t="s">
        <v>1457</v>
      </c>
      <c r="J4349" s="9"/>
      <c r="K4349" s="9"/>
      <c r="L4349" s="9"/>
      <c r="M4349" s="9" t="s">
        <v>11321</v>
      </c>
      <c r="N4349" s="9"/>
      <c r="O4349" s="9" t="s">
        <v>11322</v>
      </c>
      <c r="P4349" s="9" t="str">
        <f>HYPERLINK("https://ceds.ed.gov/cedselementdetails.aspx?termid=14859")</f>
        <v>https://ceds.ed.gov/cedselementdetails.aspx?termid=14859</v>
      </c>
      <c r="Q4349" s="9" t="str">
        <f>HYPERLINK("https://ceds.ed.gov/elementComment.aspx?elementName=Facility Utility Provider Type &amp;elementID=14859", "Click here to submit comment")</f>
        <v>Click here to submit comment</v>
      </c>
    </row>
    <row r="4350" spans="1:17" ht="165" x14ac:dyDescent="0.25">
      <c r="A4350" s="9" t="s">
        <v>11941</v>
      </c>
      <c r="B4350" s="9" t="s">
        <v>6788</v>
      </c>
      <c r="C4350" s="9" t="s">
        <v>11946</v>
      </c>
      <c r="D4350" s="9" t="s">
        <v>6746</v>
      </c>
      <c r="E4350" s="9" t="s">
        <v>11323</v>
      </c>
      <c r="F4350" s="9" t="s">
        <v>9493</v>
      </c>
      <c r="G4350" s="10" t="s">
        <v>11878</v>
      </c>
      <c r="H4350" s="9"/>
      <c r="I4350" s="9" t="s">
        <v>1457</v>
      </c>
      <c r="J4350" s="9"/>
      <c r="K4350" s="9"/>
      <c r="L4350" s="9"/>
      <c r="M4350" s="9" t="s">
        <v>11324</v>
      </c>
      <c r="N4350" s="9"/>
      <c r="O4350" s="9" t="s">
        <v>11325</v>
      </c>
      <c r="P4350" s="9" t="str">
        <f>HYPERLINK("https://ceds.ed.gov/cedselementdetails.aspx?termid=14860")</f>
        <v>https://ceds.ed.gov/cedselementdetails.aspx?termid=14860</v>
      </c>
      <c r="Q4350" s="9" t="str">
        <f>HYPERLINK("https://ceds.ed.gov/elementComment.aspx?elementName=Facility Utility Type &amp;elementID=14860", "Click here to submit comment")</f>
        <v>Click here to submit comment</v>
      </c>
    </row>
    <row r="4351" spans="1:17" ht="60" x14ac:dyDescent="0.25">
      <c r="A4351" s="9" t="s">
        <v>11941</v>
      </c>
      <c r="B4351" s="9" t="s">
        <v>6788</v>
      </c>
      <c r="C4351" s="9" t="s">
        <v>11947</v>
      </c>
      <c r="D4351" s="9" t="s">
        <v>6746</v>
      </c>
      <c r="E4351" s="9" t="s">
        <v>11236</v>
      </c>
      <c r="F4351" s="9" t="s">
        <v>8117</v>
      </c>
      <c r="G4351" s="10" t="s">
        <v>11861</v>
      </c>
      <c r="H4351" s="9"/>
      <c r="I4351" s="9" t="s">
        <v>1457</v>
      </c>
      <c r="J4351" s="9"/>
      <c r="K4351" s="9"/>
      <c r="L4351" s="9"/>
      <c r="M4351" s="9" t="s">
        <v>11238</v>
      </c>
      <c r="N4351" s="9"/>
      <c r="O4351" s="9" t="s">
        <v>11239</v>
      </c>
      <c r="P4351" s="9" t="str">
        <f>HYPERLINK("https://ceds.ed.gov/cedselementdetails.aspx?termid=14867")</f>
        <v>https://ceds.ed.gov/cedselementdetails.aspx?termid=14867</v>
      </c>
      <c r="Q4351" s="9" t="str">
        <f>HYPERLINK("https://ceds.ed.gov/elementComment.aspx?elementName=Facility Financing Fee Type &amp;elementID=14867", "Click here to submit comment")</f>
        <v>Click here to submit comment</v>
      </c>
    </row>
    <row r="4352" spans="1:17" ht="45" x14ac:dyDescent="0.25">
      <c r="A4352" s="9" t="s">
        <v>11941</v>
      </c>
      <c r="B4352" s="9" t="s">
        <v>6788</v>
      </c>
      <c r="C4352" s="9" t="s">
        <v>11947</v>
      </c>
      <c r="D4352" s="9" t="s">
        <v>6746</v>
      </c>
      <c r="E4352" s="9" t="s">
        <v>11256</v>
      </c>
      <c r="F4352" s="9" t="s">
        <v>8390</v>
      </c>
      <c r="G4352" s="9" t="s">
        <v>12</v>
      </c>
      <c r="H4352" s="9"/>
      <c r="I4352" s="9" t="s">
        <v>1457</v>
      </c>
      <c r="J4352" s="9" t="s">
        <v>1513</v>
      </c>
      <c r="K4352" s="9"/>
      <c r="L4352" s="9"/>
      <c r="M4352" s="9" t="s">
        <v>11257</v>
      </c>
      <c r="N4352" s="9"/>
      <c r="O4352" s="9" t="s">
        <v>11258</v>
      </c>
      <c r="P4352" s="9" t="str">
        <f>HYPERLINK("https://ceds.ed.gov/cedselementdetails.aspx?termid=14868")</f>
        <v>https://ceds.ed.gov/cedselementdetails.aspx?termid=14868</v>
      </c>
      <c r="Q4352" s="9" t="str">
        <f>HYPERLINK("https://ceds.ed.gov/elementComment.aspx?elementName=Facility Lease Amount &amp;elementID=14868", "Click here to submit comment")</f>
        <v>Click here to submit comment</v>
      </c>
    </row>
    <row r="4353" spans="1:17" ht="60" x14ac:dyDescent="0.25">
      <c r="A4353" s="9" t="s">
        <v>11941</v>
      </c>
      <c r="B4353" s="9" t="s">
        <v>6788</v>
      </c>
      <c r="C4353" s="9" t="s">
        <v>11947</v>
      </c>
      <c r="D4353" s="9" t="s">
        <v>6746</v>
      </c>
      <c r="E4353" s="9" t="s">
        <v>11259</v>
      </c>
      <c r="F4353" s="9" t="s">
        <v>11260</v>
      </c>
      <c r="G4353" s="10" t="s">
        <v>11865</v>
      </c>
      <c r="H4353" s="9"/>
      <c r="I4353" s="9" t="s">
        <v>1457</v>
      </c>
      <c r="J4353" s="9"/>
      <c r="K4353" s="9"/>
      <c r="L4353" s="9"/>
      <c r="M4353" s="9" t="s">
        <v>11261</v>
      </c>
      <c r="N4353" s="9"/>
      <c r="O4353" s="9" t="s">
        <v>11262</v>
      </c>
      <c r="P4353" s="9" t="str">
        <f>HYPERLINK("https://ceds.ed.gov/cedselementdetails.aspx?termid=14869")</f>
        <v>https://ceds.ed.gov/cedselementdetails.aspx?termid=14869</v>
      </c>
      <c r="Q4353" s="9" t="str">
        <f>HYPERLINK("https://ceds.ed.gov/elementComment.aspx?elementName=Facility Lease Amount Category &amp;elementID=14869", "Click here to submit comment")</f>
        <v>Click here to submit comment</v>
      </c>
    </row>
    <row r="4354" spans="1:17" ht="105" x14ac:dyDescent="0.25">
      <c r="A4354" s="9" t="s">
        <v>11941</v>
      </c>
      <c r="B4354" s="9" t="s">
        <v>6788</v>
      </c>
      <c r="C4354" s="9" t="s">
        <v>11947</v>
      </c>
      <c r="D4354" s="9" t="s">
        <v>6746</v>
      </c>
      <c r="E4354" s="9" t="s">
        <v>11263</v>
      </c>
      <c r="F4354" s="9" t="s">
        <v>8394</v>
      </c>
      <c r="G4354" s="10" t="s">
        <v>11866</v>
      </c>
      <c r="H4354" s="9"/>
      <c r="I4354" s="9" t="s">
        <v>1457</v>
      </c>
      <c r="J4354" s="9"/>
      <c r="K4354" s="9"/>
      <c r="L4354" s="9"/>
      <c r="M4354" s="9" t="s">
        <v>11264</v>
      </c>
      <c r="N4354" s="9"/>
      <c r="O4354" s="9" t="s">
        <v>11265</v>
      </c>
      <c r="P4354" s="9" t="str">
        <f>HYPERLINK("https://ceds.ed.gov/cedselementdetails.aspx?termid=14870")</f>
        <v>https://ceds.ed.gov/cedselementdetails.aspx?termid=14870</v>
      </c>
      <c r="Q4354" s="9" t="str">
        <f>HYPERLINK("https://ceds.ed.gov/elementComment.aspx?elementName=Facility Lease Type &amp;elementID=14870", "Click here to submit comment")</f>
        <v>Click here to submit comment</v>
      </c>
    </row>
    <row r="4355" spans="1:17" ht="60" x14ac:dyDescent="0.25">
      <c r="A4355" s="9" t="s">
        <v>11941</v>
      </c>
      <c r="B4355" s="9" t="s">
        <v>6788</v>
      </c>
      <c r="C4355" s="9" t="s">
        <v>11947</v>
      </c>
      <c r="D4355" s="9" t="s">
        <v>6746</v>
      </c>
      <c r="E4355" s="9" t="s">
        <v>11271</v>
      </c>
      <c r="F4355" s="9" t="s">
        <v>8595</v>
      </c>
      <c r="G4355" s="9" t="s">
        <v>12</v>
      </c>
      <c r="H4355" s="9"/>
      <c r="I4355" s="9" t="s">
        <v>1457</v>
      </c>
      <c r="J4355" s="9" t="s">
        <v>1513</v>
      </c>
      <c r="K4355" s="9"/>
      <c r="L4355" s="9"/>
      <c r="M4355" s="9" t="s">
        <v>11272</v>
      </c>
      <c r="N4355" s="9"/>
      <c r="O4355" s="9" t="s">
        <v>11273</v>
      </c>
      <c r="P4355" s="9" t="str">
        <f>HYPERLINK("https://ceds.ed.gov/cedselementdetails.aspx?termid=14871")</f>
        <v>https://ceds.ed.gov/cedselementdetails.aspx?termid=14871</v>
      </c>
      <c r="Q4355" s="9" t="str">
        <f>HYPERLINK("https://ceds.ed.gov/elementComment.aspx?elementName=Facility Mortgage Interest Amount &amp;elementID=14871", "Click here to submit comment")</f>
        <v>Click here to submit comment</v>
      </c>
    </row>
    <row r="4356" spans="1:17" ht="210" x14ac:dyDescent="0.25">
      <c r="A4356" s="9" t="s">
        <v>11941</v>
      </c>
      <c r="B4356" s="9" t="s">
        <v>6788</v>
      </c>
      <c r="C4356" s="9" t="s">
        <v>11947</v>
      </c>
      <c r="D4356" s="9" t="s">
        <v>6746</v>
      </c>
      <c r="E4356" s="9" t="s">
        <v>11274</v>
      </c>
      <c r="F4356" s="9" t="s">
        <v>8596</v>
      </c>
      <c r="G4356" s="10" t="s">
        <v>11868</v>
      </c>
      <c r="H4356" s="9"/>
      <c r="I4356" s="9" t="s">
        <v>1457</v>
      </c>
      <c r="J4356" s="9"/>
      <c r="K4356" s="9"/>
      <c r="L4356" s="9"/>
      <c r="M4356" s="9" t="s">
        <v>11275</v>
      </c>
      <c r="N4356" s="9"/>
      <c r="O4356" s="9" t="s">
        <v>11276</v>
      </c>
      <c r="P4356" s="9" t="str">
        <f>HYPERLINK("https://ceds.ed.gov/cedselementdetails.aspx?termid=14872")</f>
        <v>https://ceds.ed.gov/cedselementdetails.aspx?termid=14872</v>
      </c>
      <c r="Q4356" s="9" t="str">
        <f>HYPERLINK("https://ceds.ed.gov/elementComment.aspx?elementName=Facility Mortgage Interest Type &amp;elementID=14872", "Click here to submit comment")</f>
        <v>Click here to submit comment</v>
      </c>
    </row>
    <row r="4357" spans="1:17" ht="60" x14ac:dyDescent="0.25">
      <c r="A4357" s="9" t="s">
        <v>11941</v>
      </c>
      <c r="B4357" s="9" t="s">
        <v>6788</v>
      </c>
      <c r="C4357" s="9" t="s">
        <v>11947</v>
      </c>
      <c r="D4357" s="9" t="s">
        <v>6746</v>
      </c>
      <c r="E4357" s="9" t="s">
        <v>11277</v>
      </c>
      <c r="F4357" s="9" t="s">
        <v>8597</v>
      </c>
      <c r="G4357" s="10" t="s">
        <v>11869</v>
      </c>
      <c r="H4357" s="9"/>
      <c r="I4357" s="9" t="s">
        <v>1457</v>
      </c>
      <c r="J4357" s="9"/>
      <c r="K4357" s="9"/>
      <c r="L4357" s="9"/>
      <c r="M4357" s="9" t="s">
        <v>11278</v>
      </c>
      <c r="N4357" s="9"/>
      <c r="O4357" s="9" t="s">
        <v>11279</v>
      </c>
      <c r="P4357" s="9" t="str">
        <f>HYPERLINK("https://ceds.ed.gov/cedselementdetails.aspx?termid=14873")</f>
        <v>https://ceds.ed.gov/cedselementdetails.aspx?termid=14873</v>
      </c>
      <c r="Q4357" s="9" t="str">
        <f>HYPERLINK("https://ceds.ed.gov/elementComment.aspx?elementName=Facility Mortgage Type &amp;elementID=14873", "Click here to submit comment")</f>
        <v>Click here to submit comment</v>
      </c>
    </row>
    <row r="4358" spans="1:17" ht="45" x14ac:dyDescent="0.25">
      <c r="A4358" s="9" t="s">
        <v>11941</v>
      </c>
      <c r="B4358" s="9" t="s">
        <v>6788</v>
      </c>
      <c r="C4358" s="9" t="s">
        <v>11947</v>
      </c>
      <c r="D4358" s="9" t="s">
        <v>6746</v>
      </c>
      <c r="E4358" s="9" t="s">
        <v>11317</v>
      </c>
      <c r="F4358" s="9" t="s">
        <v>9407</v>
      </c>
      <c r="G4358" s="9" t="s">
        <v>12</v>
      </c>
      <c r="H4358" s="9"/>
      <c r="I4358" s="9" t="s">
        <v>1457</v>
      </c>
      <c r="J4358" s="9" t="s">
        <v>1513</v>
      </c>
      <c r="K4358" s="9"/>
      <c r="L4358" s="9"/>
      <c r="M4358" s="9" t="s">
        <v>11318</v>
      </c>
      <c r="N4358" s="9"/>
      <c r="O4358" s="9" t="s">
        <v>11319</v>
      </c>
      <c r="P4358" s="9" t="str">
        <f>HYPERLINK("https://ceds.ed.gov/cedselementdetails.aspx?termid=14877")</f>
        <v>https://ceds.ed.gov/cedselementdetails.aspx?termid=14877</v>
      </c>
      <c r="Q4358" s="9" t="str">
        <f>HYPERLINK("https://ceds.ed.gov/elementComment.aspx?elementName=Facility Total Assessed Value &amp;elementID=14877", "Click here to submit comment")</f>
        <v>Click here to submit comment</v>
      </c>
    </row>
    <row r="4359" spans="1:17" ht="105" x14ac:dyDescent="0.25">
      <c r="A4359" s="9" t="s">
        <v>11948</v>
      </c>
      <c r="B4359" s="9" t="s">
        <v>11949</v>
      </c>
      <c r="C4359" s="9"/>
      <c r="D4359" s="9" t="s">
        <v>6742</v>
      </c>
      <c r="E4359" s="9" t="s">
        <v>10925</v>
      </c>
      <c r="F4359" s="9" t="s">
        <v>10926</v>
      </c>
      <c r="G4359" s="9" t="s">
        <v>12</v>
      </c>
      <c r="H4359" s="9"/>
      <c r="I4359" s="9"/>
      <c r="J4359" s="9" t="s">
        <v>73</v>
      </c>
      <c r="K4359" s="9"/>
      <c r="L4359" s="9" t="s">
        <v>10928</v>
      </c>
      <c r="M4359" s="9" t="s">
        <v>10929</v>
      </c>
      <c r="N4359" s="9"/>
      <c r="O4359" s="9" t="s">
        <v>10930</v>
      </c>
      <c r="P4359" s="9" t="str">
        <f>HYPERLINK("https://ceds.ed.gov/cedselementdetails.aspx?termid=14741")</f>
        <v>https://ceds.ed.gov/cedselementdetails.aspx?termid=14741</v>
      </c>
      <c r="Q4359" s="9" t="str">
        <f>HYPERLINK("https://ceds.ed.gov/elementComment.aspx?elementName=Count Date &amp;elementID=14741", "Click here to submit comment")</f>
        <v>Click here to submit comment</v>
      </c>
    </row>
    <row r="4360" spans="1:17" ht="105" x14ac:dyDescent="0.25">
      <c r="A4360" s="9" t="s">
        <v>11948</v>
      </c>
      <c r="B4360" s="9" t="s">
        <v>11949</v>
      </c>
      <c r="C4360" s="9"/>
      <c r="D4360" s="9" t="s">
        <v>6742</v>
      </c>
      <c r="E4360" s="9" t="s">
        <v>9032</v>
      </c>
      <c r="F4360" s="9" t="s">
        <v>11703</v>
      </c>
      <c r="G4360" s="9" t="s">
        <v>12</v>
      </c>
      <c r="H4360" s="9"/>
      <c r="I4360" s="9"/>
      <c r="J4360" s="9" t="s">
        <v>73</v>
      </c>
      <c r="K4360" s="9"/>
      <c r="L4360" s="9" t="s">
        <v>10928</v>
      </c>
      <c r="M4360" s="9" t="s">
        <v>11704</v>
      </c>
      <c r="N4360" s="9"/>
      <c r="O4360" s="9" t="s">
        <v>11705</v>
      </c>
      <c r="P4360" s="9" t="str">
        <f>HYPERLINK("https://ceds.ed.gov/cedselementdetails.aspx?termid=14740")</f>
        <v>https://ceds.ed.gov/cedselementdetails.aspx?termid=14740</v>
      </c>
      <c r="Q4360" s="9" t="str">
        <f>HYPERLINK("https://ceds.ed.gov/elementComment.aspx?elementName=Report Date &amp;elementID=14740", "Click here to submit comment")</f>
        <v>Click here to submit comment</v>
      </c>
    </row>
    <row r="4361" spans="1:17" ht="105" x14ac:dyDescent="0.25">
      <c r="A4361" s="9" t="s">
        <v>11948</v>
      </c>
      <c r="B4361" s="9" t="s">
        <v>11949</v>
      </c>
      <c r="C4361" s="9"/>
      <c r="D4361" s="9" t="s">
        <v>6742</v>
      </c>
      <c r="E4361" s="9" t="s">
        <v>11756</v>
      </c>
      <c r="F4361" s="9" t="s">
        <v>9033</v>
      </c>
      <c r="G4361" s="9" t="s">
        <v>12</v>
      </c>
      <c r="H4361" s="9"/>
      <c r="I4361" s="9"/>
      <c r="J4361" s="9" t="s">
        <v>73</v>
      </c>
      <c r="K4361" s="9"/>
      <c r="L4361" s="9" t="s">
        <v>10928</v>
      </c>
      <c r="M4361" s="9" t="s">
        <v>11757</v>
      </c>
      <c r="N4361" s="9"/>
      <c r="O4361" s="9" t="s">
        <v>11758</v>
      </c>
      <c r="P4361" s="9" t="str">
        <f>HYPERLINK("https://ceds.ed.gov/cedselementdetails.aspx?termid=14739")</f>
        <v>https://ceds.ed.gov/cedselementdetails.aspx?termid=14739</v>
      </c>
      <c r="Q4361" s="9" t="str">
        <f>HYPERLINK("https://ceds.ed.gov/elementComment.aspx?elementName=Submission Date &amp;elementID=14739", "Click here to submit comment")</f>
        <v>Click here to submit comment</v>
      </c>
    </row>
    <row r="4362" spans="1:17" ht="45" x14ac:dyDescent="0.25">
      <c r="A4362" s="9" t="s">
        <v>6925</v>
      </c>
      <c r="B4362" s="9" t="s">
        <v>6926</v>
      </c>
      <c r="C4362" s="9"/>
      <c r="D4362" s="9" t="s">
        <v>6742</v>
      </c>
      <c r="E4362" s="9" t="s">
        <v>1477</v>
      </c>
      <c r="F4362" s="9" t="s">
        <v>1478</v>
      </c>
      <c r="G4362" s="9" t="s">
        <v>12</v>
      </c>
      <c r="H4362" s="9"/>
      <c r="I4362" s="9"/>
      <c r="J4362" s="9" t="s">
        <v>92</v>
      </c>
      <c r="K4362" s="9"/>
      <c r="L4362" s="9"/>
      <c r="M4362" s="9" t="s">
        <v>1479</v>
      </c>
      <c r="N4362" s="9"/>
      <c r="O4362" s="9" t="s">
        <v>1480</v>
      </c>
      <c r="P4362" s="9" t="str">
        <f>HYPERLINK("https://ceds.ed.gov/cedselementdetails.aspx?termid=14122")</f>
        <v>https://ceds.ed.gov/cedselementdetails.aspx?termid=14122</v>
      </c>
      <c r="Q4362" s="9" t="str">
        <f>HYPERLINK("https://ceds.ed.gov/elementComment.aspx?elementName=Authentication Identity Provider Name &amp;elementID=14122", "Click here to submit comment")</f>
        <v>Click here to submit comment</v>
      </c>
    </row>
    <row r="4363" spans="1:17" ht="45" x14ac:dyDescent="0.25">
      <c r="A4363" s="9" t="s">
        <v>6925</v>
      </c>
      <c r="B4363" s="9" t="s">
        <v>6926</v>
      </c>
      <c r="C4363" s="9"/>
      <c r="D4363" s="9" t="s">
        <v>6742</v>
      </c>
      <c r="E4363" s="9" t="s">
        <v>1485</v>
      </c>
      <c r="F4363" s="9" t="s">
        <v>1486</v>
      </c>
      <c r="G4363" s="9" t="s">
        <v>12</v>
      </c>
      <c r="H4363" s="9"/>
      <c r="I4363" s="9"/>
      <c r="J4363" s="9" t="s">
        <v>1143</v>
      </c>
      <c r="K4363" s="9"/>
      <c r="L4363" s="9"/>
      <c r="M4363" s="9" t="s">
        <v>1487</v>
      </c>
      <c r="N4363" s="9"/>
      <c r="O4363" s="9" t="s">
        <v>1488</v>
      </c>
      <c r="P4363" s="9" t="str">
        <f>HYPERLINK("https://ceds.ed.gov/cedselementdetails.aspx?termid=14123")</f>
        <v>https://ceds.ed.gov/cedselementdetails.aspx?termid=14123</v>
      </c>
      <c r="Q4363" s="9" t="str">
        <f>HYPERLINK("https://ceds.ed.gov/elementComment.aspx?elementName=Authentication Identity Provider URI &amp;elementID=14123", "Click here to submit comment")</f>
        <v>Click here to submit comment</v>
      </c>
    </row>
    <row r="4364" spans="1:17" ht="60" x14ac:dyDescent="0.25">
      <c r="A4364" s="9" t="s">
        <v>6925</v>
      </c>
      <c r="B4364" s="9" t="s">
        <v>6926</v>
      </c>
      <c r="C4364" s="9"/>
      <c r="D4364" s="9" t="s">
        <v>6742</v>
      </c>
      <c r="E4364" s="9" t="s">
        <v>1481</v>
      </c>
      <c r="F4364" s="9" t="s">
        <v>1482</v>
      </c>
      <c r="G4364" s="9" t="s">
        <v>12</v>
      </c>
      <c r="H4364" s="9"/>
      <c r="I4364" s="9"/>
      <c r="J4364" s="9" t="s">
        <v>73</v>
      </c>
      <c r="K4364" s="9"/>
      <c r="L4364" s="9"/>
      <c r="M4364" s="9" t="s">
        <v>1483</v>
      </c>
      <c r="N4364" s="9"/>
      <c r="O4364" s="9" t="s">
        <v>1484</v>
      </c>
      <c r="P4364" s="9" t="str">
        <f>HYPERLINK("https://ceds.ed.gov/cedselementdetails.aspx?termid=14125")</f>
        <v>https://ceds.ed.gov/cedselementdetails.aspx?termid=14125</v>
      </c>
      <c r="Q4364" s="9" t="str">
        <f>HYPERLINK("https://ceds.ed.gov/elementComment.aspx?elementName=Authentication Identity Provider Start Date &amp;elementID=14125", "Click here to submit comment")</f>
        <v>Click here to submit comment</v>
      </c>
    </row>
    <row r="4365" spans="1:17" ht="60" x14ac:dyDescent="0.25">
      <c r="A4365" s="9" t="s">
        <v>6925</v>
      </c>
      <c r="B4365" s="9" t="s">
        <v>6926</v>
      </c>
      <c r="C4365" s="9"/>
      <c r="D4365" s="9" t="s">
        <v>6742</v>
      </c>
      <c r="E4365" s="9" t="s">
        <v>1468</v>
      </c>
      <c r="F4365" s="9" t="s">
        <v>1469</v>
      </c>
      <c r="G4365" s="9" t="s">
        <v>12</v>
      </c>
      <c r="H4365" s="9"/>
      <c r="I4365" s="9"/>
      <c r="J4365" s="9" t="s">
        <v>73</v>
      </c>
      <c r="K4365" s="9"/>
      <c r="L4365" s="9"/>
      <c r="M4365" s="9" t="s">
        <v>1471</v>
      </c>
      <c r="N4365" s="9"/>
      <c r="O4365" s="9" t="s">
        <v>1472</v>
      </c>
      <c r="P4365" s="9" t="str">
        <f>HYPERLINK("https://ceds.ed.gov/cedselementdetails.aspx?termid=14126")</f>
        <v>https://ceds.ed.gov/cedselementdetails.aspx?termid=14126</v>
      </c>
      <c r="Q4365" s="9" t="str">
        <f>HYPERLINK("https://ceds.ed.gov/elementComment.aspx?elementName=Authentication Identity Provider End Date &amp;elementID=14126", "Click here to submit comment")</f>
        <v>Click here to submit comment</v>
      </c>
    </row>
    <row r="4366" spans="1:17" ht="105" x14ac:dyDescent="0.25">
      <c r="A4366" s="12" t="s">
        <v>6925</v>
      </c>
      <c r="B4366" s="12" t="s">
        <v>6926</v>
      </c>
      <c r="C4366" s="12"/>
      <c r="D4366" s="12" t="s">
        <v>6742</v>
      </c>
      <c r="E4366" s="12" t="s">
        <v>1473</v>
      </c>
      <c r="F4366" s="12" t="s">
        <v>1474</v>
      </c>
      <c r="G4366" s="12" t="s">
        <v>12</v>
      </c>
      <c r="H4366" s="12"/>
      <c r="I4366" s="12"/>
      <c r="J4366" s="12" t="s">
        <v>119</v>
      </c>
      <c r="K4366" s="12"/>
      <c r="L4366" s="9" t="s">
        <v>120</v>
      </c>
      <c r="M4366" s="12" t="s">
        <v>1475</v>
      </c>
      <c r="N4366" s="12"/>
      <c r="O4366" s="12" t="s">
        <v>1476</v>
      </c>
      <c r="P4366" s="12" t="str">
        <f>HYPERLINK("https://ceds.ed.gov/cedselementdetails.aspx?termid=14124")</f>
        <v>https://ceds.ed.gov/cedselementdetails.aspx?termid=14124</v>
      </c>
      <c r="Q4366" s="12" t="str">
        <f>HYPERLINK("https://ceds.ed.gov/elementComment.aspx?elementName=Authentication Identity Provider Login Identifier &amp;elementID=14124", "Click here to submit comment")</f>
        <v>Click here to submit comment</v>
      </c>
    </row>
    <row r="4367" spans="1:17" x14ac:dyDescent="0.25">
      <c r="A4367" s="13"/>
      <c r="B4367" s="13"/>
      <c r="C4367" s="13"/>
      <c r="D4367" s="13"/>
      <c r="E4367" s="13"/>
      <c r="F4367" s="13"/>
      <c r="G4367" s="13"/>
      <c r="H4367" s="13"/>
      <c r="I4367" s="13"/>
      <c r="J4367" s="13"/>
      <c r="K4367" s="13"/>
      <c r="L4367" s="9"/>
      <c r="M4367" s="13"/>
      <c r="N4367" s="13"/>
      <c r="O4367" s="13"/>
      <c r="P4367" s="13"/>
      <c r="Q4367" s="13"/>
    </row>
    <row r="4368" spans="1:17" ht="90" x14ac:dyDescent="0.25">
      <c r="A4368" s="14"/>
      <c r="B4368" s="14"/>
      <c r="C4368" s="14"/>
      <c r="D4368" s="14"/>
      <c r="E4368" s="14"/>
      <c r="F4368" s="14"/>
      <c r="G4368" s="14"/>
      <c r="H4368" s="14"/>
      <c r="I4368" s="14"/>
      <c r="J4368" s="14"/>
      <c r="K4368" s="14"/>
      <c r="L4368" s="9" t="s">
        <v>121</v>
      </c>
      <c r="M4368" s="14"/>
      <c r="N4368" s="14"/>
      <c r="O4368" s="14"/>
      <c r="P4368" s="14"/>
      <c r="Q4368" s="14"/>
    </row>
    <row r="4369" spans="1:17" ht="45" x14ac:dyDescent="0.25">
      <c r="A4369" s="9" t="s">
        <v>6925</v>
      </c>
      <c r="B4369" s="9" t="s">
        <v>6927</v>
      </c>
      <c r="C4369" s="9"/>
      <c r="D4369" s="9" t="s">
        <v>6742</v>
      </c>
      <c r="E4369" s="9" t="s">
        <v>1489</v>
      </c>
      <c r="F4369" s="9" t="s">
        <v>1490</v>
      </c>
      <c r="G4369" s="9" t="s">
        <v>12</v>
      </c>
      <c r="H4369" s="9"/>
      <c r="I4369" s="9"/>
      <c r="J4369" s="9" t="s">
        <v>1492</v>
      </c>
      <c r="K4369" s="9"/>
      <c r="L4369" s="9"/>
      <c r="M4369" s="9" t="s">
        <v>1493</v>
      </c>
      <c r="N4369" s="9"/>
      <c r="O4369" s="9" t="s">
        <v>1494</v>
      </c>
      <c r="P4369" s="9" t="str">
        <f>HYPERLINK("https://ceds.ed.gov/cedselementdetails.aspx?termid=14127")</f>
        <v>https://ceds.ed.gov/cedselementdetails.aspx?termid=14127</v>
      </c>
      <c r="Q4369" s="9" t="str">
        <f>HYPERLINK("https://ceds.ed.gov/elementComment.aspx?elementName=Authorization Application Name &amp;elementID=14127", "Click here to submit comment")</f>
        <v>Click here to submit comment</v>
      </c>
    </row>
    <row r="4370" spans="1:17" ht="45" x14ac:dyDescent="0.25">
      <c r="A4370" s="9" t="s">
        <v>6925</v>
      </c>
      <c r="B4370" s="9" t="s">
        <v>6927</v>
      </c>
      <c r="C4370" s="9"/>
      <c r="D4370" s="9" t="s">
        <v>6742</v>
      </c>
      <c r="E4370" s="9" t="s">
        <v>1499</v>
      </c>
      <c r="F4370" s="9" t="s">
        <v>1500</v>
      </c>
      <c r="G4370" s="9" t="s">
        <v>12</v>
      </c>
      <c r="H4370" s="9"/>
      <c r="I4370" s="9"/>
      <c r="J4370" s="9" t="s">
        <v>1143</v>
      </c>
      <c r="K4370" s="9"/>
      <c r="L4370" s="9"/>
      <c r="M4370" s="9" t="s">
        <v>1501</v>
      </c>
      <c r="N4370" s="9"/>
      <c r="O4370" s="9" t="s">
        <v>1502</v>
      </c>
      <c r="P4370" s="9" t="str">
        <f>HYPERLINK("https://ceds.ed.gov/cedselementdetails.aspx?termid=14128")</f>
        <v>https://ceds.ed.gov/cedselementdetails.aspx?termid=14128</v>
      </c>
      <c r="Q4370" s="9" t="str">
        <f>HYPERLINK("https://ceds.ed.gov/elementComment.aspx?elementName=Authorization Application URI &amp;elementID=14128", "Click here to submit comment")</f>
        <v>Click here to submit comment</v>
      </c>
    </row>
    <row r="4371" spans="1:17" ht="45" x14ac:dyDescent="0.25">
      <c r="A4371" s="9" t="s">
        <v>6925</v>
      </c>
      <c r="B4371" s="9" t="s">
        <v>6927</v>
      </c>
      <c r="C4371" s="9"/>
      <c r="D4371" s="9" t="s">
        <v>6742</v>
      </c>
      <c r="E4371" s="9" t="s">
        <v>1507</v>
      </c>
      <c r="F4371" s="9" t="s">
        <v>1508</v>
      </c>
      <c r="G4371" s="9" t="s">
        <v>12</v>
      </c>
      <c r="H4371" s="9"/>
      <c r="I4371" s="9"/>
      <c r="J4371" s="9" t="s">
        <v>73</v>
      </c>
      <c r="K4371" s="9"/>
      <c r="L4371" s="9"/>
      <c r="M4371" s="9" t="s">
        <v>1509</v>
      </c>
      <c r="N4371" s="9"/>
      <c r="O4371" s="9" t="s">
        <v>1510</v>
      </c>
      <c r="P4371" s="9" t="str">
        <f>HYPERLINK("https://ceds.ed.gov/cedselementdetails.aspx?termid=14130")</f>
        <v>https://ceds.ed.gov/cedselementdetails.aspx?termid=14130</v>
      </c>
      <c r="Q4371" s="9" t="str">
        <f>HYPERLINK("https://ceds.ed.gov/elementComment.aspx?elementName=Authorization Start Date &amp;elementID=14130", "Click here to submit comment")</f>
        <v>Click here to submit comment</v>
      </c>
    </row>
    <row r="4372" spans="1:17" ht="45" x14ac:dyDescent="0.25">
      <c r="A4372" s="9" t="s">
        <v>6925</v>
      </c>
      <c r="B4372" s="9" t="s">
        <v>6927</v>
      </c>
      <c r="C4372" s="9"/>
      <c r="D4372" s="9" t="s">
        <v>6742</v>
      </c>
      <c r="E4372" s="9" t="s">
        <v>1503</v>
      </c>
      <c r="F4372" s="9" t="s">
        <v>1504</v>
      </c>
      <c r="G4372" s="9" t="s">
        <v>12</v>
      </c>
      <c r="H4372" s="9"/>
      <c r="I4372" s="9"/>
      <c r="J4372" s="9" t="s">
        <v>73</v>
      </c>
      <c r="K4372" s="9"/>
      <c r="L4372" s="9"/>
      <c r="M4372" s="9" t="s">
        <v>1505</v>
      </c>
      <c r="N4372" s="9"/>
      <c r="O4372" s="9" t="s">
        <v>1506</v>
      </c>
      <c r="P4372" s="9" t="str">
        <f>HYPERLINK("https://ceds.ed.gov/cedselementdetails.aspx?termid=14131")</f>
        <v>https://ceds.ed.gov/cedselementdetails.aspx?termid=14131</v>
      </c>
      <c r="Q4372" s="9" t="str">
        <f>HYPERLINK("https://ceds.ed.gov/elementComment.aspx?elementName=Authorization End Date &amp;elementID=14131", "Click here to submit comment")</f>
        <v>Click here to submit comment</v>
      </c>
    </row>
    <row r="4373" spans="1:17" ht="45" x14ac:dyDescent="0.25">
      <c r="A4373" s="9" t="s">
        <v>6925</v>
      </c>
      <c r="B4373" s="9" t="s">
        <v>6927</v>
      </c>
      <c r="C4373" s="9"/>
      <c r="D4373" s="9" t="s">
        <v>6742</v>
      </c>
      <c r="E4373" s="9" t="s">
        <v>1495</v>
      </c>
      <c r="F4373" s="9" t="s">
        <v>1496</v>
      </c>
      <c r="G4373" s="9" t="s">
        <v>12</v>
      </c>
      <c r="H4373" s="9"/>
      <c r="I4373" s="9"/>
      <c r="J4373" s="9" t="s">
        <v>92</v>
      </c>
      <c r="K4373" s="9"/>
      <c r="L4373" s="9"/>
      <c r="M4373" s="9" t="s">
        <v>1497</v>
      </c>
      <c r="N4373" s="9"/>
      <c r="O4373" s="9" t="s">
        <v>1498</v>
      </c>
      <c r="P4373" s="9" t="str">
        <f>HYPERLINK("https://ceds.ed.gov/cedselementdetails.aspx?termid=14129")</f>
        <v>https://ceds.ed.gov/cedselementdetails.aspx?termid=14129</v>
      </c>
      <c r="Q4373" s="9" t="str">
        <f>HYPERLINK("https://ceds.ed.gov/elementComment.aspx?elementName=Authorization Application Role Name &amp;elementID=14129", "Click here to submit comment")</f>
        <v>Click here to submit comment</v>
      </c>
    </row>
  </sheetData>
  <autoFilter ref="A1:Q4366" xr:uid="{E3C16492-B143-4BAC-ACFC-4F0312D67EE7}"/>
  <mergeCells count="4864">
    <mergeCell ref="A4203:A4205"/>
    <mergeCell ref="B4203:B4205"/>
    <mergeCell ref="C4203:C4205"/>
    <mergeCell ref="D4203:D4205"/>
    <mergeCell ref="E4203:E4205"/>
    <mergeCell ref="F4203:F4205"/>
    <mergeCell ref="G4199:G4201"/>
    <mergeCell ref="H4199:H4201"/>
    <mergeCell ref="I4199:I4201"/>
    <mergeCell ref="J4199:J4201"/>
    <mergeCell ref="K4199:K4201"/>
    <mergeCell ref="M4199:M4201"/>
    <mergeCell ref="G4166:G4167"/>
    <mergeCell ref="H4166:H4167"/>
    <mergeCell ref="I4166:I4167"/>
    <mergeCell ref="J4166:J4167"/>
    <mergeCell ref="K4166:K4167"/>
    <mergeCell ref="M4166:M4167"/>
    <mergeCell ref="N4203:N4205"/>
    <mergeCell ref="O4203:O4205"/>
    <mergeCell ref="P4203:P4205"/>
    <mergeCell ref="Q4203:Q4205"/>
    <mergeCell ref="G4203:G4205"/>
    <mergeCell ref="H4203:H4205"/>
    <mergeCell ref="I4203:I4205"/>
    <mergeCell ref="J4203:J4205"/>
    <mergeCell ref="K4203:K4205"/>
    <mergeCell ref="M4203:M4205"/>
    <mergeCell ref="N4199:N4201"/>
    <mergeCell ref="O4199:O4201"/>
    <mergeCell ref="P4199:P4201"/>
    <mergeCell ref="Q4199:Q4201"/>
    <mergeCell ref="G4099:G4105"/>
    <mergeCell ref="H4099:H4105"/>
    <mergeCell ref="I4099:I4105"/>
    <mergeCell ref="J4099:J4105"/>
    <mergeCell ref="K4099:K4105"/>
    <mergeCell ref="M4099:M4105"/>
    <mergeCell ref="N4187:N4190"/>
    <mergeCell ref="O4187:O4190"/>
    <mergeCell ref="P4187:P4190"/>
    <mergeCell ref="Q4187:Q4190"/>
    <mergeCell ref="A4199:A4201"/>
    <mergeCell ref="B4199:B4201"/>
    <mergeCell ref="C4199:C4201"/>
    <mergeCell ref="D4199:D4201"/>
    <mergeCell ref="E4199:E4201"/>
    <mergeCell ref="F4199:F4201"/>
    <mergeCell ref="G4187:G4190"/>
    <mergeCell ref="H4187:H4190"/>
    <mergeCell ref="I4187:I4190"/>
    <mergeCell ref="J4187:J4190"/>
    <mergeCell ref="K4187:K4190"/>
    <mergeCell ref="M4187:M4190"/>
    <mergeCell ref="N4166:N4167"/>
    <mergeCell ref="O4166:O4167"/>
    <mergeCell ref="P4166:P4167"/>
    <mergeCell ref="Q4166:Q4167"/>
    <mergeCell ref="A4187:A4190"/>
    <mergeCell ref="B4187:B4190"/>
    <mergeCell ref="C4187:C4190"/>
    <mergeCell ref="D4187:D4190"/>
    <mergeCell ref="E4187:E4190"/>
    <mergeCell ref="F4187:F4190"/>
    <mergeCell ref="G4085:G4087"/>
    <mergeCell ref="H4085:H4087"/>
    <mergeCell ref="I4085:I4087"/>
    <mergeCell ref="J4085:J4087"/>
    <mergeCell ref="K4085:K4087"/>
    <mergeCell ref="M4085:M4087"/>
    <mergeCell ref="N4125:N4128"/>
    <mergeCell ref="O4125:O4128"/>
    <mergeCell ref="P4125:P4128"/>
    <mergeCell ref="Q4125:Q4128"/>
    <mergeCell ref="A4166:A4167"/>
    <mergeCell ref="B4166:B4167"/>
    <mergeCell ref="C4166:C4167"/>
    <mergeCell ref="D4166:D4167"/>
    <mergeCell ref="E4166:E4167"/>
    <mergeCell ref="F4166:F4167"/>
    <mergeCell ref="G4125:G4128"/>
    <mergeCell ref="H4125:H4128"/>
    <mergeCell ref="I4125:I4128"/>
    <mergeCell ref="J4125:J4128"/>
    <mergeCell ref="K4125:K4128"/>
    <mergeCell ref="M4125:M4128"/>
    <mergeCell ref="N4099:N4105"/>
    <mergeCell ref="O4099:O4105"/>
    <mergeCell ref="P4099:P4105"/>
    <mergeCell ref="Q4099:Q4105"/>
    <mergeCell ref="A4125:A4128"/>
    <mergeCell ref="B4125:B4128"/>
    <mergeCell ref="C4125:C4128"/>
    <mergeCell ref="D4125:D4128"/>
    <mergeCell ref="E4125:E4128"/>
    <mergeCell ref="F4125:F4128"/>
    <mergeCell ref="G4060:G4062"/>
    <mergeCell ref="H4060:H4062"/>
    <mergeCell ref="I4060:I4062"/>
    <mergeCell ref="J4060:J4062"/>
    <mergeCell ref="K4060:K4062"/>
    <mergeCell ref="M4060:M4062"/>
    <mergeCell ref="N4091:N4093"/>
    <mergeCell ref="O4091:O4093"/>
    <mergeCell ref="P4091:P4093"/>
    <mergeCell ref="Q4091:Q4093"/>
    <mergeCell ref="A4099:A4105"/>
    <mergeCell ref="B4099:B4105"/>
    <mergeCell ref="C4099:C4105"/>
    <mergeCell ref="D4099:D4105"/>
    <mergeCell ref="E4099:E4105"/>
    <mergeCell ref="F4099:F4105"/>
    <mergeCell ref="G4091:G4093"/>
    <mergeCell ref="H4091:H4093"/>
    <mergeCell ref="I4091:I4093"/>
    <mergeCell ref="J4091:J4093"/>
    <mergeCell ref="K4091:K4093"/>
    <mergeCell ref="M4091:M4093"/>
    <mergeCell ref="N4085:N4087"/>
    <mergeCell ref="O4085:O4087"/>
    <mergeCell ref="P4085:P4087"/>
    <mergeCell ref="Q4085:Q4087"/>
    <mergeCell ref="A4091:A4093"/>
    <mergeCell ref="B4091:B4093"/>
    <mergeCell ref="C4091:C4093"/>
    <mergeCell ref="D4091:D4093"/>
    <mergeCell ref="E4091:E4093"/>
    <mergeCell ref="F4091:F4093"/>
    <mergeCell ref="G4051:G4053"/>
    <mergeCell ref="H4051:H4053"/>
    <mergeCell ref="I4051:I4053"/>
    <mergeCell ref="J4051:J4053"/>
    <mergeCell ref="K4051:K4053"/>
    <mergeCell ref="M4051:M4053"/>
    <mergeCell ref="N4064:N4066"/>
    <mergeCell ref="O4064:O4066"/>
    <mergeCell ref="P4064:P4066"/>
    <mergeCell ref="Q4064:Q4066"/>
    <mergeCell ref="A4085:A4087"/>
    <mergeCell ref="B4085:B4087"/>
    <mergeCell ref="C4085:C4087"/>
    <mergeCell ref="D4085:D4087"/>
    <mergeCell ref="E4085:E4087"/>
    <mergeCell ref="F4085:F4087"/>
    <mergeCell ref="G4064:G4066"/>
    <mergeCell ref="H4064:H4066"/>
    <mergeCell ref="I4064:I4066"/>
    <mergeCell ref="J4064:J4066"/>
    <mergeCell ref="K4064:K4066"/>
    <mergeCell ref="M4064:M4066"/>
    <mergeCell ref="N4060:N4062"/>
    <mergeCell ref="O4060:O4062"/>
    <mergeCell ref="P4060:P4062"/>
    <mergeCell ref="Q4060:Q4062"/>
    <mergeCell ref="A4064:A4066"/>
    <mergeCell ref="B4064:B4066"/>
    <mergeCell ref="C4064:C4066"/>
    <mergeCell ref="D4064:D4066"/>
    <mergeCell ref="E4064:E4066"/>
    <mergeCell ref="F4064:F4066"/>
    <mergeCell ref="G3980:G3982"/>
    <mergeCell ref="H3980:H3982"/>
    <mergeCell ref="I3980:I3982"/>
    <mergeCell ref="J3980:J3982"/>
    <mergeCell ref="K3980:K3982"/>
    <mergeCell ref="M3980:M3982"/>
    <mergeCell ref="N4055:N4057"/>
    <mergeCell ref="O4055:O4057"/>
    <mergeCell ref="P4055:P4057"/>
    <mergeCell ref="Q4055:Q4057"/>
    <mergeCell ref="A4060:A4062"/>
    <mergeCell ref="B4060:B4062"/>
    <mergeCell ref="C4060:C4062"/>
    <mergeCell ref="D4060:D4062"/>
    <mergeCell ref="E4060:E4062"/>
    <mergeCell ref="F4060:F4062"/>
    <mergeCell ref="G4055:G4057"/>
    <mergeCell ref="H4055:H4057"/>
    <mergeCell ref="I4055:I4057"/>
    <mergeCell ref="J4055:J4057"/>
    <mergeCell ref="K4055:K4057"/>
    <mergeCell ref="M4055:M4057"/>
    <mergeCell ref="N4051:N4053"/>
    <mergeCell ref="O4051:O4053"/>
    <mergeCell ref="P4051:P4053"/>
    <mergeCell ref="Q4051:Q4053"/>
    <mergeCell ref="A4055:A4057"/>
    <mergeCell ref="B4055:B4057"/>
    <mergeCell ref="C4055:C4057"/>
    <mergeCell ref="D4055:D4057"/>
    <mergeCell ref="E4055:E4057"/>
    <mergeCell ref="F4055:F4057"/>
    <mergeCell ref="G3963:G3967"/>
    <mergeCell ref="H3963:H3967"/>
    <mergeCell ref="I3963:I3967"/>
    <mergeCell ref="J3963:J3967"/>
    <mergeCell ref="K3963:K3967"/>
    <mergeCell ref="M3963:M3967"/>
    <mergeCell ref="N4030:N4032"/>
    <mergeCell ref="O4030:O4032"/>
    <mergeCell ref="P4030:P4032"/>
    <mergeCell ref="Q4030:Q4032"/>
    <mergeCell ref="A4051:A4053"/>
    <mergeCell ref="B4051:B4053"/>
    <mergeCell ref="C4051:C4053"/>
    <mergeCell ref="D4051:D4053"/>
    <mergeCell ref="E4051:E4053"/>
    <mergeCell ref="F4051:F4053"/>
    <mergeCell ref="G4030:G4032"/>
    <mergeCell ref="H4030:H4032"/>
    <mergeCell ref="I4030:I4032"/>
    <mergeCell ref="J4030:J4032"/>
    <mergeCell ref="K4030:K4032"/>
    <mergeCell ref="M4030:M4032"/>
    <mergeCell ref="N3980:N3982"/>
    <mergeCell ref="O3980:O3982"/>
    <mergeCell ref="P3980:P3982"/>
    <mergeCell ref="Q3980:Q3982"/>
    <mergeCell ref="A4030:A4032"/>
    <mergeCell ref="B4030:B4032"/>
    <mergeCell ref="C4030:C4032"/>
    <mergeCell ref="D4030:D4032"/>
    <mergeCell ref="E4030:E4032"/>
    <mergeCell ref="F4030:F4032"/>
    <mergeCell ref="G3951:G3953"/>
    <mergeCell ref="H3951:H3953"/>
    <mergeCell ref="I3951:I3953"/>
    <mergeCell ref="J3951:J3953"/>
    <mergeCell ref="K3951:K3953"/>
    <mergeCell ref="M3951:M3953"/>
    <mergeCell ref="N3972:N3974"/>
    <mergeCell ref="O3972:O3974"/>
    <mergeCell ref="P3972:P3974"/>
    <mergeCell ref="Q3972:Q3974"/>
    <mergeCell ref="A3980:A3982"/>
    <mergeCell ref="B3980:B3982"/>
    <mergeCell ref="C3980:C3982"/>
    <mergeCell ref="D3980:D3982"/>
    <mergeCell ref="E3980:E3982"/>
    <mergeCell ref="F3980:F3982"/>
    <mergeCell ref="G3972:G3974"/>
    <mergeCell ref="H3972:H3974"/>
    <mergeCell ref="I3972:I3974"/>
    <mergeCell ref="J3972:J3974"/>
    <mergeCell ref="K3972:K3974"/>
    <mergeCell ref="M3972:M3974"/>
    <mergeCell ref="N3963:N3967"/>
    <mergeCell ref="O3963:O3967"/>
    <mergeCell ref="P3963:P3967"/>
    <mergeCell ref="Q3963:Q3967"/>
    <mergeCell ref="A3972:A3974"/>
    <mergeCell ref="B3972:B3974"/>
    <mergeCell ref="C3972:C3974"/>
    <mergeCell ref="D3972:D3974"/>
    <mergeCell ref="E3972:E3974"/>
    <mergeCell ref="F3972:F3974"/>
    <mergeCell ref="G3938:G3940"/>
    <mergeCell ref="H3938:H3940"/>
    <mergeCell ref="I3938:I3940"/>
    <mergeCell ref="J3938:J3940"/>
    <mergeCell ref="K3938:K3940"/>
    <mergeCell ref="M3938:M3940"/>
    <mergeCell ref="N3960:N3962"/>
    <mergeCell ref="O3960:O3962"/>
    <mergeCell ref="P3960:P3962"/>
    <mergeCell ref="Q3960:Q3962"/>
    <mergeCell ref="A3963:A3967"/>
    <mergeCell ref="B3963:B3967"/>
    <mergeCell ref="C3963:C3967"/>
    <mergeCell ref="D3963:D3967"/>
    <mergeCell ref="E3963:E3967"/>
    <mergeCell ref="F3963:F3967"/>
    <mergeCell ref="G3960:G3962"/>
    <mergeCell ref="H3960:H3962"/>
    <mergeCell ref="I3960:I3962"/>
    <mergeCell ref="J3960:J3962"/>
    <mergeCell ref="K3960:K3962"/>
    <mergeCell ref="M3960:M3962"/>
    <mergeCell ref="N3951:N3953"/>
    <mergeCell ref="O3951:O3953"/>
    <mergeCell ref="P3951:P3953"/>
    <mergeCell ref="Q3951:Q3953"/>
    <mergeCell ref="A3960:A3962"/>
    <mergeCell ref="B3960:B3962"/>
    <mergeCell ref="C3960:C3962"/>
    <mergeCell ref="D3960:D3962"/>
    <mergeCell ref="E3960:E3962"/>
    <mergeCell ref="F3960:F3962"/>
    <mergeCell ref="G3923:G3925"/>
    <mergeCell ref="H3923:H3925"/>
    <mergeCell ref="I3923:I3925"/>
    <mergeCell ref="J3923:J3925"/>
    <mergeCell ref="K3923:K3925"/>
    <mergeCell ref="M3923:M3925"/>
    <mergeCell ref="N3947:N3949"/>
    <mergeCell ref="O3947:O3949"/>
    <mergeCell ref="P3947:P3949"/>
    <mergeCell ref="Q3947:Q3949"/>
    <mergeCell ref="A3951:A3953"/>
    <mergeCell ref="B3951:B3953"/>
    <mergeCell ref="C3951:C3953"/>
    <mergeCell ref="D3951:D3953"/>
    <mergeCell ref="E3951:E3953"/>
    <mergeCell ref="F3951:F3953"/>
    <mergeCell ref="G3947:G3949"/>
    <mergeCell ref="H3947:H3949"/>
    <mergeCell ref="I3947:I3949"/>
    <mergeCell ref="J3947:J3949"/>
    <mergeCell ref="K3947:K3949"/>
    <mergeCell ref="M3947:M3949"/>
    <mergeCell ref="N3938:N3940"/>
    <mergeCell ref="O3938:O3940"/>
    <mergeCell ref="P3938:P3940"/>
    <mergeCell ref="Q3938:Q3940"/>
    <mergeCell ref="A3947:A3949"/>
    <mergeCell ref="B3947:B3949"/>
    <mergeCell ref="C3947:C3949"/>
    <mergeCell ref="D3947:D3949"/>
    <mergeCell ref="E3947:E3949"/>
    <mergeCell ref="F3947:F3949"/>
    <mergeCell ref="G3864:G3866"/>
    <mergeCell ref="H3864:H3866"/>
    <mergeCell ref="I3864:I3866"/>
    <mergeCell ref="J3864:J3866"/>
    <mergeCell ref="K3864:K3866"/>
    <mergeCell ref="M3864:M3866"/>
    <mergeCell ref="N3934:N3936"/>
    <mergeCell ref="O3934:O3936"/>
    <mergeCell ref="P3934:P3936"/>
    <mergeCell ref="Q3934:Q3936"/>
    <mergeCell ref="A3938:A3940"/>
    <mergeCell ref="B3938:B3940"/>
    <mergeCell ref="C3938:C3940"/>
    <mergeCell ref="D3938:D3940"/>
    <mergeCell ref="E3938:E3940"/>
    <mergeCell ref="F3938:F3940"/>
    <mergeCell ref="G3934:G3936"/>
    <mergeCell ref="H3934:H3936"/>
    <mergeCell ref="I3934:I3936"/>
    <mergeCell ref="J3934:J3936"/>
    <mergeCell ref="K3934:K3936"/>
    <mergeCell ref="M3934:M3936"/>
    <mergeCell ref="N3923:N3925"/>
    <mergeCell ref="O3923:O3925"/>
    <mergeCell ref="P3923:P3925"/>
    <mergeCell ref="Q3923:Q3925"/>
    <mergeCell ref="A3934:A3936"/>
    <mergeCell ref="B3934:B3936"/>
    <mergeCell ref="C3934:C3936"/>
    <mergeCell ref="D3934:D3936"/>
    <mergeCell ref="E3934:E3936"/>
    <mergeCell ref="F3934:F3936"/>
    <mergeCell ref="G3856:G3858"/>
    <mergeCell ref="H3856:H3858"/>
    <mergeCell ref="I3856:I3858"/>
    <mergeCell ref="J3856:J3858"/>
    <mergeCell ref="K3856:K3858"/>
    <mergeCell ref="M3856:M3858"/>
    <mergeCell ref="N3869:N3873"/>
    <mergeCell ref="O3869:O3873"/>
    <mergeCell ref="P3869:P3873"/>
    <mergeCell ref="Q3869:Q3873"/>
    <mergeCell ref="A3923:A3925"/>
    <mergeCell ref="B3923:B3925"/>
    <mergeCell ref="C3923:C3925"/>
    <mergeCell ref="D3923:D3925"/>
    <mergeCell ref="E3923:E3925"/>
    <mergeCell ref="F3923:F3925"/>
    <mergeCell ref="G3869:G3873"/>
    <mergeCell ref="H3869:H3873"/>
    <mergeCell ref="I3869:I3873"/>
    <mergeCell ref="J3869:J3873"/>
    <mergeCell ref="K3869:K3873"/>
    <mergeCell ref="M3869:M3873"/>
    <mergeCell ref="N3864:N3866"/>
    <mergeCell ref="O3864:O3866"/>
    <mergeCell ref="P3864:P3866"/>
    <mergeCell ref="Q3864:Q3866"/>
    <mergeCell ref="A3869:A3873"/>
    <mergeCell ref="B3869:B3873"/>
    <mergeCell ref="C3869:C3873"/>
    <mergeCell ref="D3869:D3873"/>
    <mergeCell ref="E3869:E3873"/>
    <mergeCell ref="F3869:F3873"/>
    <mergeCell ref="G3837:G3839"/>
    <mergeCell ref="H3837:H3839"/>
    <mergeCell ref="I3837:I3839"/>
    <mergeCell ref="J3837:J3839"/>
    <mergeCell ref="K3837:K3839"/>
    <mergeCell ref="M3837:M3839"/>
    <mergeCell ref="N3860:N3862"/>
    <mergeCell ref="O3860:O3862"/>
    <mergeCell ref="P3860:P3862"/>
    <mergeCell ref="Q3860:Q3862"/>
    <mergeCell ref="A3864:A3866"/>
    <mergeCell ref="B3864:B3866"/>
    <mergeCell ref="C3864:C3866"/>
    <mergeCell ref="D3864:D3866"/>
    <mergeCell ref="E3864:E3866"/>
    <mergeCell ref="F3864:F3866"/>
    <mergeCell ref="G3860:G3862"/>
    <mergeCell ref="H3860:H3862"/>
    <mergeCell ref="I3860:I3862"/>
    <mergeCell ref="J3860:J3862"/>
    <mergeCell ref="K3860:K3862"/>
    <mergeCell ref="M3860:M3862"/>
    <mergeCell ref="N3856:N3858"/>
    <mergeCell ref="O3856:O3858"/>
    <mergeCell ref="P3856:P3858"/>
    <mergeCell ref="Q3856:Q3858"/>
    <mergeCell ref="A3860:A3862"/>
    <mergeCell ref="B3860:B3862"/>
    <mergeCell ref="C3860:C3862"/>
    <mergeCell ref="D3860:D3862"/>
    <mergeCell ref="E3860:E3862"/>
    <mergeCell ref="F3860:F3862"/>
    <mergeCell ref="G3831:G3832"/>
    <mergeCell ref="H3831:H3832"/>
    <mergeCell ref="I3831:I3832"/>
    <mergeCell ref="J3831:J3832"/>
    <mergeCell ref="K3831:K3832"/>
    <mergeCell ref="M3831:M3832"/>
    <mergeCell ref="N3849:N3853"/>
    <mergeCell ref="O3849:O3853"/>
    <mergeCell ref="P3849:P3853"/>
    <mergeCell ref="Q3849:Q3853"/>
    <mergeCell ref="A3856:A3858"/>
    <mergeCell ref="B3856:B3858"/>
    <mergeCell ref="C3856:C3858"/>
    <mergeCell ref="D3856:D3858"/>
    <mergeCell ref="E3856:E3858"/>
    <mergeCell ref="F3856:F3858"/>
    <mergeCell ref="G3849:G3853"/>
    <mergeCell ref="H3849:H3853"/>
    <mergeCell ref="I3849:I3853"/>
    <mergeCell ref="J3849:J3853"/>
    <mergeCell ref="K3849:K3853"/>
    <mergeCell ref="M3849:M3853"/>
    <mergeCell ref="N3837:N3839"/>
    <mergeCell ref="O3837:O3839"/>
    <mergeCell ref="P3837:P3839"/>
    <mergeCell ref="Q3837:Q3839"/>
    <mergeCell ref="A3849:A3853"/>
    <mergeCell ref="B3849:B3853"/>
    <mergeCell ref="C3849:C3853"/>
    <mergeCell ref="D3849:D3853"/>
    <mergeCell ref="E3849:E3853"/>
    <mergeCell ref="F3849:F3853"/>
    <mergeCell ref="G3788:G3794"/>
    <mergeCell ref="H3788:H3794"/>
    <mergeCell ref="I3788:I3794"/>
    <mergeCell ref="J3788:J3794"/>
    <mergeCell ref="K3788:K3794"/>
    <mergeCell ref="M3788:M3794"/>
    <mergeCell ref="N3833:N3835"/>
    <mergeCell ref="O3833:O3835"/>
    <mergeCell ref="P3833:P3835"/>
    <mergeCell ref="Q3833:Q3835"/>
    <mergeCell ref="A3837:A3839"/>
    <mergeCell ref="B3837:B3839"/>
    <mergeCell ref="C3837:C3839"/>
    <mergeCell ref="D3837:D3839"/>
    <mergeCell ref="E3837:E3839"/>
    <mergeCell ref="F3837:F3839"/>
    <mergeCell ref="G3833:G3835"/>
    <mergeCell ref="H3833:H3835"/>
    <mergeCell ref="I3833:I3835"/>
    <mergeCell ref="J3833:J3835"/>
    <mergeCell ref="K3833:K3835"/>
    <mergeCell ref="M3833:M3835"/>
    <mergeCell ref="N3831:N3832"/>
    <mergeCell ref="O3831:O3832"/>
    <mergeCell ref="P3831:P3832"/>
    <mergeCell ref="Q3831:Q3832"/>
    <mergeCell ref="A3833:A3835"/>
    <mergeCell ref="B3833:B3835"/>
    <mergeCell ref="C3833:C3835"/>
    <mergeCell ref="D3833:D3835"/>
    <mergeCell ref="E3833:E3835"/>
    <mergeCell ref="F3833:F3835"/>
    <mergeCell ref="G3763:G3765"/>
    <mergeCell ref="H3763:H3765"/>
    <mergeCell ref="I3763:I3765"/>
    <mergeCell ref="J3763:J3765"/>
    <mergeCell ref="K3763:K3765"/>
    <mergeCell ref="M3763:M3765"/>
    <mergeCell ref="N3806:N3808"/>
    <mergeCell ref="O3806:O3808"/>
    <mergeCell ref="P3806:P3808"/>
    <mergeCell ref="Q3806:Q3808"/>
    <mergeCell ref="A3831:A3832"/>
    <mergeCell ref="B3831:B3832"/>
    <mergeCell ref="C3831:C3832"/>
    <mergeCell ref="D3831:D3832"/>
    <mergeCell ref="E3831:E3832"/>
    <mergeCell ref="F3831:F3832"/>
    <mergeCell ref="G3806:G3808"/>
    <mergeCell ref="H3806:H3808"/>
    <mergeCell ref="I3806:I3808"/>
    <mergeCell ref="J3806:J3808"/>
    <mergeCell ref="K3806:K3808"/>
    <mergeCell ref="M3806:M3808"/>
    <mergeCell ref="N3788:N3794"/>
    <mergeCell ref="O3788:O3794"/>
    <mergeCell ref="P3788:P3794"/>
    <mergeCell ref="Q3788:Q3794"/>
    <mergeCell ref="A3806:A3808"/>
    <mergeCell ref="B3806:B3808"/>
    <mergeCell ref="C3806:C3808"/>
    <mergeCell ref="D3806:D3808"/>
    <mergeCell ref="E3806:E3808"/>
    <mergeCell ref="F3806:F3808"/>
    <mergeCell ref="G3698:G3700"/>
    <mergeCell ref="H3698:H3700"/>
    <mergeCell ref="I3698:I3700"/>
    <mergeCell ref="J3698:J3700"/>
    <mergeCell ref="K3698:K3700"/>
    <mergeCell ref="M3698:M3700"/>
    <mergeCell ref="N3779:N3781"/>
    <mergeCell ref="O3779:O3781"/>
    <mergeCell ref="P3779:P3781"/>
    <mergeCell ref="Q3779:Q3781"/>
    <mergeCell ref="A3788:A3794"/>
    <mergeCell ref="B3788:B3794"/>
    <mergeCell ref="C3788:C3794"/>
    <mergeCell ref="D3788:D3794"/>
    <mergeCell ref="E3788:E3794"/>
    <mergeCell ref="F3788:F3794"/>
    <mergeCell ref="G3779:G3781"/>
    <mergeCell ref="H3779:H3781"/>
    <mergeCell ref="I3779:I3781"/>
    <mergeCell ref="J3779:J3781"/>
    <mergeCell ref="K3779:K3781"/>
    <mergeCell ref="M3779:M3781"/>
    <mergeCell ref="N3763:N3765"/>
    <mergeCell ref="O3763:O3765"/>
    <mergeCell ref="P3763:P3765"/>
    <mergeCell ref="Q3763:Q3765"/>
    <mergeCell ref="A3779:A3781"/>
    <mergeCell ref="B3779:B3781"/>
    <mergeCell ref="C3779:C3781"/>
    <mergeCell ref="D3779:D3781"/>
    <mergeCell ref="E3779:E3781"/>
    <mergeCell ref="F3779:F3781"/>
    <mergeCell ref="G3634:G3636"/>
    <mergeCell ref="H3634:H3636"/>
    <mergeCell ref="I3634:I3636"/>
    <mergeCell ref="J3634:J3636"/>
    <mergeCell ref="K3634:K3636"/>
    <mergeCell ref="M3634:M3636"/>
    <mergeCell ref="N3746:N3748"/>
    <mergeCell ref="O3746:O3748"/>
    <mergeCell ref="P3746:P3748"/>
    <mergeCell ref="Q3746:Q3748"/>
    <mergeCell ref="A3763:A3765"/>
    <mergeCell ref="B3763:B3765"/>
    <mergeCell ref="C3763:C3765"/>
    <mergeCell ref="D3763:D3765"/>
    <mergeCell ref="E3763:E3765"/>
    <mergeCell ref="F3763:F3765"/>
    <mergeCell ref="G3746:G3748"/>
    <mergeCell ref="H3746:H3748"/>
    <mergeCell ref="I3746:I3748"/>
    <mergeCell ref="J3746:J3748"/>
    <mergeCell ref="K3746:K3748"/>
    <mergeCell ref="M3746:M3748"/>
    <mergeCell ref="N3698:N3700"/>
    <mergeCell ref="O3698:O3700"/>
    <mergeCell ref="P3698:P3700"/>
    <mergeCell ref="Q3698:Q3700"/>
    <mergeCell ref="A3746:A3748"/>
    <mergeCell ref="B3746:B3748"/>
    <mergeCell ref="C3746:C3748"/>
    <mergeCell ref="D3746:D3748"/>
    <mergeCell ref="E3746:E3748"/>
    <mergeCell ref="F3746:F3748"/>
    <mergeCell ref="G3615:G3617"/>
    <mergeCell ref="H3615:H3617"/>
    <mergeCell ref="I3615:I3617"/>
    <mergeCell ref="J3615:J3617"/>
    <mergeCell ref="K3615:K3617"/>
    <mergeCell ref="M3615:M3617"/>
    <mergeCell ref="N3638:N3640"/>
    <mergeCell ref="O3638:O3640"/>
    <mergeCell ref="P3638:P3640"/>
    <mergeCell ref="Q3638:Q3640"/>
    <mergeCell ref="A3698:A3700"/>
    <mergeCell ref="B3698:B3700"/>
    <mergeCell ref="C3698:C3700"/>
    <mergeCell ref="D3698:D3700"/>
    <mergeCell ref="E3698:E3700"/>
    <mergeCell ref="F3698:F3700"/>
    <mergeCell ref="G3638:G3640"/>
    <mergeCell ref="H3638:H3640"/>
    <mergeCell ref="I3638:I3640"/>
    <mergeCell ref="J3638:J3640"/>
    <mergeCell ref="K3638:K3640"/>
    <mergeCell ref="M3638:M3640"/>
    <mergeCell ref="N3634:N3636"/>
    <mergeCell ref="O3634:O3636"/>
    <mergeCell ref="P3634:P3636"/>
    <mergeCell ref="Q3634:Q3636"/>
    <mergeCell ref="A3638:A3640"/>
    <mergeCell ref="B3638:B3640"/>
    <mergeCell ref="C3638:C3640"/>
    <mergeCell ref="D3638:D3640"/>
    <mergeCell ref="E3638:E3640"/>
    <mergeCell ref="F3638:F3640"/>
    <mergeCell ref="G3595:G3599"/>
    <mergeCell ref="H3595:H3599"/>
    <mergeCell ref="I3595:I3599"/>
    <mergeCell ref="J3595:J3599"/>
    <mergeCell ref="K3595:K3599"/>
    <mergeCell ref="M3595:M3599"/>
    <mergeCell ref="N3618:N3622"/>
    <mergeCell ref="O3618:O3622"/>
    <mergeCell ref="P3618:P3622"/>
    <mergeCell ref="Q3618:Q3622"/>
    <mergeCell ref="A3634:A3636"/>
    <mergeCell ref="B3634:B3636"/>
    <mergeCell ref="C3634:C3636"/>
    <mergeCell ref="D3634:D3636"/>
    <mergeCell ref="E3634:E3636"/>
    <mergeCell ref="F3634:F3636"/>
    <mergeCell ref="G3618:G3622"/>
    <mergeCell ref="H3618:H3622"/>
    <mergeCell ref="I3618:I3622"/>
    <mergeCell ref="J3618:J3622"/>
    <mergeCell ref="K3618:K3622"/>
    <mergeCell ref="M3618:M3622"/>
    <mergeCell ref="N3615:N3617"/>
    <mergeCell ref="O3615:O3617"/>
    <mergeCell ref="P3615:P3617"/>
    <mergeCell ref="Q3615:Q3617"/>
    <mergeCell ref="A3618:A3622"/>
    <mergeCell ref="B3618:B3622"/>
    <mergeCell ref="C3618:C3622"/>
    <mergeCell ref="D3618:D3622"/>
    <mergeCell ref="E3618:E3622"/>
    <mergeCell ref="F3618:F3622"/>
    <mergeCell ref="G3578:G3584"/>
    <mergeCell ref="H3578:H3584"/>
    <mergeCell ref="I3578:I3584"/>
    <mergeCell ref="J3578:J3584"/>
    <mergeCell ref="K3578:K3584"/>
    <mergeCell ref="M3578:M3584"/>
    <mergeCell ref="N3611:N3613"/>
    <mergeCell ref="O3611:O3613"/>
    <mergeCell ref="P3611:P3613"/>
    <mergeCell ref="Q3611:Q3613"/>
    <mergeCell ref="A3615:A3617"/>
    <mergeCell ref="B3615:B3617"/>
    <mergeCell ref="C3615:C3617"/>
    <mergeCell ref="D3615:D3617"/>
    <mergeCell ref="E3615:E3617"/>
    <mergeCell ref="F3615:F3617"/>
    <mergeCell ref="G3611:G3613"/>
    <mergeCell ref="H3611:H3613"/>
    <mergeCell ref="I3611:I3613"/>
    <mergeCell ref="J3611:J3613"/>
    <mergeCell ref="K3611:K3613"/>
    <mergeCell ref="M3611:M3613"/>
    <mergeCell ref="N3595:N3599"/>
    <mergeCell ref="O3595:O3599"/>
    <mergeCell ref="P3595:P3599"/>
    <mergeCell ref="Q3595:Q3599"/>
    <mergeCell ref="A3611:A3613"/>
    <mergeCell ref="B3611:B3613"/>
    <mergeCell ref="C3611:C3613"/>
    <mergeCell ref="D3611:D3613"/>
    <mergeCell ref="E3611:E3613"/>
    <mergeCell ref="F3611:F3613"/>
    <mergeCell ref="G3559:G3561"/>
    <mergeCell ref="H3559:H3561"/>
    <mergeCell ref="I3559:I3561"/>
    <mergeCell ref="J3559:J3561"/>
    <mergeCell ref="K3559:K3561"/>
    <mergeCell ref="M3559:M3561"/>
    <mergeCell ref="N3589:N3591"/>
    <mergeCell ref="O3589:O3591"/>
    <mergeCell ref="P3589:P3591"/>
    <mergeCell ref="Q3589:Q3591"/>
    <mergeCell ref="A3595:A3599"/>
    <mergeCell ref="B3595:B3599"/>
    <mergeCell ref="C3595:C3599"/>
    <mergeCell ref="D3595:D3599"/>
    <mergeCell ref="E3595:E3599"/>
    <mergeCell ref="F3595:F3599"/>
    <mergeCell ref="G3589:G3591"/>
    <mergeCell ref="H3589:H3591"/>
    <mergeCell ref="I3589:I3591"/>
    <mergeCell ref="J3589:J3591"/>
    <mergeCell ref="K3589:K3591"/>
    <mergeCell ref="M3589:M3591"/>
    <mergeCell ref="N3578:N3584"/>
    <mergeCell ref="O3578:O3584"/>
    <mergeCell ref="P3578:P3584"/>
    <mergeCell ref="Q3578:Q3584"/>
    <mergeCell ref="A3589:A3591"/>
    <mergeCell ref="B3589:B3591"/>
    <mergeCell ref="C3589:C3591"/>
    <mergeCell ref="D3589:D3591"/>
    <mergeCell ref="E3589:E3591"/>
    <mergeCell ref="F3589:F3591"/>
    <mergeCell ref="G3532:G3534"/>
    <mergeCell ref="H3532:H3534"/>
    <mergeCell ref="I3532:I3534"/>
    <mergeCell ref="J3532:J3534"/>
    <mergeCell ref="K3532:K3534"/>
    <mergeCell ref="M3532:M3534"/>
    <mergeCell ref="N3563:N3565"/>
    <mergeCell ref="O3563:O3565"/>
    <mergeCell ref="P3563:P3565"/>
    <mergeCell ref="Q3563:Q3565"/>
    <mergeCell ref="A3578:A3584"/>
    <mergeCell ref="B3578:B3584"/>
    <mergeCell ref="C3578:C3584"/>
    <mergeCell ref="D3578:D3584"/>
    <mergeCell ref="E3578:E3584"/>
    <mergeCell ref="F3578:F3584"/>
    <mergeCell ref="G3563:G3565"/>
    <mergeCell ref="H3563:H3565"/>
    <mergeCell ref="I3563:I3565"/>
    <mergeCell ref="J3563:J3565"/>
    <mergeCell ref="K3563:K3565"/>
    <mergeCell ref="M3563:M3565"/>
    <mergeCell ref="N3559:N3561"/>
    <mergeCell ref="O3559:O3561"/>
    <mergeCell ref="P3559:P3561"/>
    <mergeCell ref="Q3559:Q3561"/>
    <mergeCell ref="A3563:A3565"/>
    <mergeCell ref="B3563:B3565"/>
    <mergeCell ref="C3563:C3565"/>
    <mergeCell ref="D3563:D3565"/>
    <mergeCell ref="E3563:E3565"/>
    <mergeCell ref="F3563:F3565"/>
    <mergeCell ref="G3502:G3508"/>
    <mergeCell ref="H3502:H3508"/>
    <mergeCell ref="I3502:I3508"/>
    <mergeCell ref="J3502:J3508"/>
    <mergeCell ref="K3502:K3508"/>
    <mergeCell ref="M3502:M3508"/>
    <mergeCell ref="N3538:N3540"/>
    <mergeCell ref="O3538:O3540"/>
    <mergeCell ref="P3538:P3540"/>
    <mergeCell ref="Q3538:Q3540"/>
    <mergeCell ref="A3559:A3561"/>
    <mergeCell ref="B3559:B3561"/>
    <mergeCell ref="C3559:C3561"/>
    <mergeCell ref="D3559:D3561"/>
    <mergeCell ref="E3559:E3561"/>
    <mergeCell ref="F3559:F3561"/>
    <mergeCell ref="G3538:G3540"/>
    <mergeCell ref="H3538:H3540"/>
    <mergeCell ref="I3538:I3540"/>
    <mergeCell ref="J3538:J3540"/>
    <mergeCell ref="K3538:K3540"/>
    <mergeCell ref="M3538:M3540"/>
    <mergeCell ref="N3532:N3534"/>
    <mergeCell ref="O3532:O3534"/>
    <mergeCell ref="P3532:P3534"/>
    <mergeCell ref="Q3532:Q3534"/>
    <mergeCell ref="A3538:A3540"/>
    <mergeCell ref="B3538:B3540"/>
    <mergeCell ref="C3538:C3540"/>
    <mergeCell ref="D3538:D3540"/>
    <mergeCell ref="E3538:E3540"/>
    <mergeCell ref="F3538:F3540"/>
    <mergeCell ref="G3488:G3490"/>
    <mergeCell ref="H3488:H3490"/>
    <mergeCell ref="I3488:I3490"/>
    <mergeCell ref="J3488:J3490"/>
    <mergeCell ref="K3488:K3490"/>
    <mergeCell ref="M3488:M3490"/>
    <mergeCell ref="N3526:N3529"/>
    <mergeCell ref="O3526:O3529"/>
    <mergeCell ref="P3526:P3529"/>
    <mergeCell ref="Q3526:Q3529"/>
    <mergeCell ref="A3532:A3534"/>
    <mergeCell ref="B3532:B3534"/>
    <mergeCell ref="C3532:C3534"/>
    <mergeCell ref="D3532:D3534"/>
    <mergeCell ref="E3532:E3534"/>
    <mergeCell ref="F3532:F3534"/>
    <mergeCell ref="G3526:G3529"/>
    <mergeCell ref="H3526:H3529"/>
    <mergeCell ref="I3526:I3529"/>
    <mergeCell ref="J3526:J3529"/>
    <mergeCell ref="K3526:K3529"/>
    <mergeCell ref="M3526:M3529"/>
    <mergeCell ref="N3502:N3508"/>
    <mergeCell ref="O3502:O3508"/>
    <mergeCell ref="P3502:P3508"/>
    <mergeCell ref="Q3502:Q3508"/>
    <mergeCell ref="A3526:A3529"/>
    <mergeCell ref="B3526:B3529"/>
    <mergeCell ref="C3526:C3529"/>
    <mergeCell ref="D3526:D3529"/>
    <mergeCell ref="E3526:E3529"/>
    <mergeCell ref="F3526:F3529"/>
    <mergeCell ref="G3437:G3439"/>
    <mergeCell ref="H3437:H3439"/>
    <mergeCell ref="I3437:I3439"/>
    <mergeCell ref="J3437:J3439"/>
    <mergeCell ref="K3437:K3439"/>
    <mergeCell ref="M3437:M3439"/>
    <mergeCell ref="N3494:N3496"/>
    <mergeCell ref="O3494:O3496"/>
    <mergeCell ref="P3494:P3496"/>
    <mergeCell ref="Q3494:Q3496"/>
    <mergeCell ref="A3502:A3508"/>
    <mergeCell ref="B3502:B3508"/>
    <mergeCell ref="C3502:C3508"/>
    <mergeCell ref="D3502:D3508"/>
    <mergeCell ref="E3502:E3508"/>
    <mergeCell ref="F3502:F3508"/>
    <mergeCell ref="G3494:G3496"/>
    <mergeCell ref="H3494:H3496"/>
    <mergeCell ref="I3494:I3496"/>
    <mergeCell ref="J3494:J3496"/>
    <mergeCell ref="K3494:K3496"/>
    <mergeCell ref="M3494:M3496"/>
    <mergeCell ref="N3488:N3490"/>
    <mergeCell ref="O3488:O3490"/>
    <mergeCell ref="P3488:P3490"/>
    <mergeCell ref="Q3488:Q3490"/>
    <mergeCell ref="A3494:A3496"/>
    <mergeCell ref="B3494:B3496"/>
    <mergeCell ref="C3494:C3496"/>
    <mergeCell ref="D3494:D3496"/>
    <mergeCell ref="E3494:E3496"/>
    <mergeCell ref="F3494:F3496"/>
    <mergeCell ref="G3415:G3419"/>
    <mergeCell ref="H3415:H3419"/>
    <mergeCell ref="I3415:I3419"/>
    <mergeCell ref="J3415:J3419"/>
    <mergeCell ref="K3415:K3419"/>
    <mergeCell ref="M3415:M3419"/>
    <mergeCell ref="N3463:N3465"/>
    <mergeCell ref="O3463:O3465"/>
    <mergeCell ref="P3463:P3465"/>
    <mergeCell ref="Q3463:Q3465"/>
    <mergeCell ref="A3488:A3490"/>
    <mergeCell ref="B3488:B3490"/>
    <mergeCell ref="C3488:C3490"/>
    <mergeCell ref="D3488:D3490"/>
    <mergeCell ref="E3488:E3490"/>
    <mergeCell ref="F3488:F3490"/>
    <mergeCell ref="G3463:G3465"/>
    <mergeCell ref="H3463:H3465"/>
    <mergeCell ref="I3463:I3465"/>
    <mergeCell ref="J3463:J3465"/>
    <mergeCell ref="K3463:K3465"/>
    <mergeCell ref="M3463:M3465"/>
    <mergeCell ref="N3437:N3439"/>
    <mergeCell ref="O3437:O3439"/>
    <mergeCell ref="P3437:P3439"/>
    <mergeCell ref="Q3437:Q3439"/>
    <mergeCell ref="A3463:A3465"/>
    <mergeCell ref="B3463:B3465"/>
    <mergeCell ref="C3463:C3465"/>
    <mergeCell ref="D3463:D3465"/>
    <mergeCell ref="E3463:E3465"/>
    <mergeCell ref="F3463:F3465"/>
    <mergeCell ref="G3405:G3409"/>
    <mergeCell ref="H3405:H3409"/>
    <mergeCell ref="I3405:I3409"/>
    <mergeCell ref="J3405:J3409"/>
    <mergeCell ref="K3405:K3409"/>
    <mergeCell ref="M3405:M3409"/>
    <mergeCell ref="N3420:N3424"/>
    <mergeCell ref="O3420:O3424"/>
    <mergeCell ref="P3420:P3424"/>
    <mergeCell ref="Q3420:Q3424"/>
    <mergeCell ref="A3437:A3439"/>
    <mergeCell ref="B3437:B3439"/>
    <mergeCell ref="C3437:C3439"/>
    <mergeCell ref="D3437:D3439"/>
    <mergeCell ref="E3437:E3439"/>
    <mergeCell ref="F3437:F3439"/>
    <mergeCell ref="G3420:G3424"/>
    <mergeCell ref="H3420:H3424"/>
    <mergeCell ref="I3420:I3424"/>
    <mergeCell ref="J3420:J3424"/>
    <mergeCell ref="K3420:K3424"/>
    <mergeCell ref="M3420:M3424"/>
    <mergeCell ref="N3415:N3419"/>
    <mergeCell ref="O3415:O3419"/>
    <mergeCell ref="P3415:P3419"/>
    <mergeCell ref="Q3415:Q3419"/>
    <mergeCell ref="A3420:A3424"/>
    <mergeCell ref="B3420:B3424"/>
    <mergeCell ref="C3420:C3424"/>
    <mergeCell ref="D3420:D3424"/>
    <mergeCell ref="E3420:E3424"/>
    <mergeCell ref="F3420:F3424"/>
    <mergeCell ref="G3395:G3399"/>
    <mergeCell ref="H3395:H3399"/>
    <mergeCell ref="I3395:I3399"/>
    <mergeCell ref="J3395:J3399"/>
    <mergeCell ref="K3395:K3399"/>
    <mergeCell ref="M3395:M3399"/>
    <mergeCell ref="N3410:N3414"/>
    <mergeCell ref="O3410:O3414"/>
    <mergeCell ref="P3410:P3414"/>
    <mergeCell ref="Q3410:Q3414"/>
    <mergeCell ref="A3415:A3419"/>
    <mergeCell ref="B3415:B3419"/>
    <mergeCell ref="C3415:C3419"/>
    <mergeCell ref="D3415:D3419"/>
    <mergeCell ref="E3415:E3419"/>
    <mergeCell ref="F3415:F3419"/>
    <mergeCell ref="G3410:G3414"/>
    <mergeCell ref="H3410:H3414"/>
    <mergeCell ref="I3410:I3414"/>
    <mergeCell ref="J3410:J3414"/>
    <mergeCell ref="K3410:K3414"/>
    <mergeCell ref="M3410:M3414"/>
    <mergeCell ref="N3405:N3409"/>
    <mergeCell ref="O3405:O3409"/>
    <mergeCell ref="P3405:P3409"/>
    <mergeCell ref="Q3405:Q3409"/>
    <mergeCell ref="A3410:A3414"/>
    <mergeCell ref="B3410:B3414"/>
    <mergeCell ref="C3410:C3414"/>
    <mergeCell ref="D3410:D3414"/>
    <mergeCell ref="E3410:E3414"/>
    <mergeCell ref="F3410:F3414"/>
    <mergeCell ref="G3360:G3361"/>
    <mergeCell ref="H3360:H3361"/>
    <mergeCell ref="I3360:I3361"/>
    <mergeCell ref="J3360:J3361"/>
    <mergeCell ref="K3360:K3361"/>
    <mergeCell ref="M3360:M3361"/>
    <mergeCell ref="N3400:N3404"/>
    <mergeCell ref="O3400:O3404"/>
    <mergeCell ref="P3400:P3404"/>
    <mergeCell ref="Q3400:Q3404"/>
    <mergeCell ref="A3405:A3409"/>
    <mergeCell ref="B3405:B3409"/>
    <mergeCell ref="C3405:C3409"/>
    <mergeCell ref="D3405:D3409"/>
    <mergeCell ref="E3405:E3409"/>
    <mergeCell ref="F3405:F3409"/>
    <mergeCell ref="G3400:G3404"/>
    <mergeCell ref="H3400:H3404"/>
    <mergeCell ref="I3400:I3404"/>
    <mergeCell ref="J3400:J3404"/>
    <mergeCell ref="K3400:K3404"/>
    <mergeCell ref="M3400:M3404"/>
    <mergeCell ref="N3395:N3399"/>
    <mergeCell ref="O3395:O3399"/>
    <mergeCell ref="P3395:P3399"/>
    <mergeCell ref="Q3395:Q3399"/>
    <mergeCell ref="A3400:A3404"/>
    <mergeCell ref="B3400:B3404"/>
    <mergeCell ref="C3400:C3404"/>
    <mergeCell ref="D3400:D3404"/>
    <mergeCell ref="E3400:E3404"/>
    <mergeCell ref="F3400:F3404"/>
    <mergeCell ref="G3356:G3357"/>
    <mergeCell ref="H3356:H3357"/>
    <mergeCell ref="I3356:I3357"/>
    <mergeCell ref="J3356:J3357"/>
    <mergeCell ref="K3356:K3357"/>
    <mergeCell ref="M3356:M3357"/>
    <mergeCell ref="N3370:N3372"/>
    <mergeCell ref="O3370:O3372"/>
    <mergeCell ref="P3370:P3372"/>
    <mergeCell ref="Q3370:Q3372"/>
    <mergeCell ref="A3395:A3399"/>
    <mergeCell ref="B3395:B3399"/>
    <mergeCell ref="C3395:C3399"/>
    <mergeCell ref="D3395:D3399"/>
    <mergeCell ref="E3395:E3399"/>
    <mergeCell ref="F3395:F3399"/>
    <mergeCell ref="G3370:G3372"/>
    <mergeCell ref="H3370:H3372"/>
    <mergeCell ref="I3370:I3372"/>
    <mergeCell ref="J3370:J3372"/>
    <mergeCell ref="K3370:K3372"/>
    <mergeCell ref="M3370:M3372"/>
    <mergeCell ref="N3360:N3361"/>
    <mergeCell ref="O3360:O3361"/>
    <mergeCell ref="P3360:P3361"/>
    <mergeCell ref="Q3360:Q3361"/>
    <mergeCell ref="A3370:A3372"/>
    <mergeCell ref="B3370:B3372"/>
    <mergeCell ref="C3370:C3372"/>
    <mergeCell ref="D3370:D3372"/>
    <mergeCell ref="E3370:E3372"/>
    <mergeCell ref="F3370:F3372"/>
    <mergeCell ref="G3322:G3324"/>
    <mergeCell ref="H3322:H3324"/>
    <mergeCell ref="I3322:I3324"/>
    <mergeCell ref="J3322:J3324"/>
    <mergeCell ref="K3322:K3324"/>
    <mergeCell ref="M3322:M3324"/>
    <mergeCell ref="N3358:N3359"/>
    <mergeCell ref="O3358:O3359"/>
    <mergeCell ref="P3358:P3359"/>
    <mergeCell ref="Q3358:Q3359"/>
    <mergeCell ref="A3360:A3361"/>
    <mergeCell ref="B3360:B3361"/>
    <mergeCell ref="C3360:C3361"/>
    <mergeCell ref="D3360:D3361"/>
    <mergeCell ref="E3360:E3361"/>
    <mergeCell ref="F3360:F3361"/>
    <mergeCell ref="G3358:G3359"/>
    <mergeCell ref="H3358:H3359"/>
    <mergeCell ref="I3358:I3359"/>
    <mergeCell ref="J3358:J3359"/>
    <mergeCell ref="K3358:K3359"/>
    <mergeCell ref="M3358:M3359"/>
    <mergeCell ref="N3356:N3357"/>
    <mergeCell ref="O3356:O3357"/>
    <mergeCell ref="P3356:P3357"/>
    <mergeCell ref="Q3356:Q3357"/>
    <mergeCell ref="A3358:A3359"/>
    <mergeCell ref="B3358:B3359"/>
    <mergeCell ref="C3358:C3359"/>
    <mergeCell ref="D3358:D3359"/>
    <mergeCell ref="E3358:E3359"/>
    <mergeCell ref="F3358:F3359"/>
    <mergeCell ref="G3296:G3298"/>
    <mergeCell ref="H3296:H3298"/>
    <mergeCell ref="I3296:I3298"/>
    <mergeCell ref="J3296:J3298"/>
    <mergeCell ref="K3296:K3298"/>
    <mergeCell ref="M3296:M3298"/>
    <mergeCell ref="N3341:N3343"/>
    <mergeCell ref="O3341:O3343"/>
    <mergeCell ref="P3341:P3343"/>
    <mergeCell ref="Q3341:Q3343"/>
    <mergeCell ref="A3356:A3357"/>
    <mergeCell ref="B3356:B3357"/>
    <mergeCell ref="C3356:C3357"/>
    <mergeCell ref="D3356:D3357"/>
    <mergeCell ref="E3356:E3357"/>
    <mergeCell ref="F3356:F3357"/>
    <mergeCell ref="G3341:G3343"/>
    <mergeCell ref="H3341:H3343"/>
    <mergeCell ref="I3341:I3343"/>
    <mergeCell ref="J3341:J3343"/>
    <mergeCell ref="K3341:K3343"/>
    <mergeCell ref="M3341:M3343"/>
    <mergeCell ref="N3322:N3324"/>
    <mergeCell ref="O3322:O3324"/>
    <mergeCell ref="P3322:P3324"/>
    <mergeCell ref="Q3322:Q3324"/>
    <mergeCell ref="A3341:A3343"/>
    <mergeCell ref="B3341:B3343"/>
    <mergeCell ref="C3341:C3343"/>
    <mergeCell ref="D3341:D3343"/>
    <mergeCell ref="E3341:E3343"/>
    <mergeCell ref="F3341:F3343"/>
    <mergeCell ref="G3267:G3269"/>
    <mergeCell ref="H3267:H3269"/>
    <mergeCell ref="I3267:I3269"/>
    <mergeCell ref="J3267:J3269"/>
    <mergeCell ref="K3267:K3269"/>
    <mergeCell ref="M3267:M3269"/>
    <mergeCell ref="N3311:N3313"/>
    <mergeCell ref="O3311:O3313"/>
    <mergeCell ref="P3311:P3313"/>
    <mergeCell ref="Q3311:Q3313"/>
    <mergeCell ref="A3322:A3324"/>
    <mergeCell ref="B3322:B3324"/>
    <mergeCell ref="C3322:C3324"/>
    <mergeCell ref="D3322:D3324"/>
    <mergeCell ref="E3322:E3324"/>
    <mergeCell ref="F3322:F3324"/>
    <mergeCell ref="G3311:G3313"/>
    <mergeCell ref="H3311:H3313"/>
    <mergeCell ref="I3311:I3313"/>
    <mergeCell ref="J3311:J3313"/>
    <mergeCell ref="K3311:K3313"/>
    <mergeCell ref="M3311:M3313"/>
    <mergeCell ref="N3296:N3298"/>
    <mergeCell ref="O3296:O3298"/>
    <mergeCell ref="P3296:P3298"/>
    <mergeCell ref="Q3296:Q3298"/>
    <mergeCell ref="A3311:A3313"/>
    <mergeCell ref="B3311:B3313"/>
    <mergeCell ref="C3311:C3313"/>
    <mergeCell ref="D3311:D3313"/>
    <mergeCell ref="E3311:E3313"/>
    <mergeCell ref="F3311:F3313"/>
    <mergeCell ref="G3255:G3257"/>
    <mergeCell ref="H3255:H3257"/>
    <mergeCell ref="I3255:I3257"/>
    <mergeCell ref="J3255:J3257"/>
    <mergeCell ref="K3255:K3257"/>
    <mergeCell ref="M3255:M3257"/>
    <mergeCell ref="N3292:N3294"/>
    <mergeCell ref="O3292:O3294"/>
    <mergeCell ref="P3292:P3294"/>
    <mergeCell ref="Q3292:Q3294"/>
    <mergeCell ref="A3296:A3298"/>
    <mergeCell ref="B3296:B3298"/>
    <mergeCell ref="C3296:C3298"/>
    <mergeCell ref="D3296:D3298"/>
    <mergeCell ref="E3296:E3298"/>
    <mergeCell ref="F3296:F3298"/>
    <mergeCell ref="G3292:G3294"/>
    <mergeCell ref="H3292:H3294"/>
    <mergeCell ref="I3292:I3294"/>
    <mergeCell ref="J3292:J3294"/>
    <mergeCell ref="K3292:K3294"/>
    <mergeCell ref="M3292:M3294"/>
    <mergeCell ref="N3267:N3269"/>
    <mergeCell ref="O3267:O3269"/>
    <mergeCell ref="P3267:P3269"/>
    <mergeCell ref="Q3267:Q3269"/>
    <mergeCell ref="A3292:A3294"/>
    <mergeCell ref="B3292:B3294"/>
    <mergeCell ref="C3292:C3294"/>
    <mergeCell ref="D3292:D3294"/>
    <mergeCell ref="E3292:E3294"/>
    <mergeCell ref="F3292:F3294"/>
    <mergeCell ref="G3216:G3218"/>
    <mergeCell ref="H3216:H3218"/>
    <mergeCell ref="I3216:I3218"/>
    <mergeCell ref="J3216:J3218"/>
    <mergeCell ref="K3216:K3218"/>
    <mergeCell ref="M3216:M3218"/>
    <mergeCell ref="N3260:N3262"/>
    <mergeCell ref="O3260:O3262"/>
    <mergeCell ref="P3260:P3262"/>
    <mergeCell ref="Q3260:Q3262"/>
    <mergeCell ref="A3267:A3269"/>
    <mergeCell ref="B3267:B3269"/>
    <mergeCell ref="C3267:C3269"/>
    <mergeCell ref="D3267:D3269"/>
    <mergeCell ref="E3267:E3269"/>
    <mergeCell ref="F3267:F3269"/>
    <mergeCell ref="G3260:G3262"/>
    <mergeCell ref="H3260:H3262"/>
    <mergeCell ref="I3260:I3262"/>
    <mergeCell ref="J3260:J3262"/>
    <mergeCell ref="K3260:K3262"/>
    <mergeCell ref="M3260:M3262"/>
    <mergeCell ref="N3255:N3257"/>
    <mergeCell ref="O3255:O3257"/>
    <mergeCell ref="P3255:P3257"/>
    <mergeCell ref="Q3255:Q3257"/>
    <mergeCell ref="A3260:A3262"/>
    <mergeCell ref="B3260:B3262"/>
    <mergeCell ref="C3260:C3262"/>
    <mergeCell ref="D3260:D3262"/>
    <mergeCell ref="E3260:E3262"/>
    <mergeCell ref="F3260:F3262"/>
    <mergeCell ref="G3180:G3181"/>
    <mergeCell ref="H3180:H3181"/>
    <mergeCell ref="I3180:I3181"/>
    <mergeCell ref="J3180:J3181"/>
    <mergeCell ref="K3180:K3181"/>
    <mergeCell ref="M3180:M3181"/>
    <mergeCell ref="N3231:N3233"/>
    <mergeCell ref="O3231:O3233"/>
    <mergeCell ref="P3231:P3233"/>
    <mergeCell ref="Q3231:Q3233"/>
    <mergeCell ref="A3255:A3257"/>
    <mergeCell ref="B3255:B3257"/>
    <mergeCell ref="C3255:C3257"/>
    <mergeCell ref="D3255:D3257"/>
    <mergeCell ref="E3255:E3257"/>
    <mergeCell ref="F3255:F3257"/>
    <mergeCell ref="G3231:G3233"/>
    <mergeCell ref="H3231:H3233"/>
    <mergeCell ref="I3231:I3233"/>
    <mergeCell ref="J3231:J3233"/>
    <mergeCell ref="K3231:K3233"/>
    <mergeCell ref="M3231:M3233"/>
    <mergeCell ref="N3216:N3218"/>
    <mergeCell ref="O3216:O3218"/>
    <mergeCell ref="P3216:P3218"/>
    <mergeCell ref="Q3216:Q3218"/>
    <mergeCell ref="A3231:A3233"/>
    <mergeCell ref="B3231:B3233"/>
    <mergeCell ref="C3231:C3233"/>
    <mergeCell ref="D3231:D3233"/>
    <mergeCell ref="E3231:E3233"/>
    <mergeCell ref="F3231:F3233"/>
    <mergeCell ref="G3176:G3177"/>
    <mergeCell ref="H3176:H3177"/>
    <mergeCell ref="I3176:I3177"/>
    <mergeCell ref="J3176:J3177"/>
    <mergeCell ref="K3176:K3177"/>
    <mergeCell ref="M3176:M3177"/>
    <mergeCell ref="N3188:N3190"/>
    <mergeCell ref="O3188:O3190"/>
    <mergeCell ref="P3188:P3190"/>
    <mergeCell ref="Q3188:Q3190"/>
    <mergeCell ref="A3216:A3218"/>
    <mergeCell ref="B3216:B3218"/>
    <mergeCell ref="C3216:C3218"/>
    <mergeCell ref="D3216:D3218"/>
    <mergeCell ref="E3216:E3218"/>
    <mergeCell ref="F3216:F3218"/>
    <mergeCell ref="G3188:G3190"/>
    <mergeCell ref="H3188:H3190"/>
    <mergeCell ref="I3188:I3190"/>
    <mergeCell ref="J3188:J3190"/>
    <mergeCell ref="K3188:K3190"/>
    <mergeCell ref="M3188:M3190"/>
    <mergeCell ref="N3180:N3181"/>
    <mergeCell ref="O3180:O3181"/>
    <mergeCell ref="P3180:P3181"/>
    <mergeCell ref="Q3180:Q3181"/>
    <mergeCell ref="A3188:A3190"/>
    <mergeCell ref="B3188:B3190"/>
    <mergeCell ref="C3188:C3190"/>
    <mergeCell ref="D3188:D3190"/>
    <mergeCell ref="E3188:E3190"/>
    <mergeCell ref="F3188:F3190"/>
    <mergeCell ref="G3115:G3119"/>
    <mergeCell ref="H3115:H3119"/>
    <mergeCell ref="I3115:I3119"/>
    <mergeCell ref="J3115:J3119"/>
    <mergeCell ref="K3115:K3119"/>
    <mergeCell ref="M3115:M3119"/>
    <mergeCell ref="N3178:N3179"/>
    <mergeCell ref="O3178:O3179"/>
    <mergeCell ref="P3178:P3179"/>
    <mergeCell ref="Q3178:Q3179"/>
    <mergeCell ref="A3180:A3181"/>
    <mergeCell ref="B3180:B3181"/>
    <mergeCell ref="C3180:C3181"/>
    <mergeCell ref="D3180:D3181"/>
    <mergeCell ref="E3180:E3181"/>
    <mergeCell ref="F3180:F3181"/>
    <mergeCell ref="G3178:G3179"/>
    <mergeCell ref="H3178:H3179"/>
    <mergeCell ref="I3178:I3179"/>
    <mergeCell ref="J3178:J3179"/>
    <mergeCell ref="K3178:K3179"/>
    <mergeCell ref="M3178:M3179"/>
    <mergeCell ref="N3176:N3177"/>
    <mergeCell ref="O3176:O3177"/>
    <mergeCell ref="P3176:P3177"/>
    <mergeCell ref="Q3176:Q3177"/>
    <mergeCell ref="A3178:A3179"/>
    <mergeCell ref="B3178:B3179"/>
    <mergeCell ref="C3178:C3179"/>
    <mergeCell ref="D3178:D3179"/>
    <mergeCell ref="E3178:E3179"/>
    <mergeCell ref="F3178:F3179"/>
    <mergeCell ref="G3105:G3109"/>
    <mergeCell ref="H3105:H3109"/>
    <mergeCell ref="I3105:I3109"/>
    <mergeCell ref="J3105:J3109"/>
    <mergeCell ref="K3105:K3109"/>
    <mergeCell ref="M3105:M3109"/>
    <mergeCell ref="N3133:N3135"/>
    <mergeCell ref="O3133:O3135"/>
    <mergeCell ref="P3133:P3135"/>
    <mergeCell ref="Q3133:Q3135"/>
    <mergeCell ref="A3176:A3177"/>
    <mergeCell ref="B3176:B3177"/>
    <mergeCell ref="C3176:C3177"/>
    <mergeCell ref="D3176:D3177"/>
    <mergeCell ref="E3176:E3177"/>
    <mergeCell ref="F3176:F3177"/>
    <mergeCell ref="G3133:G3135"/>
    <mergeCell ref="H3133:H3135"/>
    <mergeCell ref="I3133:I3135"/>
    <mergeCell ref="J3133:J3135"/>
    <mergeCell ref="K3133:K3135"/>
    <mergeCell ref="M3133:M3135"/>
    <mergeCell ref="N3115:N3119"/>
    <mergeCell ref="O3115:O3119"/>
    <mergeCell ref="P3115:P3119"/>
    <mergeCell ref="Q3115:Q3119"/>
    <mergeCell ref="A3133:A3135"/>
    <mergeCell ref="B3133:B3135"/>
    <mergeCell ref="C3133:C3135"/>
    <mergeCell ref="D3133:D3135"/>
    <mergeCell ref="E3133:E3135"/>
    <mergeCell ref="F3133:F3135"/>
    <mergeCell ref="G3095:G3099"/>
    <mergeCell ref="H3095:H3099"/>
    <mergeCell ref="I3095:I3099"/>
    <mergeCell ref="J3095:J3099"/>
    <mergeCell ref="K3095:K3099"/>
    <mergeCell ref="M3095:M3099"/>
    <mergeCell ref="N3110:N3114"/>
    <mergeCell ref="O3110:O3114"/>
    <mergeCell ref="P3110:P3114"/>
    <mergeCell ref="Q3110:Q3114"/>
    <mergeCell ref="A3115:A3119"/>
    <mergeCell ref="B3115:B3119"/>
    <mergeCell ref="C3115:C3119"/>
    <mergeCell ref="D3115:D3119"/>
    <mergeCell ref="E3115:E3119"/>
    <mergeCell ref="F3115:F3119"/>
    <mergeCell ref="G3110:G3114"/>
    <mergeCell ref="H3110:H3114"/>
    <mergeCell ref="I3110:I3114"/>
    <mergeCell ref="J3110:J3114"/>
    <mergeCell ref="K3110:K3114"/>
    <mergeCell ref="M3110:M3114"/>
    <mergeCell ref="N3105:N3109"/>
    <mergeCell ref="O3105:O3109"/>
    <mergeCell ref="P3105:P3109"/>
    <mergeCell ref="Q3105:Q3109"/>
    <mergeCell ref="A3110:A3114"/>
    <mergeCell ref="B3110:B3114"/>
    <mergeCell ref="C3110:C3114"/>
    <mergeCell ref="D3110:D3114"/>
    <mergeCell ref="E3110:E3114"/>
    <mergeCell ref="F3110:F3114"/>
    <mergeCell ref="G3068:G3070"/>
    <mergeCell ref="H3068:H3070"/>
    <mergeCell ref="I3068:I3070"/>
    <mergeCell ref="J3068:J3070"/>
    <mergeCell ref="K3068:K3070"/>
    <mergeCell ref="M3068:M3070"/>
    <mergeCell ref="N3100:N3104"/>
    <mergeCell ref="O3100:O3104"/>
    <mergeCell ref="P3100:P3104"/>
    <mergeCell ref="Q3100:Q3104"/>
    <mergeCell ref="A3105:A3109"/>
    <mergeCell ref="B3105:B3109"/>
    <mergeCell ref="C3105:C3109"/>
    <mergeCell ref="D3105:D3109"/>
    <mergeCell ref="E3105:E3109"/>
    <mergeCell ref="F3105:F3109"/>
    <mergeCell ref="G3100:G3104"/>
    <mergeCell ref="H3100:H3104"/>
    <mergeCell ref="I3100:I3104"/>
    <mergeCell ref="J3100:J3104"/>
    <mergeCell ref="K3100:K3104"/>
    <mergeCell ref="M3100:M3104"/>
    <mergeCell ref="N3095:N3099"/>
    <mergeCell ref="O3095:O3099"/>
    <mergeCell ref="P3095:P3099"/>
    <mergeCell ref="Q3095:Q3099"/>
    <mergeCell ref="A3100:A3104"/>
    <mergeCell ref="B3100:B3104"/>
    <mergeCell ref="C3100:C3104"/>
    <mergeCell ref="D3100:D3104"/>
    <mergeCell ref="E3100:E3104"/>
    <mergeCell ref="F3100:F3104"/>
    <mergeCell ref="G3058:G3059"/>
    <mergeCell ref="H3058:H3059"/>
    <mergeCell ref="I3058:I3059"/>
    <mergeCell ref="J3058:J3059"/>
    <mergeCell ref="K3058:K3059"/>
    <mergeCell ref="M3058:M3059"/>
    <mergeCell ref="N3090:N3094"/>
    <mergeCell ref="O3090:O3094"/>
    <mergeCell ref="P3090:P3094"/>
    <mergeCell ref="Q3090:Q3094"/>
    <mergeCell ref="A3095:A3099"/>
    <mergeCell ref="B3095:B3099"/>
    <mergeCell ref="C3095:C3099"/>
    <mergeCell ref="D3095:D3099"/>
    <mergeCell ref="E3095:E3099"/>
    <mergeCell ref="F3095:F3099"/>
    <mergeCell ref="G3090:G3094"/>
    <mergeCell ref="H3090:H3094"/>
    <mergeCell ref="I3090:I3094"/>
    <mergeCell ref="J3090:J3094"/>
    <mergeCell ref="K3090:K3094"/>
    <mergeCell ref="M3090:M3094"/>
    <mergeCell ref="N3068:N3070"/>
    <mergeCell ref="O3068:O3070"/>
    <mergeCell ref="P3068:P3070"/>
    <mergeCell ref="Q3068:Q3070"/>
    <mergeCell ref="A3090:A3094"/>
    <mergeCell ref="B3090:B3094"/>
    <mergeCell ref="C3090:C3094"/>
    <mergeCell ref="D3090:D3094"/>
    <mergeCell ref="E3090:E3094"/>
    <mergeCell ref="F3090:F3094"/>
    <mergeCell ref="G3047:G3049"/>
    <mergeCell ref="H3047:H3049"/>
    <mergeCell ref="I3047:I3049"/>
    <mergeCell ref="J3047:J3049"/>
    <mergeCell ref="K3047:K3049"/>
    <mergeCell ref="M3047:M3049"/>
    <mergeCell ref="N3060:N3061"/>
    <mergeCell ref="O3060:O3061"/>
    <mergeCell ref="P3060:P3061"/>
    <mergeCell ref="Q3060:Q3061"/>
    <mergeCell ref="A3068:A3070"/>
    <mergeCell ref="B3068:B3070"/>
    <mergeCell ref="C3068:C3070"/>
    <mergeCell ref="D3068:D3070"/>
    <mergeCell ref="E3068:E3070"/>
    <mergeCell ref="F3068:F3070"/>
    <mergeCell ref="G3060:G3061"/>
    <mergeCell ref="H3060:H3061"/>
    <mergeCell ref="I3060:I3061"/>
    <mergeCell ref="J3060:J3061"/>
    <mergeCell ref="K3060:K3061"/>
    <mergeCell ref="M3060:M3061"/>
    <mergeCell ref="N3058:N3059"/>
    <mergeCell ref="O3058:O3059"/>
    <mergeCell ref="P3058:P3059"/>
    <mergeCell ref="Q3058:Q3059"/>
    <mergeCell ref="A3060:A3061"/>
    <mergeCell ref="B3060:B3061"/>
    <mergeCell ref="C3060:C3061"/>
    <mergeCell ref="D3060:D3061"/>
    <mergeCell ref="E3060:E3061"/>
    <mergeCell ref="F3060:F3061"/>
    <mergeCell ref="G3011:G3013"/>
    <mergeCell ref="H3011:H3013"/>
    <mergeCell ref="I3011:I3013"/>
    <mergeCell ref="J3011:J3013"/>
    <mergeCell ref="K3011:K3013"/>
    <mergeCell ref="M3011:M3013"/>
    <mergeCell ref="N3056:N3057"/>
    <mergeCell ref="O3056:O3057"/>
    <mergeCell ref="P3056:P3057"/>
    <mergeCell ref="Q3056:Q3057"/>
    <mergeCell ref="A3058:A3059"/>
    <mergeCell ref="B3058:B3059"/>
    <mergeCell ref="C3058:C3059"/>
    <mergeCell ref="D3058:D3059"/>
    <mergeCell ref="E3058:E3059"/>
    <mergeCell ref="F3058:F3059"/>
    <mergeCell ref="G3056:G3057"/>
    <mergeCell ref="H3056:H3057"/>
    <mergeCell ref="I3056:I3057"/>
    <mergeCell ref="J3056:J3057"/>
    <mergeCell ref="K3056:K3057"/>
    <mergeCell ref="M3056:M3057"/>
    <mergeCell ref="N3047:N3049"/>
    <mergeCell ref="O3047:O3049"/>
    <mergeCell ref="P3047:P3049"/>
    <mergeCell ref="Q3047:Q3049"/>
    <mergeCell ref="A3056:A3057"/>
    <mergeCell ref="B3056:B3057"/>
    <mergeCell ref="C3056:C3057"/>
    <mergeCell ref="D3056:D3057"/>
    <mergeCell ref="E3056:E3057"/>
    <mergeCell ref="F3056:F3057"/>
    <mergeCell ref="G2985:G2987"/>
    <mergeCell ref="H2985:H2987"/>
    <mergeCell ref="I2985:I2987"/>
    <mergeCell ref="J2985:J2987"/>
    <mergeCell ref="K2985:K2987"/>
    <mergeCell ref="M2985:M2987"/>
    <mergeCell ref="N3030:N3032"/>
    <mergeCell ref="O3030:O3032"/>
    <mergeCell ref="P3030:P3032"/>
    <mergeCell ref="Q3030:Q3032"/>
    <mergeCell ref="A3047:A3049"/>
    <mergeCell ref="B3047:B3049"/>
    <mergeCell ref="C3047:C3049"/>
    <mergeCell ref="D3047:D3049"/>
    <mergeCell ref="E3047:E3049"/>
    <mergeCell ref="F3047:F3049"/>
    <mergeCell ref="G3030:G3032"/>
    <mergeCell ref="H3030:H3032"/>
    <mergeCell ref="I3030:I3032"/>
    <mergeCell ref="J3030:J3032"/>
    <mergeCell ref="K3030:K3032"/>
    <mergeCell ref="M3030:M3032"/>
    <mergeCell ref="N3011:N3013"/>
    <mergeCell ref="O3011:O3013"/>
    <mergeCell ref="P3011:P3013"/>
    <mergeCell ref="Q3011:Q3013"/>
    <mergeCell ref="A3030:A3032"/>
    <mergeCell ref="B3030:B3032"/>
    <mergeCell ref="C3030:C3032"/>
    <mergeCell ref="D3030:D3032"/>
    <mergeCell ref="E3030:E3032"/>
    <mergeCell ref="F3030:F3032"/>
    <mergeCell ref="G2960:G2962"/>
    <mergeCell ref="H2960:H2962"/>
    <mergeCell ref="I2960:I2962"/>
    <mergeCell ref="J2960:J2962"/>
    <mergeCell ref="K2960:K2962"/>
    <mergeCell ref="M2960:M2962"/>
    <mergeCell ref="N2988:N2990"/>
    <mergeCell ref="O2988:O2990"/>
    <mergeCell ref="P2988:P2990"/>
    <mergeCell ref="Q2988:Q2990"/>
    <mergeCell ref="A3011:A3013"/>
    <mergeCell ref="B3011:B3013"/>
    <mergeCell ref="C3011:C3013"/>
    <mergeCell ref="D3011:D3013"/>
    <mergeCell ref="E3011:E3013"/>
    <mergeCell ref="F3011:F3013"/>
    <mergeCell ref="G2988:G2990"/>
    <mergeCell ref="H2988:H2990"/>
    <mergeCell ref="I2988:I2990"/>
    <mergeCell ref="J2988:J2990"/>
    <mergeCell ref="K2988:K2990"/>
    <mergeCell ref="M2988:M2990"/>
    <mergeCell ref="N2985:N2987"/>
    <mergeCell ref="O2985:O2987"/>
    <mergeCell ref="P2985:P2987"/>
    <mergeCell ref="Q2985:Q2987"/>
    <mergeCell ref="A2988:A2990"/>
    <mergeCell ref="B2988:B2990"/>
    <mergeCell ref="C2988:C2990"/>
    <mergeCell ref="D2988:D2990"/>
    <mergeCell ref="E2988:E2990"/>
    <mergeCell ref="F2988:F2990"/>
    <mergeCell ref="G2925:G2927"/>
    <mergeCell ref="H2925:H2927"/>
    <mergeCell ref="I2925:I2927"/>
    <mergeCell ref="J2925:J2927"/>
    <mergeCell ref="K2925:K2927"/>
    <mergeCell ref="M2925:M2927"/>
    <mergeCell ref="N2969:N2971"/>
    <mergeCell ref="O2969:O2971"/>
    <mergeCell ref="P2969:P2971"/>
    <mergeCell ref="Q2969:Q2971"/>
    <mergeCell ref="A2985:A2987"/>
    <mergeCell ref="B2985:B2987"/>
    <mergeCell ref="C2985:C2987"/>
    <mergeCell ref="D2985:D2987"/>
    <mergeCell ref="E2985:E2987"/>
    <mergeCell ref="F2985:F2987"/>
    <mergeCell ref="G2969:G2971"/>
    <mergeCell ref="H2969:H2971"/>
    <mergeCell ref="I2969:I2971"/>
    <mergeCell ref="J2969:J2971"/>
    <mergeCell ref="K2969:K2971"/>
    <mergeCell ref="M2969:M2971"/>
    <mergeCell ref="N2960:N2962"/>
    <mergeCell ref="O2960:O2962"/>
    <mergeCell ref="P2960:P2962"/>
    <mergeCell ref="Q2960:Q2962"/>
    <mergeCell ref="A2969:A2971"/>
    <mergeCell ref="B2969:B2971"/>
    <mergeCell ref="C2969:C2971"/>
    <mergeCell ref="D2969:D2971"/>
    <mergeCell ref="E2969:E2971"/>
    <mergeCell ref="F2969:F2971"/>
    <mergeCell ref="G2896:G2898"/>
    <mergeCell ref="H2896:H2898"/>
    <mergeCell ref="I2896:I2898"/>
    <mergeCell ref="J2896:J2898"/>
    <mergeCell ref="K2896:K2898"/>
    <mergeCell ref="M2896:M2898"/>
    <mergeCell ref="N2954:N2956"/>
    <mergeCell ref="O2954:O2956"/>
    <mergeCell ref="P2954:P2956"/>
    <mergeCell ref="Q2954:Q2956"/>
    <mergeCell ref="A2960:A2962"/>
    <mergeCell ref="B2960:B2962"/>
    <mergeCell ref="C2960:C2962"/>
    <mergeCell ref="D2960:D2962"/>
    <mergeCell ref="E2960:E2962"/>
    <mergeCell ref="F2960:F2962"/>
    <mergeCell ref="G2954:G2956"/>
    <mergeCell ref="H2954:H2956"/>
    <mergeCell ref="I2954:I2956"/>
    <mergeCell ref="J2954:J2956"/>
    <mergeCell ref="K2954:K2956"/>
    <mergeCell ref="M2954:M2956"/>
    <mergeCell ref="N2925:N2927"/>
    <mergeCell ref="O2925:O2927"/>
    <mergeCell ref="P2925:P2927"/>
    <mergeCell ref="Q2925:Q2927"/>
    <mergeCell ref="A2954:A2956"/>
    <mergeCell ref="B2954:B2956"/>
    <mergeCell ref="C2954:C2956"/>
    <mergeCell ref="D2954:D2956"/>
    <mergeCell ref="E2954:E2956"/>
    <mergeCell ref="F2954:F2956"/>
    <mergeCell ref="G2865:G2866"/>
    <mergeCell ref="H2865:H2866"/>
    <mergeCell ref="I2865:I2866"/>
    <mergeCell ref="J2865:J2866"/>
    <mergeCell ref="K2865:K2866"/>
    <mergeCell ref="M2865:M2866"/>
    <mergeCell ref="N2920:N2922"/>
    <mergeCell ref="O2920:O2922"/>
    <mergeCell ref="P2920:P2922"/>
    <mergeCell ref="Q2920:Q2922"/>
    <mergeCell ref="A2925:A2927"/>
    <mergeCell ref="B2925:B2927"/>
    <mergeCell ref="C2925:C2927"/>
    <mergeCell ref="D2925:D2927"/>
    <mergeCell ref="E2925:E2927"/>
    <mergeCell ref="F2925:F2927"/>
    <mergeCell ref="G2920:G2922"/>
    <mergeCell ref="H2920:H2922"/>
    <mergeCell ref="I2920:I2922"/>
    <mergeCell ref="J2920:J2922"/>
    <mergeCell ref="K2920:K2922"/>
    <mergeCell ref="M2920:M2922"/>
    <mergeCell ref="N2896:N2898"/>
    <mergeCell ref="O2896:O2898"/>
    <mergeCell ref="P2896:P2898"/>
    <mergeCell ref="Q2896:Q2898"/>
    <mergeCell ref="A2920:A2922"/>
    <mergeCell ref="B2920:B2922"/>
    <mergeCell ref="C2920:C2922"/>
    <mergeCell ref="D2920:D2922"/>
    <mergeCell ref="E2920:E2922"/>
    <mergeCell ref="F2920:F2922"/>
    <mergeCell ref="G2861:G2862"/>
    <mergeCell ref="H2861:H2862"/>
    <mergeCell ref="I2861:I2862"/>
    <mergeCell ref="J2861:J2862"/>
    <mergeCell ref="K2861:K2862"/>
    <mergeCell ref="M2861:M2862"/>
    <mergeCell ref="N2873:N2875"/>
    <mergeCell ref="O2873:O2875"/>
    <mergeCell ref="P2873:P2875"/>
    <mergeCell ref="Q2873:Q2875"/>
    <mergeCell ref="A2896:A2898"/>
    <mergeCell ref="B2896:B2898"/>
    <mergeCell ref="C2896:C2898"/>
    <mergeCell ref="D2896:D2898"/>
    <mergeCell ref="E2896:E2898"/>
    <mergeCell ref="F2896:F2898"/>
    <mergeCell ref="G2873:G2875"/>
    <mergeCell ref="H2873:H2875"/>
    <mergeCell ref="I2873:I2875"/>
    <mergeCell ref="J2873:J2875"/>
    <mergeCell ref="K2873:K2875"/>
    <mergeCell ref="M2873:M2875"/>
    <mergeCell ref="N2865:N2866"/>
    <mergeCell ref="O2865:O2866"/>
    <mergeCell ref="P2865:P2866"/>
    <mergeCell ref="Q2865:Q2866"/>
    <mergeCell ref="A2873:A2875"/>
    <mergeCell ref="B2873:B2875"/>
    <mergeCell ref="C2873:C2875"/>
    <mergeCell ref="D2873:D2875"/>
    <mergeCell ref="E2873:E2875"/>
    <mergeCell ref="F2873:F2875"/>
    <mergeCell ref="G2811:G2815"/>
    <mergeCell ref="H2811:H2815"/>
    <mergeCell ref="I2811:I2815"/>
    <mergeCell ref="J2811:J2815"/>
    <mergeCell ref="K2811:K2815"/>
    <mergeCell ref="M2811:M2815"/>
    <mergeCell ref="N2863:N2864"/>
    <mergeCell ref="O2863:O2864"/>
    <mergeCell ref="P2863:P2864"/>
    <mergeCell ref="Q2863:Q2864"/>
    <mergeCell ref="A2865:A2866"/>
    <mergeCell ref="B2865:B2866"/>
    <mergeCell ref="C2865:C2866"/>
    <mergeCell ref="D2865:D2866"/>
    <mergeCell ref="E2865:E2866"/>
    <mergeCell ref="F2865:F2866"/>
    <mergeCell ref="G2863:G2864"/>
    <mergeCell ref="H2863:H2864"/>
    <mergeCell ref="I2863:I2864"/>
    <mergeCell ref="J2863:J2864"/>
    <mergeCell ref="K2863:K2864"/>
    <mergeCell ref="M2863:M2864"/>
    <mergeCell ref="N2861:N2862"/>
    <mergeCell ref="O2861:O2862"/>
    <mergeCell ref="P2861:P2862"/>
    <mergeCell ref="Q2861:Q2862"/>
    <mergeCell ref="A2863:A2864"/>
    <mergeCell ref="B2863:B2864"/>
    <mergeCell ref="C2863:C2864"/>
    <mergeCell ref="D2863:D2864"/>
    <mergeCell ref="E2863:E2864"/>
    <mergeCell ref="F2863:F2864"/>
    <mergeCell ref="G2801:G2805"/>
    <mergeCell ref="H2801:H2805"/>
    <mergeCell ref="I2801:I2805"/>
    <mergeCell ref="J2801:J2805"/>
    <mergeCell ref="K2801:K2805"/>
    <mergeCell ref="M2801:M2805"/>
    <mergeCell ref="N2822:N2824"/>
    <mergeCell ref="O2822:O2824"/>
    <mergeCell ref="P2822:P2824"/>
    <mergeCell ref="Q2822:Q2824"/>
    <mergeCell ref="A2861:A2862"/>
    <mergeCell ref="B2861:B2862"/>
    <mergeCell ref="C2861:C2862"/>
    <mergeCell ref="D2861:D2862"/>
    <mergeCell ref="E2861:E2862"/>
    <mergeCell ref="F2861:F2862"/>
    <mergeCell ref="G2822:G2824"/>
    <mergeCell ref="H2822:H2824"/>
    <mergeCell ref="I2822:I2824"/>
    <mergeCell ref="J2822:J2824"/>
    <mergeCell ref="K2822:K2824"/>
    <mergeCell ref="M2822:M2824"/>
    <mergeCell ref="N2811:N2815"/>
    <mergeCell ref="O2811:O2815"/>
    <mergeCell ref="P2811:P2815"/>
    <mergeCell ref="Q2811:Q2815"/>
    <mergeCell ref="A2822:A2824"/>
    <mergeCell ref="B2822:B2824"/>
    <mergeCell ref="C2822:C2824"/>
    <mergeCell ref="D2822:D2824"/>
    <mergeCell ref="E2822:E2824"/>
    <mergeCell ref="F2822:F2824"/>
    <mergeCell ref="G2791:G2795"/>
    <mergeCell ref="H2791:H2795"/>
    <mergeCell ref="I2791:I2795"/>
    <mergeCell ref="J2791:J2795"/>
    <mergeCell ref="K2791:K2795"/>
    <mergeCell ref="M2791:M2795"/>
    <mergeCell ref="N2806:N2810"/>
    <mergeCell ref="O2806:O2810"/>
    <mergeCell ref="P2806:P2810"/>
    <mergeCell ref="Q2806:Q2810"/>
    <mergeCell ref="A2811:A2815"/>
    <mergeCell ref="B2811:B2815"/>
    <mergeCell ref="C2811:C2815"/>
    <mergeCell ref="D2811:D2815"/>
    <mergeCell ref="E2811:E2815"/>
    <mergeCell ref="F2811:F2815"/>
    <mergeCell ref="G2806:G2810"/>
    <mergeCell ref="H2806:H2810"/>
    <mergeCell ref="I2806:I2810"/>
    <mergeCell ref="J2806:J2810"/>
    <mergeCell ref="K2806:K2810"/>
    <mergeCell ref="M2806:M2810"/>
    <mergeCell ref="N2801:N2805"/>
    <mergeCell ref="O2801:O2805"/>
    <mergeCell ref="P2801:P2805"/>
    <mergeCell ref="Q2801:Q2805"/>
    <mergeCell ref="A2806:A2810"/>
    <mergeCell ref="B2806:B2810"/>
    <mergeCell ref="C2806:C2810"/>
    <mergeCell ref="D2806:D2810"/>
    <mergeCell ref="E2806:E2810"/>
    <mergeCell ref="F2806:F2810"/>
    <mergeCell ref="G2764:G2766"/>
    <mergeCell ref="H2764:H2766"/>
    <mergeCell ref="I2764:I2766"/>
    <mergeCell ref="J2764:J2766"/>
    <mergeCell ref="K2764:K2766"/>
    <mergeCell ref="M2764:M2766"/>
    <mergeCell ref="N2796:N2800"/>
    <mergeCell ref="O2796:O2800"/>
    <mergeCell ref="P2796:P2800"/>
    <mergeCell ref="Q2796:Q2800"/>
    <mergeCell ref="A2801:A2805"/>
    <mergeCell ref="B2801:B2805"/>
    <mergeCell ref="C2801:C2805"/>
    <mergeCell ref="D2801:D2805"/>
    <mergeCell ref="E2801:E2805"/>
    <mergeCell ref="F2801:F2805"/>
    <mergeCell ref="G2796:G2800"/>
    <mergeCell ref="H2796:H2800"/>
    <mergeCell ref="I2796:I2800"/>
    <mergeCell ref="J2796:J2800"/>
    <mergeCell ref="K2796:K2800"/>
    <mergeCell ref="M2796:M2800"/>
    <mergeCell ref="N2791:N2795"/>
    <mergeCell ref="O2791:O2795"/>
    <mergeCell ref="P2791:P2795"/>
    <mergeCell ref="Q2791:Q2795"/>
    <mergeCell ref="A2796:A2800"/>
    <mergeCell ref="B2796:B2800"/>
    <mergeCell ref="C2796:C2800"/>
    <mergeCell ref="D2796:D2800"/>
    <mergeCell ref="E2796:E2800"/>
    <mergeCell ref="F2796:F2800"/>
    <mergeCell ref="G2754:G2755"/>
    <mergeCell ref="H2754:H2755"/>
    <mergeCell ref="I2754:I2755"/>
    <mergeCell ref="J2754:J2755"/>
    <mergeCell ref="K2754:K2755"/>
    <mergeCell ref="M2754:M2755"/>
    <mergeCell ref="N2786:N2790"/>
    <mergeCell ref="O2786:O2790"/>
    <mergeCell ref="P2786:P2790"/>
    <mergeCell ref="Q2786:Q2790"/>
    <mergeCell ref="A2791:A2795"/>
    <mergeCell ref="B2791:B2795"/>
    <mergeCell ref="C2791:C2795"/>
    <mergeCell ref="D2791:D2795"/>
    <mergeCell ref="E2791:E2795"/>
    <mergeCell ref="F2791:F2795"/>
    <mergeCell ref="G2786:G2790"/>
    <mergeCell ref="H2786:H2790"/>
    <mergeCell ref="I2786:I2790"/>
    <mergeCell ref="J2786:J2790"/>
    <mergeCell ref="K2786:K2790"/>
    <mergeCell ref="M2786:M2790"/>
    <mergeCell ref="N2764:N2766"/>
    <mergeCell ref="O2764:O2766"/>
    <mergeCell ref="P2764:P2766"/>
    <mergeCell ref="Q2764:Q2766"/>
    <mergeCell ref="A2786:A2790"/>
    <mergeCell ref="B2786:B2790"/>
    <mergeCell ref="C2786:C2790"/>
    <mergeCell ref="D2786:D2790"/>
    <mergeCell ref="E2786:E2790"/>
    <mergeCell ref="F2786:F2790"/>
    <mergeCell ref="G2745:G2747"/>
    <mergeCell ref="H2745:H2747"/>
    <mergeCell ref="I2745:I2747"/>
    <mergeCell ref="J2745:J2747"/>
    <mergeCell ref="K2745:K2747"/>
    <mergeCell ref="M2745:M2747"/>
    <mergeCell ref="N2756:N2757"/>
    <mergeCell ref="O2756:O2757"/>
    <mergeCell ref="P2756:P2757"/>
    <mergeCell ref="Q2756:Q2757"/>
    <mergeCell ref="A2764:A2766"/>
    <mergeCell ref="B2764:B2766"/>
    <mergeCell ref="C2764:C2766"/>
    <mergeCell ref="D2764:D2766"/>
    <mergeCell ref="E2764:E2766"/>
    <mergeCell ref="F2764:F2766"/>
    <mergeCell ref="G2756:G2757"/>
    <mergeCell ref="H2756:H2757"/>
    <mergeCell ref="I2756:I2757"/>
    <mergeCell ref="J2756:J2757"/>
    <mergeCell ref="K2756:K2757"/>
    <mergeCell ref="M2756:M2757"/>
    <mergeCell ref="N2754:N2755"/>
    <mergeCell ref="O2754:O2755"/>
    <mergeCell ref="P2754:P2755"/>
    <mergeCell ref="Q2754:Q2755"/>
    <mergeCell ref="A2756:A2757"/>
    <mergeCell ref="B2756:B2757"/>
    <mergeCell ref="C2756:C2757"/>
    <mergeCell ref="D2756:D2757"/>
    <mergeCell ref="E2756:E2757"/>
    <mergeCell ref="F2756:F2757"/>
    <mergeCell ref="G2714:G2716"/>
    <mergeCell ref="H2714:H2716"/>
    <mergeCell ref="I2714:I2716"/>
    <mergeCell ref="J2714:J2716"/>
    <mergeCell ref="K2714:K2716"/>
    <mergeCell ref="M2714:M2716"/>
    <mergeCell ref="N2752:N2753"/>
    <mergeCell ref="O2752:O2753"/>
    <mergeCell ref="P2752:P2753"/>
    <mergeCell ref="Q2752:Q2753"/>
    <mergeCell ref="A2754:A2755"/>
    <mergeCell ref="B2754:B2755"/>
    <mergeCell ref="C2754:C2755"/>
    <mergeCell ref="D2754:D2755"/>
    <mergeCell ref="E2754:E2755"/>
    <mergeCell ref="F2754:F2755"/>
    <mergeCell ref="G2752:G2753"/>
    <mergeCell ref="H2752:H2753"/>
    <mergeCell ref="I2752:I2753"/>
    <mergeCell ref="J2752:J2753"/>
    <mergeCell ref="K2752:K2753"/>
    <mergeCell ref="M2752:M2753"/>
    <mergeCell ref="N2745:N2747"/>
    <mergeCell ref="O2745:O2747"/>
    <mergeCell ref="P2745:P2747"/>
    <mergeCell ref="Q2745:Q2747"/>
    <mergeCell ref="A2752:A2753"/>
    <mergeCell ref="B2752:B2753"/>
    <mergeCell ref="C2752:C2753"/>
    <mergeCell ref="D2752:D2753"/>
    <mergeCell ref="E2752:E2753"/>
    <mergeCell ref="F2752:F2753"/>
    <mergeCell ref="G2668:G2672"/>
    <mergeCell ref="H2668:H2672"/>
    <mergeCell ref="I2668:I2672"/>
    <mergeCell ref="J2668:J2672"/>
    <mergeCell ref="K2668:K2672"/>
    <mergeCell ref="M2668:M2672"/>
    <mergeCell ref="N2726:N2728"/>
    <mergeCell ref="O2726:O2728"/>
    <mergeCell ref="P2726:P2728"/>
    <mergeCell ref="Q2726:Q2728"/>
    <mergeCell ref="A2745:A2747"/>
    <mergeCell ref="B2745:B2747"/>
    <mergeCell ref="C2745:C2747"/>
    <mergeCell ref="D2745:D2747"/>
    <mergeCell ref="E2745:E2747"/>
    <mergeCell ref="F2745:F2747"/>
    <mergeCell ref="G2726:G2728"/>
    <mergeCell ref="H2726:H2728"/>
    <mergeCell ref="I2726:I2728"/>
    <mergeCell ref="J2726:J2728"/>
    <mergeCell ref="K2726:K2728"/>
    <mergeCell ref="M2726:M2728"/>
    <mergeCell ref="N2714:N2716"/>
    <mergeCell ref="O2714:O2716"/>
    <mergeCell ref="P2714:P2716"/>
    <mergeCell ref="Q2714:Q2716"/>
    <mergeCell ref="A2726:A2728"/>
    <mergeCell ref="B2726:B2728"/>
    <mergeCell ref="C2726:C2728"/>
    <mergeCell ref="D2726:D2728"/>
    <mergeCell ref="E2726:E2728"/>
    <mergeCell ref="F2726:F2728"/>
    <mergeCell ref="G2658:G2662"/>
    <mergeCell ref="H2658:H2662"/>
    <mergeCell ref="I2658:I2662"/>
    <mergeCell ref="J2658:J2662"/>
    <mergeCell ref="K2658:K2662"/>
    <mergeCell ref="M2658:M2662"/>
    <mergeCell ref="N2696:N2698"/>
    <mergeCell ref="O2696:O2698"/>
    <mergeCell ref="P2696:P2698"/>
    <mergeCell ref="Q2696:Q2698"/>
    <mergeCell ref="A2714:A2716"/>
    <mergeCell ref="B2714:B2716"/>
    <mergeCell ref="C2714:C2716"/>
    <mergeCell ref="D2714:D2716"/>
    <mergeCell ref="E2714:E2716"/>
    <mergeCell ref="F2714:F2716"/>
    <mergeCell ref="G2696:G2698"/>
    <mergeCell ref="H2696:H2698"/>
    <mergeCell ref="I2696:I2698"/>
    <mergeCell ref="J2696:J2698"/>
    <mergeCell ref="K2696:K2698"/>
    <mergeCell ref="M2696:M2698"/>
    <mergeCell ref="N2668:N2672"/>
    <mergeCell ref="O2668:O2672"/>
    <mergeCell ref="P2668:P2672"/>
    <mergeCell ref="Q2668:Q2672"/>
    <mergeCell ref="A2696:A2698"/>
    <mergeCell ref="B2696:B2698"/>
    <mergeCell ref="C2696:C2698"/>
    <mergeCell ref="D2696:D2698"/>
    <mergeCell ref="E2696:E2698"/>
    <mergeCell ref="F2696:F2698"/>
    <mergeCell ref="G2648:G2652"/>
    <mergeCell ref="H2648:H2652"/>
    <mergeCell ref="I2648:I2652"/>
    <mergeCell ref="J2648:J2652"/>
    <mergeCell ref="K2648:K2652"/>
    <mergeCell ref="M2648:M2652"/>
    <mergeCell ref="N2663:N2667"/>
    <mergeCell ref="O2663:O2667"/>
    <mergeCell ref="P2663:P2667"/>
    <mergeCell ref="Q2663:Q2667"/>
    <mergeCell ref="A2668:A2672"/>
    <mergeCell ref="B2668:B2672"/>
    <mergeCell ref="C2668:C2672"/>
    <mergeCell ref="D2668:D2672"/>
    <mergeCell ref="E2668:E2672"/>
    <mergeCell ref="F2668:F2672"/>
    <mergeCell ref="G2663:G2667"/>
    <mergeCell ref="H2663:H2667"/>
    <mergeCell ref="I2663:I2667"/>
    <mergeCell ref="J2663:J2667"/>
    <mergeCell ref="K2663:K2667"/>
    <mergeCell ref="M2663:M2667"/>
    <mergeCell ref="N2658:N2662"/>
    <mergeCell ref="O2658:O2662"/>
    <mergeCell ref="P2658:P2662"/>
    <mergeCell ref="Q2658:Q2662"/>
    <mergeCell ref="A2663:A2667"/>
    <mergeCell ref="B2663:B2667"/>
    <mergeCell ref="C2663:C2667"/>
    <mergeCell ref="D2663:D2667"/>
    <mergeCell ref="E2663:E2667"/>
    <mergeCell ref="F2663:F2667"/>
    <mergeCell ref="G2626:G2628"/>
    <mergeCell ref="H2626:H2628"/>
    <mergeCell ref="I2626:I2628"/>
    <mergeCell ref="J2626:J2628"/>
    <mergeCell ref="K2626:K2628"/>
    <mergeCell ref="M2626:M2628"/>
    <mergeCell ref="N2653:N2657"/>
    <mergeCell ref="O2653:O2657"/>
    <mergeCell ref="P2653:P2657"/>
    <mergeCell ref="Q2653:Q2657"/>
    <mergeCell ref="A2658:A2662"/>
    <mergeCell ref="B2658:B2662"/>
    <mergeCell ref="C2658:C2662"/>
    <mergeCell ref="D2658:D2662"/>
    <mergeCell ref="E2658:E2662"/>
    <mergeCell ref="F2658:F2662"/>
    <mergeCell ref="G2653:G2657"/>
    <mergeCell ref="H2653:H2657"/>
    <mergeCell ref="I2653:I2657"/>
    <mergeCell ref="J2653:J2657"/>
    <mergeCell ref="K2653:K2657"/>
    <mergeCell ref="M2653:M2657"/>
    <mergeCell ref="N2648:N2652"/>
    <mergeCell ref="O2648:O2652"/>
    <mergeCell ref="P2648:P2652"/>
    <mergeCell ref="Q2648:Q2652"/>
    <mergeCell ref="A2653:A2657"/>
    <mergeCell ref="B2653:B2657"/>
    <mergeCell ref="C2653:C2657"/>
    <mergeCell ref="D2653:D2657"/>
    <mergeCell ref="E2653:E2657"/>
    <mergeCell ref="F2653:F2657"/>
    <mergeCell ref="G2616:G2617"/>
    <mergeCell ref="H2616:H2617"/>
    <mergeCell ref="I2616:I2617"/>
    <mergeCell ref="J2616:J2617"/>
    <mergeCell ref="K2616:K2617"/>
    <mergeCell ref="M2616:M2617"/>
    <mergeCell ref="N2643:N2647"/>
    <mergeCell ref="O2643:O2647"/>
    <mergeCell ref="P2643:P2647"/>
    <mergeCell ref="Q2643:Q2647"/>
    <mergeCell ref="A2648:A2652"/>
    <mergeCell ref="B2648:B2652"/>
    <mergeCell ref="C2648:C2652"/>
    <mergeCell ref="D2648:D2652"/>
    <mergeCell ref="E2648:E2652"/>
    <mergeCell ref="F2648:F2652"/>
    <mergeCell ref="G2643:G2647"/>
    <mergeCell ref="H2643:H2647"/>
    <mergeCell ref="I2643:I2647"/>
    <mergeCell ref="J2643:J2647"/>
    <mergeCell ref="K2643:K2647"/>
    <mergeCell ref="M2643:M2647"/>
    <mergeCell ref="N2626:N2628"/>
    <mergeCell ref="O2626:O2628"/>
    <mergeCell ref="P2626:P2628"/>
    <mergeCell ref="Q2626:Q2628"/>
    <mergeCell ref="A2643:A2647"/>
    <mergeCell ref="B2643:B2647"/>
    <mergeCell ref="C2643:C2647"/>
    <mergeCell ref="D2643:D2647"/>
    <mergeCell ref="E2643:E2647"/>
    <mergeCell ref="F2643:F2647"/>
    <mergeCell ref="G2608:G2610"/>
    <mergeCell ref="H2608:H2610"/>
    <mergeCell ref="I2608:I2610"/>
    <mergeCell ref="J2608:J2610"/>
    <mergeCell ref="K2608:K2610"/>
    <mergeCell ref="M2608:M2610"/>
    <mergeCell ref="N2618:N2619"/>
    <mergeCell ref="O2618:O2619"/>
    <mergeCell ref="P2618:P2619"/>
    <mergeCell ref="Q2618:Q2619"/>
    <mergeCell ref="A2626:A2628"/>
    <mergeCell ref="B2626:B2628"/>
    <mergeCell ref="C2626:C2628"/>
    <mergeCell ref="D2626:D2628"/>
    <mergeCell ref="E2626:E2628"/>
    <mergeCell ref="F2626:F2628"/>
    <mergeCell ref="G2618:G2619"/>
    <mergeCell ref="H2618:H2619"/>
    <mergeCell ref="I2618:I2619"/>
    <mergeCell ref="J2618:J2619"/>
    <mergeCell ref="K2618:K2619"/>
    <mergeCell ref="M2618:M2619"/>
    <mergeCell ref="N2616:N2617"/>
    <mergeCell ref="O2616:O2617"/>
    <mergeCell ref="P2616:P2617"/>
    <mergeCell ref="Q2616:Q2617"/>
    <mergeCell ref="A2618:A2619"/>
    <mergeCell ref="B2618:B2619"/>
    <mergeCell ref="C2618:C2619"/>
    <mergeCell ref="D2618:D2619"/>
    <mergeCell ref="E2618:E2619"/>
    <mergeCell ref="F2618:F2619"/>
    <mergeCell ref="G2580:G2581"/>
    <mergeCell ref="H2580:H2581"/>
    <mergeCell ref="I2580:I2581"/>
    <mergeCell ref="J2580:J2581"/>
    <mergeCell ref="K2580:K2581"/>
    <mergeCell ref="M2580:M2581"/>
    <mergeCell ref="N2614:N2615"/>
    <mergeCell ref="O2614:O2615"/>
    <mergeCell ref="P2614:P2615"/>
    <mergeCell ref="Q2614:Q2615"/>
    <mergeCell ref="A2616:A2617"/>
    <mergeCell ref="B2616:B2617"/>
    <mergeCell ref="C2616:C2617"/>
    <mergeCell ref="D2616:D2617"/>
    <mergeCell ref="E2616:E2617"/>
    <mergeCell ref="F2616:F2617"/>
    <mergeCell ref="G2614:G2615"/>
    <mergeCell ref="H2614:H2615"/>
    <mergeCell ref="I2614:I2615"/>
    <mergeCell ref="J2614:J2615"/>
    <mergeCell ref="K2614:K2615"/>
    <mergeCell ref="M2614:M2615"/>
    <mergeCell ref="N2608:N2610"/>
    <mergeCell ref="O2608:O2610"/>
    <mergeCell ref="P2608:P2610"/>
    <mergeCell ref="Q2608:Q2610"/>
    <mergeCell ref="A2614:A2615"/>
    <mergeCell ref="B2614:B2615"/>
    <mergeCell ref="C2614:C2615"/>
    <mergeCell ref="D2614:D2615"/>
    <mergeCell ref="E2614:E2615"/>
    <mergeCell ref="F2614:F2615"/>
    <mergeCell ref="G2576:G2577"/>
    <mergeCell ref="H2576:H2577"/>
    <mergeCell ref="I2576:I2577"/>
    <mergeCell ref="J2576:J2577"/>
    <mergeCell ref="K2576:K2577"/>
    <mergeCell ref="M2576:M2577"/>
    <mergeCell ref="N2588:N2590"/>
    <mergeCell ref="O2588:O2590"/>
    <mergeCell ref="P2588:P2590"/>
    <mergeCell ref="Q2588:Q2590"/>
    <mergeCell ref="A2608:A2610"/>
    <mergeCell ref="B2608:B2610"/>
    <mergeCell ref="C2608:C2610"/>
    <mergeCell ref="D2608:D2610"/>
    <mergeCell ref="E2608:E2610"/>
    <mergeCell ref="F2608:F2610"/>
    <mergeCell ref="G2588:G2590"/>
    <mergeCell ref="H2588:H2590"/>
    <mergeCell ref="I2588:I2590"/>
    <mergeCell ref="J2588:J2590"/>
    <mergeCell ref="K2588:K2590"/>
    <mergeCell ref="M2588:M2590"/>
    <mergeCell ref="N2580:N2581"/>
    <mergeCell ref="O2580:O2581"/>
    <mergeCell ref="P2580:P2581"/>
    <mergeCell ref="Q2580:Q2581"/>
    <mergeCell ref="A2588:A2590"/>
    <mergeCell ref="B2588:B2590"/>
    <mergeCell ref="C2588:C2590"/>
    <mergeCell ref="D2588:D2590"/>
    <mergeCell ref="E2588:E2590"/>
    <mergeCell ref="F2588:F2590"/>
    <mergeCell ref="G2542:G2543"/>
    <mergeCell ref="H2542:H2543"/>
    <mergeCell ref="I2542:I2543"/>
    <mergeCell ref="J2542:J2543"/>
    <mergeCell ref="K2542:K2543"/>
    <mergeCell ref="M2542:M2543"/>
    <mergeCell ref="N2578:N2579"/>
    <mergeCell ref="O2578:O2579"/>
    <mergeCell ref="P2578:P2579"/>
    <mergeCell ref="Q2578:Q2579"/>
    <mergeCell ref="A2580:A2581"/>
    <mergeCell ref="B2580:B2581"/>
    <mergeCell ref="C2580:C2581"/>
    <mergeCell ref="D2580:D2581"/>
    <mergeCell ref="E2580:E2581"/>
    <mergeCell ref="F2580:F2581"/>
    <mergeCell ref="G2578:G2579"/>
    <mergeCell ref="H2578:H2579"/>
    <mergeCell ref="I2578:I2579"/>
    <mergeCell ref="J2578:J2579"/>
    <mergeCell ref="K2578:K2579"/>
    <mergeCell ref="M2578:M2579"/>
    <mergeCell ref="N2576:N2577"/>
    <mergeCell ref="O2576:O2577"/>
    <mergeCell ref="P2576:P2577"/>
    <mergeCell ref="Q2576:Q2577"/>
    <mergeCell ref="A2578:A2579"/>
    <mergeCell ref="B2578:B2579"/>
    <mergeCell ref="C2578:C2579"/>
    <mergeCell ref="D2578:D2579"/>
    <mergeCell ref="E2578:E2579"/>
    <mergeCell ref="F2578:F2579"/>
    <mergeCell ref="G2506:G2508"/>
    <mergeCell ref="H2506:H2508"/>
    <mergeCell ref="I2506:I2508"/>
    <mergeCell ref="J2506:J2508"/>
    <mergeCell ref="K2506:K2508"/>
    <mergeCell ref="M2506:M2508"/>
    <mergeCell ref="N2555:N2563"/>
    <mergeCell ref="O2555:O2563"/>
    <mergeCell ref="P2555:P2563"/>
    <mergeCell ref="Q2555:Q2563"/>
    <mergeCell ref="A2576:A2577"/>
    <mergeCell ref="B2576:B2577"/>
    <mergeCell ref="C2576:C2577"/>
    <mergeCell ref="D2576:D2577"/>
    <mergeCell ref="E2576:E2577"/>
    <mergeCell ref="F2576:F2577"/>
    <mergeCell ref="G2555:G2563"/>
    <mergeCell ref="H2555:H2563"/>
    <mergeCell ref="I2555:I2563"/>
    <mergeCell ref="J2555:J2563"/>
    <mergeCell ref="K2555:K2563"/>
    <mergeCell ref="M2555:M2563"/>
    <mergeCell ref="N2542:N2543"/>
    <mergeCell ref="O2542:O2543"/>
    <mergeCell ref="P2542:P2543"/>
    <mergeCell ref="Q2542:Q2543"/>
    <mergeCell ref="A2555:A2563"/>
    <mergeCell ref="B2555:B2563"/>
    <mergeCell ref="C2555:C2563"/>
    <mergeCell ref="D2555:D2563"/>
    <mergeCell ref="E2555:E2563"/>
    <mergeCell ref="F2555:F2563"/>
    <mergeCell ref="G2498:G2500"/>
    <mergeCell ref="H2498:H2500"/>
    <mergeCell ref="I2498:I2500"/>
    <mergeCell ref="J2498:J2500"/>
    <mergeCell ref="K2498:K2500"/>
    <mergeCell ref="M2498:M2500"/>
    <mergeCell ref="N2540:N2541"/>
    <mergeCell ref="O2540:O2541"/>
    <mergeCell ref="P2540:P2541"/>
    <mergeCell ref="Q2540:Q2541"/>
    <mergeCell ref="A2542:A2543"/>
    <mergeCell ref="B2542:B2543"/>
    <mergeCell ref="C2542:C2543"/>
    <mergeCell ref="D2542:D2543"/>
    <mergeCell ref="E2542:E2543"/>
    <mergeCell ref="F2542:F2543"/>
    <mergeCell ref="G2540:G2541"/>
    <mergeCell ref="H2540:H2541"/>
    <mergeCell ref="I2540:I2541"/>
    <mergeCell ref="J2540:J2541"/>
    <mergeCell ref="K2540:K2541"/>
    <mergeCell ref="M2540:M2541"/>
    <mergeCell ref="N2506:N2508"/>
    <mergeCell ref="O2506:O2508"/>
    <mergeCell ref="P2506:P2508"/>
    <mergeCell ref="Q2506:Q2508"/>
    <mergeCell ref="A2540:A2541"/>
    <mergeCell ref="B2540:B2541"/>
    <mergeCell ref="C2540:C2541"/>
    <mergeCell ref="D2540:D2541"/>
    <mergeCell ref="E2540:E2541"/>
    <mergeCell ref="F2540:F2541"/>
    <mergeCell ref="G2458:G2460"/>
    <mergeCell ref="H2458:H2460"/>
    <mergeCell ref="I2458:I2460"/>
    <mergeCell ref="J2458:J2460"/>
    <mergeCell ref="K2458:K2460"/>
    <mergeCell ref="M2458:M2460"/>
    <mergeCell ref="N2502:N2504"/>
    <mergeCell ref="O2502:O2504"/>
    <mergeCell ref="P2502:P2504"/>
    <mergeCell ref="Q2502:Q2504"/>
    <mergeCell ref="A2506:A2508"/>
    <mergeCell ref="B2506:B2508"/>
    <mergeCell ref="C2506:C2508"/>
    <mergeCell ref="D2506:D2508"/>
    <mergeCell ref="E2506:E2508"/>
    <mergeCell ref="F2506:F2508"/>
    <mergeCell ref="G2502:G2504"/>
    <mergeCell ref="H2502:H2504"/>
    <mergeCell ref="I2502:I2504"/>
    <mergeCell ref="J2502:J2504"/>
    <mergeCell ref="K2502:K2504"/>
    <mergeCell ref="M2502:M2504"/>
    <mergeCell ref="N2498:N2500"/>
    <mergeCell ref="O2498:O2500"/>
    <mergeCell ref="P2498:P2500"/>
    <mergeCell ref="Q2498:Q2500"/>
    <mergeCell ref="A2502:A2504"/>
    <mergeCell ref="B2502:B2504"/>
    <mergeCell ref="C2502:C2504"/>
    <mergeCell ref="D2502:D2504"/>
    <mergeCell ref="E2502:E2504"/>
    <mergeCell ref="F2502:F2504"/>
    <mergeCell ref="G2420:G2422"/>
    <mergeCell ref="H2420:H2422"/>
    <mergeCell ref="I2420:I2422"/>
    <mergeCell ref="J2420:J2422"/>
    <mergeCell ref="K2420:K2422"/>
    <mergeCell ref="M2420:M2422"/>
    <mergeCell ref="N2481:N2483"/>
    <mergeCell ref="O2481:O2483"/>
    <mergeCell ref="P2481:P2483"/>
    <mergeCell ref="Q2481:Q2483"/>
    <mergeCell ref="A2498:A2500"/>
    <mergeCell ref="B2498:B2500"/>
    <mergeCell ref="C2498:C2500"/>
    <mergeCell ref="D2498:D2500"/>
    <mergeCell ref="E2498:E2500"/>
    <mergeCell ref="F2498:F2500"/>
    <mergeCell ref="G2481:G2483"/>
    <mergeCell ref="H2481:H2483"/>
    <mergeCell ref="I2481:I2483"/>
    <mergeCell ref="J2481:J2483"/>
    <mergeCell ref="K2481:K2483"/>
    <mergeCell ref="M2481:M2483"/>
    <mergeCell ref="N2458:N2460"/>
    <mergeCell ref="O2458:O2460"/>
    <mergeCell ref="P2458:P2460"/>
    <mergeCell ref="Q2458:Q2460"/>
    <mergeCell ref="A2481:A2483"/>
    <mergeCell ref="B2481:B2483"/>
    <mergeCell ref="C2481:C2483"/>
    <mergeCell ref="D2481:D2483"/>
    <mergeCell ref="E2481:E2483"/>
    <mergeCell ref="F2481:F2483"/>
    <mergeCell ref="G2400:G2401"/>
    <mergeCell ref="H2400:H2401"/>
    <mergeCell ref="I2400:I2401"/>
    <mergeCell ref="J2400:J2401"/>
    <mergeCell ref="K2400:K2401"/>
    <mergeCell ref="M2400:M2401"/>
    <mergeCell ref="N2454:N2456"/>
    <mergeCell ref="O2454:O2456"/>
    <mergeCell ref="P2454:P2456"/>
    <mergeCell ref="Q2454:Q2456"/>
    <mergeCell ref="A2458:A2460"/>
    <mergeCell ref="B2458:B2460"/>
    <mergeCell ref="C2458:C2460"/>
    <mergeCell ref="D2458:D2460"/>
    <mergeCell ref="E2458:E2460"/>
    <mergeCell ref="F2458:F2460"/>
    <mergeCell ref="G2454:G2456"/>
    <mergeCell ref="H2454:H2456"/>
    <mergeCell ref="I2454:I2456"/>
    <mergeCell ref="J2454:J2456"/>
    <mergeCell ref="K2454:K2456"/>
    <mergeCell ref="M2454:M2456"/>
    <mergeCell ref="N2420:N2422"/>
    <mergeCell ref="O2420:O2422"/>
    <mergeCell ref="P2420:P2422"/>
    <mergeCell ref="Q2420:Q2422"/>
    <mergeCell ref="A2454:A2456"/>
    <mergeCell ref="B2454:B2456"/>
    <mergeCell ref="C2454:C2456"/>
    <mergeCell ref="D2454:D2456"/>
    <mergeCell ref="E2454:E2456"/>
    <mergeCell ref="F2454:F2456"/>
    <mergeCell ref="G2393:G2394"/>
    <mergeCell ref="H2393:H2394"/>
    <mergeCell ref="I2393:I2394"/>
    <mergeCell ref="J2393:J2394"/>
    <mergeCell ref="K2393:K2394"/>
    <mergeCell ref="M2393:M2394"/>
    <mergeCell ref="N2402:N2403"/>
    <mergeCell ref="O2402:O2403"/>
    <mergeCell ref="P2402:P2403"/>
    <mergeCell ref="Q2402:Q2403"/>
    <mergeCell ref="A2420:A2422"/>
    <mergeCell ref="B2420:B2422"/>
    <mergeCell ref="C2420:C2422"/>
    <mergeCell ref="D2420:D2422"/>
    <mergeCell ref="E2420:E2422"/>
    <mergeCell ref="F2420:F2422"/>
    <mergeCell ref="G2402:G2403"/>
    <mergeCell ref="H2402:H2403"/>
    <mergeCell ref="I2402:I2403"/>
    <mergeCell ref="J2402:J2403"/>
    <mergeCell ref="K2402:K2403"/>
    <mergeCell ref="M2402:M2403"/>
    <mergeCell ref="N2400:N2401"/>
    <mergeCell ref="O2400:O2401"/>
    <mergeCell ref="P2400:P2401"/>
    <mergeCell ref="Q2400:Q2401"/>
    <mergeCell ref="A2402:A2403"/>
    <mergeCell ref="B2402:B2403"/>
    <mergeCell ref="C2402:C2403"/>
    <mergeCell ref="D2402:D2403"/>
    <mergeCell ref="E2402:E2403"/>
    <mergeCell ref="F2402:F2403"/>
    <mergeCell ref="G2377:G2379"/>
    <mergeCell ref="H2377:H2379"/>
    <mergeCell ref="I2377:I2379"/>
    <mergeCell ref="J2377:J2379"/>
    <mergeCell ref="K2377:K2379"/>
    <mergeCell ref="M2377:M2379"/>
    <mergeCell ref="N2398:N2399"/>
    <mergeCell ref="O2398:O2399"/>
    <mergeCell ref="P2398:P2399"/>
    <mergeCell ref="Q2398:Q2399"/>
    <mergeCell ref="A2400:A2401"/>
    <mergeCell ref="B2400:B2401"/>
    <mergeCell ref="C2400:C2401"/>
    <mergeCell ref="D2400:D2401"/>
    <mergeCell ref="E2400:E2401"/>
    <mergeCell ref="F2400:F2401"/>
    <mergeCell ref="G2398:G2399"/>
    <mergeCell ref="H2398:H2399"/>
    <mergeCell ref="I2398:I2399"/>
    <mergeCell ref="J2398:J2399"/>
    <mergeCell ref="K2398:K2399"/>
    <mergeCell ref="M2398:M2399"/>
    <mergeCell ref="N2393:N2394"/>
    <mergeCell ref="O2393:O2394"/>
    <mergeCell ref="P2393:P2394"/>
    <mergeCell ref="Q2393:Q2394"/>
    <mergeCell ref="A2398:A2399"/>
    <mergeCell ref="B2398:B2399"/>
    <mergeCell ref="C2398:C2399"/>
    <mergeCell ref="D2398:D2399"/>
    <mergeCell ref="E2398:E2399"/>
    <mergeCell ref="F2398:F2399"/>
    <mergeCell ref="G2352:G2356"/>
    <mergeCell ref="H2352:H2356"/>
    <mergeCell ref="I2352:I2356"/>
    <mergeCell ref="J2352:J2356"/>
    <mergeCell ref="K2352:K2356"/>
    <mergeCell ref="M2352:M2356"/>
    <mergeCell ref="N2381:N2383"/>
    <mergeCell ref="O2381:O2383"/>
    <mergeCell ref="P2381:P2383"/>
    <mergeCell ref="Q2381:Q2383"/>
    <mergeCell ref="A2393:A2394"/>
    <mergeCell ref="B2393:B2394"/>
    <mergeCell ref="C2393:C2394"/>
    <mergeCell ref="D2393:D2394"/>
    <mergeCell ref="E2393:E2394"/>
    <mergeCell ref="F2393:F2394"/>
    <mergeCell ref="G2381:G2383"/>
    <mergeCell ref="H2381:H2383"/>
    <mergeCell ref="I2381:I2383"/>
    <mergeCell ref="J2381:J2383"/>
    <mergeCell ref="K2381:K2383"/>
    <mergeCell ref="M2381:M2383"/>
    <mergeCell ref="N2377:N2379"/>
    <mergeCell ref="O2377:O2379"/>
    <mergeCell ref="P2377:P2379"/>
    <mergeCell ref="Q2377:Q2379"/>
    <mergeCell ref="A2381:A2383"/>
    <mergeCell ref="B2381:B2383"/>
    <mergeCell ref="C2381:C2383"/>
    <mergeCell ref="D2381:D2383"/>
    <mergeCell ref="E2381:E2383"/>
    <mergeCell ref="F2381:F2383"/>
    <mergeCell ref="G2342:G2346"/>
    <mergeCell ref="H2342:H2346"/>
    <mergeCell ref="I2342:I2346"/>
    <mergeCell ref="J2342:J2346"/>
    <mergeCell ref="K2342:K2346"/>
    <mergeCell ref="M2342:M2346"/>
    <mergeCell ref="N2373:N2375"/>
    <mergeCell ref="O2373:O2375"/>
    <mergeCell ref="P2373:P2375"/>
    <mergeCell ref="Q2373:Q2375"/>
    <mergeCell ref="A2377:A2379"/>
    <mergeCell ref="B2377:B2379"/>
    <mergeCell ref="C2377:C2379"/>
    <mergeCell ref="D2377:D2379"/>
    <mergeCell ref="E2377:E2379"/>
    <mergeCell ref="F2377:F2379"/>
    <mergeCell ref="G2373:G2375"/>
    <mergeCell ref="H2373:H2375"/>
    <mergeCell ref="I2373:I2375"/>
    <mergeCell ref="J2373:J2375"/>
    <mergeCell ref="K2373:K2375"/>
    <mergeCell ref="M2373:M2375"/>
    <mergeCell ref="N2352:N2356"/>
    <mergeCell ref="O2352:O2356"/>
    <mergeCell ref="P2352:P2356"/>
    <mergeCell ref="Q2352:Q2356"/>
    <mergeCell ref="A2373:A2375"/>
    <mergeCell ref="B2373:B2375"/>
    <mergeCell ref="C2373:C2375"/>
    <mergeCell ref="D2373:D2375"/>
    <mergeCell ref="E2373:E2375"/>
    <mergeCell ref="F2373:F2375"/>
    <mergeCell ref="G2332:G2336"/>
    <mergeCell ref="H2332:H2336"/>
    <mergeCell ref="I2332:I2336"/>
    <mergeCell ref="J2332:J2336"/>
    <mergeCell ref="K2332:K2336"/>
    <mergeCell ref="M2332:M2336"/>
    <mergeCell ref="N2347:N2351"/>
    <mergeCell ref="O2347:O2351"/>
    <mergeCell ref="P2347:P2351"/>
    <mergeCell ref="Q2347:Q2351"/>
    <mergeCell ref="A2352:A2356"/>
    <mergeCell ref="B2352:B2356"/>
    <mergeCell ref="C2352:C2356"/>
    <mergeCell ref="D2352:D2356"/>
    <mergeCell ref="E2352:E2356"/>
    <mergeCell ref="F2352:F2356"/>
    <mergeCell ref="G2347:G2351"/>
    <mergeCell ref="H2347:H2351"/>
    <mergeCell ref="I2347:I2351"/>
    <mergeCell ref="J2347:J2351"/>
    <mergeCell ref="K2347:K2351"/>
    <mergeCell ref="M2347:M2351"/>
    <mergeCell ref="N2342:N2346"/>
    <mergeCell ref="O2342:O2346"/>
    <mergeCell ref="P2342:P2346"/>
    <mergeCell ref="Q2342:Q2346"/>
    <mergeCell ref="A2347:A2351"/>
    <mergeCell ref="B2347:B2351"/>
    <mergeCell ref="C2347:C2351"/>
    <mergeCell ref="D2347:D2351"/>
    <mergeCell ref="E2347:E2351"/>
    <mergeCell ref="F2347:F2351"/>
    <mergeCell ref="G2304:G2306"/>
    <mergeCell ref="H2304:H2306"/>
    <mergeCell ref="I2304:I2306"/>
    <mergeCell ref="J2304:J2306"/>
    <mergeCell ref="K2304:K2306"/>
    <mergeCell ref="M2304:M2306"/>
    <mergeCell ref="N2337:N2341"/>
    <mergeCell ref="O2337:O2341"/>
    <mergeCell ref="P2337:P2341"/>
    <mergeCell ref="Q2337:Q2341"/>
    <mergeCell ref="A2342:A2346"/>
    <mergeCell ref="B2342:B2346"/>
    <mergeCell ref="C2342:C2346"/>
    <mergeCell ref="D2342:D2346"/>
    <mergeCell ref="E2342:E2346"/>
    <mergeCell ref="F2342:F2346"/>
    <mergeCell ref="G2337:G2341"/>
    <mergeCell ref="H2337:H2341"/>
    <mergeCell ref="I2337:I2341"/>
    <mergeCell ref="J2337:J2341"/>
    <mergeCell ref="K2337:K2341"/>
    <mergeCell ref="M2337:M2341"/>
    <mergeCell ref="N2332:N2336"/>
    <mergeCell ref="O2332:O2336"/>
    <mergeCell ref="P2332:P2336"/>
    <mergeCell ref="Q2332:Q2336"/>
    <mergeCell ref="A2337:A2341"/>
    <mergeCell ref="B2337:B2341"/>
    <mergeCell ref="C2337:C2341"/>
    <mergeCell ref="D2337:D2341"/>
    <mergeCell ref="E2337:E2341"/>
    <mergeCell ref="F2337:F2341"/>
    <mergeCell ref="G2294:G2295"/>
    <mergeCell ref="H2294:H2295"/>
    <mergeCell ref="I2294:I2295"/>
    <mergeCell ref="J2294:J2295"/>
    <mergeCell ref="K2294:K2295"/>
    <mergeCell ref="M2294:M2295"/>
    <mergeCell ref="N2327:N2331"/>
    <mergeCell ref="O2327:O2331"/>
    <mergeCell ref="P2327:P2331"/>
    <mergeCell ref="Q2327:Q2331"/>
    <mergeCell ref="A2332:A2336"/>
    <mergeCell ref="B2332:B2336"/>
    <mergeCell ref="C2332:C2336"/>
    <mergeCell ref="D2332:D2336"/>
    <mergeCell ref="E2332:E2336"/>
    <mergeCell ref="F2332:F2336"/>
    <mergeCell ref="G2327:G2331"/>
    <mergeCell ref="H2327:H2331"/>
    <mergeCell ref="I2327:I2331"/>
    <mergeCell ref="J2327:J2331"/>
    <mergeCell ref="K2327:K2331"/>
    <mergeCell ref="M2327:M2331"/>
    <mergeCell ref="N2304:N2306"/>
    <mergeCell ref="O2304:O2306"/>
    <mergeCell ref="P2304:P2306"/>
    <mergeCell ref="Q2304:Q2306"/>
    <mergeCell ref="A2327:A2331"/>
    <mergeCell ref="B2327:B2331"/>
    <mergeCell ref="C2327:C2331"/>
    <mergeCell ref="D2327:D2331"/>
    <mergeCell ref="E2327:E2331"/>
    <mergeCell ref="F2327:F2331"/>
    <mergeCell ref="G2285:G2286"/>
    <mergeCell ref="H2285:H2286"/>
    <mergeCell ref="I2285:I2286"/>
    <mergeCell ref="J2285:J2286"/>
    <mergeCell ref="K2285:K2286"/>
    <mergeCell ref="M2285:M2286"/>
    <mergeCell ref="N2296:N2297"/>
    <mergeCell ref="O2296:O2297"/>
    <mergeCell ref="P2296:P2297"/>
    <mergeCell ref="Q2296:Q2297"/>
    <mergeCell ref="A2304:A2306"/>
    <mergeCell ref="B2304:B2306"/>
    <mergeCell ref="C2304:C2306"/>
    <mergeCell ref="D2304:D2306"/>
    <mergeCell ref="E2304:E2306"/>
    <mergeCell ref="F2304:F2306"/>
    <mergeCell ref="G2296:G2297"/>
    <mergeCell ref="H2296:H2297"/>
    <mergeCell ref="I2296:I2297"/>
    <mergeCell ref="J2296:J2297"/>
    <mergeCell ref="K2296:K2297"/>
    <mergeCell ref="M2296:M2297"/>
    <mergeCell ref="N2294:N2295"/>
    <mergeCell ref="O2294:O2295"/>
    <mergeCell ref="P2294:P2295"/>
    <mergeCell ref="Q2294:Q2295"/>
    <mergeCell ref="A2296:A2297"/>
    <mergeCell ref="B2296:B2297"/>
    <mergeCell ref="C2296:C2297"/>
    <mergeCell ref="D2296:D2297"/>
    <mergeCell ref="E2296:E2297"/>
    <mergeCell ref="F2296:F2297"/>
    <mergeCell ref="G2177:G2178"/>
    <mergeCell ref="H2177:H2178"/>
    <mergeCell ref="I2177:I2178"/>
    <mergeCell ref="J2177:J2178"/>
    <mergeCell ref="K2177:K2178"/>
    <mergeCell ref="M2177:M2178"/>
    <mergeCell ref="N2292:N2293"/>
    <mergeCell ref="O2292:O2293"/>
    <mergeCell ref="P2292:P2293"/>
    <mergeCell ref="Q2292:Q2293"/>
    <mergeCell ref="A2294:A2295"/>
    <mergeCell ref="B2294:B2295"/>
    <mergeCell ref="C2294:C2295"/>
    <mergeCell ref="D2294:D2295"/>
    <mergeCell ref="E2294:E2295"/>
    <mergeCell ref="F2294:F2295"/>
    <mergeCell ref="G2292:G2293"/>
    <mergeCell ref="H2292:H2293"/>
    <mergeCell ref="I2292:I2293"/>
    <mergeCell ref="J2292:J2293"/>
    <mergeCell ref="K2292:K2293"/>
    <mergeCell ref="M2292:M2293"/>
    <mergeCell ref="N2285:N2286"/>
    <mergeCell ref="O2285:O2286"/>
    <mergeCell ref="P2285:P2286"/>
    <mergeCell ref="Q2285:Q2286"/>
    <mergeCell ref="A2292:A2293"/>
    <mergeCell ref="B2292:B2293"/>
    <mergeCell ref="C2292:C2293"/>
    <mergeCell ref="D2292:D2293"/>
    <mergeCell ref="E2292:E2293"/>
    <mergeCell ref="F2292:F2293"/>
    <mergeCell ref="G2173:G2174"/>
    <mergeCell ref="H2173:H2174"/>
    <mergeCell ref="I2173:I2174"/>
    <mergeCell ref="J2173:J2174"/>
    <mergeCell ref="K2173:K2174"/>
    <mergeCell ref="M2173:M2174"/>
    <mergeCell ref="N2266:N2268"/>
    <mergeCell ref="O2266:O2268"/>
    <mergeCell ref="P2266:P2268"/>
    <mergeCell ref="Q2266:Q2268"/>
    <mergeCell ref="A2285:A2286"/>
    <mergeCell ref="B2285:B2286"/>
    <mergeCell ref="C2285:C2286"/>
    <mergeCell ref="D2285:D2286"/>
    <mergeCell ref="E2285:E2286"/>
    <mergeCell ref="F2285:F2286"/>
    <mergeCell ref="G2266:G2268"/>
    <mergeCell ref="H2266:H2268"/>
    <mergeCell ref="I2266:I2268"/>
    <mergeCell ref="J2266:J2268"/>
    <mergeCell ref="K2266:K2268"/>
    <mergeCell ref="M2266:M2268"/>
    <mergeCell ref="N2177:N2178"/>
    <mergeCell ref="O2177:O2178"/>
    <mergeCell ref="P2177:P2178"/>
    <mergeCell ref="Q2177:Q2178"/>
    <mergeCell ref="A2266:A2268"/>
    <mergeCell ref="B2266:B2268"/>
    <mergeCell ref="C2266:C2268"/>
    <mergeCell ref="D2266:D2268"/>
    <mergeCell ref="E2266:E2268"/>
    <mergeCell ref="F2266:F2268"/>
    <mergeCell ref="G2100:G2102"/>
    <mergeCell ref="H2100:H2102"/>
    <mergeCell ref="I2100:I2102"/>
    <mergeCell ref="J2100:J2102"/>
    <mergeCell ref="K2100:K2102"/>
    <mergeCell ref="M2100:M2102"/>
    <mergeCell ref="N2175:N2176"/>
    <mergeCell ref="O2175:O2176"/>
    <mergeCell ref="P2175:P2176"/>
    <mergeCell ref="Q2175:Q2176"/>
    <mergeCell ref="A2177:A2178"/>
    <mergeCell ref="B2177:B2178"/>
    <mergeCell ref="C2177:C2178"/>
    <mergeCell ref="D2177:D2178"/>
    <mergeCell ref="E2177:E2178"/>
    <mergeCell ref="F2177:F2178"/>
    <mergeCell ref="G2175:G2176"/>
    <mergeCell ref="H2175:H2176"/>
    <mergeCell ref="I2175:I2176"/>
    <mergeCell ref="J2175:J2176"/>
    <mergeCell ref="K2175:K2176"/>
    <mergeCell ref="M2175:M2176"/>
    <mergeCell ref="N2173:N2174"/>
    <mergeCell ref="O2173:O2174"/>
    <mergeCell ref="P2173:P2174"/>
    <mergeCell ref="Q2173:Q2174"/>
    <mergeCell ref="A2175:A2176"/>
    <mergeCell ref="B2175:B2176"/>
    <mergeCell ref="C2175:C2176"/>
    <mergeCell ref="D2175:D2176"/>
    <mergeCell ref="E2175:E2176"/>
    <mergeCell ref="F2175:F2176"/>
    <mergeCell ref="G2090:G2092"/>
    <mergeCell ref="H2090:H2092"/>
    <mergeCell ref="I2090:I2092"/>
    <mergeCell ref="J2090:J2092"/>
    <mergeCell ref="K2090:K2092"/>
    <mergeCell ref="M2090:M2092"/>
    <mergeCell ref="N2148:N2150"/>
    <mergeCell ref="O2148:O2150"/>
    <mergeCell ref="P2148:P2150"/>
    <mergeCell ref="Q2148:Q2150"/>
    <mergeCell ref="A2173:A2174"/>
    <mergeCell ref="B2173:B2174"/>
    <mergeCell ref="C2173:C2174"/>
    <mergeCell ref="D2173:D2174"/>
    <mergeCell ref="E2173:E2174"/>
    <mergeCell ref="F2173:F2174"/>
    <mergeCell ref="G2148:G2150"/>
    <mergeCell ref="H2148:H2150"/>
    <mergeCell ref="I2148:I2150"/>
    <mergeCell ref="J2148:J2150"/>
    <mergeCell ref="K2148:K2150"/>
    <mergeCell ref="M2148:M2150"/>
    <mergeCell ref="N2100:N2102"/>
    <mergeCell ref="O2100:O2102"/>
    <mergeCell ref="P2100:P2102"/>
    <mergeCell ref="Q2100:Q2102"/>
    <mergeCell ref="A2148:A2150"/>
    <mergeCell ref="B2148:B2150"/>
    <mergeCell ref="C2148:C2150"/>
    <mergeCell ref="D2148:D2150"/>
    <mergeCell ref="E2148:E2150"/>
    <mergeCell ref="F2148:F2150"/>
    <mergeCell ref="G2074:G2076"/>
    <mergeCell ref="H2074:H2076"/>
    <mergeCell ref="I2074:I2076"/>
    <mergeCell ref="J2074:J2076"/>
    <mergeCell ref="K2074:K2076"/>
    <mergeCell ref="M2074:M2076"/>
    <mergeCell ref="N2096:N2098"/>
    <mergeCell ref="O2096:O2098"/>
    <mergeCell ref="P2096:P2098"/>
    <mergeCell ref="Q2096:Q2098"/>
    <mergeCell ref="A2100:A2102"/>
    <mergeCell ref="B2100:B2102"/>
    <mergeCell ref="C2100:C2102"/>
    <mergeCell ref="D2100:D2102"/>
    <mergeCell ref="E2100:E2102"/>
    <mergeCell ref="F2100:F2102"/>
    <mergeCell ref="G2096:G2098"/>
    <mergeCell ref="H2096:H2098"/>
    <mergeCell ref="I2096:I2098"/>
    <mergeCell ref="J2096:J2098"/>
    <mergeCell ref="K2096:K2098"/>
    <mergeCell ref="M2096:M2098"/>
    <mergeCell ref="N2090:N2092"/>
    <mergeCell ref="O2090:O2092"/>
    <mergeCell ref="P2090:P2092"/>
    <mergeCell ref="Q2090:Q2092"/>
    <mergeCell ref="A2096:A2098"/>
    <mergeCell ref="B2096:B2098"/>
    <mergeCell ref="C2096:C2098"/>
    <mergeCell ref="D2096:D2098"/>
    <mergeCell ref="E2096:E2098"/>
    <mergeCell ref="F2096:F2098"/>
    <mergeCell ref="G2059:G2061"/>
    <mergeCell ref="H2059:H2061"/>
    <mergeCell ref="I2059:I2061"/>
    <mergeCell ref="J2059:J2061"/>
    <mergeCell ref="K2059:K2061"/>
    <mergeCell ref="M2059:M2061"/>
    <mergeCell ref="N2085:N2087"/>
    <mergeCell ref="O2085:O2087"/>
    <mergeCell ref="P2085:P2087"/>
    <mergeCell ref="Q2085:Q2087"/>
    <mergeCell ref="A2090:A2092"/>
    <mergeCell ref="B2090:B2092"/>
    <mergeCell ref="C2090:C2092"/>
    <mergeCell ref="D2090:D2092"/>
    <mergeCell ref="E2090:E2092"/>
    <mergeCell ref="F2090:F2092"/>
    <mergeCell ref="G2085:G2087"/>
    <mergeCell ref="H2085:H2087"/>
    <mergeCell ref="I2085:I2087"/>
    <mergeCell ref="J2085:J2087"/>
    <mergeCell ref="K2085:K2087"/>
    <mergeCell ref="M2085:M2087"/>
    <mergeCell ref="N2074:N2076"/>
    <mergeCell ref="O2074:O2076"/>
    <mergeCell ref="P2074:P2076"/>
    <mergeCell ref="Q2074:Q2076"/>
    <mergeCell ref="A2085:A2087"/>
    <mergeCell ref="B2085:B2087"/>
    <mergeCell ref="C2085:C2087"/>
    <mergeCell ref="D2085:D2087"/>
    <mergeCell ref="E2085:E2087"/>
    <mergeCell ref="F2085:F2087"/>
    <mergeCell ref="G2021:G2023"/>
    <mergeCell ref="H2021:H2023"/>
    <mergeCell ref="I2021:I2023"/>
    <mergeCell ref="J2021:J2023"/>
    <mergeCell ref="K2021:K2023"/>
    <mergeCell ref="M2021:M2023"/>
    <mergeCell ref="N2065:N2073"/>
    <mergeCell ref="O2065:O2073"/>
    <mergeCell ref="P2065:P2073"/>
    <mergeCell ref="Q2065:Q2073"/>
    <mergeCell ref="A2074:A2076"/>
    <mergeCell ref="B2074:B2076"/>
    <mergeCell ref="C2074:C2076"/>
    <mergeCell ref="D2074:D2076"/>
    <mergeCell ref="E2074:E2076"/>
    <mergeCell ref="F2074:F2076"/>
    <mergeCell ref="G2065:G2073"/>
    <mergeCell ref="H2065:H2073"/>
    <mergeCell ref="I2065:I2073"/>
    <mergeCell ref="J2065:J2073"/>
    <mergeCell ref="K2065:K2073"/>
    <mergeCell ref="M2065:M2073"/>
    <mergeCell ref="N2059:N2061"/>
    <mergeCell ref="O2059:O2061"/>
    <mergeCell ref="P2059:P2061"/>
    <mergeCell ref="Q2059:Q2061"/>
    <mergeCell ref="A2065:A2073"/>
    <mergeCell ref="B2065:B2073"/>
    <mergeCell ref="C2065:C2073"/>
    <mergeCell ref="D2065:D2073"/>
    <mergeCell ref="E2065:E2073"/>
    <mergeCell ref="F2065:F2073"/>
    <mergeCell ref="G1981:G1983"/>
    <mergeCell ref="H1981:H1983"/>
    <mergeCell ref="I1981:I1983"/>
    <mergeCell ref="J1981:J1983"/>
    <mergeCell ref="K1981:K1983"/>
    <mergeCell ref="M1981:M1983"/>
    <mergeCell ref="N2027:N2029"/>
    <mergeCell ref="O2027:O2029"/>
    <mergeCell ref="P2027:P2029"/>
    <mergeCell ref="Q2027:Q2029"/>
    <mergeCell ref="A2059:A2061"/>
    <mergeCell ref="B2059:B2061"/>
    <mergeCell ref="C2059:C2061"/>
    <mergeCell ref="D2059:D2061"/>
    <mergeCell ref="E2059:E2061"/>
    <mergeCell ref="F2059:F2061"/>
    <mergeCell ref="G2027:G2029"/>
    <mergeCell ref="H2027:H2029"/>
    <mergeCell ref="I2027:I2029"/>
    <mergeCell ref="J2027:J2029"/>
    <mergeCell ref="K2027:K2029"/>
    <mergeCell ref="M2027:M2029"/>
    <mergeCell ref="N2021:N2023"/>
    <mergeCell ref="O2021:O2023"/>
    <mergeCell ref="P2021:P2023"/>
    <mergeCell ref="Q2021:Q2023"/>
    <mergeCell ref="A2027:A2029"/>
    <mergeCell ref="B2027:B2029"/>
    <mergeCell ref="C2027:C2029"/>
    <mergeCell ref="D2027:D2029"/>
    <mergeCell ref="E2027:E2029"/>
    <mergeCell ref="F2027:F2029"/>
    <mergeCell ref="G1953:G1955"/>
    <mergeCell ref="H1953:H1955"/>
    <mergeCell ref="I1953:I1955"/>
    <mergeCell ref="J1953:J1955"/>
    <mergeCell ref="K1953:K1955"/>
    <mergeCell ref="M1953:M1955"/>
    <mergeCell ref="N2007:N2009"/>
    <mergeCell ref="O2007:O2009"/>
    <mergeCell ref="P2007:P2009"/>
    <mergeCell ref="Q2007:Q2009"/>
    <mergeCell ref="A2021:A2023"/>
    <mergeCell ref="B2021:B2023"/>
    <mergeCell ref="C2021:C2023"/>
    <mergeCell ref="D2021:D2023"/>
    <mergeCell ref="E2021:E2023"/>
    <mergeCell ref="F2021:F2023"/>
    <mergeCell ref="G2007:G2009"/>
    <mergeCell ref="H2007:H2009"/>
    <mergeCell ref="I2007:I2009"/>
    <mergeCell ref="J2007:J2009"/>
    <mergeCell ref="K2007:K2009"/>
    <mergeCell ref="M2007:M2009"/>
    <mergeCell ref="N1981:N1983"/>
    <mergeCell ref="O1981:O1983"/>
    <mergeCell ref="P1981:P1983"/>
    <mergeCell ref="Q1981:Q1983"/>
    <mergeCell ref="A2007:A2009"/>
    <mergeCell ref="B2007:B2009"/>
    <mergeCell ref="C2007:C2009"/>
    <mergeCell ref="D2007:D2009"/>
    <mergeCell ref="E2007:E2009"/>
    <mergeCell ref="F2007:F2009"/>
    <mergeCell ref="G1941:G1943"/>
    <mergeCell ref="H1941:H1943"/>
    <mergeCell ref="I1941:I1943"/>
    <mergeCell ref="J1941:J1943"/>
    <mergeCell ref="K1941:K1943"/>
    <mergeCell ref="M1941:M1943"/>
    <mergeCell ref="N1967:N1969"/>
    <mergeCell ref="O1967:O1969"/>
    <mergeCell ref="P1967:P1969"/>
    <mergeCell ref="Q1967:Q1969"/>
    <mergeCell ref="A1981:A1983"/>
    <mergeCell ref="B1981:B1983"/>
    <mergeCell ref="C1981:C1983"/>
    <mergeCell ref="D1981:D1983"/>
    <mergeCell ref="E1981:E1983"/>
    <mergeCell ref="F1981:F1983"/>
    <mergeCell ref="G1967:G1969"/>
    <mergeCell ref="H1967:H1969"/>
    <mergeCell ref="I1967:I1969"/>
    <mergeCell ref="J1967:J1969"/>
    <mergeCell ref="K1967:K1969"/>
    <mergeCell ref="M1967:M1969"/>
    <mergeCell ref="N1953:N1955"/>
    <mergeCell ref="O1953:O1955"/>
    <mergeCell ref="P1953:P1955"/>
    <mergeCell ref="Q1953:Q1955"/>
    <mergeCell ref="A1967:A1969"/>
    <mergeCell ref="B1967:B1969"/>
    <mergeCell ref="C1967:C1969"/>
    <mergeCell ref="D1967:D1969"/>
    <mergeCell ref="E1967:E1969"/>
    <mergeCell ref="F1967:F1969"/>
    <mergeCell ref="G1901:G1903"/>
    <mergeCell ref="H1901:H1903"/>
    <mergeCell ref="I1901:I1903"/>
    <mergeCell ref="J1901:J1903"/>
    <mergeCell ref="K1901:K1903"/>
    <mergeCell ref="M1901:M1903"/>
    <mergeCell ref="N1946:N1948"/>
    <mergeCell ref="O1946:O1948"/>
    <mergeCell ref="P1946:P1948"/>
    <mergeCell ref="Q1946:Q1948"/>
    <mergeCell ref="A1953:A1955"/>
    <mergeCell ref="B1953:B1955"/>
    <mergeCell ref="C1953:C1955"/>
    <mergeCell ref="D1953:D1955"/>
    <mergeCell ref="E1953:E1955"/>
    <mergeCell ref="F1953:F1955"/>
    <mergeCell ref="G1946:G1948"/>
    <mergeCell ref="H1946:H1948"/>
    <mergeCell ref="I1946:I1948"/>
    <mergeCell ref="J1946:J1948"/>
    <mergeCell ref="K1946:K1948"/>
    <mergeCell ref="M1946:M1948"/>
    <mergeCell ref="N1941:N1943"/>
    <mergeCell ref="O1941:O1943"/>
    <mergeCell ref="P1941:P1943"/>
    <mergeCell ref="Q1941:Q1943"/>
    <mergeCell ref="A1946:A1948"/>
    <mergeCell ref="B1946:B1948"/>
    <mergeCell ref="C1946:C1948"/>
    <mergeCell ref="D1946:D1948"/>
    <mergeCell ref="E1946:E1948"/>
    <mergeCell ref="F1946:F1948"/>
    <mergeCell ref="G1849:G1851"/>
    <mergeCell ref="H1849:H1851"/>
    <mergeCell ref="I1849:I1851"/>
    <mergeCell ref="J1849:J1851"/>
    <mergeCell ref="K1849:K1851"/>
    <mergeCell ref="M1849:M1851"/>
    <mergeCell ref="N1919:N1921"/>
    <mergeCell ref="O1919:O1921"/>
    <mergeCell ref="P1919:P1921"/>
    <mergeCell ref="Q1919:Q1921"/>
    <mergeCell ref="A1941:A1943"/>
    <mergeCell ref="B1941:B1943"/>
    <mergeCell ref="C1941:C1943"/>
    <mergeCell ref="D1941:D1943"/>
    <mergeCell ref="E1941:E1943"/>
    <mergeCell ref="F1941:F1943"/>
    <mergeCell ref="G1919:G1921"/>
    <mergeCell ref="H1919:H1921"/>
    <mergeCell ref="I1919:I1921"/>
    <mergeCell ref="J1919:J1921"/>
    <mergeCell ref="K1919:K1921"/>
    <mergeCell ref="M1919:M1921"/>
    <mergeCell ref="N1901:N1903"/>
    <mergeCell ref="O1901:O1903"/>
    <mergeCell ref="P1901:P1903"/>
    <mergeCell ref="Q1901:Q1903"/>
    <mergeCell ref="A1919:A1921"/>
    <mergeCell ref="B1919:B1921"/>
    <mergeCell ref="C1919:C1921"/>
    <mergeCell ref="D1919:D1921"/>
    <mergeCell ref="E1919:E1921"/>
    <mergeCell ref="F1919:F1921"/>
    <mergeCell ref="G1809:G1810"/>
    <mergeCell ref="H1809:H1810"/>
    <mergeCell ref="I1809:I1810"/>
    <mergeCell ref="J1809:J1810"/>
    <mergeCell ref="K1809:K1810"/>
    <mergeCell ref="M1809:M1810"/>
    <mergeCell ref="N1880:N1882"/>
    <mergeCell ref="O1880:O1882"/>
    <mergeCell ref="P1880:P1882"/>
    <mergeCell ref="Q1880:Q1882"/>
    <mergeCell ref="A1901:A1903"/>
    <mergeCell ref="B1901:B1903"/>
    <mergeCell ref="C1901:C1903"/>
    <mergeCell ref="D1901:D1903"/>
    <mergeCell ref="E1901:E1903"/>
    <mergeCell ref="F1901:F1903"/>
    <mergeCell ref="G1880:G1882"/>
    <mergeCell ref="H1880:H1882"/>
    <mergeCell ref="I1880:I1882"/>
    <mergeCell ref="J1880:J1882"/>
    <mergeCell ref="K1880:K1882"/>
    <mergeCell ref="M1880:M1882"/>
    <mergeCell ref="N1849:N1851"/>
    <mergeCell ref="O1849:O1851"/>
    <mergeCell ref="P1849:P1851"/>
    <mergeCell ref="Q1849:Q1851"/>
    <mergeCell ref="A1880:A1882"/>
    <mergeCell ref="B1880:B1882"/>
    <mergeCell ref="C1880:C1882"/>
    <mergeCell ref="D1880:D1882"/>
    <mergeCell ref="E1880:E1882"/>
    <mergeCell ref="F1880:F1882"/>
    <mergeCell ref="G1804:G1805"/>
    <mergeCell ref="H1804:H1805"/>
    <mergeCell ref="I1804:I1805"/>
    <mergeCell ref="J1804:J1805"/>
    <mergeCell ref="K1804:K1805"/>
    <mergeCell ref="M1804:M1805"/>
    <mergeCell ref="N1838:N1840"/>
    <mergeCell ref="O1838:O1840"/>
    <mergeCell ref="P1838:P1840"/>
    <mergeCell ref="Q1838:Q1840"/>
    <mergeCell ref="A1849:A1851"/>
    <mergeCell ref="B1849:B1851"/>
    <mergeCell ref="C1849:C1851"/>
    <mergeCell ref="D1849:D1851"/>
    <mergeCell ref="E1849:E1851"/>
    <mergeCell ref="F1849:F1851"/>
    <mergeCell ref="G1838:G1840"/>
    <mergeCell ref="H1838:H1840"/>
    <mergeCell ref="I1838:I1840"/>
    <mergeCell ref="J1838:J1840"/>
    <mergeCell ref="K1838:K1840"/>
    <mergeCell ref="M1838:M1840"/>
    <mergeCell ref="N1809:N1810"/>
    <mergeCell ref="O1809:O1810"/>
    <mergeCell ref="P1809:P1810"/>
    <mergeCell ref="Q1809:Q1810"/>
    <mergeCell ref="A1838:A1840"/>
    <mergeCell ref="B1838:B1840"/>
    <mergeCell ref="C1838:C1840"/>
    <mergeCell ref="D1838:D1840"/>
    <mergeCell ref="E1838:E1840"/>
    <mergeCell ref="F1838:F1840"/>
    <mergeCell ref="G1737:G1739"/>
    <mergeCell ref="H1737:H1739"/>
    <mergeCell ref="I1737:I1739"/>
    <mergeCell ref="J1737:J1739"/>
    <mergeCell ref="K1737:K1739"/>
    <mergeCell ref="M1737:M1739"/>
    <mergeCell ref="N1806:N1807"/>
    <mergeCell ref="O1806:O1807"/>
    <mergeCell ref="P1806:P1807"/>
    <mergeCell ref="Q1806:Q1807"/>
    <mergeCell ref="A1809:A1810"/>
    <mergeCell ref="B1809:B1810"/>
    <mergeCell ref="C1809:C1810"/>
    <mergeCell ref="D1809:D1810"/>
    <mergeCell ref="E1809:E1810"/>
    <mergeCell ref="F1809:F1810"/>
    <mergeCell ref="G1806:G1807"/>
    <mergeCell ref="H1806:H1807"/>
    <mergeCell ref="I1806:I1807"/>
    <mergeCell ref="J1806:J1807"/>
    <mergeCell ref="K1806:K1807"/>
    <mergeCell ref="M1806:M1807"/>
    <mergeCell ref="N1804:N1805"/>
    <mergeCell ref="O1804:O1805"/>
    <mergeCell ref="P1804:P1805"/>
    <mergeCell ref="Q1804:Q1805"/>
    <mergeCell ref="A1806:A1807"/>
    <mergeCell ref="B1806:B1807"/>
    <mergeCell ref="C1806:C1807"/>
    <mergeCell ref="D1806:D1807"/>
    <mergeCell ref="E1806:E1807"/>
    <mergeCell ref="F1806:F1807"/>
    <mergeCell ref="G1728:G1732"/>
    <mergeCell ref="H1728:H1732"/>
    <mergeCell ref="I1728:I1732"/>
    <mergeCell ref="J1728:J1732"/>
    <mergeCell ref="K1728:K1732"/>
    <mergeCell ref="M1728:M1732"/>
    <mergeCell ref="N1798:N1800"/>
    <mergeCell ref="O1798:O1800"/>
    <mergeCell ref="P1798:P1800"/>
    <mergeCell ref="Q1798:Q1800"/>
    <mergeCell ref="A1804:A1805"/>
    <mergeCell ref="B1804:B1805"/>
    <mergeCell ref="C1804:C1805"/>
    <mergeCell ref="D1804:D1805"/>
    <mergeCell ref="E1804:E1805"/>
    <mergeCell ref="F1804:F1805"/>
    <mergeCell ref="G1798:G1800"/>
    <mergeCell ref="H1798:H1800"/>
    <mergeCell ref="I1798:I1800"/>
    <mergeCell ref="J1798:J1800"/>
    <mergeCell ref="K1798:K1800"/>
    <mergeCell ref="M1798:M1800"/>
    <mergeCell ref="N1737:N1739"/>
    <mergeCell ref="O1737:O1739"/>
    <mergeCell ref="P1737:P1739"/>
    <mergeCell ref="Q1737:Q1739"/>
    <mergeCell ref="A1798:A1800"/>
    <mergeCell ref="B1798:B1800"/>
    <mergeCell ref="C1798:C1800"/>
    <mergeCell ref="D1798:D1800"/>
    <mergeCell ref="E1798:E1800"/>
    <mergeCell ref="F1798:F1800"/>
    <mergeCell ref="G1718:G1722"/>
    <mergeCell ref="H1718:H1722"/>
    <mergeCell ref="I1718:I1722"/>
    <mergeCell ref="J1718:J1722"/>
    <mergeCell ref="K1718:K1722"/>
    <mergeCell ref="M1718:M1722"/>
    <mergeCell ref="N1733:N1735"/>
    <mergeCell ref="O1733:O1735"/>
    <mergeCell ref="P1733:P1735"/>
    <mergeCell ref="Q1733:Q1735"/>
    <mergeCell ref="A1737:A1739"/>
    <mergeCell ref="B1737:B1739"/>
    <mergeCell ref="C1737:C1739"/>
    <mergeCell ref="D1737:D1739"/>
    <mergeCell ref="E1737:E1739"/>
    <mergeCell ref="F1737:F1739"/>
    <mergeCell ref="G1733:G1735"/>
    <mergeCell ref="H1733:H1735"/>
    <mergeCell ref="I1733:I1735"/>
    <mergeCell ref="J1733:J1735"/>
    <mergeCell ref="K1733:K1735"/>
    <mergeCell ref="M1733:M1735"/>
    <mergeCell ref="N1728:N1732"/>
    <mergeCell ref="O1728:O1732"/>
    <mergeCell ref="P1728:P1732"/>
    <mergeCell ref="Q1728:Q1732"/>
    <mergeCell ref="A1733:A1735"/>
    <mergeCell ref="B1733:B1735"/>
    <mergeCell ref="C1733:C1735"/>
    <mergeCell ref="D1733:D1735"/>
    <mergeCell ref="E1733:E1735"/>
    <mergeCell ref="F1733:F1735"/>
    <mergeCell ref="G1708:G1712"/>
    <mergeCell ref="H1708:H1712"/>
    <mergeCell ref="I1708:I1712"/>
    <mergeCell ref="J1708:J1712"/>
    <mergeCell ref="K1708:K1712"/>
    <mergeCell ref="M1708:M1712"/>
    <mergeCell ref="N1723:N1727"/>
    <mergeCell ref="O1723:O1727"/>
    <mergeCell ref="P1723:P1727"/>
    <mergeCell ref="Q1723:Q1727"/>
    <mergeCell ref="A1728:A1732"/>
    <mergeCell ref="B1728:B1732"/>
    <mergeCell ref="C1728:C1732"/>
    <mergeCell ref="D1728:D1732"/>
    <mergeCell ref="E1728:E1732"/>
    <mergeCell ref="F1728:F1732"/>
    <mergeCell ref="G1723:G1727"/>
    <mergeCell ref="H1723:H1727"/>
    <mergeCell ref="I1723:I1727"/>
    <mergeCell ref="J1723:J1727"/>
    <mergeCell ref="K1723:K1727"/>
    <mergeCell ref="M1723:M1727"/>
    <mergeCell ref="N1718:N1722"/>
    <mergeCell ref="O1718:O1722"/>
    <mergeCell ref="P1718:P1722"/>
    <mergeCell ref="Q1718:Q1722"/>
    <mergeCell ref="A1723:A1727"/>
    <mergeCell ref="B1723:B1727"/>
    <mergeCell ref="C1723:C1727"/>
    <mergeCell ref="D1723:D1727"/>
    <mergeCell ref="E1723:E1727"/>
    <mergeCell ref="F1723:F1727"/>
    <mergeCell ref="G1681:G1683"/>
    <mergeCell ref="H1681:H1683"/>
    <mergeCell ref="I1681:I1683"/>
    <mergeCell ref="J1681:J1683"/>
    <mergeCell ref="K1681:K1683"/>
    <mergeCell ref="M1681:M1683"/>
    <mergeCell ref="N1713:N1717"/>
    <mergeCell ref="O1713:O1717"/>
    <mergeCell ref="P1713:P1717"/>
    <mergeCell ref="Q1713:Q1717"/>
    <mergeCell ref="A1718:A1722"/>
    <mergeCell ref="B1718:B1722"/>
    <mergeCell ref="C1718:C1722"/>
    <mergeCell ref="D1718:D1722"/>
    <mergeCell ref="E1718:E1722"/>
    <mergeCell ref="F1718:F1722"/>
    <mergeCell ref="G1713:G1717"/>
    <mergeCell ref="H1713:H1717"/>
    <mergeCell ref="I1713:I1717"/>
    <mergeCell ref="J1713:J1717"/>
    <mergeCell ref="K1713:K1717"/>
    <mergeCell ref="M1713:M1717"/>
    <mergeCell ref="N1708:N1712"/>
    <mergeCell ref="O1708:O1712"/>
    <mergeCell ref="P1708:P1712"/>
    <mergeCell ref="Q1708:Q1712"/>
    <mergeCell ref="A1713:A1717"/>
    <mergeCell ref="B1713:B1717"/>
    <mergeCell ref="C1713:C1717"/>
    <mergeCell ref="D1713:D1717"/>
    <mergeCell ref="E1713:E1717"/>
    <mergeCell ref="F1713:F1717"/>
    <mergeCell ref="G1671:G1672"/>
    <mergeCell ref="H1671:H1672"/>
    <mergeCell ref="I1671:I1672"/>
    <mergeCell ref="J1671:J1672"/>
    <mergeCell ref="K1671:K1672"/>
    <mergeCell ref="M1671:M1672"/>
    <mergeCell ref="N1703:N1707"/>
    <mergeCell ref="O1703:O1707"/>
    <mergeCell ref="P1703:P1707"/>
    <mergeCell ref="Q1703:Q1707"/>
    <mergeCell ref="A1708:A1712"/>
    <mergeCell ref="B1708:B1712"/>
    <mergeCell ref="C1708:C1712"/>
    <mergeCell ref="D1708:D1712"/>
    <mergeCell ref="E1708:E1712"/>
    <mergeCell ref="F1708:F1712"/>
    <mergeCell ref="G1703:G1707"/>
    <mergeCell ref="H1703:H1707"/>
    <mergeCell ref="I1703:I1707"/>
    <mergeCell ref="J1703:J1707"/>
    <mergeCell ref="K1703:K1707"/>
    <mergeCell ref="M1703:M1707"/>
    <mergeCell ref="N1681:N1683"/>
    <mergeCell ref="O1681:O1683"/>
    <mergeCell ref="P1681:P1683"/>
    <mergeCell ref="Q1681:Q1683"/>
    <mergeCell ref="A1703:A1707"/>
    <mergeCell ref="B1703:B1707"/>
    <mergeCell ref="C1703:C1707"/>
    <mergeCell ref="D1703:D1707"/>
    <mergeCell ref="E1703:E1707"/>
    <mergeCell ref="F1703:F1707"/>
    <mergeCell ref="G1658:G1660"/>
    <mergeCell ref="H1658:H1660"/>
    <mergeCell ref="I1658:I1660"/>
    <mergeCell ref="J1658:J1660"/>
    <mergeCell ref="K1658:K1660"/>
    <mergeCell ref="M1658:M1660"/>
    <mergeCell ref="N1673:N1674"/>
    <mergeCell ref="O1673:O1674"/>
    <mergeCell ref="P1673:P1674"/>
    <mergeCell ref="Q1673:Q1674"/>
    <mergeCell ref="A1681:A1683"/>
    <mergeCell ref="B1681:B1683"/>
    <mergeCell ref="C1681:C1683"/>
    <mergeCell ref="D1681:D1683"/>
    <mergeCell ref="E1681:E1683"/>
    <mergeCell ref="F1681:F1683"/>
    <mergeCell ref="G1673:G1674"/>
    <mergeCell ref="H1673:H1674"/>
    <mergeCell ref="I1673:I1674"/>
    <mergeCell ref="J1673:J1674"/>
    <mergeCell ref="K1673:K1674"/>
    <mergeCell ref="M1673:M1674"/>
    <mergeCell ref="N1671:N1672"/>
    <mergeCell ref="O1671:O1672"/>
    <mergeCell ref="P1671:P1672"/>
    <mergeCell ref="Q1671:Q1672"/>
    <mergeCell ref="A1673:A1674"/>
    <mergeCell ref="B1673:B1674"/>
    <mergeCell ref="C1673:C1674"/>
    <mergeCell ref="D1673:D1674"/>
    <mergeCell ref="E1673:E1674"/>
    <mergeCell ref="F1673:F1674"/>
    <mergeCell ref="G1651:G1653"/>
    <mergeCell ref="H1651:H1653"/>
    <mergeCell ref="I1651:I1653"/>
    <mergeCell ref="J1651:J1653"/>
    <mergeCell ref="K1651:K1653"/>
    <mergeCell ref="M1651:M1653"/>
    <mergeCell ref="N1669:N1670"/>
    <mergeCell ref="O1669:O1670"/>
    <mergeCell ref="P1669:P1670"/>
    <mergeCell ref="Q1669:Q1670"/>
    <mergeCell ref="A1671:A1672"/>
    <mergeCell ref="B1671:B1672"/>
    <mergeCell ref="C1671:C1672"/>
    <mergeCell ref="D1671:D1672"/>
    <mergeCell ref="E1671:E1672"/>
    <mergeCell ref="F1671:F1672"/>
    <mergeCell ref="G1669:G1670"/>
    <mergeCell ref="H1669:H1670"/>
    <mergeCell ref="I1669:I1670"/>
    <mergeCell ref="J1669:J1670"/>
    <mergeCell ref="K1669:K1670"/>
    <mergeCell ref="M1669:M1670"/>
    <mergeCell ref="N1658:N1660"/>
    <mergeCell ref="O1658:O1660"/>
    <mergeCell ref="P1658:P1660"/>
    <mergeCell ref="Q1658:Q1660"/>
    <mergeCell ref="A1669:A1670"/>
    <mergeCell ref="B1669:B1670"/>
    <mergeCell ref="C1669:C1670"/>
    <mergeCell ref="D1669:D1670"/>
    <mergeCell ref="E1669:E1670"/>
    <mergeCell ref="F1669:F1670"/>
    <mergeCell ref="G1620:G1621"/>
    <mergeCell ref="H1620:H1621"/>
    <mergeCell ref="I1620:I1621"/>
    <mergeCell ref="J1620:J1621"/>
    <mergeCell ref="K1620:K1621"/>
    <mergeCell ref="M1620:M1621"/>
    <mergeCell ref="N1655:N1657"/>
    <mergeCell ref="O1655:O1657"/>
    <mergeCell ref="P1655:P1657"/>
    <mergeCell ref="Q1655:Q1657"/>
    <mergeCell ref="A1658:A1660"/>
    <mergeCell ref="B1658:B1660"/>
    <mergeCell ref="C1658:C1660"/>
    <mergeCell ref="D1658:D1660"/>
    <mergeCell ref="E1658:E1660"/>
    <mergeCell ref="F1658:F1660"/>
    <mergeCell ref="G1655:G1657"/>
    <mergeCell ref="H1655:H1657"/>
    <mergeCell ref="I1655:I1657"/>
    <mergeCell ref="J1655:J1657"/>
    <mergeCell ref="K1655:K1657"/>
    <mergeCell ref="M1655:M1657"/>
    <mergeCell ref="N1651:N1653"/>
    <mergeCell ref="O1651:O1653"/>
    <mergeCell ref="P1651:P1653"/>
    <mergeCell ref="Q1651:Q1653"/>
    <mergeCell ref="A1655:A1657"/>
    <mergeCell ref="B1655:B1657"/>
    <mergeCell ref="C1655:C1657"/>
    <mergeCell ref="D1655:D1657"/>
    <mergeCell ref="E1655:E1657"/>
    <mergeCell ref="F1655:F1657"/>
    <mergeCell ref="G1616:G1617"/>
    <mergeCell ref="H1616:H1617"/>
    <mergeCell ref="I1616:I1617"/>
    <mergeCell ref="J1616:J1617"/>
    <mergeCell ref="K1616:K1617"/>
    <mergeCell ref="M1616:M1617"/>
    <mergeCell ref="N1628:N1630"/>
    <mergeCell ref="O1628:O1630"/>
    <mergeCell ref="P1628:P1630"/>
    <mergeCell ref="Q1628:Q1630"/>
    <mergeCell ref="A1651:A1653"/>
    <mergeCell ref="B1651:B1653"/>
    <mergeCell ref="C1651:C1653"/>
    <mergeCell ref="D1651:D1653"/>
    <mergeCell ref="E1651:E1653"/>
    <mergeCell ref="F1651:F1653"/>
    <mergeCell ref="G1628:G1630"/>
    <mergeCell ref="H1628:H1630"/>
    <mergeCell ref="I1628:I1630"/>
    <mergeCell ref="J1628:J1630"/>
    <mergeCell ref="K1628:K1630"/>
    <mergeCell ref="M1628:M1630"/>
    <mergeCell ref="N1620:N1621"/>
    <mergeCell ref="O1620:O1621"/>
    <mergeCell ref="P1620:P1621"/>
    <mergeCell ref="Q1620:Q1621"/>
    <mergeCell ref="A1628:A1630"/>
    <mergeCell ref="B1628:B1630"/>
    <mergeCell ref="C1628:C1630"/>
    <mergeCell ref="D1628:D1630"/>
    <mergeCell ref="E1628:E1630"/>
    <mergeCell ref="F1628:F1630"/>
    <mergeCell ref="G1604:G1606"/>
    <mergeCell ref="H1604:H1606"/>
    <mergeCell ref="I1604:I1606"/>
    <mergeCell ref="J1604:J1606"/>
    <mergeCell ref="K1604:K1606"/>
    <mergeCell ref="M1604:M1606"/>
    <mergeCell ref="N1618:N1619"/>
    <mergeCell ref="O1618:O1619"/>
    <mergeCell ref="P1618:P1619"/>
    <mergeCell ref="Q1618:Q1619"/>
    <mergeCell ref="A1620:A1621"/>
    <mergeCell ref="B1620:B1621"/>
    <mergeCell ref="C1620:C1621"/>
    <mergeCell ref="D1620:D1621"/>
    <mergeCell ref="E1620:E1621"/>
    <mergeCell ref="F1620:F1621"/>
    <mergeCell ref="G1618:G1619"/>
    <mergeCell ref="H1618:H1619"/>
    <mergeCell ref="I1618:I1619"/>
    <mergeCell ref="J1618:J1619"/>
    <mergeCell ref="K1618:K1619"/>
    <mergeCell ref="M1618:M1619"/>
    <mergeCell ref="N1616:N1617"/>
    <mergeCell ref="O1616:O1617"/>
    <mergeCell ref="P1616:P1617"/>
    <mergeCell ref="Q1616:Q1617"/>
    <mergeCell ref="A1618:A1619"/>
    <mergeCell ref="B1618:B1619"/>
    <mergeCell ref="C1618:C1619"/>
    <mergeCell ref="D1618:D1619"/>
    <mergeCell ref="E1618:E1619"/>
    <mergeCell ref="F1618:F1619"/>
    <mergeCell ref="G1585:G1586"/>
    <mergeCell ref="H1585:H1586"/>
    <mergeCell ref="I1585:I1586"/>
    <mergeCell ref="J1585:J1586"/>
    <mergeCell ref="K1585:K1586"/>
    <mergeCell ref="M1585:M1586"/>
    <mergeCell ref="N1609:N1611"/>
    <mergeCell ref="O1609:O1611"/>
    <mergeCell ref="P1609:P1611"/>
    <mergeCell ref="Q1609:Q1611"/>
    <mergeCell ref="A1616:A1617"/>
    <mergeCell ref="B1616:B1617"/>
    <mergeCell ref="C1616:C1617"/>
    <mergeCell ref="D1616:D1617"/>
    <mergeCell ref="E1616:E1617"/>
    <mergeCell ref="F1616:F1617"/>
    <mergeCell ref="G1609:G1611"/>
    <mergeCell ref="H1609:H1611"/>
    <mergeCell ref="I1609:I1611"/>
    <mergeCell ref="J1609:J1611"/>
    <mergeCell ref="K1609:K1611"/>
    <mergeCell ref="M1609:M1611"/>
    <mergeCell ref="N1604:N1606"/>
    <mergeCell ref="O1604:O1606"/>
    <mergeCell ref="P1604:P1606"/>
    <mergeCell ref="Q1604:Q1606"/>
    <mergeCell ref="A1609:A1611"/>
    <mergeCell ref="B1609:B1611"/>
    <mergeCell ref="C1609:C1611"/>
    <mergeCell ref="D1609:D1611"/>
    <mergeCell ref="E1609:E1611"/>
    <mergeCell ref="F1609:F1611"/>
    <mergeCell ref="G1573:G1575"/>
    <mergeCell ref="H1573:H1575"/>
    <mergeCell ref="I1573:I1575"/>
    <mergeCell ref="J1573:J1575"/>
    <mergeCell ref="K1573:K1575"/>
    <mergeCell ref="M1573:M1575"/>
    <mergeCell ref="N1589:N1591"/>
    <mergeCell ref="O1589:O1591"/>
    <mergeCell ref="P1589:P1591"/>
    <mergeCell ref="Q1589:Q1591"/>
    <mergeCell ref="A1604:A1606"/>
    <mergeCell ref="B1604:B1606"/>
    <mergeCell ref="C1604:C1606"/>
    <mergeCell ref="D1604:D1606"/>
    <mergeCell ref="E1604:E1606"/>
    <mergeCell ref="F1604:F1606"/>
    <mergeCell ref="G1589:G1591"/>
    <mergeCell ref="H1589:H1591"/>
    <mergeCell ref="I1589:I1591"/>
    <mergeCell ref="J1589:J1591"/>
    <mergeCell ref="K1589:K1591"/>
    <mergeCell ref="M1589:M1591"/>
    <mergeCell ref="N1585:N1586"/>
    <mergeCell ref="O1585:O1586"/>
    <mergeCell ref="P1585:P1586"/>
    <mergeCell ref="Q1585:Q1586"/>
    <mergeCell ref="A1589:A1591"/>
    <mergeCell ref="B1589:B1591"/>
    <mergeCell ref="C1589:C1591"/>
    <mergeCell ref="D1589:D1591"/>
    <mergeCell ref="E1589:E1591"/>
    <mergeCell ref="F1589:F1591"/>
    <mergeCell ref="G1521:G1523"/>
    <mergeCell ref="H1521:H1523"/>
    <mergeCell ref="I1521:I1523"/>
    <mergeCell ref="J1521:J1523"/>
    <mergeCell ref="K1521:K1523"/>
    <mergeCell ref="M1521:M1523"/>
    <mergeCell ref="N1583:N1584"/>
    <mergeCell ref="O1583:O1584"/>
    <mergeCell ref="P1583:P1584"/>
    <mergeCell ref="Q1583:Q1584"/>
    <mergeCell ref="A1585:A1586"/>
    <mergeCell ref="B1585:B1586"/>
    <mergeCell ref="C1585:C1586"/>
    <mergeCell ref="D1585:D1586"/>
    <mergeCell ref="E1585:E1586"/>
    <mergeCell ref="F1585:F1586"/>
    <mergeCell ref="G1583:G1584"/>
    <mergeCell ref="H1583:H1584"/>
    <mergeCell ref="I1583:I1584"/>
    <mergeCell ref="J1583:J1584"/>
    <mergeCell ref="K1583:K1584"/>
    <mergeCell ref="M1583:M1584"/>
    <mergeCell ref="N1573:N1575"/>
    <mergeCell ref="O1573:O1575"/>
    <mergeCell ref="P1573:P1575"/>
    <mergeCell ref="Q1573:Q1575"/>
    <mergeCell ref="A1583:A1584"/>
    <mergeCell ref="B1583:B1584"/>
    <mergeCell ref="C1583:C1584"/>
    <mergeCell ref="D1583:D1584"/>
    <mergeCell ref="E1583:E1584"/>
    <mergeCell ref="F1583:F1584"/>
    <mergeCell ref="G1456:G1458"/>
    <mergeCell ref="H1456:H1458"/>
    <mergeCell ref="I1456:I1458"/>
    <mergeCell ref="J1456:J1458"/>
    <mergeCell ref="K1456:K1458"/>
    <mergeCell ref="M1456:M1458"/>
    <mergeCell ref="N1553:N1555"/>
    <mergeCell ref="O1553:O1555"/>
    <mergeCell ref="P1553:P1555"/>
    <mergeCell ref="Q1553:Q1555"/>
    <mergeCell ref="A1573:A1575"/>
    <mergeCell ref="B1573:B1575"/>
    <mergeCell ref="C1573:C1575"/>
    <mergeCell ref="D1573:D1575"/>
    <mergeCell ref="E1573:E1575"/>
    <mergeCell ref="F1573:F1575"/>
    <mergeCell ref="G1553:G1555"/>
    <mergeCell ref="H1553:H1555"/>
    <mergeCell ref="I1553:I1555"/>
    <mergeCell ref="J1553:J1555"/>
    <mergeCell ref="K1553:K1555"/>
    <mergeCell ref="M1553:M1555"/>
    <mergeCell ref="N1521:N1523"/>
    <mergeCell ref="O1521:O1523"/>
    <mergeCell ref="P1521:P1523"/>
    <mergeCell ref="Q1521:Q1523"/>
    <mergeCell ref="A1553:A1555"/>
    <mergeCell ref="B1553:B1555"/>
    <mergeCell ref="C1553:C1555"/>
    <mergeCell ref="D1553:D1555"/>
    <mergeCell ref="E1553:E1555"/>
    <mergeCell ref="F1553:F1555"/>
    <mergeCell ref="G1387:G1389"/>
    <mergeCell ref="H1387:H1389"/>
    <mergeCell ref="I1387:I1389"/>
    <mergeCell ref="J1387:J1389"/>
    <mergeCell ref="K1387:K1389"/>
    <mergeCell ref="M1387:M1389"/>
    <mergeCell ref="N1460:N1462"/>
    <mergeCell ref="O1460:O1462"/>
    <mergeCell ref="P1460:P1462"/>
    <mergeCell ref="Q1460:Q1462"/>
    <mergeCell ref="A1521:A1523"/>
    <mergeCell ref="B1521:B1523"/>
    <mergeCell ref="C1521:C1523"/>
    <mergeCell ref="D1521:D1523"/>
    <mergeCell ref="E1521:E1523"/>
    <mergeCell ref="F1521:F1523"/>
    <mergeCell ref="G1460:G1462"/>
    <mergeCell ref="H1460:H1462"/>
    <mergeCell ref="I1460:I1462"/>
    <mergeCell ref="J1460:J1462"/>
    <mergeCell ref="K1460:K1462"/>
    <mergeCell ref="M1460:M1462"/>
    <mergeCell ref="N1456:N1458"/>
    <mergeCell ref="O1456:O1458"/>
    <mergeCell ref="P1456:P1458"/>
    <mergeCell ref="Q1456:Q1458"/>
    <mergeCell ref="A1460:A1462"/>
    <mergeCell ref="B1460:B1462"/>
    <mergeCell ref="C1460:C1462"/>
    <mergeCell ref="D1460:D1462"/>
    <mergeCell ref="E1460:E1462"/>
    <mergeCell ref="F1460:F1462"/>
    <mergeCell ref="G1304:G1306"/>
    <mergeCell ref="H1304:H1306"/>
    <mergeCell ref="I1304:I1306"/>
    <mergeCell ref="J1304:J1306"/>
    <mergeCell ref="K1304:K1306"/>
    <mergeCell ref="M1304:M1306"/>
    <mergeCell ref="N1418:N1420"/>
    <mergeCell ref="O1418:O1420"/>
    <mergeCell ref="P1418:P1420"/>
    <mergeCell ref="Q1418:Q1420"/>
    <mergeCell ref="A1456:A1458"/>
    <mergeCell ref="B1456:B1458"/>
    <mergeCell ref="C1456:C1458"/>
    <mergeCell ref="D1456:D1458"/>
    <mergeCell ref="E1456:E1458"/>
    <mergeCell ref="F1456:F1458"/>
    <mergeCell ref="G1418:G1420"/>
    <mergeCell ref="H1418:H1420"/>
    <mergeCell ref="I1418:I1420"/>
    <mergeCell ref="J1418:J1420"/>
    <mergeCell ref="K1418:K1420"/>
    <mergeCell ref="M1418:M1420"/>
    <mergeCell ref="N1387:N1389"/>
    <mergeCell ref="O1387:O1389"/>
    <mergeCell ref="P1387:P1389"/>
    <mergeCell ref="Q1387:Q1389"/>
    <mergeCell ref="A1418:A1420"/>
    <mergeCell ref="B1418:B1420"/>
    <mergeCell ref="C1418:C1420"/>
    <mergeCell ref="D1418:D1420"/>
    <mergeCell ref="E1418:E1420"/>
    <mergeCell ref="F1418:F1420"/>
    <mergeCell ref="G1242:G1244"/>
    <mergeCell ref="H1242:H1244"/>
    <mergeCell ref="I1242:I1244"/>
    <mergeCell ref="J1242:J1244"/>
    <mergeCell ref="K1242:K1244"/>
    <mergeCell ref="M1242:M1244"/>
    <mergeCell ref="N1320:N1322"/>
    <mergeCell ref="O1320:O1322"/>
    <mergeCell ref="P1320:P1322"/>
    <mergeCell ref="Q1320:Q1322"/>
    <mergeCell ref="A1387:A1389"/>
    <mergeCell ref="B1387:B1389"/>
    <mergeCell ref="C1387:C1389"/>
    <mergeCell ref="D1387:D1389"/>
    <mergeCell ref="E1387:E1389"/>
    <mergeCell ref="F1387:F1389"/>
    <mergeCell ref="G1320:G1322"/>
    <mergeCell ref="H1320:H1322"/>
    <mergeCell ref="I1320:I1322"/>
    <mergeCell ref="J1320:J1322"/>
    <mergeCell ref="K1320:K1322"/>
    <mergeCell ref="M1320:M1322"/>
    <mergeCell ref="N1304:N1306"/>
    <mergeCell ref="O1304:O1306"/>
    <mergeCell ref="P1304:P1306"/>
    <mergeCell ref="Q1304:Q1306"/>
    <mergeCell ref="A1320:A1322"/>
    <mergeCell ref="B1320:B1322"/>
    <mergeCell ref="C1320:C1322"/>
    <mergeCell ref="D1320:D1322"/>
    <mergeCell ref="E1320:E1322"/>
    <mergeCell ref="F1320:F1322"/>
    <mergeCell ref="G1214:G1216"/>
    <mergeCell ref="H1214:H1216"/>
    <mergeCell ref="I1214:I1216"/>
    <mergeCell ref="J1214:J1216"/>
    <mergeCell ref="K1214:K1216"/>
    <mergeCell ref="M1214:M1216"/>
    <mergeCell ref="N1259:N1261"/>
    <mergeCell ref="O1259:O1261"/>
    <mergeCell ref="P1259:P1261"/>
    <mergeCell ref="Q1259:Q1261"/>
    <mergeCell ref="A1304:A1306"/>
    <mergeCell ref="B1304:B1306"/>
    <mergeCell ref="C1304:C1306"/>
    <mergeCell ref="D1304:D1306"/>
    <mergeCell ref="E1304:E1306"/>
    <mergeCell ref="F1304:F1306"/>
    <mergeCell ref="G1259:G1261"/>
    <mergeCell ref="H1259:H1261"/>
    <mergeCell ref="I1259:I1261"/>
    <mergeCell ref="J1259:J1261"/>
    <mergeCell ref="K1259:K1261"/>
    <mergeCell ref="M1259:M1261"/>
    <mergeCell ref="N1242:N1244"/>
    <mergeCell ref="O1242:O1244"/>
    <mergeCell ref="P1242:P1244"/>
    <mergeCell ref="Q1242:Q1244"/>
    <mergeCell ref="A1259:A1261"/>
    <mergeCell ref="B1259:B1261"/>
    <mergeCell ref="C1259:C1261"/>
    <mergeCell ref="D1259:D1261"/>
    <mergeCell ref="E1259:E1261"/>
    <mergeCell ref="F1259:F1261"/>
    <mergeCell ref="G1205:G1207"/>
    <mergeCell ref="H1205:H1207"/>
    <mergeCell ref="I1205:I1207"/>
    <mergeCell ref="J1205:J1207"/>
    <mergeCell ref="K1205:K1207"/>
    <mergeCell ref="M1205:M1207"/>
    <mergeCell ref="N1218:N1222"/>
    <mergeCell ref="O1218:O1222"/>
    <mergeCell ref="P1218:P1222"/>
    <mergeCell ref="Q1218:Q1222"/>
    <mergeCell ref="A1242:A1244"/>
    <mergeCell ref="B1242:B1244"/>
    <mergeCell ref="C1242:C1244"/>
    <mergeCell ref="D1242:D1244"/>
    <mergeCell ref="E1242:E1244"/>
    <mergeCell ref="F1242:F1244"/>
    <mergeCell ref="G1218:G1222"/>
    <mergeCell ref="H1218:H1222"/>
    <mergeCell ref="I1218:I1222"/>
    <mergeCell ref="J1218:J1222"/>
    <mergeCell ref="K1218:K1222"/>
    <mergeCell ref="M1218:M1222"/>
    <mergeCell ref="N1214:N1216"/>
    <mergeCell ref="O1214:O1216"/>
    <mergeCell ref="P1214:P1216"/>
    <mergeCell ref="Q1214:Q1216"/>
    <mergeCell ref="A1218:A1222"/>
    <mergeCell ref="B1218:B1222"/>
    <mergeCell ref="C1218:C1222"/>
    <mergeCell ref="D1218:D1222"/>
    <mergeCell ref="E1218:E1222"/>
    <mergeCell ref="F1218:F1222"/>
    <mergeCell ref="G1170:G1174"/>
    <mergeCell ref="H1170:H1174"/>
    <mergeCell ref="I1170:I1174"/>
    <mergeCell ref="J1170:J1174"/>
    <mergeCell ref="K1170:K1174"/>
    <mergeCell ref="M1170:M1174"/>
    <mergeCell ref="N1210:N1212"/>
    <mergeCell ref="O1210:O1212"/>
    <mergeCell ref="P1210:P1212"/>
    <mergeCell ref="Q1210:Q1212"/>
    <mergeCell ref="A1214:A1216"/>
    <mergeCell ref="B1214:B1216"/>
    <mergeCell ref="C1214:C1216"/>
    <mergeCell ref="D1214:D1216"/>
    <mergeCell ref="E1214:E1216"/>
    <mergeCell ref="F1214:F1216"/>
    <mergeCell ref="G1210:G1212"/>
    <mergeCell ref="H1210:H1212"/>
    <mergeCell ref="I1210:I1212"/>
    <mergeCell ref="J1210:J1212"/>
    <mergeCell ref="K1210:K1212"/>
    <mergeCell ref="M1210:M1212"/>
    <mergeCell ref="N1205:N1207"/>
    <mergeCell ref="O1205:O1207"/>
    <mergeCell ref="P1205:P1207"/>
    <mergeCell ref="Q1205:Q1207"/>
    <mergeCell ref="A1210:A1212"/>
    <mergeCell ref="B1210:B1212"/>
    <mergeCell ref="C1210:C1212"/>
    <mergeCell ref="D1210:D1212"/>
    <mergeCell ref="E1210:E1212"/>
    <mergeCell ref="F1210:F1212"/>
    <mergeCell ref="G1159:G1163"/>
    <mergeCell ref="H1159:H1163"/>
    <mergeCell ref="I1159:I1163"/>
    <mergeCell ref="J1159:J1163"/>
    <mergeCell ref="K1159:K1163"/>
    <mergeCell ref="M1159:M1163"/>
    <mergeCell ref="N1201:N1203"/>
    <mergeCell ref="O1201:O1203"/>
    <mergeCell ref="P1201:P1203"/>
    <mergeCell ref="Q1201:Q1203"/>
    <mergeCell ref="A1205:A1207"/>
    <mergeCell ref="B1205:B1207"/>
    <mergeCell ref="C1205:C1207"/>
    <mergeCell ref="D1205:D1207"/>
    <mergeCell ref="E1205:E1207"/>
    <mergeCell ref="F1205:F1207"/>
    <mergeCell ref="G1201:G1203"/>
    <mergeCell ref="H1201:H1203"/>
    <mergeCell ref="I1201:I1203"/>
    <mergeCell ref="J1201:J1203"/>
    <mergeCell ref="K1201:K1203"/>
    <mergeCell ref="M1201:M1203"/>
    <mergeCell ref="N1170:N1174"/>
    <mergeCell ref="O1170:O1174"/>
    <mergeCell ref="P1170:P1174"/>
    <mergeCell ref="Q1170:Q1174"/>
    <mergeCell ref="A1201:A1203"/>
    <mergeCell ref="B1201:B1203"/>
    <mergeCell ref="C1201:C1203"/>
    <mergeCell ref="D1201:D1203"/>
    <mergeCell ref="E1201:E1203"/>
    <mergeCell ref="F1201:F1203"/>
    <mergeCell ref="G1149:G1153"/>
    <mergeCell ref="H1149:H1153"/>
    <mergeCell ref="I1149:I1153"/>
    <mergeCell ref="J1149:J1153"/>
    <mergeCell ref="K1149:K1153"/>
    <mergeCell ref="M1149:M1153"/>
    <mergeCell ref="N1164:N1168"/>
    <mergeCell ref="O1164:O1168"/>
    <mergeCell ref="P1164:P1168"/>
    <mergeCell ref="Q1164:Q1168"/>
    <mergeCell ref="A1170:A1174"/>
    <mergeCell ref="B1170:B1174"/>
    <mergeCell ref="C1170:C1174"/>
    <mergeCell ref="D1170:D1174"/>
    <mergeCell ref="E1170:E1174"/>
    <mergeCell ref="F1170:F1174"/>
    <mergeCell ref="G1164:G1168"/>
    <mergeCell ref="H1164:H1168"/>
    <mergeCell ref="I1164:I1168"/>
    <mergeCell ref="J1164:J1168"/>
    <mergeCell ref="K1164:K1168"/>
    <mergeCell ref="M1164:M1168"/>
    <mergeCell ref="N1159:N1163"/>
    <mergeCell ref="O1159:O1163"/>
    <mergeCell ref="P1159:P1163"/>
    <mergeCell ref="Q1159:Q1163"/>
    <mergeCell ref="A1164:A1168"/>
    <mergeCell ref="B1164:B1168"/>
    <mergeCell ref="C1164:C1168"/>
    <mergeCell ref="D1164:D1168"/>
    <mergeCell ref="E1164:E1168"/>
    <mergeCell ref="F1164:F1168"/>
    <mergeCell ref="G1121:G1123"/>
    <mergeCell ref="H1121:H1123"/>
    <mergeCell ref="I1121:I1123"/>
    <mergeCell ref="J1121:J1123"/>
    <mergeCell ref="K1121:K1123"/>
    <mergeCell ref="M1121:M1123"/>
    <mergeCell ref="N1154:N1158"/>
    <mergeCell ref="O1154:O1158"/>
    <mergeCell ref="P1154:P1158"/>
    <mergeCell ref="Q1154:Q1158"/>
    <mergeCell ref="A1159:A1163"/>
    <mergeCell ref="B1159:B1163"/>
    <mergeCell ref="C1159:C1163"/>
    <mergeCell ref="D1159:D1163"/>
    <mergeCell ref="E1159:E1163"/>
    <mergeCell ref="F1159:F1163"/>
    <mergeCell ref="G1154:G1158"/>
    <mergeCell ref="H1154:H1158"/>
    <mergeCell ref="I1154:I1158"/>
    <mergeCell ref="J1154:J1158"/>
    <mergeCell ref="K1154:K1158"/>
    <mergeCell ref="M1154:M1158"/>
    <mergeCell ref="N1149:N1153"/>
    <mergeCell ref="O1149:O1153"/>
    <mergeCell ref="P1149:P1153"/>
    <mergeCell ref="Q1149:Q1153"/>
    <mergeCell ref="A1154:A1158"/>
    <mergeCell ref="B1154:B1158"/>
    <mergeCell ref="C1154:C1158"/>
    <mergeCell ref="D1154:D1158"/>
    <mergeCell ref="E1154:E1158"/>
    <mergeCell ref="F1154:F1158"/>
    <mergeCell ref="G1111:G1112"/>
    <mergeCell ref="H1111:H1112"/>
    <mergeCell ref="I1111:I1112"/>
    <mergeCell ref="J1111:J1112"/>
    <mergeCell ref="K1111:K1112"/>
    <mergeCell ref="M1111:M1112"/>
    <mergeCell ref="N1144:N1148"/>
    <mergeCell ref="O1144:O1148"/>
    <mergeCell ref="P1144:P1148"/>
    <mergeCell ref="Q1144:Q1148"/>
    <mergeCell ref="A1149:A1153"/>
    <mergeCell ref="B1149:B1153"/>
    <mergeCell ref="C1149:C1153"/>
    <mergeCell ref="D1149:D1153"/>
    <mergeCell ref="E1149:E1153"/>
    <mergeCell ref="F1149:F1153"/>
    <mergeCell ref="G1144:G1148"/>
    <mergeCell ref="H1144:H1148"/>
    <mergeCell ref="I1144:I1148"/>
    <mergeCell ref="J1144:J1148"/>
    <mergeCell ref="K1144:K1148"/>
    <mergeCell ref="M1144:M1148"/>
    <mergeCell ref="N1121:N1123"/>
    <mergeCell ref="O1121:O1123"/>
    <mergeCell ref="P1121:P1123"/>
    <mergeCell ref="Q1121:Q1123"/>
    <mergeCell ref="A1144:A1148"/>
    <mergeCell ref="B1144:B1148"/>
    <mergeCell ref="C1144:C1148"/>
    <mergeCell ref="D1144:D1148"/>
    <mergeCell ref="E1144:E1148"/>
    <mergeCell ref="F1144:F1148"/>
    <mergeCell ref="G1082:G1090"/>
    <mergeCell ref="H1082:H1090"/>
    <mergeCell ref="I1082:I1090"/>
    <mergeCell ref="J1082:J1090"/>
    <mergeCell ref="K1082:K1090"/>
    <mergeCell ref="M1082:M1090"/>
    <mergeCell ref="N1113:N1114"/>
    <mergeCell ref="O1113:O1114"/>
    <mergeCell ref="P1113:P1114"/>
    <mergeCell ref="Q1113:Q1114"/>
    <mergeCell ref="A1121:A1123"/>
    <mergeCell ref="B1121:B1123"/>
    <mergeCell ref="C1121:C1123"/>
    <mergeCell ref="D1121:D1123"/>
    <mergeCell ref="E1121:E1123"/>
    <mergeCell ref="F1121:F1123"/>
    <mergeCell ref="G1113:G1114"/>
    <mergeCell ref="H1113:H1114"/>
    <mergeCell ref="I1113:I1114"/>
    <mergeCell ref="J1113:J1114"/>
    <mergeCell ref="K1113:K1114"/>
    <mergeCell ref="M1113:M1114"/>
    <mergeCell ref="N1111:N1112"/>
    <mergeCell ref="O1111:O1112"/>
    <mergeCell ref="P1111:P1112"/>
    <mergeCell ref="Q1111:Q1112"/>
    <mergeCell ref="A1113:A1114"/>
    <mergeCell ref="B1113:B1114"/>
    <mergeCell ref="C1113:C1114"/>
    <mergeCell ref="D1113:D1114"/>
    <mergeCell ref="E1113:E1114"/>
    <mergeCell ref="F1113:F1114"/>
    <mergeCell ref="G1040:G1041"/>
    <mergeCell ref="H1040:H1041"/>
    <mergeCell ref="I1040:I1041"/>
    <mergeCell ref="J1040:J1041"/>
    <mergeCell ref="K1040:K1041"/>
    <mergeCell ref="M1040:M1041"/>
    <mergeCell ref="N1109:N1110"/>
    <mergeCell ref="O1109:O1110"/>
    <mergeCell ref="P1109:P1110"/>
    <mergeCell ref="Q1109:Q1110"/>
    <mergeCell ref="A1111:A1112"/>
    <mergeCell ref="B1111:B1112"/>
    <mergeCell ref="C1111:C1112"/>
    <mergeCell ref="D1111:D1112"/>
    <mergeCell ref="E1111:E1112"/>
    <mergeCell ref="F1111:F1112"/>
    <mergeCell ref="G1109:G1110"/>
    <mergeCell ref="H1109:H1110"/>
    <mergeCell ref="I1109:I1110"/>
    <mergeCell ref="J1109:J1110"/>
    <mergeCell ref="K1109:K1110"/>
    <mergeCell ref="M1109:M1110"/>
    <mergeCell ref="N1082:N1090"/>
    <mergeCell ref="O1082:O1090"/>
    <mergeCell ref="P1082:P1090"/>
    <mergeCell ref="Q1082:Q1090"/>
    <mergeCell ref="A1109:A1110"/>
    <mergeCell ref="B1109:B1110"/>
    <mergeCell ref="C1109:C1110"/>
    <mergeCell ref="D1109:D1110"/>
    <mergeCell ref="E1109:E1110"/>
    <mergeCell ref="F1109:F1110"/>
    <mergeCell ref="G1036:G1037"/>
    <mergeCell ref="H1036:H1037"/>
    <mergeCell ref="I1036:I1037"/>
    <mergeCell ref="J1036:J1037"/>
    <mergeCell ref="K1036:K1037"/>
    <mergeCell ref="M1036:M1037"/>
    <mergeCell ref="N1076:N1078"/>
    <mergeCell ref="O1076:O1078"/>
    <mergeCell ref="P1076:P1078"/>
    <mergeCell ref="Q1076:Q1078"/>
    <mergeCell ref="A1082:A1090"/>
    <mergeCell ref="B1082:B1090"/>
    <mergeCell ref="C1082:C1090"/>
    <mergeCell ref="D1082:D1090"/>
    <mergeCell ref="E1082:E1090"/>
    <mergeCell ref="F1082:F1090"/>
    <mergeCell ref="G1076:G1078"/>
    <mergeCell ref="H1076:H1078"/>
    <mergeCell ref="I1076:I1078"/>
    <mergeCell ref="J1076:J1078"/>
    <mergeCell ref="K1076:K1078"/>
    <mergeCell ref="M1076:M1078"/>
    <mergeCell ref="N1040:N1041"/>
    <mergeCell ref="O1040:O1041"/>
    <mergeCell ref="P1040:P1041"/>
    <mergeCell ref="Q1040:Q1041"/>
    <mergeCell ref="A1076:A1078"/>
    <mergeCell ref="B1076:B1078"/>
    <mergeCell ref="C1076:C1078"/>
    <mergeCell ref="D1076:D1078"/>
    <mergeCell ref="E1076:E1078"/>
    <mergeCell ref="F1076:F1078"/>
    <mergeCell ref="G938:G946"/>
    <mergeCell ref="H938:H946"/>
    <mergeCell ref="I938:I946"/>
    <mergeCell ref="J938:J946"/>
    <mergeCell ref="K938:K946"/>
    <mergeCell ref="M938:M946"/>
    <mergeCell ref="N1038:N1039"/>
    <mergeCell ref="O1038:O1039"/>
    <mergeCell ref="P1038:P1039"/>
    <mergeCell ref="Q1038:Q1039"/>
    <mergeCell ref="A1040:A1041"/>
    <mergeCell ref="B1040:B1041"/>
    <mergeCell ref="C1040:C1041"/>
    <mergeCell ref="D1040:D1041"/>
    <mergeCell ref="E1040:E1041"/>
    <mergeCell ref="F1040:F1041"/>
    <mergeCell ref="G1038:G1039"/>
    <mergeCell ref="H1038:H1039"/>
    <mergeCell ref="I1038:I1039"/>
    <mergeCell ref="J1038:J1039"/>
    <mergeCell ref="K1038:K1039"/>
    <mergeCell ref="M1038:M1039"/>
    <mergeCell ref="N1036:N1037"/>
    <mergeCell ref="O1036:O1037"/>
    <mergeCell ref="P1036:P1037"/>
    <mergeCell ref="Q1036:Q1037"/>
    <mergeCell ref="A1038:A1039"/>
    <mergeCell ref="B1038:B1039"/>
    <mergeCell ref="C1038:C1039"/>
    <mergeCell ref="D1038:D1039"/>
    <mergeCell ref="E1038:E1039"/>
    <mergeCell ref="F1038:F1039"/>
    <mergeCell ref="G902:G904"/>
    <mergeCell ref="H902:H904"/>
    <mergeCell ref="I902:I904"/>
    <mergeCell ref="J902:J904"/>
    <mergeCell ref="K902:K904"/>
    <mergeCell ref="M902:M904"/>
    <mergeCell ref="N1015:N1017"/>
    <mergeCell ref="O1015:O1017"/>
    <mergeCell ref="P1015:P1017"/>
    <mergeCell ref="Q1015:Q1017"/>
    <mergeCell ref="A1036:A1037"/>
    <mergeCell ref="B1036:B1037"/>
    <mergeCell ref="C1036:C1037"/>
    <mergeCell ref="D1036:D1037"/>
    <mergeCell ref="E1036:E1037"/>
    <mergeCell ref="F1036:F1037"/>
    <mergeCell ref="G1015:G1017"/>
    <mergeCell ref="H1015:H1017"/>
    <mergeCell ref="I1015:I1017"/>
    <mergeCell ref="J1015:J1017"/>
    <mergeCell ref="K1015:K1017"/>
    <mergeCell ref="M1015:M1017"/>
    <mergeCell ref="N938:N946"/>
    <mergeCell ref="O938:O946"/>
    <mergeCell ref="P938:P946"/>
    <mergeCell ref="Q938:Q946"/>
    <mergeCell ref="A1015:A1017"/>
    <mergeCell ref="B1015:B1017"/>
    <mergeCell ref="C1015:C1017"/>
    <mergeCell ref="D1015:D1017"/>
    <mergeCell ref="E1015:E1017"/>
    <mergeCell ref="F1015:F1017"/>
    <mergeCell ref="G873:G875"/>
    <mergeCell ref="H873:H875"/>
    <mergeCell ref="I873:I875"/>
    <mergeCell ref="J873:J875"/>
    <mergeCell ref="K873:K875"/>
    <mergeCell ref="M873:M875"/>
    <mergeCell ref="N932:N934"/>
    <mergeCell ref="O932:O934"/>
    <mergeCell ref="P932:P934"/>
    <mergeCell ref="Q932:Q934"/>
    <mergeCell ref="A938:A946"/>
    <mergeCell ref="B938:B946"/>
    <mergeCell ref="C938:C946"/>
    <mergeCell ref="D938:D946"/>
    <mergeCell ref="E938:E946"/>
    <mergeCell ref="F938:F946"/>
    <mergeCell ref="G932:G934"/>
    <mergeCell ref="H932:H934"/>
    <mergeCell ref="I932:I934"/>
    <mergeCell ref="J932:J934"/>
    <mergeCell ref="K932:K934"/>
    <mergeCell ref="M932:M934"/>
    <mergeCell ref="N902:N904"/>
    <mergeCell ref="O902:O904"/>
    <mergeCell ref="P902:P904"/>
    <mergeCell ref="Q902:Q904"/>
    <mergeCell ref="A932:A934"/>
    <mergeCell ref="B932:B934"/>
    <mergeCell ref="C932:C934"/>
    <mergeCell ref="D932:D934"/>
    <mergeCell ref="E932:E934"/>
    <mergeCell ref="F932:F934"/>
    <mergeCell ref="G812:G814"/>
    <mergeCell ref="H812:H814"/>
    <mergeCell ref="I812:I814"/>
    <mergeCell ref="J812:J814"/>
    <mergeCell ref="K812:K814"/>
    <mergeCell ref="M812:M814"/>
    <mergeCell ref="N895:N896"/>
    <mergeCell ref="O895:O896"/>
    <mergeCell ref="P895:P896"/>
    <mergeCell ref="Q895:Q896"/>
    <mergeCell ref="A902:A904"/>
    <mergeCell ref="B902:B904"/>
    <mergeCell ref="C902:C904"/>
    <mergeCell ref="D902:D904"/>
    <mergeCell ref="E902:E904"/>
    <mergeCell ref="F902:F904"/>
    <mergeCell ref="G895:G896"/>
    <mergeCell ref="H895:H896"/>
    <mergeCell ref="I895:I896"/>
    <mergeCell ref="J895:J896"/>
    <mergeCell ref="K895:K896"/>
    <mergeCell ref="M895:M896"/>
    <mergeCell ref="N873:N875"/>
    <mergeCell ref="O873:O875"/>
    <mergeCell ref="P873:P875"/>
    <mergeCell ref="Q873:Q875"/>
    <mergeCell ref="A895:A896"/>
    <mergeCell ref="B895:B896"/>
    <mergeCell ref="C895:C896"/>
    <mergeCell ref="D895:D896"/>
    <mergeCell ref="E895:E896"/>
    <mergeCell ref="F895:F896"/>
    <mergeCell ref="G761:G763"/>
    <mergeCell ref="H761:H763"/>
    <mergeCell ref="I761:I763"/>
    <mergeCell ref="J761:J763"/>
    <mergeCell ref="K761:K763"/>
    <mergeCell ref="M761:M763"/>
    <mergeCell ref="N818:N826"/>
    <mergeCell ref="O818:O826"/>
    <mergeCell ref="P818:P826"/>
    <mergeCell ref="Q818:Q826"/>
    <mergeCell ref="A873:A875"/>
    <mergeCell ref="B873:B875"/>
    <mergeCell ref="C873:C875"/>
    <mergeCell ref="D873:D875"/>
    <mergeCell ref="E873:E875"/>
    <mergeCell ref="F873:F875"/>
    <mergeCell ref="G818:G826"/>
    <mergeCell ref="H818:H826"/>
    <mergeCell ref="I818:I826"/>
    <mergeCell ref="J818:J826"/>
    <mergeCell ref="K818:K826"/>
    <mergeCell ref="M818:M826"/>
    <mergeCell ref="N812:N814"/>
    <mergeCell ref="O812:O814"/>
    <mergeCell ref="P812:P814"/>
    <mergeCell ref="Q812:Q814"/>
    <mergeCell ref="A818:A826"/>
    <mergeCell ref="B818:B826"/>
    <mergeCell ref="C818:C826"/>
    <mergeCell ref="D818:D826"/>
    <mergeCell ref="E818:E826"/>
    <mergeCell ref="F818:F826"/>
    <mergeCell ref="G690:G691"/>
    <mergeCell ref="H690:H691"/>
    <mergeCell ref="I690:I691"/>
    <mergeCell ref="J690:J691"/>
    <mergeCell ref="K690:K691"/>
    <mergeCell ref="M690:M691"/>
    <mergeCell ref="N766:N768"/>
    <mergeCell ref="O766:O768"/>
    <mergeCell ref="P766:P768"/>
    <mergeCell ref="Q766:Q768"/>
    <mergeCell ref="A812:A814"/>
    <mergeCell ref="B812:B814"/>
    <mergeCell ref="C812:C814"/>
    <mergeCell ref="D812:D814"/>
    <mergeCell ref="E812:E814"/>
    <mergeCell ref="F812:F814"/>
    <mergeCell ref="G766:G768"/>
    <mergeCell ref="H766:H768"/>
    <mergeCell ref="I766:I768"/>
    <mergeCell ref="J766:J768"/>
    <mergeCell ref="K766:K768"/>
    <mergeCell ref="M766:M768"/>
    <mergeCell ref="N761:N763"/>
    <mergeCell ref="O761:O763"/>
    <mergeCell ref="P761:P763"/>
    <mergeCell ref="Q761:Q763"/>
    <mergeCell ref="A766:A768"/>
    <mergeCell ref="B766:B768"/>
    <mergeCell ref="C766:C768"/>
    <mergeCell ref="D766:D768"/>
    <mergeCell ref="E766:E768"/>
    <mergeCell ref="F766:F768"/>
    <mergeCell ref="G686:G687"/>
    <mergeCell ref="H686:H687"/>
    <mergeCell ref="I686:I687"/>
    <mergeCell ref="J686:J687"/>
    <mergeCell ref="K686:K687"/>
    <mergeCell ref="M686:M687"/>
    <mergeCell ref="N716:N718"/>
    <mergeCell ref="O716:O718"/>
    <mergeCell ref="P716:P718"/>
    <mergeCell ref="Q716:Q718"/>
    <mergeCell ref="A761:A763"/>
    <mergeCell ref="B761:B763"/>
    <mergeCell ref="C761:C763"/>
    <mergeCell ref="D761:D763"/>
    <mergeCell ref="E761:E763"/>
    <mergeCell ref="F761:F763"/>
    <mergeCell ref="G716:G718"/>
    <mergeCell ref="H716:H718"/>
    <mergeCell ref="I716:I718"/>
    <mergeCell ref="J716:J718"/>
    <mergeCell ref="K716:K718"/>
    <mergeCell ref="M716:M718"/>
    <mergeCell ref="N690:N691"/>
    <mergeCell ref="O690:O691"/>
    <mergeCell ref="P690:P691"/>
    <mergeCell ref="Q690:Q691"/>
    <mergeCell ref="A716:A718"/>
    <mergeCell ref="B716:B718"/>
    <mergeCell ref="C716:C718"/>
    <mergeCell ref="D716:D718"/>
    <mergeCell ref="E716:E718"/>
    <mergeCell ref="F716:F718"/>
    <mergeCell ref="G653:G655"/>
    <mergeCell ref="H653:H655"/>
    <mergeCell ref="I653:I655"/>
    <mergeCell ref="J653:J655"/>
    <mergeCell ref="K653:K655"/>
    <mergeCell ref="M653:M655"/>
    <mergeCell ref="N688:N689"/>
    <mergeCell ref="O688:O689"/>
    <mergeCell ref="P688:P689"/>
    <mergeCell ref="Q688:Q689"/>
    <mergeCell ref="A690:A691"/>
    <mergeCell ref="B690:B691"/>
    <mergeCell ref="C690:C691"/>
    <mergeCell ref="D690:D691"/>
    <mergeCell ref="E690:E691"/>
    <mergeCell ref="F690:F691"/>
    <mergeCell ref="G688:G689"/>
    <mergeCell ref="H688:H689"/>
    <mergeCell ref="I688:I689"/>
    <mergeCell ref="J688:J689"/>
    <mergeCell ref="K688:K689"/>
    <mergeCell ref="M688:M689"/>
    <mergeCell ref="N686:N687"/>
    <mergeCell ref="O686:O687"/>
    <mergeCell ref="P686:P687"/>
    <mergeCell ref="Q686:Q687"/>
    <mergeCell ref="A688:A689"/>
    <mergeCell ref="B688:B689"/>
    <mergeCell ref="C688:C689"/>
    <mergeCell ref="D688:D689"/>
    <mergeCell ref="E688:E689"/>
    <mergeCell ref="F688:F689"/>
    <mergeCell ref="G617:G619"/>
    <mergeCell ref="H617:H619"/>
    <mergeCell ref="I617:I619"/>
    <mergeCell ref="J617:J619"/>
    <mergeCell ref="K617:K619"/>
    <mergeCell ref="M617:M619"/>
    <mergeCell ref="N660:N662"/>
    <mergeCell ref="O660:O662"/>
    <mergeCell ref="P660:P662"/>
    <mergeCell ref="Q660:Q662"/>
    <mergeCell ref="A686:A687"/>
    <mergeCell ref="B686:B687"/>
    <mergeCell ref="C686:C687"/>
    <mergeCell ref="D686:D687"/>
    <mergeCell ref="E686:E687"/>
    <mergeCell ref="F686:F687"/>
    <mergeCell ref="G660:G662"/>
    <mergeCell ref="H660:H662"/>
    <mergeCell ref="I660:I662"/>
    <mergeCell ref="J660:J662"/>
    <mergeCell ref="K660:K662"/>
    <mergeCell ref="M660:M662"/>
    <mergeCell ref="N653:N655"/>
    <mergeCell ref="O653:O655"/>
    <mergeCell ref="P653:P655"/>
    <mergeCell ref="Q653:Q655"/>
    <mergeCell ref="A660:A662"/>
    <mergeCell ref="B660:B662"/>
    <mergeCell ref="C660:C662"/>
    <mergeCell ref="D660:D662"/>
    <mergeCell ref="E660:E662"/>
    <mergeCell ref="F660:F662"/>
    <mergeCell ref="G573:G574"/>
    <mergeCell ref="H573:H574"/>
    <mergeCell ref="I573:I574"/>
    <mergeCell ref="J573:J574"/>
    <mergeCell ref="K573:K574"/>
    <mergeCell ref="M573:M574"/>
    <mergeCell ref="N632:N634"/>
    <mergeCell ref="O632:O634"/>
    <mergeCell ref="P632:P634"/>
    <mergeCell ref="Q632:Q634"/>
    <mergeCell ref="A653:A655"/>
    <mergeCell ref="B653:B655"/>
    <mergeCell ref="C653:C655"/>
    <mergeCell ref="D653:D655"/>
    <mergeCell ref="E653:E655"/>
    <mergeCell ref="F653:F655"/>
    <mergeCell ref="G632:G634"/>
    <mergeCell ref="H632:H634"/>
    <mergeCell ref="I632:I634"/>
    <mergeCell ref="J632:J634"/>
    <mergeCell ref="K632:K634"/>
    <mergeCell ref="M632:M634"/>
    <mergeCell ref="N617:N619"/>
    <mergeCell ref="O617:O619"/>
    <mergeCell ref="P617:P619"/>
    <mergeCell ref="Q617:Q619"/>
    <mergeCell ref="A632:A634"/>
    <mergeCell ref="B632:B634"/>
    <mergeCell ref="C632:C634"/>
    <mergeCell ref="D632:D634"/>
    <mergeCell ref="E632:E634"/>
    <mergeCell ref="F632:F634"/>
    <mergeCell ref="G569:G570"/>
    <mergeCell ref="H569:H570"/>
    <mergeCell ref="I569:I570"/>
    <mergeCell ref="J569:J570"/>
    <mergeCell ref="K569:K570"/>
    <mergeCell ref="M569:M570"/>
    <mergeCell ref="N604:N606"/>
    <mergeCell ref="O604:O606"/>
    <mergeCell ref="P604:P606"/>
    <mergeCell ref="Q604:Q606"/>
    <mergeCell ref="A617:A619"/>
    <mergeCell ref="B617:B619"/>
    <mergeCell ref="C617:C619"/>
    <mergeCell ref="D617:D619"/>
    <mergeCell ref="E617:E619"/>
    <mergeCell ref="F617:F619"/>
    <mergeCell ref="G604:G606"/>
    <mergeCell ref="H604:H606"/>
    <mergeCell ref="I604:I606"/>
    <mergeCell ref="J604:J606"/>
    <mergeCell ref="K604:K606"/>
    <mergeCell ref="M604:M606"/>
    <mergeCell ref="N573:N574"/>
    <mergeCell ref="O573:O574"/>
    <mergeCell ref="P573:P574"/>
    <mergeCell ref="Q573:Q574"/>
    <mergeCell ref="A604:A606"/>
    <mergeCell ref="B604:B606"/>
    <mergeCell ref="C604:C606"/>
    <mergeCell ref="D604:D606"/>
    <mergeCell ref="E604:E606"/>
    <mergeCell ref="F604:F606"/>
    <mergeCell ref="G482:G486"/>
    <mergeCell ref="H482:H486"/>
    <mergeCell ref="I482:I486"/>
    <mergeCell ref="J482:J486"/>
    <mergeCell ref="K482:K486"/>
    <mergeCell ref="M482:M486"/>
    <mergeCell ref="N571:N572"/>
    <mergeCell ref="O571:O572"/>
    <mergeCell ref="P571:P572"/>
    <mergeCell ref="Q571:Q572"/>
    <mergeCell ref="A573:A574"/>
    <mergeCell ref="B573:B574"/>
    <mergeCell ref="C573:C574"/>
    <mergeCell ref="D573:D574"/>
    <mergeCell ref="E573:E574"/>
    <mergeCell ref="F573:F574"/>
    <mergeCell ref="G571:G572"/>
    <mergeCell ref="H571:H572"/>
    <mergeCell ref="I571:I572"/>
    <mergeCell ref="J571:J572"/>
    <mergeCell ref="K571:K572"/>
    <mergeCell ref="M571:M572"/>
    <mergeCell ref="N569:N570"/>
    <mergeCell ref="O569:O570"/>
    <mergeCell ref="P569:P570"/>
    <mergeCell ref="Q569:Q570"/>
    <mergeCell ref="A571:A572"/>
    <mergeCell ref="B571:B572"/>
    <mergeCell ref="C571:C572"/>
    <mergeCell ref="D571:D572"/>
    <mergeCell ref="E571:E572"/>
    <mergeCell ref="F571:F572"/>
    <mergeCell ref="G472:G476"/>
    <mergeCell ref="H472:H476"/>
    <mergeCell ref="I472:I476"/>
    <mergeCell ref="J472:J476"/>
    <mergeCell ref="K472:K476"/>
    <mergeCell ref="M472:M476"/>
    <mergeCell ref="N563:N565"/>
    <mergeCell ref="O563:O565"/>
    <mergeCell ref="P563:P565"/>
    <mergeCell ref="Q563:Q565"/>
    <mergeCell ref="A569:A570"/>
    <mergeCell ref="B569:B570"/>
    <mergeCell ref="C569:C570"/>
    <mergeCell ref="D569:D570"/>
    <mergeCell ref="E569:E570"/>
    <mergeCell ref="F569:F570"/>
    <mergeCell ref="G563:G565"/>
    <mergeCell ref="H563:H565"/>
    <mergeCell ref="I563:I565"/>
    <mergeCell ref="J563:J565"/>
    <mergeCell ref="K563:K565"/>
    <mergeCell ref="M563:M565"/>
    <mergeCell ref="N482:N486"/>
    <mergeCell ref="O482:O486"/>
    <mergeCell ref="P482:P486"/>
    <mergeCell ref="Q482:Q486"/>
    <mergeCell ref="A563:A565"/>
    <mergeCell ref="B563:B565"/>
    <mergeCell ref="C563:C565"/>
    <mergeCell ref="D563:D565"/>
    <mergeCell ref="E563:E565"/>
    <mergeCell ref="F563:F565"/>
    <mergeCell ref="G462:G466"/>
    <mergeCell ref="H462:H466"/>
    <mergeCell ref="I462:I466"/>
    <mergeCell ref="J462:J466"/>
    <mergeCell ref="K462:K466"/>
    <mergeCell ref="M462:M466"/>
    <mergeCell ref="N477:N481"/>
    <mergeCell ref="O477:O481"/>
    <mergeCell ref="P477:P481"/>
    <mergeCell ref="Q477:Q481"/>
    <mergeCell ref="A482:A486"/>
    <mergeCell ref="B482:B486"/>
    <mergeCell ref="C482:C486"/>
    <mergeCell ref="D482:D486"/>
    <mergeCell ref="E482:E486"/>
    <mergeCell ref="F482:F486"/>
    <mergeCell ref="G477:G481"/>
    <mergeCell ref="H477:H481"/>
    <mergeCell ref="I477:I481"/>
    <mergeCell ref="J477:J481"/>
    <mergeCell ref="K477:K481"/>
    <mergeCell ref="M477:M481"/>
    <mergeCell ref="N472:N476"/>
    <mergeCell ref="O472:O476"/>
    <mergeCell ref="P472:P476"/>
    <mergeCell ref="Q472:Q476"/>
    <mergeCell ref="A477:A481"/>
    <mergeCell ref="B477:B481"/>
    <mergeCell ref="C477:C481"/>
    <mergeCell ref="D477:D481"/>
    <mergeCell ref="E477:E481"/>
    <mergeCell ref="F477:F481"/>
    <mergeCell ref="G436:G438"/>
    <mergeCell ref="H436:H438"/>
    <mergeCell ref="I436:I438"/>
    <mergeCell ref="J436:J438"/>
    <mergeCell ref="K436:K438"/>
    <mergeCell ref="M436:M438"/>
    <mergeCell ref="N467:N471"/>
    <mergeCell ref="O467:O471"/>
    <mergeCell ref="P467:P471"/>
    <mergeCell ref="Q467:Q471"/>
    <mergeCell ref="A472:A476"/>
    <mergeCell ref="B472:B476"/>
    <mergeCell ref="C472:C476"/>
    <mergeCell ref="D472:D476"/>
    <mergeCell ref="E472:E476"/>
    <mergeCell ref="F472:F476"/>
    <mergeCell ref="G467:G471"/>
    <mergeCell ref="H467:H471"/>
    <mergeCell ref="I467:I471"/>
    <mergeCell ref="J467:J471"/>
    <mergeCell ref="K467:K471"/>
    <mergeCell ref="M467:M471"/>
    <mergeCell ref="N462:N466"/>
    <mergeCell ref="O462:O466"/>
    <mergeCell ref="P462:P466"/>
    <mergeCell ref="Q462:Q466"/>
    <mergeCell ref="A467:A471"/>
    <mergeCell ref="B467:B471"/>
    <mergeCell ref="C467:C471"/>
    <mergeCell ref="D467:D471"/>
    <mergeCell ref="E467:E471"/>
    <mergeCell ref="F467:F471"/>
    <mergeCell ref="G426:G427"/>
    <mergeCell ref="H426:H427"/>
    <mergeCell ref="I426:I427"/>
    <mergeCell ref="J426:J427"/>
    <mergeCell ref="K426:K427"/>
    <mergeCell ref="M426:M427"/>
    <mergeCell ref="N457:N461"/>
    <mergeCell ref="O457:O461"/>
    <mergeCell ref="P457:P461"/>
    <mergeCell ref="Q457:Q461"/>
    <mergeCell ref="A462:A466"/>
    <mergeCell ref="B462:B466"/>
    <mergeCell ref="C462:C466"/>
    <mergeCell ref="D462:D466"/>
    <mergeCell ref="E462:E466"/>
    <mergeCell ref="F462:F466"/>
    <mergeCell ref="G457:G461"/>
    <mergeCell ref="H457:H461"/>
    <mergeCell ref="I457:I461"/>
    <mergeCell ref="J457:J461"/>
    <mergeCell ref="K457:K461"/>
    <mergeCell ref="M457:M461"/>
    <mergeCell ref="N436:N438"/>
    <mergeCell ref="O436:O438"/>
    <mergeCell ref="P436:P438"/>
    <mergeCell ref="Q436:Q438"/>
    <mergeCell ref="A457:A461"/>
    <mergeCell ref="B457:B461"/>
    <mergeCell ref="C457:C461"/>
    <mergeCell ref="D457:D461"/>
    <mergeCell ref="E457:E461"/>
    <mergeCell ref="F457:F461"/>
    <mergeCell ref="G413:G415"/>
    <mergeCell ref="H413:H415"/>
    <mergeCell ref="I413:I415"/>
    <mergeCell ref="J413:J415"/>
    <mergeCell ref="K413:K415"/>
    <mergeCell ref="M413:M415"/>
    <mergeCell ref="N428:N429"/>
    <mergeCell ref="O428:O429"/>
    <mergeCell ref="P428:P429"/>
    <mergeCell ref="Q428:Q429"/>
    <mergeCell ref="A436:A438"/>
    <mergeCell ref="B436:B438"/>
    <mergeCell ref="C436:C438"/>
    <mergeCell ref="D436:D438"/>
    <mergeCell ref="E436:E438"/>
    <mergeCell ref="F436:F438"/>
    <mergeCell ref="G428:G429"/>
    <mergeCell ref="H428:H429"/>
    <mergeCell ref="I428:I429"/>
    <mergeCell ref="J428:J429"/>
    <mergeCell ref="K428:K429"/>
    <mergeCell ref="M428:M429"/>
    <mergeCell ref="N426:N427"/>
    <mergeCell ref="O426:O427"/>
    <mergeCell ref="P426:P427"/>
    <mergeCell ref="Q426:Q427"/>
    <mergeCell ref="A428:A429"/>
    <mergeCell ref="B428:B429"/>
    <mergeCell ref="C428:C429"/>
    <mergeCell ref="D428:D429"/>
    <mergeCell ref="E428:E429"/>
    <mergeCell ref="F428:F429"/>
    <mergeCell ref="G371:G372"/>
    <mergeCell ref="H371:H372"/>
    <mergeCell ref="I371:I372"/>
    <mergeCell ref="J371:J372"/>
    <mergeCell ref="K371:K372"/>
    <mergeCell ref="M371:M372"/>
    <mergeCell ref="N424:N425"/>
    <mergeCell ref="O424:O425"/>
    <mergeCell ref="P424:P425"/>
    <mergeCell ref="Q424:Q425"/>
    <mergeCell ref="A426:A427"/>
    <mergeCell ref="B426:B427"/>
    <mergeCell ref="C426:C427"/>
    <mergeCell ref="D426:D427"/>
    <mergeCell ref="E426:E427"/>
    <mergeCell ref="F426:F427"/>
    <mergeCell ref="G424:G425"/>
    <mergeCell ref="H424:H425"/>
    <mergeCell ref="I424:I425"/>
    <mergeCell ref="J424:J425"/>
    <mergeCell ref="K424:K425"/>
    <mergeCell ref="M424:M425"/>
    <mergeCell ref="N413:N415"/>
    <mergeCell ref="O413:O415"/>
    <mergeCell ref="P413:P415"/>
    <mergeCell ref="Q413:Q415"/>
    <mergeCell ref="A424:A425"/>
    <mergeCell ref="B424:B425"/>
    <mergeCell ref="C424:C425"/>
    <mergeCell ref="D424:D425"/>
    <mergeCell ref="E424:E425"/>
    <mergeCell ref="F424:F425"/>
    <mergeCell ref="G367:G368"/>
    <mergeCell ref="H367:H368"/>
    <mergeCell ref="I367:I368"/>
    <mergeCell ref="J367:J368"/>
    <mergeCell ref="K367:K368"/>
    <mergeCell ref="M367:M368"/>
    <mergeCell ref="N379:N381"/>
    <mergeCell ref="O379:O381"/>
    <mergeCell ref="P379:P381"/>
    <mergeCell ref="Q379:Q381"/>
    <mergeCell ref="A413:A415"/>
    <mergeCell ref="B413:B415"/>
    <mergeCell ref="C413:C415"/>
    <mergeCell ref="D413:D415"/>
    <mergeCell ref="E413:E415"/>
    <mergeCell ref="F413:F415"/>
    <mergeCell ref="G379:G381"/>
    <mergeCell ref="H379:H381"/>
    <mergeCell ref="I379:I381"/>
    <mergeCell ref="J379:J381"/>
    <mergeCell ref="K379:K381"/>
    <mergeCell ref="M379:M381"/>
    <mergeCell ref="N371:N372"/>
    <mergeCell ref="O371:O372"/>
    <mergeCell ref="P371:P372"/>
    <mergeCell ref="Q371:Q372"/>
    <mergeCell ref="A379:A381"/>
    <mergeCell ref="B379:B381"/>
    <mergeCell ref="C379:C381"/>
    <mergeCell ref="D379:D381"/>
    <mergeCell ref="E379:E381"/>
    <mergeCell ref="F379:F381"/>
    <mergeCell ref="G355:G359"/>
    <mergeCell ref="H355:H359"/>
    <mergeCell ref="I355:I359"/>
    <mergeCell ref="J355:J359"/>
    <mergeCell ref="K355:K359"/>
    <mergeCell ref="M355:M359"/>
    <mergeCell ref="N369:N370"/>
    <mergeCell ref="O369:O370"/>
    <mergeCell ref="P369:P370"/>
    <mergeCell ref="Q369:Q370"/>
    <mergeCell ref="A371:A372"/>
    <mergeCell ref="B371:B372"/>
    <mergeCell ref="C371:C372"/>
    <mergeCell ref="D371:D372"/>
    <mergeCell ref="E371:E372"/>
    <mergeCell ref="F371:F372"/>
    <mergeCell ref="G369:G370"/>
    <mergeCell ref="H369:H370"/>
    <mergeCell ref="I369:I370"/>
    <mergeCell ref="J369:J370"/>
    <mergeCell ref="K369:K370"/>
    <mergeCell ref="M369:M370"/>
    <mergeCell ref="N367:N368"/>
    <mergeCell ref="O367:O368"/>
    <mergeCell ref="P367:P368"/>
    <mergeCell ref="Q367:Q368"/>
    <mergeCell ref="A369:A370"/>
    <mergeCell ref="B369:B370"/>
    <mergeCell ref="C369:C370"/>
    <mergeCell ref="D369:D370"/>
    <mergeCell ref="E369:E370"/>
    <mergeCell ref="F369:F370"/>
    <mergeCell ref="G296:G298"/>
    <mergeCell ref="H296:H298"/>
    <mergeCell ref="I296:I298"/>
    <mergeCell ref="J296:J298"/>
    <mergeCell ref="K296:K298"/>
    <mergeCell ref="M296:M298"/>
    <mergeCell ref="N361:N363"/>
    <mergeCell ref="O361:O363"/>
    <mergeCell ref="P361:P363"/>
    <mergeCell ref="Q361:Q363"/>
    <mergeCell ref="A367:A368"/>
    <mergeCell ref="B367:B368"/>
    <mergeCell ref="C367:C368"/>
    <mergeCell ref="D367:D368"/>
    <mergeCell ref="E367:E368"/>
    <mergeCell ref="F367:F368"/>
    <mergeCell ref="G361:G363"/>
    <mergeCell ref="H361:H363"/>
    <mergeCell ref="I361:I363"/>
    <mergeCell ref="J361:J363"/>
    <mergeCell ref="K361:K363"/>
    <mergeCell ref="M361:M363"/>
    <mergeCell ref="N355:N359"/>
    <mergeCell ref="O355:O359"/>
    <mergeCell ref="P355:P359"/>
    <mergeCell ref="Q355:Q359"/>
    <mergeCell ref="A361:A363"/>
    <mergeCell ref="B361:B363"/>
    <mergeCell ref="C361:C363"/>
    <mergeCell ref="D361:D363"/>
    <mergeCell ref="E361:E363"/>
    <mergeCell ref="F361:F363"/>
    <mergeCell ref="G235:G241"/>
    <mergeCell ref="H235:H241"/>
    <mergeCell ref="I235:I241"/>
    <mergeCell ref="J235:J241"/>
    <mergeCell ref="K235:K241"/>
    <mergeCell ref="M235:M241"/>
    <mergeCell ref="N300:N302"/>
    <mergeCell ref="O300:O302"/>
    <mergeCell ref="P300:P302"/>
    <mergeCell ref="Q300:Q302"/>
    <mergeCell ref="A355:A359"/>
    <mergeCell ref="B355:B359"/>
    <mergeCell ref="C355:C359"/>
    <mergeCell ref="D355:D359"/>
    <mergeCell ref="E355:E359"/>
    <mergeCell ref="F355:F359"/>
    <mergeCell ref="G300:G302"/>
    <mergeCell ref="H300:H302"/>
    <mergeCell ref="I300:I302"/>
    <mergeCell ref="J300:J302"/>
    <mergeCell ref="K300:K302"/>
    <mergeCell ref="M300:M302"/>
    <mergeCell ref="N296:N298"/>
    <mergeCell ref="O296:O298"/>
    <mergeCell ref="P296:P298"/>
    <mergeCell ref="Q296:Q298"/>
    <mergeCell ref="A300:A302"/>
    <mergeCell ref="B300:B302"/>
    <mergeCell ref="C300:C302"/>
    <mergeCell ref="D300:D302"/>
    <mergeCell ref="E300:E302"/>
    <mergeCell ref="F300:F302"/>
    <mergeCell ref="G192:G196"/>
    <mergeCell ref="H192:H196"/>
    <mergeCell ref="I192:I196"/>
    <mergeCell ref="J192:J196"/>
    <mergeCell ref="K192:K196"/>
    <mergeCell ref="M192:M196"/>
    <mergeCell ref="N260:N264"/>
    <mergeCell ref="O260:O264"/>
    <mergeCell ref="P260:P264"/>
    <mergeCell ref="Q260:Q264"/>
    <mergeCell ref="A296:A298"/>
    <mergeCell ref="B296:B298"/>
    <mergeCell ref="C296:C298"/>
    <mergeCell ref="D296:D298"/>
    <mergeCell ref="E296:E298"/>
    <mergeCell ref="F296:F298"/>
    <mergeCell ref="G260:G264"/>
    <mergeCell ref="H260:H264"/>
    <mergeCell ref="I260:I264"/>
    <mergeCell ref="J260:J264"/>
    <mergeCell ref="K260:K264"/>
    <mergeCell ref="M260:M264"/>
    <mergeCell ref="N235:N241"/>
    <mergeCell ref="O235:O241"/>
    <mergeCell ref="P235:P241"/>
    <mergeCell ref="Q235:Q241"/>
    <mergeCell ref="A260:A264"/>
    <mergeCell ref="B260:B264"/>
    <mergeCell ref="C260:C264"/>
    <mergeCell ref="D260:D264"/>
    <mergeCell ref="E260:E264"/>
    <mergeCell ref="F260:F264"/>
    <mergeCell ref="G182:G186"/>
    <mergeCell ref="H182:H186"/>
    <mergeCell ref="I182:I186"/>
    <mergeCell ref="J182:J186"/>
    <mergeCell ref="K182:K186"/>
    <mergeCell ref="M182:M186"/>
    <mergeCell ref="N199:N203"/>
    <mergeCell ref="O199:O203"/>
    <mergeCell ref="P199:P203"/>
    <mergeCell ref="Q199:Q203"/>
    <mergeCell ref="A235:A241"/>
    <mergeCell ref="B235:B241"/>
    <mergeCell ref="C235:C241"/>
    <mergeCell ref="D235:D241"/>
    <mergeCell ref="E235:E241"/>
    <mergeCell ref="F235:F241"/>
    <mergeCell ref="G199:G203"/>
    <mergeCell ref="H199:H203"/>
    <mergeCell ref="I199:I203"/>
    <mergeCell ref="J199:J203"/>
    <mergeCell ref="K199:K203"/>
    <mergeCell ref="M199:M203"/>
    <mergeCell ref="N192:N196"/>
    <mergeCell ref="O192:O196"/>
    <mergeCell ref="P192:P196"/>
    <mergeCell ref="Q192:Q196"/>
    <mergeCell ref="A199:A203"/>
    <mergeCell ref="B199:B203"/>
    <mergeCell ref="C199:C203"/>
    <mergeCell ref="D199:D203"/>
    <mergeCell ref="E199:E203"/>
    <mergeCell ref="F199:F203"/>
    <mergeCell ref="G172:G176"/>
    <mergeCell ref="H172:H176"/>
    <mergeCell ref="I172:I176"/>
    <mergeCell ref="J172:J176"/>
    <mergeCell ref="K172:K176"/>
    <mergeCell ref="M172:M176"/>
    <mergeCell ref="N187:N191"/>
    <mergeCell ref="O187:O191"/>
    <mergeCell ref="P187:P191"/>
    <mergeCell ref="Q187:Q191"/>
    <mergeCell ref="A192:A196"/>
    <mergeCell ref="B192:B196"/>
    <mergeCell ref="C192:C196"/>
    <mergeCell ref="D192:D196"/>
    <mergeCell ref="E192:E196"/>
    <mergeCell ref="F192:F196"/>
    <mergeCell ref="G187:G191"/>
    <mergeCell ref="H187:H191"/>
    <mergeCell ref="I187:I191"/>
    <mergeCell ref="J187:J191"/>
    <mergeCell ref="K187:K191"/>
    <mergeCell ref="M187:M191"/>
    <mergeCell ref="N182:N186"/>
    <mergeCell ref="O182:O186"/>
    <mergeCell ref="P182:P186"/>
    <mergeCell ref="Q182:Q186"/>
    <mergeCell ref="A187:A191"/>
    <mergeCell ref="B187:B191"/>
    <mergeCell ref="C187:C191"/>
    <mergeCell ref="D187:D191"/>
    <mergeCell ref="E187:E191"/>
    <mergeCell ref="F187:F191"/>
    <mergeCell ref="G145:G146"/>
    <mergeCell ref="H145:H146"/>
    <mergeCell ref="I145:I146"/>
    <mergeCell ref="J145:J146"/>
    <mergeCell ref="K145:K146"/>
    <mergeCell ref="M145:M146"/>
    <mergeCell ref="N177:N181"/>
    <mergeCell ref="O177:O181"/>
    <mergeCell ref="P177:P181"/>
    <mergeCell ref="Q177:Q181"/>
    <mergeCell ref="A182:A186"/>
    <mergeCell ref="B182:B186"/>
    <mergeCell ref="C182:C186"/>
    <mergeCell ref="D182:D186"/>
    <mergeCell ref="E182:E186"/>
    <mergeCell ref="F182:F186"/>
    <mergeCell ref="G177:G181"/>
    <mergeCell ref="H177:H181"/>
    <mergeCell ref="I177:I181"/>
    <mergeCell ref="J177:J181"/>
    <mergeCell ref="K177:K181"/>
    <mergeCell ref="M177:M181"/>
    <mergeCell ref="N172:N176"/>
    <mergeCell ref="O172:O176"/>
    <mergeCell ref="P172:P176"/>
    <mergeCell ref="Q172:Q176"/>
    <mergeCell ref="A177:A181"/>
    <mergeCell ref="B177:B181"/>
    <mergeCell ref="C177:C181"/>
    <mergeCell ref="D177:D181"/>
    <mergeCell ref="E177:E181"/>
    <mergeCell ref="F177:F181"/>
    <mergeCell ref="G141:G142"/>
    <mergeCell ref="H141:H142"/>
    <mergeCell ref="I141:I142"/>
    <mergeCell ref="J141:J142"/>
    <mergeCell ref="K141:K142"/>
    <mergeCell ref="M141:M142"/>
    <mergeCell ref="N152:N154"/>
    <mergeCell ref="O152:O154"/>
    <mergeCell ref="P152:P154"/>
    <mergeCell ref="Q152:Q154"/>
    <mergeCell ref="A172:A176"/>
    <mergeCell ref="B172:B176"/>
    <mergeCell ref="C172:C176"/>
    <mergeCell ref="D172:D176"/>
    <mergeCell ref="E172:E176"/>
    <mergeCell ref="F172:F176"/>
    <mergeCell ref="G152:G154"/>
    <mergeCell ref="H152:H154"/>
    <mergeCell ref="I152:I154"/>
    <mergeCell ref="J152:J154"/>
    <mergeCell ref="K152:K154"/>
    <mergeCell ref="M152:M154"/>
    <mergeCell ref="N145:N146"/>
    <mergeCell ref="O145:O146"/>
    <mergeCell ref="P145:P146"/>
    <mergeCell ref="Q145:Q146"/>
    <mergeCell ref="A152:A154"/>
    <mergeCell ref="B152:B154"/>
    <mergeCell ref="C152:C154"/>
    <mergeCell ref="D152:D154"/>
    <mergeCell ref="E152:E154"/>
    <mergeCell ref="F152:F154"/>
    <mergeCell ref="G33:G34"/>
    <mergeCell ref="H33:H34"/>
    <mergeCell ref="I33:I34"/>
    <mergeCell ref="J33:J34"/>
    <mergeCell ref="K33:K34"/>
    <mergeCell ref="M33:M34"/>
    <mergeCell ref="N143:N144"/>
    <mergeCell ref="O143:O144"/>
    <mergeCell ref="P143:P144"/>
    <mergeCell ref="Q143:Q144"/>
    <mergeCell ref="A145:A146"/>
    <mergeCell ref="B145:B146"/>
    <mergeCell ref="C145:C146"/>
    <mergeCell ref="D145:D146"/>
    <mergeCell ref="E145:E146"/>
    <mergeCell ref="F145:F146"/>
    <mergeCell ref="G143:G144"/>
    <mergeCell ref="H143:H144"/>
    <mergeCell ref="I143:I144"/>
    <mergeCell ref="J143:J144"/>
    <mergeCell ref="K143:K144"/>
    <mergeCell ref="M143:M144"/>
    <mergeCell ref="N141:N142"/>
    <mergeCell ref="O141:O142"/>
    <mergeCell ref="P141:P142"/>
    <mergeCell ref="Q141:Q142"/>
    <mergeCell ref="A143:A144"/>
    <mergeCell ref="B143:B144"/>
    <mergeCell ref="C143:C144"/>
    <mergeCell ref="D143:D144"/>
    <mergeCell ref="E143:E144"/>
    <mergeCell ref="F143:F144"/>
    <mergeCell ref="G5:G7"/>
    <mergeCell ref="H5:H7"/>
    <mergeCell ref="I5:I7"/>
    <mergeCell ref="J5:J7"/>
    <mergeCell ref="K5:K7"/>
    <mergeCell ref="M5:M7"/>
    <mergeCell ref="N35:N36"/>
    <mergeCell ref="O35:O36"/>
    <mergeCell ref="P35:P36"/>
    <mergeCell ref="Q35:Q36"/>
    <mergeCell ref="A141:A142"/>
    <mergeCell ref="B141:B142"/>
    <mergeCell ref="C141:C142"/>
    <mergeCell ref="D141:D142"/>
    <mergeCell ref="E141:E142"/>
    <mergeCell ref="F141:F142"/>
    <mergeCell ref="G35:G36"/>
    <mergeCell ref="H35:H36"/>
    <mergeCell ref="I35:I36"/>
    <mergeCell ref="J35:J36"/>
    <mergeCell ref="K35:K36"/>
    <mergeCell ref="M35:M36"/>
    <mergeCell ref="N33:N34"/>
    <mergeCell ref="O33:O34"/>
    <mergeCell ref="P33:P34"/>
    <mergeCell ref="Q33:Q34"/>
    <mergeCell ref="A35:A36"/>
    <mergeCell ref="B35:B36"/>
    <mergeCell ref="C35:C36"/>
    <mergeCell ref="D35:D36"/>
    <mergeCell ref="E35:E36"/>
    <mergeCell ref="F35:F36"/>
    <mergeCell ref="A5:A7"/>
    <mergeCell ref="B5:B7"/>
    <mergeCell ref="C5:C7"/>
    <mergeCell ref="D5:D7"/>
    <mergeCell ref="E5:E7"/>
    <mergeCell ref="F5:F7"/>
    <mergeCell ref="N31:N32"/>
    <mergeCell ref="O31:O32"/>
    <mergeCell ref="P31:P32"/>
    <mergeCell ref="Q31:Q32"/>
    <mergeCell ref="A33:A34"/>
    <mergeCell ref="B33:B34"/>
    <mergeCell ref="C33:C34"/>
    <mergeCell ref="D33:D34"/>
    <mergeCell ref="E33:E34"/>
    <mergeCell ref="F33:F34"/>
    <mergeCell ref="G31:G32"/>
    <mergeCell ref="H31:H32"/>
    <mergeCell ref="I31:I32"/>
    <mergeCell ref="J31:J32"/>
    <mergeCell ref="K31:K32"/>
    <mergeCell ref="M31:M32"/>
    <mergeCell ref="N5:N7"/>
    <mergeCell ref="O5:O7"/>
    <mergeCell ref="P5:P7"/>
    <mergeCell ref="Q5:Q7"/>
    <mergeCell ref="A31:A32"/>
    <mergeCell ref="B31:B32"/>
    <mergeCell ref="C31:C32"/>
    <mergeCell ref="D31:D32"/>
    <mergeCell ref="E31:E32"/>
    <mergeCell ref="F31:F32"/>
  </mergeCells>
  <hyperlinks>
    <hyperlink ref="L46" r:id="rId1" display="http://www.iso.org/iso/country_codes.htm" xr:uid="{9F6CAA9C-3CF8-4277-A41A-C42228A34E88}"/>
    <hyperlink ref="L164" r:id="rId2" display="http://www.iso.org/iso/country_codes.htm" xr:uid="{C23DF528-F069-4C32-A734-F33541165C77}"/>
    <hyperlink ref="G248" r:id="rId3" display="iso639-2LanguageCode.aspx" xr:uid="{0B6478A3-3B24-4EF7-89BB-979922653EA0}"/>
    <hyperlink ref="L248" r:id="rId4" display="http://www.loc.gov/standards/iso639-2/langhome.html" xr:uid="{7F5A3043-8C4C-4405-977B-572076C31D46}"/>
    <hyperlink ref="G249" r:id="rId5" display="iso639-3LanguageCodev7.aspx" xr:uid="{E439899E-9521-4A25-B102-292CC0A4114B}"/>
    <hyperlink ref="L249" r:id="rId6" display="http://www-01.sil.org/iso639-3/default.asp" xr:uid="{0A2B6242-3C41-40E9-BB75-6EA3E366C4E3}"/>
    <hyperlink ref="L250" r:id="rId7" display="http://www.loc.gov/standards/iso639-5/index.html" xr:uid="{2D84EE01-F607-4E7F-B4FC-13C71C5CDA06}"/>
    <hyperlink ref="L323" r:id="rId8" xr:uid="{378E4AAE-3F07-4691-840D-DF723D8E36A7}"/>
    <hyperlink ref="L399" r:id="rId9" display="http://www.iso.org/iso/country_codes.htm" xr:uid="{AD4306CC-B763-472F-8A72-420D25023472}"/>
    <hyperlink ref="L447" r:id="rId10" display="http://www.iso.org/iso/country_codes.htm" xr:uid="{D1AC4FA5-A971-465A-B30C-D48E94CDE321}"/>
    <hyperlink ref="G529" r:id="rId11" display="iso639-2LanguageCode.aspx" xr:uid="{7A38BA5D-8F4E-4EC4-B259-45E807A60302}"/>
    <hyperlink ref="L529" r:id="rId12" display="http://www.loc.gov/standards/iso639-2/langhome.html" xr:uid="{C5B2D254-EE3C-4CA0-8E69-A186FF91CB58}"/>
    <hyperlink ref="G530" r:id="rId13" display="iso639-3LanguageCodev7.aspx" xr:uid="{0F760335-A5BE-464F-B3E3-3C8B88E8C652}"/>
    <hyperlink ref="L530" r:id="rId14" display="http://www-01.sil.org/iso639-3/default.asp" xr:uid="{9FE0AD70-DDF2-4E76-9EC5-6BB666C76B26}"/>
    <hyperlink ref="L531" r:id="rId15" display="http://www.loc.gov/standards/iso639-5/index.html" xr:uid="{4F97B55B-1292-4944-9C04-8DFF78CE842D}"/>
    <hyperlink ref="G597" r:id="rId16" display="iso639-2LanguageCode.aspx" xr:uid="{4E32F463-31A8-4512-A183-9804B66B77D2}"/>
    <hyperlink ref="L597" r:id="rId17" display="http://www.loc.gov/standards/iso639-2/langhome.html" xr:uid="{1B49EB9F-1F0C-48A8-AAAD-1955F0158989}"/>
    <hyperlink ref="L653" r:id="rId18" display="http://nces.ed.gov/pubs2015/fin_acct/chapter6_4.asp" xr:uid="{AD0DAA57-8D38-4990-883F-7492B43AD9B2}"/>
    <hyperlink ref="L700" r:id="rId19" display="http://www.iso.org/iso/country_codes.htm" xr:uid="{051446C3-63C4-4137-B7C0-A409F715FF40}"/>
    <hyperlink ref="L812" r:id="rId20" display="http://nces.ed.gov/pubs2015/fin_acct/chapter6_4.asp" xr:uid="{ED4FAA2D-EFF8-46E1-9F8B-0060EAD7DD21}"/>
    <hyperlink ref="L815" r:id="rId21" display="http://nces.ed.gov/pubs2015/fin_acct/chapter6_5.asp" xr:uid="{9E61BE96-24DD-49C7-BF29-D3BC685642D4}"/>
    <hyperlink ref="L816" r:id="rId22" display="http://nces.ed.gov/pubs2015/fin_acct/chapter6_6.asp" xr:uid="{059502FA-454F-4ED5-8A20-35AF63D439BE}"/>
    <hyperlink ref="L817" r:id="rId23" display="http://nces.ed.gov/pubs2015/fin_acct/chapter6_8.asp" xr:uid="{99541C80-6896-49A2-BF5A-3BBD64E91BF2}"/>
    <hyperlink ref="L818" r:id="rId24" display="http://nces.ed.gov/pubs2015/fin_acct/chapter6_7.asp" xr:uid="{A959B03A-3CF9-4A8F-BE8B-F001DF0344BF}"/>
    <hyperlink ref="L827" r:id="rId25" display="http://nces.ed.gov/pubs2015/fin_acct/chapter6_3.asp" xr:uid="{A6FEDD5B-3171-46AF-92F4-67F09049F52D}"/>
    <hyperlink ref="L833" r:id="rId26" display="http://nces.ed.gov/pubs2015/fin_acct/chapter6_1.asp" xr:uid="{3890D929-0B51-4CBB-BD0D-F09F3DFB12B6}"/>
    <hyperlink ref="L836" r:id="rId27" display="http://nces.ed.gov/pubs2015/fin_acct/chapter6_2.asp" xr:uid="{03FFBC2A-7D3F-4DDE-B372-21C778E2BF97}"/>
    <hyperlink ref="L932" r:id="rId28" display="http://nces.ed.gov/pubs2015/fin_acct/chapter6_4.asp" xr:uid="{BAEA0B86-40D3-46FC-9619-C0FCF76384D5}"/>
    <hyperlink ref="L935" r:id="rId29" display="http://nces.ed.gov/pubs2015/fin_acct/chapter6_5.asp" xr:uid="{9FE2FE90-B212-4BE2-9D8C-F679B64B2F94}"/>
    <hyperlink ref="L936" r:id="rId30" display="http://nces.ed.gov/pubs2015/fin_acct/chapter6_6.asp" xr:uid="{DDEFAF5C-FD56-40AD-B45E-81F6939A5B4C}"/>
    <hyperlink ref="L937" r:id="rId31" display="http://nces.ed.gov/pubs2015/fin_acct/chapter6_8.asp" xr:uid="{804198CC-41B3-4E54-9D58-58FC53CC6A58}"/>
    <hyperlink ref="L938" r:id="rId32" display="http://nces.ed.gov/pubs2015/fin_acct/chapter6_7.asp" xr:uid="{64D62BD1-ECA3-4BB3-A4D7-BDE18FE25790}"/>
    <hyperlink ref="L947" r:id="rId33" display="http://nces.ed.gov/pubs2015/fin_acct/chapter6_3.asp" xr:uid="{44A64395-9DBE-48F7-BAF4-2C60EF7A1F24}"/>
    <hyperlink ref="L953" r:id="rId34" display="http://nces.ed.gov/pubs2015/fin_acct/chapter6_1.asp" xr:uid="{8449BBCB-C28E-4400-871A-F5EB190BA27F}"/>
    <hyperlink ref="L956" r:id="rId35" display="http://nces.ed.gov/pubs2015/fin_acct/chapter6_2.asp" xr:uid="{9D967A07-B4C7-4761-9511-0C100A2D795E}"/>
    <hyperlink ref="L1050" r:id="rId36" display="http://www.iso.org/iso/country_codes.htm" xr:uid="{FA75A62B-7DE5-4352-BAFB-3D5823BFC467}"/>
    <hyperlink ref="L1076" r:id="rId37" display="http://nces.ed.gov/pubs2015/fin_acct/chapter6_4.asp" xr:uid="{93E1A6FD-6A9C-41BC-8E87-8A7260721FB0}"/>
    <hyperlink ref="L1079" r:id="rId38" display="http://nces.ed.gov/pubs2015/fin_acct/chapter6_5.asp" xr:uid="{15024BEB-2BB1-4744-9659-C8196AD83D72}"/>
    <hyperlink ref="L1080" r:id="rId39" display="http://nces.ed.gov/pubs2015/fin_acct/chapter6_6.asp" xr:uid="{7E33F4E4-A483-48CF-B911-CBDCD6D8829C}"/>
    <hyperlink ref="L1081" r:id="rId40" display="http://nces.ed.gov/pubs2015/fin_acct/chapter6_8.asp" xr:uid="{2D97B640-9338-4BB0-A643-71BD21C4EB7B}"/>
    <hyperlink ref="L1082" r:id="rId41" display="http://nces.ed.gov/pubs2015/fin_acct/chapter6_7.asp" xr:uid="{070CE6C1-B326-451A-8E45-DAD6E97414C4}"/>
    <hyperlink ref="L1091" r:id="rId42" display="http://nces.ed.gov/pubs2015/fin_acct/chapter6_3.asp" xr:uid="{90915B42-33F5-4110-8E9B-EC36C945FD95}"/>
    <hyperlink ref="L1097" r:id="rId43" display="http://nces.ed.gov/pubs2015/fin_acct/chapter6_1.asp" xr:uid="{719DC81C-5976-463C-89D1-9EDCA6DB7417}"/>
    <hyperlink ref="L1098" r:id="rId44" display="http://nces.ed.gov/pubs2015/fin_acct/chapter6_2.asp" xr:uid="{D0A43DF9-BED5-483F-8787-3EC5E23E16D0}"/>
    <hyperlink ref="L1133" r:id="rId45" display="http://www.iso.org/iso/country_codes.htm" xr:uid="{4CE9A9DF-2AEE-4D75-BB8C-E40C561A938F}"/>
    <hyperlink ref="L1175" r:id="rId46" display="http://www.iso.org/iso/country_codes.htm" xr:uid="{DB3D6754-00DA-4A3D-AD44-456592250856}"/>
    <hyperlink ref="L1238" r:id="rId47" display="https://ceds.ed.gov/element/000202" xr:uid="{D1481CA2-26AE-4972-B1C1-C1ADADCCAC71}"/>
    <hyperlink ref="G1509" r:id="rId48" display="iso639-2LanguageCode.aspx" xr:uid="{55B9982D-4E51-44BA-8774-BB11BC122239}"/>
    <hyperlink ref="L1509" r:id="rId49" display="http://www.loc.gov/standards/iso639-2/langhome.html" xr:uid="{3DA3CA65-7453-4030-B796-6CB9CBB20A78}"/>
    <hyperlink ref="G1510" r:id="rId50" display="iso639-3LanguageCodev7.aspx" xr:uid="{42CFA99E-1196-47BF-AB03-E667FBEA36E0}"/>
    <hyperlink ref="L1510" r:id="rId51" display="http://www-01.sil.org/iso639-3/default.asp" xr:uid="{CE32252C-C6A5-49A8-B520-C623C98FFCD2}"/>
    <hyperlink ref="L1511" r:id="rId52" display="http://www.loc.gov/standards/iso639-5/index.html" xr:uid="{FB393FFE-B445-488B-8936-ED3AAE34FA4E}"/>
    <hyperlink ref="G1527" r:id="rId53" display="ScedCourseCodesv4.aspx" xr:uid="{7696CB7C-981E-4548-9D27-48268A97381E}"/>
    <hyperlink ref="L1571" r:id="rId54" display="http://www.iso.org/iso/country_codes.htm" xr:uid="{86FF14C9-C419-4D03-AABB-3B8D646B1B83}"/>
    <hyperlink ref="L1613" r:id="rId55" display="https://w3id.org/xapi/adl" xr:uid="{6C3C3BA9-A9E2-46D4-9E0D-1FF956D488D9}"/>
    <hyperlink ref="L1640" r:id="rId56" display="http://www.iso.org/iso/country_codes.htm" xr:uid="{81CEDA69-F5B4-4C6F-825B-7EBF296EB9C4}"/>
    <hyperlink ref="L1693" r:id="rId57" display="http://www.iso.org/iso/country_codes.htm" xr:uid="{80F72CF7-9AAC-4010-821C-FDDC27B6C955}"/>
    <hyperlink ref="G1832" r:id="rId58" display="iso639-2LanguageCode.aspx" xr:uid="{846D9188-8815-4DEB-944F-67721975F95A}"/>
    <hyperlink ref="L1832" r:id="rId59" display="http://www.loc.gov/standards/iso639-2/langhome.html" xr:uid="{262A6F50-7057-4AF5-BC5A-06D8C629AA4C}"/>
    <hyperlink ref="G1908" r:id="rId60" display="iso639-2LanguageCode.aspx" xr:uid="{8CFC7070-60D3-4091-90C6-FB50482350C3}"/>
    <hyperlink ref="L1908" r:id="rId61" display="http://www.loc.gov/standards/iso639-2/langhome.html" xr:uid="{402C0468-F972-4CD4-A1D1-5D912213CDDF}"/>
    <hyperlink ref="G1912" r:id="rId62" display="ScedCourseCodesv4.aspx" xr:uid="{6D1CC34A-8648-4ADA-8DDA-8E2E160B24CB}"/>
    <hyperlink ref="G1945" r:id="rId63" display="iso639-2LanguageCode.aspx" xr:uid="{1CE9A3A8-4AE9-4781-9A10-54CB6166EC22}"/>
    <hyperlink ref="L1945" r:id="rId64" display="http://www.loc.gov/standards/iso639-2/langhome.html" xr:uid="{437B1717-EB38-4295-A2E8-EC57B207E31D}"/>
    <hyperlink ref="L2046" r:id="rId65" display="http://nces.ed.gov/pubs2015/fin_acct/chapter6_3.asp" xr:uid="{E6B63687-4F3C-4A00-8D93-B5E6A62E0856}"/>
    <hyperlink ref="L2055" r:id="rId66" display="http://nces.ed.gov/pubs2015/fin_acct/chapter6_1.asp" xr:uid="{CDA32674-44F5-4D1F-82B9-CC753572C895}"/>
    <hyperlink ref="L2056" r:id="rId67" display="http://nces.ed.gov/pubs2015/fin_acct/chapter6_2.asp" xr:uid="{843C3362-CB67-40CB-9B72-94AAF5FDE681}"/>
    <hyperlink ref="L2059" r:id="rId68" display="http://nces.ed.gov/pubs2015/fin_acct/chapter6_4.asp" xr:uid="{CD1ADEEB-5125-4AEA-BD39-41E95487CA1A}"/>
    <hyperlink ref="L2062" r:id="rId69" display="http://nces.ed.gov/pubs2015/fin_acct/chapter6_5.asp" xr:uid="{03E8A1C7-DA5D-4AEC-8B47-034B6595462A}"/>
    <hyperlink ref="L2063" r:id="rId70" display="http://nces.ed.gov/pubs2015/fin_acct/chapter6_6.asp" xr:uid="{6B108C3B-B2E7-4AD4-9A61-A12000C952D3}"/>
    <hyperlink ref="L2064" r:id="rId71" display="http://nces.ed.gov/pubs2015/fin_acct/chapter6_8.asp" xr:uid="{B35144AF-196D-4620-9A84-F94766635EFA}"/>
    <hyperlink ref="L2065" r:id="rId72" display="http://nces.ed.gov/pubs2015/fin_acct/chapter6_7.asp" xr:uid="{50B1CC39-3CC1-4433-8631-A783A111A7B0}"/>
    <hyperlink ref="L2147" r:id="rId73" location="RevocationList" display="http://openbadges.github.io/openbadges-specification/ - RevocationList" xr:uid="{B5B3264A-E39F-4B15-A290-771639B43D90}"/>
    <hyperlink ref="L2187" r:id="rId74" display="http://www.iso.org/iso/country_codes.htm" xr:uid="{8543C0EA-0BF3-4FF0-8046-B51943A5C3E7}"/>
    <hyperlink ref="L2203" r:id="rId75" location="RevocationList" display="http://openbadges.github.io/openbadges-specification/ - RevocationList" xr:uid="{D12968B9-F9F9-41FA-9C0D-CBB383D5953A}"/>
    <hyperlink ref="G2272" r:id="rId76" display="http://nces.ed.gov/ipeds/cipcode/browse.aspx?y=55" xr:uid="{BF79B745-17E4-4D5F-B5F1-8CA35306351F}"/>
    <hyperlink ref="L2316" r:id="rId77" display="http://www.iso.org/iso/country_codes.htm" xr:uid="{4488E089-8AB4-4DC8-BCC1-027B3AACE41B}"/>
    <hyperlink ref="G2434" r:id="rId78" display="http://nces.ed.gov/ipeds/cipcode/browse.aspx?y=55" xr:uid="{16284193-653C-48D1-85CF-0C8975CA997A}"/>
    <hyperlink ref="G2448" r:id="rId79" display="http://nces.ed.gov/ipeds/cipcode/browse.aspx?y=55" xr:uid="{128D8709-938C-4954-B1DF-1166B354A6FA}"/>
    <hyperlink ref="L2451" r:id="rId80" display="http://degreeprofile.org/" xr:uid="{7F9260B8-5051-4636-B3CF-F6C01FF0F10E}"/>
    <hyperlink ref="G2484" r:id="rId81" display="http://nces.ed.gov/ipeds/cipcode/browse.aspx?y=55" xr:uid="{F2C0BD0D-0ED2-4060-BD36-F312FF91F3E4}"/>
    <hyperlink ref="L2496" r:id="rId82" display="http://degreeprofile.org/" xr:uid="{783B4F93-4284-41DE-AB4D-E22F6362EAFA}"/>
    <hyperlink ref="L2600" r:id="rId83" display="http://www.iso.org/iso/country_codes.htm" xr:uid="{A5381723-8787-4011-A6ED-F1614373E40A}"/>
    <hyperlink ref="L2638" r:id="rId84" display="http://www.iso.org/iso/country_codes.htm" xr:uid="{B90AD619-3CEA-4182-960B-9F0AA4E0D427}"/>
    <hyperlink ref="G2717" r:id="rId85" display="http://nces.ed.gov/ipeds/cipcode/browse.aspx?y=55" xr:uid="{00A99371-8A1F-4314-96EE-282423BF9915}"/>
    <hyperlink ref="L2776" r:id="rId86" display="http://www.iso.org/iso/country_codes.htm" xr:uid="{EB1963F0-C429-4061-9EB1-411AA6889881}"/>
    <hyperlink ref="G2825" r:id="rId87" display="http://nces.ed.gov/ipeds/cipcode/browse.aspx?y=55" xr:uid="{FE8A011C-C870-4B27-9CD8-970EB3789CFF}"/>
    <hyperlink ref="L2837" r:id="rId88" display="http://degreeprofile.org/" xr:uid="{082064D5-FAD1-4F2A-8F10-10F77BA6419E}"/>
    <hyperlink ref="G2846" r:id="rId89" display="http://nces.ed.gov/ipeds/cipcode/browse.aspx?y=55" xr:uid="{BD871DAD-644F-4061-957F-0638B530F79F}"/>
    <hyperlink ref="L2885" r:id="rId90" display="http://www.iso.org/iso/country_codes.htm" xr:uid="{671EBD78-7A90-4628-B7F3-BD1512E6F9B2}"/>
    <hyperlink ref="G2915" r:id="rId91" display="iso639-2LanguageCode.aspx" xr:uid="{2C3E1655-117F-4D69-B9CB-D1AE6E12345D}"/>
    <hyperlink ref="L2915" r:id="rId92" display="http://www.loc.gov/standards/iso639-2/langhome.html" xr:uid="{FE1DBD70-1059-4B1E-B533-FC5CA0490189}"/>
    <hyperlink ref="G2916" r:id="rId93" display="ScedCourseCodesv4.aspx" xr:uid="{FFC9C537-0BAA-4926-9537-6925E763ABAB}"/>
    <hyperlink ref="G2959" r:id="rId94" display="iso639-2LanguageCode.aspx" xr:uid="{3438E80B-2FF8-446B-B776-FD6C98CAFEB8}"/>
    <hyperlink ref="L2959" r:id="rId95" display="http://www.loc.gov/standards/iso639-2/langhome.html" xr:uid="{5ABFD6D2-3C69-434B-B9AB-9A71461C9551}"/>
    <hyperlink ref="G3000" r:id="rId96" display="http://nces.ed.gov/ipeds/cipcode/browse.aspx?y=55" xr:uid="{229D2255-328E-41B1-91E9-0B0547AF0D51}"/>
    <hyperlink ref="L3080" r:id="rId97" display="http://www.iso.org/iso/country_codes.htm" xr:uid="{1B535A3C-BD8A-429D-B267-7795D3E525B7}"/>
    <hyperlink ref="L3136" r:id="rId98" display="http://degreeprofile.org/" xr:uid="{1DB578FC-BBFE-472C-AD1A-602EF1336F43}"/>
    <hyperlink ref="G3138" r:id="rId99" display="http://nces.ed.gov/ipeds/cipcode/browse.aspx?y=55" xr:uid="{C47ABBCA-F1D1-4635-90B7-FF46921343AB}"/>
    <hyperlink ref="L3200" r:id="rId100" display="http://www.iso.org/iso/country_codes.htm" xr:uid="{E59901DD-8F3A-45B9-A971-7209B84905B1}"/>
    <hyperlink ref="G3259" r:id="rId101" display="iso639-2LanguageCode.aspx" xr:uid="{93C20517-CDD7-4244-89D0-074EE7D3F918}"/>
    <hyperlink ref="L3259" r:id="rId102" display="http://www.loc.gov/standards/iso639-2/langhome.html" xr:uid="{5D07B0E4-0EFC-457E-9198-A03CEE8A9495}"/>
    <hyperlink ref="G3318" r:id="rId103" display="http://nces.ed.gov/ipeds/cipcode/browse.aspx?y=55" xr:uid="{B418E83A-778D-4DFA-8DFB-846026D9A257}"/>
    <hyperlink ref="L3441" r:id="rId104" display="http://degreeprofile.org/" xr:uid="{2F846FB0-7F57-455A-A373-F06DB9D5CA30}"/>
    <hyperlink ref="G3442" r:id="rId105" display="http://nces.ed.gov/ipeds/cipcode/browse.aspx?y=55" xr:uid="{23B3F44D-3AC8-4C7F-A73D-709CD9CCC366}"/>
    <hyperlink ref="G3480" r:id="rId106" display="iso639-2LanguageCode.aspx" xr:uid="{F955D442-6AE7-4DAA-90F0-403E86D7BE47}"/>
    <hyperlink ref="L3480" r:id="rId107" display="http://www.loc.gov/standards/iso639-2/langhome.html" xr:uid="{4C03CEF9-D2FE-4B46-AA57-88FEABDEE0E9}"/>
    <hyperlink ref="G3516" r:id="rId108" display="iso639-2LanguageCode.aspx" xr:uid="{FE9DB3AE-64AF-4F78-88FB-5D1293719F47}"/>
    <hyperlink ref="L3516" r:id="rId109" display="http://www.loc.gov/standards/iso639-2/langhome.html" xr:uid="{6DA4563F-E387-4703-BBE2-632AE2EE6AA8}"/>
    <hyperlink ref="L3536" r:id="rId110" display="https://w3id.org/xapi/adl" xr:uid="{FB527B7B-2384-4CEF-9E77-60C9BB65A962}"/>
    <hyperlink ref="G3549" r:id="rId111" display="iso639-2LanguageCode.aspx" xr:uid="{470CA19F-CD40-42B9-BF6D-D948430E7C44}"/>
    <hyperlink ref="L3549" r:id="rId112" display="http://www.loc.gov/standards/iso639-2/langhome.html" xr:uid="{BA55D758-DDBC-4F6D-92AE-BDA832534FE8}"/>
    <hyperlink ref="G3586" r:id="rId113" display="iso639-2LanguageCode.aspx" xr:uid="{20DF1B33-8E0C-4E21-8626-68C31BC6DE2D}"/>
    <hyperlink ref="L3586" r:id="rId114" display="http://www.loc.gov/standards/iso639-2/langhome.html" xr:uid="{EDB9BF14-9AA4-4EE6-8C4A-70F1B93AB138}"/>
    <hyperlink ref="G3587" r:id="rId115" display="iso639-3LanguageCodev7.aspx" xr:uid="{AF0D394A-4E8C-4FD2-B672-CB6C79ED7ED7}"/>
    <hyperlink ref="L3587" r:id="rId116" display="http://www-01.sil.org/iso639-3/default.asp" xr:uid="{52CAD6A4-8E23-4E6E-94D2-48E9B228B085}"/>
    <hyperlink ref="L3588" r:id="rId117" display="http://www.loc.gov/standards/iso639-5/index.html" xr:uid="{5ABF1DC0-2F96-4AE7-AA22-5C3FEFEC9CCC}"/>
    <hyperlink ref="G3606" r:id="rId118" display="iso639-2LanguageCode.aspx" xr:uid="{41920289-3A1D-4368-B077-70C3C61E3C55}"/>
    <hyperlink ref="L3606" r:id="rId119" display="http://www.loc.gov/standards/iso639-2/langhome.html" xr:uid="{6D74D71E-6E08-4A1C-93A8-0447E827AFEE}"/>
    <hyperlink ref="G3760" r:id="rId120" display="iso639-2LanguageCode.aspx" xr:uid="{3325ED1F-7212-49B0-8DD5-6AEE5DF33818}"/>
    <hyperlink ref="L3760" r:id="rId121" display="http://www.loc.gov/standards/iso639-2/langhome.html" xr:uid="{9DDDCE31-0380-4922-A55D-5F82B5EA8C36}"/>
    <hyperlink ref="G3761" r:id="rId122" display="iso639-3LanguageCodev7.aspx" xr:uid="{4C2DEC94-B786-4C73-B2C4-11D5EB3C46A0}"/>
    <hyperlink ref="L3761" r:id="rId123" display="http://www-01.sil.org/iso639-3/default.asp" xr:uid="{2C5A2DB1-93BD-48FB-97D5-3E4A12C6A9A0}"/>
    <hyperlink ref="L3762" r:id="rId124" display="http://www.loc.gov/standards/iso639-5/index.html" xr:uid="{07F00656-6EE4-4F6F-9DF8-911DAB5444E8}"/>
    <hyperlink ref="G3887" r:id="rId125" display="iso639-2LanguageCode.aspx" xr:uid="{53D237C2-43A0-43D0-AB32-D9A97E1D584F}"/>
    <hyperlink ref="L3887" r:id="rId126" display="http://www.loc.gov/standards/iso639-2/langhome.html" xr:uid="{CFD5FF7B-70F5-4406-807D-DCC487F82B2A}"/>
    <hyperlink ref="G3894" r:id="rId127" display="iso639-2LanguageCode.aspx" xr:uid="{B0874491-4BBF-41D4-AFAA-88E42F3DF121}"/>
    <hyperlink ref="L3894" r:id="rId128" display="http://www.loc.gov/standards/iso639-2/langhome.html" xr:uid="{87653A44-9B41-4DDD-8EF2-D3B3B1A0BCF5}"/>
    <hyperlink ref="G3895" r:id="rId129" display="iso639-2LanguageCode.aspx" xr:uid="{9F6F57CC-6AD3-43FC-9F13-E71F89326E17}"/>
    <hyperlink ref="L3895" r:id="rId130" display="http://www.loc.gov/standards/iso639-2/langhome.html" xr:uid="{47370988-C4B4-4B64-9DF0-898C0AE62E2E}"/>
    <hyperlink ref="G3990" r:id="rId131" display="iso639-2LanguageCode.aspx" xr:uid="{807FE084-0BC8-4B18-ACB6-AA3792E4A886}"/>
    <hyperlink ref="L3990" r:id="rId132" display="http://www.loc.gov/standards/iso639-2/langhome.html" xr:uid="{70ACCA7E-570B-4FBA-9A4F-B6A9305B8E0E}"/>
    <hyperlink ref="L4020" r:id="rId133" location="polygon" display="http://geojson.org/geojson-spec.html - polygon" xr:uid="{A847C9CD-1738-46A7-AC49-D54B462BF069}"/>
    <hyperlink ref="L4021" r:id="rId134" location="polygon" display="http://geojson.org/geojson-spec.html - polygon" xr:uid="{1B546A33-35A6-4CD1-B69B-660DEBE74B13}"/>
    <hyperlink ref="G4026" r:id="rId135" display="http://nces.ed.gov/ipeds/cipcode/browse.aspx?y=55" xr:uid="{0B8836FA-8A35-4BA9-835B-13497D902176}"/>
    <hyperlink ref="L4028" r:id="rId136" xr:uid="{E16E3494-D179-4717-A02B-1EDD75A93755}"/>
    <hyperlink ref="G4077" r:id="rId137" display="iso639-2LanguageCode.aspx" xr:uid="{D8883573-216D-4209-8A6B-705543A12D77}"/>
    <hyperlink ref="L4077" r:id="rId138" display="http://www.loc.gov/standards/iso639-2/langhome.html" xr:uid="{D5AE8796-D006-43EA-8745-BA0345581260}"/>
    <hyperlink ref="G4113" r:id="rId139" display="iso639-2LanguageCode.aspx" xr:uid="{7FA38116-D644-44CE-9EC1-318B23C0FCAE}"/>
    <hyperlink ref="L4113" r:id="rId140" display="http://www.loc.gov/standards/iso639-2/langhome.html" xr:uid="{25251925-9585-46EE-9691-1ED431FDED5F}"/>
    <hyperlink ref="G4166" r:id="rId141" display="iso639-2LanguageCode.aspx" xr:uid="{B884D058-2E08-40A5-943E-3CCF68EF9E7E}"/>
    <hyperlink ref="L4166" r:id="rId142" display="http://www.loc.gov/standards/iso639-2/langhome.html" xr:uid="{76FB66C6-16A6-4263-9FCC-8CCE11C4636A}"/>
    <hyperlink ref="K1181" r:id="rId143" xr:uid="{DD10B7F1-79A2-4953-8E4C-BF05615DED6A}"/>
  </hyperlinks>
  <pageMargins left="0.75" right="0.75" top="1" bottom="1" header="0.5" footer="0.5"/>
  <pageSetup orientation="portrait" r:id="rId1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FC1A-8822-4E1A-955C-37DA902C1242}">
  <dimension ref="A1:H1700"/>
  <sheetViews>
    <sheetView showGridLines="0" workbookViewId="0"/>
  </sheetViews>
  <sheetFormatPr defaultRowHeight="15" x14ac:dyDescent="0.25"/>
  <cols>
    <col min="1" max="1" width="22.85546875" bestFit="1" customWidth="1"/>
    <col min="2" max="3" width="36.5703125" bestFit="1" customWidth="1"/>
    <col min="4" max="4" width="10.7109375" bestFit="1" customWidth="1"/>
    <col min="5" max="5" width="36.5703125" bestFit="1" customWidth="1"/>
    <col min="6" max="6" width="9.28515625" bestFit="1" customWidth="1"/>
    <col min="7" max="7" width="36.5703125" bestFit="1" customWidth="1"/>
    <col min="8" max="8" width="6.7109375" bestFit="1" customWidth="1"/>
  </cols>
  <sheetData>
    <row r="1" spans="1:8" s="1" customFormat="1" ht="30" x14ac:dyDescent="0.25">
      <c r="A1" s="2" t="s">
        <v>10456</v>
      </c>
      <c r="B1" s="2" t="s">
        <v>6297</v>
      </c>
      <c r="C1" s="2" t="s">
        <v>6298</v>
      </c>
      <c r="D1" s="2" t="s">
        <v>10457</v>
      </c>
      <c r="E1" s="2" t="s">
        <v>10458</v>
      </c>
      <c r="F1" s="2" t="s">
        <v>10459</v>
      </c>
      <c r="G1" s="2" t="s">
        <v>6299</v>
      </c>
      <c r="H1" s="2" t="s">
        <v>6309</v>
      </c>
    </row>
    <row r="2" spans="1:8" x14ac:dyDescent="0.25">
      <c r="A2" s="3" t="s">
        <v>6935</v>
      </c>
      <c r="B2" s="3" t="s">
        <v>6936</v>
      </c>
      <c r="C2" s="3" t="s">
        <v>6937</v>
      </c>
      <c r="D2" s="3"/>
      <c r="E2" s="3"/>
      <c r="F2" s="3"/>
      <c r="G2" s="3" t="s">
        <v>12</v>
      </c>
      <c r="H2" s="6" t="str">
        <f>HYPERLINK(_xlfn.ENCODEURL("https://techdocs.ed-fi.org/display/EFDS20/"),"Link")</f>
        <v>Link</v>
      </c>
    </row>
    <row r="3" spans="1:8" x14ac:dyDescent="0.25">
      <c r="A3" s="3" t="s">
        <v>6935</v>
      </c>
      <c r="B3" s="3" t="s">
        <v>6938</v>
      </c>
      <c r="C3" s="3" t="s">
        <v>6939</v>
      </c>
      <c r="D3" s="3"/>
      <c r="E3" s="3"/>
      <c r="F3" s="3"/>
      <c r="G3" s="3" t="s">
        <v>12</v>
      </c>
      <c r="H3" s="6" t="str">
        <f>HYPERLINK(_xlfn.ENCODEURL("https://techdocs.ed-fi.org/display/EFDS20/"),"Link")</f>
        <v>Link</v>
      </c>
    </row>
    <row r="4" spans="1:8" x14ac:dyDescent="0.25">
      <c r="A4" s="3" t="s">
        <v>6935</v>
      </c>
      <c r="B4" s="3" t="s">
        <v>6940</v>
      </c>
      <c r="C4" s="3" t="s">
        <v>6941</v>
      </c>
      <c r="D4" s="3"/>
      <c r="E4" s="3"/>
      <c r="F4" s="3"/>
      <c r="G4" s="3" t="s">
        <v>12</v>
      </c>
      <c r="H4" s="6" t="str">
        <f t="shared" ref="H4:H67" si="0">HYPERLINK(_xlfn.ENCODEURL("https://techdocs.ed-fi.org/display/EFDS20/"),"Link")</f>
        <v>Link</v>
      </c>
    </row>
    <row r="5" spans="1:8" ht="75" x14ac:dyDescent="0.25">
      <c r="A5" s="3" t="s">
        <v>6935</v>
      </c>
      <c r="B5" s="3" t="s">
        <v>11950</v>
      </c>
      <c r="C5" s="3" t="s">
        <v>6942</v>
      </c>
      <c r="D5" s="3"/>
      <c r="E5" s="3"/>
      <c r="F5" s="3"/>
      <c r="G5" s="3" t="s">
        <v>12</v>
      </c>
      <c r="H5" s="6" t="str">
        <f t="shared" si="0"/>
        <v>Link</v>
      </c>
    </row>
    <row r="6" spans="1:8" x14ac:dyDescent="0.25">
      <c r="A6" s="3" t="s">
        <v>6935</v>
      </c>
      <c r="B6" s="3" t="s">
        <v>6943</v>
      </c>
      <c r="C6" s="3" t="s">
        <v>6944</v>
      </c>
      <c r="D6" s="3"/>
      <c r="E6" s="3"/>
      <c r="F6" s="3"/>
      <c r="G6" s="3" t="s">
        <v>12</v>
      </c>
      <c r="H6" s="6" t="str">
        <f t="shared" si="0"/>
        <v>Link</v>
      </c>
    </row>
    <row r="7" spans="1:8" x14ac:dyDescent="0.25">
      <c r="A7" s="3" t="s">
        <v>6935</v>
      </c>
      <c r="B7" s="3" t="s">
        <v>6945</v>
      </c>
      <c r="C7" s="3" t="s">
        <v>6946</v>
      </c>
      <c r="D7" s="3"/>
      <c r="E7" s="3"/>
      <c r="F7" s="3"/>
      <c r="G7" s="3" t="s">
        <v>12</v>
      </c>
      <c r="H7" s="6" t="str">
        <f t="shared" si="0"/>
        <v>Link</v>
      </c>
    </row>
    <row r="8" spans="1:8" ht="30" x14ac:dyDescent="0.25">
      <c r="A8" s="3" t="s">
        <v>6935</v>
      </c>
      <c r="B8" s="3" t="s">
        <v>6947</v>
      </c>
      <c r="C8" s="3" t="s">
        <v>6948</v>
      </c>
      <c r="D8" s="3"/>
      <c r="E8" s="3"/>
      <c r="F8" s="3"/>
      <c r="G8" s="3" t="s">
        <v>12</v>
      </c>
      <c r="H8" s="6" t="str">
        <f t="shared" si="0"/>
        <v>Link</v>
      </c>
    </row>
    <row r="9" spans="1:8" ht="30" x14ac:dyDescent="0.25">
      <c r="A9" s="3" t="s">
        <v>6935</v>
      </c>
      <c r="B9" s="3" t="s">
        <v>6949</v>
      </c>
      <c r="C9" s="3" t="s">
        <v>3934</v>
      </c>
      <c r="D9" s="3"/>
      <c r="E9" s="3"/>
      <c r="F9" s="3"/>
      <c r="G9" s="3" t="s">
        <v>12</v>
      </c>
      <c r="H9" s="6" t="str">
        <f t="shared" si="0"/>
        <v>Link</v>
      </c>
    </row>
    <row r="10" spans="1:8" ht="30" x14ac:dyDescent="0.25">
      <c r="A10" s="3" t="s">
        <v>6935</v>
      </c>
      <c r="B10" s="3" t="s">
        <v>6950</v>
      </c>
      <c r="C10" s="3" t="s">
        <v>6951</v>
      </c>
      <c r="D10" s="3"/>
      <c r="E10" s="3"/>
      <c r="F10" s="3"/>
      <c r="G10" s="3" t="s">
        <v>12</v>
      </c>
      <c r="H10" s="6" t="str">
        <f t="shared" si="0"/>
        <v>Link</v>
      </c>
    </row>
    <row r="11" spans="1:8" ht="30" x14ac:dyDescent="0.25">
      <c r="A11" s="3" t="s">
        <v>6935</v>
      </c>
      <c r="B11" s="3" t="s">
        <v>6952</v>
      </c>
      <c r="C11" s="3" t="s">
        <v>6953</v>
      </c>
      <c r="D11" s="3"/>
      <c r="E11" s="3"/>
      <c r="F11" s="3"/>
      <c r="G11" s="3" t="s">
        <v>12</v>
      </c>
      <c r="H11" s="6" t="str">
        <f t="shared" si="0"/>
        <v>Link</v>
      </c>
    </row>
    <row r="12" spans="1:8" ht="60" x14ac:dyDescent="0.25">
      <c r="A12" s="3" t="s">
        <v>6935</v>
      </c>
      <c r="B12" s="3" t="s">
        <v>6954</v>
      </c>
      <c r="C12" s="3" t="s">
        <v>1315</v>
      </c>
      <c r="D12" s="3"/>
      <c r="E12" s="3"/>
      <c r="F12" s="3"/>
      <c r="G12" s="3" t="s">
        <v>12</v>
      </c>
      <c r="H12" s="6" t="str">
        <f t="shared" si="0"/>
        <v>Link</v>
      </c>
    </row>
    <row r="13" spans="1:8" ht="60" x14ac:dyDescent="0.25">
      <c r="A13" s="3" t="s">
        <v>6935</v>
      </c>
      <c r="B13" s="3" t="s">
        <v>11951</v>
      </c>
      <c r="C13" s="3" t="s">
        <v>6955</v>
      </c>
      <c r="D13" s="3"/>
      <c r="E13" s="3"/>
      <c r="F13" s="3"/>
      <c r="G13" s="3" t="s">
        <v>12</v>
      </c>
      <c r="H13" s="6" t="str">
        <f t="shared" si="0"/>
        <v>Link</v>
      </c>
    </row>
    <row r="14" spans="1:8" ht="45" x14ac:dyDescent="0.25">
      <c r="A14" s="3" t="s">
        <v>6935</v>
      </c>
      <c r="B14" s="3" t="s">
        <v>6956</v>
      </c>
      <c r="C14" s="3" t="s">
        <v>6957</v>
      </c>
      <c r="D14" s="3"/>
      <c r="E14" s="3"/>
      <c r="F14" s="3"/>
      <c r="G14" s="3" t="s">
        <v>12</v>
      </c>
      <c r="H14" s="6" t="str">
        <f t="shared" si="0"/>
        <v>Link</v>
      </c>
    </row>
    <row r="15" spans="1:8" ht="60" x14ac:dyDescent="0.25">
      <c r="A15" s="3" t="s">
        <v>6935</v>
      </c>
      <c r="B15" s="3" t="s">
        <v>6958</v>
      </c>
      <c r="C15" s="3" t="s">
        <v>6959</v>
      </c>
      <c r="D15" s="3"/>
      <c r="E15" s="3"/>
      <c r="F15" s="3"/>
      <c r="G15" s="3" t="s">
        <v>12</v>
      </c>
      <c r="H15" s="6" t="str">
        <f t="shared" si="0"/>
        <v>Link</v>
      </c>
    </row>
    <row r="16" spans="1:8" ht="30" x14ac:dyDescent="0.25">
      <c r="A16" s="3" t="s">
        <v>6935</v>
      </c>
      <c r="B16" s="3" t="s">
        <v>6960</v>
      </c>
      <c r="C16" s="3" t="s">
        <v>6961</v>
      </c>
      <c r="D16" s="3"/>
      <c r="E16" s="3"/>
      <c r="F16" s="3"/>
      <c r="G16" s="3" t="s">
        <v>12</v>
      </c>
      <c r="H16" s="6" t="str">
        <f t="shared" si="0"/>
        <v>Link</v>
      </c>
    </row>
    <row r="17" spans="1:8" ht="30" x14ac:dyDescent="0.25">
      <c r="A17" s="3" t="s">
        <v>6935</v>
      </c>
      <c r="B17" s="3" t="s">
        <v>6962</v>
      </c>
      <c r="C17" s="3" t="s">
        <v>11952</v>
      </c>
      <c r="D17" s="3"/>
      <c r="E17" s="3"/>
      <c r="F17" s="3"/>
      <c r="G17" s="3" t="s">
        <v>12</v>
      </c>
      <c r="H17" s="6" t="str">
        <f t="shared" si="0"/>
        <v>Link</v>
      </c>
    </row>
    <row r="18" spans="1:8" ht="30" x14ac:dyDescent="0.25">
      <c r="A18" s="3" t="s">
        <v>6935</v>
      </c>
      <c r="B18" s="3" t="s">
        <v>6964</v>
      </c>
      <c r="C18" s="3" t="s">
        <v>6965</v>
      </c>
      <c r="D18" s="3"/>
      <c r="E18" s="3"/>
      <c r="F18" s="3"/>
      <c r="G18" s="3" t="s">
        <v>12</v>
      </c>
      <c r="H18" s="6" t="str">
        <f t="shared" si="0"/>
        <v>Link</v>
      </c>
    </row>
    <row r="19" spans="1:8" ht="105" x14ac:dyDescent="0.25">
      <c r="A19" s="3" t="s">
        <v>6935</v>
      </c>
      <c r="B19" s="3" t="s">
        <v>6966</v>
      </c>
      <c r="C19" s="3" t="s">
        <v>11953</v>
      </c>
      <c r="D19" s="3"/>
      <c r="E19" s="3"/>
      <c r="F19" s="3"/>
      <c r="G19" s="3" t="s">
        <v>12</v>
      </c>
      <c r="H19" s="6" t="str">
        <f t="shared" si="0"/>
        <v>Link</v>
      </c>
    </row>
    <row r="20" spans="1:8" x14ac:dyDescent="0.25">
      <c r="A20" s="3" t="s">
        <v>6935</v>
      </c>
      <c r="B20" s="3" t="s">
        <v>6967</v>
      </c>
      <c r="C20" s="3" t="s">
        <v>11954</v>
      </c>
      <c r="D20" s="3"/>
      <c r="E20" s="3"/>
      <c r="F20" s="3"/>
      <c r="G20" s="3" t="s">
        <v>12</v>
      </c>
      <c r="H20" s="6" t="str">
        <f t="shared" si="0"/>
        <v>Link</v>
      </c>
    </row>
    <row r="21" spans="1:8" ht="30" x14ac:dyDescent="0.25">
      <c r="A21" s="3" t="s">
        <v>6935</v>
      </c>
      <c r="B21" s="3" t="s">
        <v>6968</v>
      </c>
      <c r="C21" s="3" t="s">
        <v>6969</v>
      </c>
      <c r="D21" s="3"/>
      <c r="E21" s="3"/>
      <c r="F21" s="3"/>
      <c r="G21" s="3" t="s">
        <v>12</v>
      </c>
      <c r="H21" s="6" t="str">
        <f t="shared" si="0"/>
        <v>Link</v>
      </c>
    </row>
    <row r="22" spans="1:8" ht="30" x14ac:dyDescent="0.25">
      <c r="A22" s="3" t="s">
        <v>6935</v>
      </c>
      <c r="B22" s="3" t="s">
        <v>6970</v>
      </c>
      <c r="C22" s="3" t="s">
        <v>6971</v>
      </c>
      <c r="D22" s="3"/>
      <c r="E22" s="3"/>
      <c r="F22" s="3"/>
      <c r="G22" s="3" t="s">
        <v>12</v>
      </c>
      <c r="H22" s="6" t="str">
        <f t="shared" si="0"/>
        <v>Link</v>
      </c>
    </row>
    <row r="23" spans="1:8" ht="30" x14ac:dyDescent="0.25">
      <c r="A23" s="3" t="s">
        <v>6935</v>
      </c>
      <c r="B23" s="3" t="s">
        <v>6972</v>
      </c>
      <c r="C23" s="3" t="s">
        <v>6973</v>
      </c>
      <c r="D23" s="3"/>
      <c r="E23" s="3"/>
      <c r="F23" s="3"/>
      <c r="G23" s="3" t="s">
        <v>12</v>
      </c>
      <c r="H23" s="6" t="str">
        <f t="shared" si="0"/>
        <v>Link</v>
      </c>
    </row>
    <row r="24" spans="1:8" ht="30" x14ac:dyDescent="0.25">
      <c r="A24" s="3" t="s">
        <v>6935</v>
      </c>
      <c r="B24" s="3" t="s">
        <v>6974</v>
      </c>
      <c r="C24" s="3" t="s">
        <v>11955</v>
      </c>
      <c r="D24" s="3"/>
      <c r="E24" s="3"/>
      <c r="F24" s="3"/>
      <c r="G24" s="3" t="s">
        <v>12</v>
      </c>
      <c r="H24" s="6" t="str">
        <f t="shared" si="0"/>
        <v>Link</v>
      </c>
    </row>
    <row r="25" spans="1:8" ht="30" x14ac:dyDescent="0.25">
      <c r="A25" s="3" t="s">
        <v>6935</v>
      </c>
      <c r="B25" s="3" t="s">
        <v>6975</v>
      </c>
      <c r="C25" s="3" t="s">
        <v>6976</v>
      </c>
      <c r="D25" s="3"/>
      <c r="E25" s="3"/>
      <c r="F25" s="3"/>
      <c r="G25" s="3" t="s">
        <v>12</v>
      </c>
      <c r="H25" s="6" t="str">
        <f t="shared" si="0"/>
        <v>Link</v>
      </c>
    </row>
    <row r="26" spans="1:8" ht="45" x14ac:dyDescent="0.25">
      <c r="A26" s="3" t="s">
        <v>6935</v>
      </c>
      <c r="B26" s="3" t="s">
        <v>6977</v>
      </c>
      <c r="C26" s="3" t="s">
        <v>6978</v>
      </c>
      <c r="D26" s="3"/>
      <c r="E26" s="3"/>
      <c r="F26" s="3"/>
      <c r="G26" s="3" t="s">
        <v>12</v>
      </c>
      <c r="H26" s="6" t="str">
        <f t="shared" si="0"/>
        <v>Link</v>
      </c>
    </row>
    <row r="27" spans="1:8" ht="30" x14ac:dyDescent="0.25">
      <c r="A27" s="3" t="s">
        <v>6935</v>
      </c>
      <c r="B27" s="3" t="s">
        <v>6979</v>
      </c>
      <c r="C27" s="3" t="s">
        <v>6980</v>
      </c>
      <c r="D27" s="3"/>
      <c r="E27" s="3"/>
      <c r="F27" s="3"/>
      <c r="G27" s="3" t="s">
        <v>12</v>
      </c>
      <c r="H27" s="6" t="str">
        <f t="shared" si="0"/>
        <v>Link</v>
      </c>
    </row>
    <row r="28" spans="1:8" ht="30" x14ac:dyDescent="0.25">
      <c r="A28" s="3" t="s">
        <v>6935</v>
      </c>
      <c r="B28" s="3" t="s">
        <v>11956</v>
      </c>
      <c r="C28" s="3" t="s">
        <v>6981</v>
      </c>
      <c r="D28" s="3"/>
      <c r="E28" s="3"/>
      <c r="F28" s="3"/>
      <c r="G28" s="3" t="s">
        <v>12</v>
      </c>
      <c r="H28" s="6" t="str">
        <f t="shared" si="0"/>
        <v>Link</v>
      </c>
    </row>
    <row r="29" spans="1:8" ht="30" x14ac:dyDescent="0.25">
      <c r="A29" s="3" t="s">
        <v>6935</v>
      </c>
      <c r="B29" s="3" t="s">
        <v>6982</v>
      </c>
      <c r="C29" s="3" t="s">
        <v>6983</v>
      </c>
      <c r="D29" s="3"/>
      <c r="E29" s="3"/>
      <c r="F29" s="3"/>
      <c r="G29" s="3" t="s">
        <v>12</v>
      </c>
      <c r="H29" s="6" t="str">
        <f t="shared" si="0"/>
        <v>Link</v>
      </c>
    </row>
    <row r="30" spans="1:8" ht="45" x14ac:dyDescent="0.25">
      <c r="A30" s="3" t="s">
        <v>6935</v>
      </c>
      <c r="B30" s="3" t="s">
        <v>11957</v>
      </c>
      <c r="C30" s="3" t="s">
        <v>11958</v>
      </c>
      <c r="D30" s="3"/>
      <c r="E30" s="3"/>
      <c r="F30" s="3"/>
      <c r="G30" s="3" t="s">
        <v>12</v>
      </c>
      <c r="H30" s="6" t="str">
        <f t="shared" si="0"/>
        <v>Link</v>
      </c>
    </row>
    <row r="31" spans="1:8" ht="30" x14ac:dyDescent="0.25">
      <c r="A31" s="3" t="s">
        <v>6935</v>
      </c>
      <c r="B31" s="3" t="s">
        <v>6985</v>
      </c>
      <c r="C31" s="3" t="s">
        <v>6986</v>
      </c>
      <c r="D31" s="3"/>
      <c r="E31" s="3"/>
      <c r="F31" s="3"/>
      <c r="G31" s="3" t="s">
        <v>12</v>
      </c>
      <c r="H31" s="6" t="str">
        <f t="shared" si="0"/>
        <v>Link</v>
      </c>
    </row>
    <row r="32" spans="1:8" ht="90" x14ac:dyDescent="0.25">
      <c r="A32" s="3" t="s">
        <v>6935</v>
      </c>
      <c r="B32" s="3" t="s">
        <v>6987</v>
      </c>
      <c r="C32" s="3" t="s">
        <v>6988</v>
      </c>
      <c r="D32" s="3"/>
      <c r="E32" s="3"/>
      <c r="F32" s="3"/>
      <c r="G32" s="3" t="s">
        <v>12</v>
      </c>
      <c r="H32" s="6" t="str">
        <f t="shared" si="0"/>
        <v>Link</v>
      </c>
    </row>
    <row r="33" spans="1:8" ht="45" x14ac:dyDescent="0.25">
      <c r="A33" s="3" t="s">
        <v>6935</v>
      </c>
      <c r="B33" s="3" t="s">
        <v>6989</v>
      </c>
      <c r="C33" s="3" t="s">
        <v>11959</v>
      </c>
      <c r="D33" s="3"/>
      <c r="E33" s="3"/>
      <c r="F33" s="3"/>
      <c r="G33" s="3" t="s">
        <v>12</v>
      </c>
      <c r="H33" s="6" t="str">
        <f t="shared" si="0"/>
        <v>Link</v>
      </c>
    </row>
    <row r="34" spans="1:8" ht="30" x14ac:dyDescent="0.25">
      <c r="A34" s="3" t="s">
        <v>6935</v>
      </c>
      <c r="B34" s="3" t="s">
        <v>11960</v>
      </c>
      <c r="C34" s="3" t="s">
        <v>6998</v>
      </c>
      <c r="D34" s="3"/>
      <c r="E34" s="3"/>
      <c r="F34" s="3"/>
      <c r="G34" s="3" t="s">
        <v>12</v>
      </c>
      <c r="H34" s="6" t="str">
        <f t="shared" si="0"/>
        <v>Link</v>
      </c>
    </row>
    <row r="35" spans="1:8" ht="60" x14ac:dyDescent="0.25">
      <c r="A35" s="3" t="s">
        <v>6935</v>
      </c>
      <c r="B35" s="3" t="s">
        <v>6990</v>
      </c>
      <c r="C35" s="3" t="s">
        <v>6991</v>
      </c>
      <c r="D35" s="3"/>
      <c r="E35" s="3"/>
      <c r="F35" s="3"/>
      <c r="G35" s="3" t="s">
        <v>12</v>
      </c>
      <c r="H35" s="6" t="str">
        <f t="shared" si="0"/>
        <v>Link</v>
      </c>
    </row>
    <row r="36" spans="1:8" ht="45" x14ac:dyDescent="0.25">
      <c r="A36" s="3" t="s">
        <v>6935</v>
      </c>
      <c r="B36" s="3" t="s">
        <v>11961</v>
      </c>
      <c r="C36" s="3" t="s">
        <v>11962</v>
      </c>
      <c r="D36" s="3"/>
      <c r="E36" s="3"/>
      <c r="F36" s="3"/>
      <c r="G36" s="3" t="s">
        <v>12</v>
      </c>
      <c r="H36" s="6" t="str">
        <f t="shared" si="0"/>
        <v>Link</v>
      </c>
    </row>
    <row r="37" spans="1:8" ht="30" x14ac:dyDescent="0.25">
      <c r="A37" s="3" t="s">
        <v>6935</v>
      </c>
      <c r="B37" s="3" t="s">
        <v>6992</v>
      </c>
      <c r="C37" s="3" t="s">
        <v>6993</v>
      </c>
      <c r="D37" s="3"/>
      <c r="E37" s="3"/>
      <c r="F37" s="3"/>
      <c r="G37" s="3" t="s">
        <v>12</v>
      </c>
      <c r="H37" s="6" t="str">
        <f t="shared" si="0"/>
        <v>Link</v>
      </c>
    </row>
    <row r="38" spans="1:8" x14ac:dyDescent="0.25">
      <c r="A38" s="3" t="s">
        <v>6935</v>
      </c>
      <c r="B38" s="3" t="s">
        <v>6994</v>
      </c>
      <c r="C38" s="3" t="s">
        <v>6995</v>
      </c>
      <c r="D38" s="3"/>
      <c r="E38" s="3"/>
      <c r="F38" s="3"/>
      <c r="G38" s="3" t="s">
        <v>12</v>
      </c>
      <c r="H38" s="6" t="str">
        <f t="shared" si="0"/>
        <v>Link</v>
      </c>
    </row>
    <row r="39" spans="1:8" ht="60" x14ac:dyDescent="0.25">
      <c r="A39" s="3" t="s">
        <v>6935</v>
      </c>
      <c r="B39" s="3" t="s">
        <v>6996</v>
      </c>
      <c r="C39" s="3" t="s">
        <v>6997</v>
      </c>
      <c r="D39" s="3"/>
      <c r="E39" s="3"/>
      <c r="F39" s="3"/>
      <c r="G39" s="3" t="s">
        <v>12</v>
      </c>
      <c r="H39" s="6" t="str">
        <f t="shared" si="0"/>
        <v>Link</v>
      </c>
    </row>
    <row r="40" spans="1:8" ht="30" x14ac:dyDescent="0.25">
      <c r="A40" s="3" t="s">
        <v>6935</v>
      </c>
      <c r="B40" s="3" t="s">
        <v>11963</v>
      </c>
      <c r="C40" s="3" t="s">
        <v>6999</v>
      </c>
      <c r="D40" s="3"/>
      <c r="E40" s="3"/>
      <c r="F40" s="3"/>
      <c r="G40" s="3" t="s">
        <v>12</v>
      </c>
      <c r="H40" s="6" t="str">
        <f t="shared" si="0"/>
        <v>Link</v>
      </c>
    </row>
    <row r="41" spans="1:8" ht="45" x14ac:dyDescent="0.25">
      <c r="A41" s="3" t="s">
        <v>6935</v>
      </c>
      <c r="B41" s="3" t="s">
        <v>11964</v>
      </c>
      <c r="C41" s="3" t="s">
        <v>7000</v>
      </c>
      <c r="D41" s="3"/>
      <c r="E41" s="3"/>
      <c r="F41" s="3"/>
      <c r="G41" s="3" t="s">
        <v>12</v>
      </c>
      <c r="H41" s="6" t="str">
        <f t="shared" si="0"/>
        <v>Link</v>
      </c>
    </row>
    <row r="42" spans="1:8" ht="30" x14ac:dyDescent="0.25">
      <c r="A42" s="3" t="s">
        <v>6935</v>
      </c>
      <c r="B42" s="3" t="s">
        <v>11965</v>
      </c>
      <c r="C42" s="3" t="s">
        <v>11966</v>
      </c>
      <c r="D42" s="3"/>
      <c r="E42" s="3"/>
      <c r="F42" s="3"/>
      <c r="G42" s="3" t="s">
        <v>12</v>
      </c>
      <c r="H42" s="6" t="str">
        <f t="shared" si="0"/>
        <v>Link</v>
      </c>
    </row>
    <row r="43" spans="1:8" ht="30" x14ac:dyDescent="0.25">
      <c r="A43" s="3" t="s">
        <v>6935</v>
      </c>
      <c r="B43" s="3" t="s">
        <v>11967</v>
      </c>
      <c r="C43" s="3" t="s">
        <v>11968</v>
      </c>
      <c r="D43" s="3"/>
      <c r="E43" s="3"/>
      <c r="F43" s="3"/>
      <c r="G43" s="3" t="s">
        <v>12</v>
      </c>
      <c r="H43" s="6" t="str">
        <f t="shared" si="0"/>
        <v>Link</v>
      </c>
    </row>
    <row r="44" spans="1:8" ht="45" x14ac:dyDescent="0.25">
      <c r="A44" s="3" t="s">
        <v>6935</v>
      </c>
      <c r="B44" s="3" t="s">
        <v>7001</v>
      </c>
      <c r="C44" s="3" t="s">
        <v>7002</v>
      </c>
      <c r="D44" s="3"/>
      <c r="E44" s="3"/>
      <c r="F44" s="3"/>
      <c r="G44" s="3" t="s">
        <v>12</v>
      </c>
      <c r="H44" s="6" t="str">
        <f t="shared" si="0"/>
        <v>Link</v>
      </c>
    </row>
    <row r="45" spans="1:8" ht="60" x14ac:dyDescent="0.25">
      <c r="A45" s="3" t="s">
        <v>6935</v>
      </c>
      <c r="B45" s="3" t="s">
        <v>7003</v>
      </c>
      <c r="C45" s="3" t="s">
        <v>7004</v>
      </c>
      <c r="D45" s="3"/>
      <c r="E45" s="3"/>
      <c r="F45" s="3"/>
      <c r="G45" s="3" t="s">
        <v>12</v>
      </c>
      <c r="H45" s="6" t="str">
        <f t="shared" si="0"/>
        <v>Link</v>
      </c>
    </row>
    <row r="46" spans="1:8" ht="45" x14ac:dyDescent="0.25">
      <c r="A46" s="3" t="s">
        <v>6935</v>
      </c>
      <c r="B46" s="3" t="s">
        <v>7005</v>
      </c>
      <c r="C46" s="3" t="s">
        <v>7006</v>
      </c>
      <c r="D46" s="3"/>
      <c r="E46" s="3"/>
      <c r="F46" s="3"/>
      <c r="G46" s="3" t="s">
        <v>12</v>
      </c>
      <c r="H46" s="6" t="str">
        <f t="shared" si="0"/>
        <v>Link</v>
      </c>
    </row>
    <row r="47" spans="1:8" ht="45" x14ac:dyDescent="0.25">
      <c r="A47" s="3" t="s">
        <v>6935</v>
      </c>
      <c r="B47" s="3" t="s">
        <v>7007</v>
      </c>
      <c r="C47" s="3" t="s">
        <v>7008</v>
      </c>
      <c r="D47" s="3"/>
      <c r="E47" s="3"/>
      <c r="F47" s="3"/>
      <c r="G47" s="3" t="s">
        <v>12</v>
      </c>
      <c r="H47" s="6" t="str">
        <f t="shared" si="0"/>
        <v>Link</v>
      </c>
    </row>
    <row r="48" spans="1:8" ht="30" x14ac:dyDescent="0.25">
      <c r="A48" s="3" t="s">
        <v>6935</v>
      </c>
      <c r="B48" s="3" t="s">
        <v>11969</v>
      </c>
      <c r="C48" s="3" t="s">
        <v>6998</v>
      </c>
      <c r="D48" s="3"/>
      <c r="E48" s="3"/>
      <c r="F48" s="3"/>
      <c r="G48" s="3" t="s">
        <v>12</v>
      </c>
      <c r="H48" s="6" t="str">
        <f t="shared" si="0"/>
        <v>Link</v>
      </c>
    </row>
    <row r="49" spans="1:8" ht="30" x14ac:dyDescent="0.25">
      <c r="A49" s="3" t="s">
        <v>6935</v>
      </c>
      <c r="B49" s="3" t="s">
        <v>11970</v>
      </c>
      <c r="C49" s="3" t="s">
        <v>6999</v>
      </c>
      <c r="D49" s="3"/>
      <c r="E49" s="3"/>
      <c r="F49" s="3"/>
      <c r="G49" s="3" t="s">
        <v>12</v>
      </c>
      <c r="H49" s="6" t="str">
        <f t="shared" si="0"/>
        <v>Link</v>
      </c>
    </row>
    <row r="50" spans="1:8" ht="45" x14ac:dyDescent="0.25">
      <c r="A50" s="3" t="s">
        <v>6935</v>
      </c>
      <c r="B50" s="3" t="s">
        <v>11971</v>
      </c>
      <c r="C50" s="3" t="s">
        <v>7000</v>
      </c>
      <c r="D50" s="3"/>
      <c r="E50" s="3"/>
      <c r="F50" s="3"/>
      <c r="G50" s="3" t="s">
        <v>12</v>
      </c>
      <c r="H50" s="6" t="str">
        <f t="shared" si="0"/>
        <v>Link</v>
      </c>
    </row>
    <row r="51" spans="1:8" ht="30" x14ac:dyDescent="0.25">
      <c r="A51" s="3" t="s">
        <v>6935</v>
      </c>
      <c r="B51" s="3" t="s">
        <v>11972</v>
      </c>
      <c r="C51" s="3" t="s">
        <v>11966</v>
      </c>
      <c r="D51" s="3"/>
      <c r="E51" s="3"/>
      <c r="F51" s="3"/>
      <c r="G51" s="3" t="s">
        <v>12</v>
      </c>
      <c r="H51" s="6" t="str">
        <f t="shared" si="0"/>
        <v>Link</v>
      </c>
    </row>
    <row r="52" spans="1:8" ht="30" x14ac:dyDescent="0.25">
      <c r="A52" s="3" t="s">
        <v>6935</v>
      </c>
      <c r="B52" s="3" t="s">
        <v>11973</v>
      </c>
      <c r="C52" s="3" t="s">
        <v>11968</v>
      </c>
      <c r="D52" s="3"/>
      <c r="E52" s="3"/>
      <c r="F52" s="3"/>
      <c r="G52" s="3" t="s">
        <v>12</v>
      </c>
      <c r="H52" s="6" t="str">
        <f t="shared" si="0"/>
        <v>Link</v>
      </c>
    </row>
    <row r="53" spans="1:8" ht="45" x14ac:dyDescent="0.25">
      <c r="A53" s="3" t="s">
        <v>6935</v>
      </c>
      <c r="B53" s="3" t="s">
        <v>7009</v>
      </c>
      <c r="C53" s="3" t="s">
        <v>11974</v>
      </c>
      <c r="D53" s="3"/>
      <c r="E53" s="3"/>
      <c r="F53" s="3"/>
      <c r="G53" s="3" t="s">
        <v>12</v>
      </c>
      <c r="H53" s="6" t="str">
        <f t="shared" si="0"/>
        <v>Link</v>
      </c>
    </row>
    <row r="54" spans="1:8" ht="45" x14ac:dyDescent="0.25">
      <c r="A54" s="3" t="s">
        <v>6935</v>
      </c>
      <c r="B54" s="3" t="s">
        <v>7010</v>
      </c>
      <c r="C54" s="3" t="s">
        <v>11975</v>
      </c>
      <c r="D54" s="3"/>
      <c r="E54" s="3"/>
      <c r="F54" s="3"/>
      <c r="G54" s="3" t="s">
        <v>12</v>
      </c>
      <c r="H54" s="6" t="str">
        <f t="shared" si="0"/>
        <v>Link</v>
      </c>
    </row>
    <row r="55" spans="1:8" ht="45" x14ac:dyDescent="0.25">
      <c r="A55" s="3" t="s">
        <v>6935</v>
      </c>
      <c r="B55" s="3" t="s">
        <v>7011</v>
      </c>
      <c r="C55" s="3" t="s">
        <v>11976</v>
      </c>
      <c r="D55" s="3"/>
      <c r="E55" s="3"/>
      <c r="F55" s="3"/>
      <c r="G55" s="3" t="s">
        <v>12</v>
      </c>
      <c r="H55" s="6" t="str">
        <f t="shared" si="0"/>
        <v>Link</v>
      </c>
    </row>
    <row r="56" spans="1:8" ht="30" x14ac:dyDescent="0.25">
      <c r="A56" s="3" t="s">
        <v>6935</v>
      </c>
      <c r="B56" s="3" t="s">
        <v>11977</v>
      </c>
      <c r="C56" s="3" t="s">
        <v>6998</v>
      </c>
      <c r="D56" s="3"/>
      <c r="E56" s="3"/>
      <c r="F56" s="3"/>
      <c r="G56" s="3" t="s">
        <v>12</v>
      </c>
      <c r="H56" s="6" t="str">
        <f t="shared" si="0"/>
        <v>Link</v>
      </c>
    </row>
    <row r="57" spans="1:8" ht="30" x14ac:dyDescent="0.25">
      <c r="A57" s="3" t="s">
        <v>6935</v>
      </c>
      <c r="B57" s="3" t="s">
        <v>11978</v>
      </c>
      <c r="C57" s="3" t="s">
        <v>6999</v>
      </c>
      <c r="D57" s="3"/>
      <c r="E57" s="3"/>
      <c r="F57" s="3"/>
      <c r="G57" s="3" t="s">
        <v>12</v>
      </c>
      <c r="H57" s="6" t="str">
        <f t="shared" si="0"/>
        <v>Link</v>
      </c>
    </row>
    <row r="58" spans="1:8" ht="45" x14ac:dyDescent="0.25">
      <c r="A58" s="3" t="s">
        <v>6935</v>
      </c>
      <c r="B58" s="3" t="s">
        <v>11979</v>
      </c>
      <c r="C58" s="3" t="s">
        <v>7000</v>
      </c>
      <c r="D58" s="3"/>
      <c r="E58" s="3"/>
      <c r="F58" s="3"/>
      <c r="G58" s="3" t="s">
        <v>12</v>
      </c>
      <c r="H58" s="6" t="str">
        <f t="shared" si="0"/>
        <v>Link</v>
      </c>
    </row>
    <row r="59" spans="1:8" ht="30" x14ac:dyDescent="0.25">
      <c r="A59" s="3" t="s">
        <v>6935</v>
      </c>
      <c r="B59" s="3" t="s">
        <v>11980</v>
      </c>
      <c r="C59" s="3" t="s">
        <v>11966</v>
      </c>
      <c r="D59" s="3"/>
      <c r="E59" s="3"/>
      <c r="F59" s="3"/>
      <c r="G59" s="3" t="s">
        <v>12</v>
      </c>
      <c r="H59" s="6" t="str">
        <f t="shared" si="0"/>
        <v>Link</v>
      </c>
    </row>
    <row r="60" spans="1:8" ht="30" x14ac:dyDescent="0.25">
      <c r="A60" s="3" t="s">
        <v>6935</v>
      </c>
      <c r="B60" s="3" t="s">
        <v>11981</v>
      </c>
      <c r="C60" s="3" t="s">
        <v>11968</v>
      </c>
      <c r="D60" s="3"/>
      <c r="E60" s="3"/>
      <c r="F60" s="3"/>
      <c r="G60" s="3" t="s">
        <v>12</v>
      </c>
      <c r="H60" s="6" t="str">
        <f t="shared" si="0"/>
        <v>Link</v>
      </c>
    </row>
    <row r="61" spans="1:8" ht="45" x14ac:dyDescent="0.25">
      <c r="A61" s="3" t="s">
        <v>6935</v>
      </c>
      <c r="B61" s="3" t="s">
        <v>7012</v>
      </c>
      <c r="C61" s="3" t="s">
        <v>7002</v>
      </c>
      <c r="D61" s="3"/>
      <c r="E61" s="3"/>
      <c r="F61" s="3"/>
      <c r="G61" s="3" t="s">
        <v>12</v>
      </c>
      <c r="H61" s="6" t="str">
        <f t="shared" si="0"/>
        <v>Link</v>
      </c>
    </row>
    <row r="62" spans="1:8" ht="60" x14ac:dyDescent="0.25">
      <c r="A62" s="3" t="s">
        <v>6935</v>
      </c>
      <c r="B62" s="3" t="s">
        <v>7013</v>
      </c>
      <c r="C62" s="3" t="s">
        <v>7004</v>
      </c>
      <c r="D62" s="3"/>
      <c r="E62" s="3"/>
      <c r="F62" s="3"/>
      <c r="G62" s="3" t="s">
        <v>12</v>
      </c>
      <c r="H62" s="6" t="str">
        <f t="shared" si="0"/>
        <v>Link</v>
      </c>
    </row>
    <row r="63" spans="1:8" ht="30" x14ac:dyDescent="0.25">
      <c r="A63" s="3" t="s">
        <v>6935</v>
      </c>
      <c r="B63" s="3" t="s">
        <v>7014</v>
      </c>
      <c r="C63" s="3" t="s">
        <v>7015</v>
      </c>
      <c r="D63" s="3"/>
      <c r="E63" s="3"/>
      <c r="F63" s="3"/>
      <c r="G63" s="3" t="s">
        <v>12</v>
      </c>
      <c r="H63" s="6" t="str">
        <f t="shared" si="0"/>
        <v>Link</v>
      </c>
    </row>
    <row r="64" spans="1:8" ht="30" x14ac:dyDescent="0.25">
      <c r="A64" s="3" t="s">
        <v>6935</v>
      </c>
      <c r="B64" s="3" t="s">
        <v>7016</v>
      </c>
      <c r="C64" s="3" t="s">
        <v>7017</v>
      </c>
      <c r="D64" s="3"/>
      <c r="E64" s="3"/>
      <c r="F64" s="3"/>
      <c r="G64" s="3" t="s">
        <v>12</v>
      </c>
      <c r="H64" s="6" t="str">
        <f t="shared" si="0"/>
        <v>Link</v>
      </c>
    </row>
    <row r="65" spans="1:8" ht="75" x14ac:dyDescent="0.25">
      <c r="A65" s="3" t="s">
        <v>6935</v>
      </c>
      <c r="B65" s="3" t="s">
        <v>7018</v>
      </c>
      <c r="C65" s="3" t="s">
        <v>7019</v>
      </c>
      <c r="D65" s="3"/>
      <c r="E65" s="3"/>
      <c r="F65" s="3"/>
      <c r="G65" s="3" t="s">
        <v>12</v>
      </c>
      <c r="H65" s="6" t="str">
        <f t="shared" si="0"/>
        <v>Link</v>
      </c>
    </row>
    <row r="66" spans="1:8" ht="30" x14ac:dyDescent="0.25">
      <c r="A66" s="3" t="s">
        <v>6935</v>
      </c>
      <c r="B66" s="3" t="s">
        <v>7020</v>
      </c>
      <c r="C66" s="3" t="s">
        <v>11982</v>
      </c>
      <c r="D66" s="3"/>
      <c r="E66" s="3"/>
      <c r="F66" s="3"/>
      <c r="G66" s="3" t="s">
        <v>12</v>
      </c>
      <c r="H66" s="6" t="str">
        <f t="shared" si="0"/>
        <v>Link</v>
      </c>
    </row>
    <row r="67" spans="1:8" ht="30" x14ac:dyDescent="0.25">
      <c r="A67" s="3" t="s">
        <v>6935</v>
      </c>
      <c r="B67" s="3" t="s">
        <v>7021</v>
      </c>
      <c r="C67" s="3" t="s">
        <v>11983</v>
      </c>
      <c r="D67" s="3"/>
      <c r="E67" s="3"/>
      <c r="F67" s="3"/>
      <c r="G67" s="3" t="s">
        <v>12</v>
      </c>
      <c r="H67" s="6" t="str">
        <f t="shared" si="0"/>
        <v>Link</v>
      </c>
    </row>
    <row r="68" spans="1:8" ht="30" x14ac:dyDescent="0.25">
      <c r="A68" s="3" t="s">
        <v>6935</v>
      </c>
      <c r="B68" s="3" t="s">
        <v>7022</v>
      </c>
      <c r="C68" s="3" t="s">
        <v>7023</v>
      </c>
      <c r="D68" s="3"/>
      <c r="E68" s="3"/>
      <c r="F68" s="3"/>
      <c r="G68" s="3" t="s">
        <v>12</v>
      </c>
      <c r="H68" s="6" t="str">
        <f t="shared" ref="H68:H131" si="1">HYPERLINK(_xlfn.ENCODEURL("https://techdocs.ed-fi.org/display/EFDS20/"),"Link")</f>
        <v>Link</v>
      </c>
    </row>
    <row r="69" spans="1:8" ht="45" x14ac:dyDescent="0.25">
      <c r="A69" s="3" t="s">
        <v>6935</v>
      </c>
      <c r="B69" s="3" t="s">
        <v>11984</v>
      </c>
      <c r="C69" s="3" t="s">
        <v>11958</v>
      </c>
      <c r="D69" s="3"/>
      <c r="E69" s="3"/>
      <c r="F69" s="3"/>
      <c r="G69" s="3" t="s">
        <v>12</v>
      </c>
      <c r="H69" s="6" t="str">
        <f t="shared" si="1"/>
        <v>Link</v>
      </c>
    </row>
    <row r="70" spans="1:8" ht="30" x14ac:dyDescent="0.25">
      <c r="A70" s="3" t="s">
        <v>6935</v>
      </c>
      <c r="B70" s="3" t="s">
        <v>11985</v>
      </c>
      <c r="C70" s="3" t="s">
        <v>7024</v>
      </c>
      <c r="D70" s="3"/>
      <c r="E70" s="3"/>
      <c r="F70" s="3"/>
      <c r="G70" s="3" t="s">
        <v>12</v>
      </c>
      <c r="H70" s="6" t="str">
        <f t="shared" si="1"/>
        <v>Link</v>
      </c>
    </row>
    <row r="71" spans="1:8" ht="60" x14ac:dyDescent="0.25">
      <c r="A71" s="3" t="s">
        <v>6935</v>
      </c>
      <c r="B71" s="3" t="s">
        <v>7025</v>
      </c>
      <c r="C71" s="3" t="s">
        <v>7026</v>
      </c>
      <c r="D71" s="3"/>
      <c r="E71" s="3"/>
      <c r="F71" s="3"/>
      <c r="G71" s="3" t="s">
        <v>12</v>
      </c>
      <c r="H71" s="6" t="str">
        <f t="shared" si="1"/>
        <v>Link</v>
      </c>
    </row>
    <row r="72" spans="1:8" ht="45" x14ac:dyDescent="0.25">
      <c r="A72" s="3" t="s">
        <v>6935</v>
      </c>
      <c r="B72" s="3" t="s">
        <v>7028</v>
      </c>
      <c r="C72" s="3" t="s">
        <v>11986</v>
      </c>
      <c r="D72" s="3"/>
      <c r="E72" s="3"/>
      <c r="F72" s="3"/>
      <c r="G72" s="3" t="s">
        <v>12</v>
      </c>
      <c r="H72" s="6" t="str">
        <f t="shared" si="1"/>
        <v>Link</v>
      </c>
    </row>
    <row r="73" spans="1:8" ht="30" x14ac:dyDescent="0.25">
      <c r="A73" s="3" t="s">
        <v>6935</v>
      </c>
      <c r="B73" s="3" t="s">
        <v>7029</v>
      </c>
      <c r="C73" s="3" t="s">
        <v>6969</v>
      </c>
      <c r="D73" s="3"/>
      <c r="E73" s="3"/>
      <c r="F73" s="3"/>
      <c r="G73" s="3" t="s">
        <v>12</v>
      </c>
      <c r="H73" s="6" t="str">
        <f t="shared" si="1"/>
        <v>Link</v>
      </c>
    </row>
    <row r="74" spans="1:8" ht="45" x14ac:dyDescent="0.25">
      <c r="A74" s="3" t="s">
        <v>6935</v>
      </c>
      <c r="B74" s="3" t="s">
        <v>7030</v>
      </c>
      <c r="C74" s="3" t="s">
        <v>11987</v>
      </c>
      <c r="D74" s="3"/>
      <c r="E74" s="3"/>
      <c r="F74" s="3"/>
      <c r="G74" s="3" t="s">
        <v>12</v>
      </c>
      <c r="H74" s="6" t="str">
        <f t="shared" si="1"/>
        <v>Link</v>
      </c>
    </row>
    <row r="75" spans="1:8" ht="45" x14ac:dyDescent="0.25">
      <c r="A75" s="3" t="s">
        <v>6935</v>
      </c>
      <c r="B75" s="3" t="s">
        <v>11988</v>
      </c>
      <c r="C75" s="3" t="s">
        <v>11986</v>
      </c>
      <c r="D75" s="3"/>
      <c r="E75" s="3"/>
      <c r="F75" s="3"/>
      <c r="G75" s="3" t="s">
        <v>12</v>
      </c>
      <c r="H75" s="6" t="str">
        <f t="shared" si="1"/>
        <v>Link</v>
      </c>
    </row>
    <row r="76" spans="1:8" ht="45" x14ac:dyDescent="0.25">
      <c r="A76" s="3" t="s">
        <v>6935</v>
      </c>
      <c r="B76" s="3" t="s">
        <v>11989</v>
      </c>
      <c r="C76" s="3" t="s">
        <v>11987</v>
      </c>
      <c r="D76" s="3"/>
      <c r="E76" s="3"/>
      <c r="F76" s="3"/>
      <c r="G76" s="3" t="s">
        <v>12</v>
      </c>
      <c r="H76" s="6" t="str">
        <f t="shared" si="1"/>
        <v>Link</v>
      </c>
    </row>
    <row r="77" spans="1:8" ht="45" x14ac:dyDescent="0.25">
      <c r="A77" s="3" t="s">
        <v>6935</v>
      </c>
      <c r="B77" s="3" t="s">
        <v>7031</v>
      </c>
      <c r="C77" s="3" t="s">
        <v>7027</v>
      </c>
      <c r="D77" s="3"/>
      <c r="E77" s="3"/>
      <c r="F77" s="3"/>
      <c r="G77" s="3" t="s">
        <v>12</v>
      </c>
      <c r="H77" s="6" t="str">
        <f t="shared" si="1"/>
        <v>Link</v>
      </c>
    </row>
    <row r="78" spans="1:8" ht="45" x14ac:dyDescent="0.25">
      <c r="A78" s="3" t="s">
        <v>6935</v>
      </c>
      <c r="B78" s="3" t="s">
        <v>7032</v>
      </c>
      <c r="C78" s="3" t="s">
        <v>11990</v>
      </c>
      <c r="D78" s="3"/>
      <c r="E78" s="3"/>
      <c r="F78" s="3"/>
      <c r="G78" s="3" t="s">
        <v>12</v>
      </c>
      <c r="H78" s="6" t="str">
        <f t="shared" si="1"/>
        <v>Link</v>
      </c>
    </row>
    <row r="79" spans="1:8" ht="45" x14ac:dyDescent="0.25">
      <c r="A79" s="3" t="s">
        <v>6935</v>
      </c>
      <c r="B79" s="3" t="s">
        <v>7033</v>
      </c>
      <c r="C79" s="3" t="s">
        <v>7034</v>
      </c>
      <c r="D79" s="3"/>
      <c r="E79" s="3"/>
      <c r="F79" s="3"/>
      <c r="G79" s="3" t="s">
        <v>12</v>
      </c>
      <c r="H79" s="6" t="str">
        <f t="shared" si="1"/>
        <v>Link</v>
      </c>
    </row>
    <row r="80" spans="1:8" ht="30" x14ac:dyDescent="0.25">
      <c r="A80" s="3" t="s">
        <v>6935</v>
      </c>
      <c r="B80" s="3" t="s">
        <v>7035</v>
      </c>
      <c r="C80" s="3" t="s">
        <v>11991</v>
      </c>
      <c r="D80" s="3"/>
      <c r="E80" s="3"/>
      <c r="F80" s="3"/>
      <c r="G80" s="3" t="s">
        <v>12</v>
      </c>
      <c r="H80" s="6" t="str">
        <f t="shared" si="1"/>
        <v>Link</v>
      </c>
    </row>
    <row r="81" spans="1:8" ht="45" x14ac:dyDescent="0.25">
      <c r="A81" s="3" t="s">
        <v>6935</v>
      </c>
      <c r="B81" s="3" t="s">
        <v>11992</v>
      </c>
      <c r="C81" s="3" t="s">
        <v>11993</v>
      </c>
      <c r="D81" s="3"/>
      <c r="E81" s="3"/>
      <c r="F81" s="3"/>
      <c r="G81" s="3" t="s">
        <v>12</v>
      </c>
      <c r="H81" s="6" t="str">
        <f t="shared" si="1"/>
        <v>Link</v>
      </c>
    </row>
    <row r="82" spans="1:8" ht="45" x14ac:dyDescent="0.25">
      <c r="A82" s="3" t="s">
        <v>6935</v>
      </c>
      <c r="B82" s="3" t="s">
        <v>7036</v>
      </c>
      <c r="C82" s="3" t="s">
        <v>7027</v>
      </c>
      <c r="D82" s="3"/>
      <c r="E82" s="3"/>
      <c r="F82" s="3"/>
      <c r="G82" s="3" t="s">
        <v>12</v>
      </c>
      <c r="H82" s="6" t="str">
        <f t="shared" si="1"/>
        <v>Link</v>
      </c>
    </row>
    <row r="83" spans="1:8" ht="45" x14ac:dyDescent="0.25">
      <c r="A83" s="3" t="s">
        <v>6935</v>
      </c>
      <c r="B83" s="3" t="s">
        <v>7037</v>
      </c>
      <c r="C83" s="3" t="s">
        <v>7034</v>
      </c>
      <c r="D83" s="3"/>
      <c r="E83" s="3"/>
      <c r="F83" s="3"/>
      <c r="G83" s="3" t="s">
        <v>12</v>
      </c>
      <c r="H83" s="6" t="str">
        <f t="shared" si="1"/>
        <v>Link</v>
      </c>
    </row>
    <row r="84" spans="1:8" ht="60" x14ac:dyDescent="0.25">
      <c r="A84" s="3" t="s">
        <v>6935</v>
      </c>
      <c r="B84" s="3" t="s">
        <v>7038</v>
      </c>
      <c r="C84" s="3" t="s">
        <v>7039</v>
      </c>
      <c r="D84" s="3"/>
      <c r="E84" s="3"/>
      <c r="F84" s="3"/>
      <c r="G84" s="3" t="s">
        <v>12</v>
      </c>
      <c r="H84" s="6" t="str">
        <f t="shared" si="1"/>
        <v>Link</v>
      </c>
    </row>
    <row r="85" spans="1:8" ht="90" x14ac:dyDescent="0.25">
      <c r="A85" s="3" t="s">
        <v>6935</v>
      </c>
      <c r="B85" s="3" t="s">
        <v>7040</v>
      </c>
      <c r="C85" s="3" t="s">
        <v>7041</v>
      </c>
      <c r="D85" s="3"/>
      <c r="E85" s="3"/>
      <c r="F85" s="3"/>
      <c r="G85" s="3" t="s">
        <v>12</v>
      </c>
      <c r="H85" s="6" t="str">
        <f t="shared" si="1"/>
        <v>Link</v>
      </c>
    </row>
    <row r="86" spans="1:8" ht="45" x14ac:dyDescent="0.25">
      <c r="A86" s="3" t="s">
        <v>6935</v>
      </c>
      <c r="B86" s="3" t="s">
        <v>7042</v>
      </c>
      <c r="C86" s="3" t="s">
        <v>7043</v>
      </c>
      <c r="D86" s="3"/>
      <c r="E86" s="3"/>
      <c r="F86" s="3"/>
      <c r="G86" s="3" t="s">
        <v>12</v>
      </c>
      <c r="H86" s="6" t="str">
        <f t="shared" si="1"/>
        <v>Link</v>
      </c>
    </row>
    <row r="87" spans="1:8" ht="120" x14ac:dyDescent="0.25">
      <c r="A87" s="3" t="s">
        <v>6935</v>
      </c>
      <c r="B87" s="3" t="s">
        <v>11994</v>
      </c>
      <c r="C87" s="3" t="s">
        <v>11995</v>
      </c>
      <c r="D87" s="3"/>
      <c r="E87" s="3"/>
      <c r="F87" s="3"/>
      <c r="G87" s="3" t="s">
        <v>12</v>
      </c>
      <c r="H87" s="6" t="str">
        <f t="shared" si="1"/>
        <v>Link</v>
      </c>
    </row>
    <row r="88" spans="1:8" ht="30" x14ac:dyDescent="0.25">
      <c r="A88" s="3" t="s">
        <v>6935</v>
      </c>
      <c r="B88" s="3" t="s">
        <v>7045</v>
      </c>
      <c r="C88" s="3" t="s">
        <v>7046</v>
      </c>
      <c r="D88" s="3"/>
      <c r="E88" s="3"/>
      <c r="F88" s="3"/>
      <c r="G88" s="3" t="s">
        <v>12</v>
      </c>
      <c r="H88" s="6" t="str">
        <f t="shared" si="1"/>
        <v>Link</v>
      </c>
    </row>
    <row r="89" spans="1:8" ht="30" x14ac:dyDescent="0.25">
      <c r="A89" s="3" t="s">
        <v>6935</v>
      </c>
      <c r="B89" s="3" t="s">
        <v>7047</v>
      </c>
      <c r="C89" s="3" t="s">
        <v>11996</v>
      </c>
      <c r="D89" s="3"/>
      <c r="E89" s="3"/>
      <c r="F89" s="3"/>
      <c r="G89" s="3" t="s">
        <v>12</v>
      </c>
      <c r="H89" s="6" t="str">
        <f t="shared" si="1"/>
        <v>Link</v>
      </c>
    </row>
    <row r="90" spans="1:8" ht="60" x14ac:dyDescent="0.25">
      <c r="A90" s="3" t="s">
        <v>6935</v>
      </c>
      <c r="B90" s="3" t="s">
        <v>7048</v>
      </c>
      <c r="C90" s="3" t="s">
        <v>7049</v>
      </c>
      <c r="D90" s="3"/>
      <c r="E90" s="3"/>
      <c r="F90" s="3"/>
      <c r="G90" s="3" t="s">
        <v>12</v>
      </c>
      <c r="H90" s="6" t="str">
        <f t="shared" si="1"/>
        <v>Link</v>
      </c>
    </row>
    <row r="91" spans="1:8" ht="30" x14ac:dyDescent="0.25">
      <c r="A91" s="3" t="s">
        <v>6935</v>
      </c>
      <c r="B91" s="3" t="s">
        <v>7050</v>
      </c>
      <c r="C91" s="3" t="s">
        <v>3934</v>
      </c>
      <c r="D91" s="3"/>
      <c r="E91" s="3"/>
      <c r="F91" s="3"/>
      <c r="G91" s="3" t="s">
        <v>12</v>
      </c>
      <c r="H91" s="6" t="str">
        <f t="shared" si="1"/>
        <v>Link</v>
      </c>
    </row>
    <row r="92" spans="1:8" ht="30" x14ac:dyDescent="0.25">
      <c r="A92" s="3" t="s">
        <v>6935</v>
      </c>
      <c r="B92" s="3" t="s">
        <v>7051</v>
      </c>
      <c r="C92" s="3" t="s">
        <v>6951</v>
      </c>
      <c r="D92" s="3"/>
      <c r="E92" s="3"/>
      <c r="F92" s="3"/>
      <c r="G92" s="3" t="s">
        <v>12</v>
      </c>
      <c r="H92" s="6" t="str">
        <f t="shared" si="1"/>
        <v>Link</v>
      </c>
    </row>
    <row r="93" spans="1:8" ht="45" x14ac:dyDescent="0.25">
      <c r="A93" s="3" t="s">
        <v>6935</v>
      </c>
      <c r="B93" s="3" t="s">
        <v>7052</v>
      </c>
      <c r="C93" s="3" t="s">
        <v>7053</v>
      </c>
      <c r="D93" s="3"/>
      <c r="E93" s="3"/>
      <c r="F93" s="3"/>
      <c r="G93" s="3" t="s">
        <v>12</v>
      </c>
      <c r="H93" s="6" t="str">
        <f t="shared" si="1"/>
        <v>Link</v>
      </c>
    </row>
    <row r="94" spans="1:8" ht="30" x14ac:dyDescent="0.25">
      <c r="A94" s="3" t="s">
        <v>6935</v>
      </c>
      <c r="B94" s="3" t="s">
        <v>7054</v>
      </c>
      <c r="C94" s="3" t="s">
        <v>11997</v>
      </c>
      <c r="D94" s="3"/>
      <c r="E94" s="3"/>
      <c r="F94" s="3"/>
      <c r="G94" s="3" t="s">
        <v>12</v>
      </c>
      <c r="H94" s="6" t="str">
        <f t="shared" si="1"/>
        <v>Link</v>
      </c>
    </row>
    <row r="95" spans="1:8" x14ac:dyDescent="0.25">
      <c r="A95" s="3" t="s">
        <v>6935</v>
      </c>
      <c r="B95" s="3" t="s">
        <v>11998</v>
      </c>
      <c r="C95" s="3" t="s">
        <v>11999</v>
      </c>
      <c r="D95" s="3"/>
      <c r="E95" s="3"/>
      <c r="F95" s="3"/>
      <c r="G95" s="3" t="s">
        <v>12</v>
      </c>
      <c r="H95" s="6" t="str">
        <f t="shared" si="1"/>
        <v>Link</v>
      </c>
    </row>
    <row r="96" spans="1:8" ht="30" x14ac:dyDescent="0.25">
      <c r="A96" s="3" t="s">
        <v>6935</v>
      </c>
      <c r="B96" s="3" t="s">
        <v>7055</v>
      </c>
      <c r="C96" s="3" t="s">
        <v>3934</v>
      </c>
      <c r="D96" s="3"/>
      <c r="E96" s="3"/>
      <c r="F96" s="3"/>
      <c r="G96" s="3" t="s">
        <v>12</v>
      </c>
      <c r="H96" s="6" t="str">
        <f t="shared" si="1"/>
        <v>Link</v>
      </c>
    </row>
    <row r="97" spans="1:8" ht="30" x14ac:dyDescent="0.25">
      <c r="A97" s="3" t="s">
        <v>6935</v>
      </c>
      <c r="B97" s="3" t="s">
        <v>7056</v>
      </c>
      <c r="C97" s="3" t="s">
        <v>6951</v>
      </c>
      <c r="D97" s="3"/>
      <c r="E97" s="3"/>
      <c r="F97" s="3"/>
      <c r="G97" s="3" t="s">
        <v>12</v>
      </c>
      <c r="H97" s="6" t="str">
        <f t="shared" si="1"/>
        <v>Link</v>
      </c>
    </row>
    <row r="98" spans="1:8" ht="30" x14ac:dyDescent="0.25">
      <c r="A98" s="3" t="s">
        <v>6935</v>
      </c>
      <c r="B98" s="3" t="s">
        <v>7057</v>
      </c>
      <c r="C98" s="3" t="s">
        <v>7058</v>
      </c>
      <c r="D98" s="3"/>
      <c r="E98" s="3"/>
      <c r="F98" s="3"/>
      <c r="G98" s="3" t="s">
        <v>12</v>
      </c>
      <c r="H98" s="6" t="str">
        <f t="shared" si="1"/>
        <v>Link</v>
      </c>
    </row>
    <row r="99" spans="1:8" x14ac:dyDescent="0.25">
      <c r="A99" s="3" t="s">
        <v>6935</v>
      </c>
      <c r="B99" s="3" t="s">
        <v>7059</v>
      </c>
      <c r="C99" s="3" t="s">
        <v>7060</v>
      </c>
      <c r="D99" s="3"/>
      <c r="E99" s="3"/>
      <c r="F99" s="3"/>
      <c r="G99" s="3" t="s">
        <v>12</v>
      </c>
      <c r="H99" s="6" t="str">
        <f t="shared" si="1"/>
        <v>Link</v>
      </c>
    </row>
    <row r="100" spans="1:8" ht="30" x14ac:dyDescent="0.25">
      <c r="A100" s="3" t="s">
        <v>6935</v>
      </c>
      <c r="B100" s="3" t="s">
        <v>7061</v>
      </c>
      <c r="C100" s="3" t="s">
        <v>7062</v>
      </c>
      <c r="D100" s="3"/>
      <c r="E100" s="3"/>
      <c r="F100" s="3"/>
      <c r="G100" s="3" t="s">
        <v>12</v>
      </c>
      <c r="H100" s="6" t="str">
        <f t="shared" si="1"/>
        <v>Link</v>
      </c>
    </row>
    <row r="101" spans="1:8" x14ac:dyDescent="0.25">
      <c r="A101" s="3" t="s">
        <v>6935</v>
      </c>
      <c r="B101" s="3" t="s">
        <v>7063</v>
      </c>
      <c r="C101" s="3" t="s">
        <v>7064</v>
      </c>
      <c r="D101" s="3"/>
      <c r="E101" s="3"/>
      <c r="F101" s="3"/>
      <c r="G101" s="3" t="s">
        <v>12</v>
      </c>
      <c r="H101" s="6" t="str">
        <f t="shared" si="1"/>
        <v>Link</v>
      </c>
    </row>
    <row r="102" spans="1:8" ht="45" x14ac:dyDescent="0.25">
      <c r="A102" s="3" t="s">
        <v>6935</v>
      </c>
      <c r="B102" s="3" t="s">
        <v>7065</v>
      </c>
      <c r="C102" s="3" t="s">
        <v>7066</v>
      </c>
      <c r="D102" s="3"/>
      <c r="E102" s="3"/>
      <c r="F102" s="3"/>
      <c r="G102" s="3" t="s">
        <v>12</v>
      </c>
      <c r="H102" s="6" t="str">
        <f t="shared" si="1"/>
        <v>Link</v>
      </c>
    </row>
    <row r="103" spans="1:8" ht="30" x14ac:dyDescent="0.25">
      <c r="A103" s="3" t="s">
        <v>6935</v>
      </c>
      <c r="B103" s="3" t="s">
        <v>12000</v>
      </c>
      <c r="C103" s="3" t="s">
        <v>6999</v>
      </c>
      <c r="D103" s="3"/>
      <c r="E103" s="3"/>
      <c r="F103" s="3"/>
      <c r="G103" s="3" t="s">
        <v>12</v>
      </c>
      <c r="H103" s="6" t="str">
        <f t="shared" si="1"/>
        <v>Link</v>
      </c>
    </row>
    <row r="104" spans="1:8" ht="45" x14ac:dyDescent="0.25">
      <c r="A104" s="3" t="s">
        <v>6935</v>
      </c>
      <c r="B104" s="3" t="s">
        <v>12001</v>
      </c>
      <c r="C104" s="3" t="s">
        <v>7000</v>
      </c>
      <c r="D104" s="3"/>
      <c r="E104" s="3"/>
      <c r="F104" s="3"/>
      <c r="G104" s="3" t="s">
        <v>12</v>
      </c>
      <c r="H104" s="6" t="str">
        <f t="shared" si="1"/>
        <v>Link</v>
      </c>
    </row>
    <row r="105" spans="1:8" ht="45" x14ac:dyDescent="0.25">
      <c r="A105" s="3" t="s">
        <v>6935</v>
      </c>
      <c r="B105" s="3" t="s">
        <v>7067</v>
      </c>
      <c r="C105" s="3" t="s">
        <v>7002</v>
      </c>
      <c r="D105" s="3"/>
      <c r="E105" s="3"/>
      <c r="F105" s="3"/>
      <c r="G105" s="3" t="s">
        <v>12</v>
      </c>
      <c r="H105" s="6" t="str">
        <f t="shared" si="1"/>
        <v>Link</v>
      </c>
    </row>
    <row r="106" spans="1:8" ht="60" x14ac:dyDescent="0.25">
      <c r="A106" s="3" t="s">
        <v>6935</v>
      </c>
      <c r="B106" s="3" t="s">
        <v>7068</v>
      </c>
      <c r="C106" s="3" t="s">
        <v>7004</v>
      </c>
      <c r="D106" s="3"/>
      <c r="E106" s="3"/>
      <c r="F106" s="3"/>
      <c r="G106" s="3" t="s">
        <v>12</v>
      </c>
      <c r="H106" s="6" t="str">
        <f t="shared" si="1"/>
        <v>Link</v>
      </c>
    </row>
    <row r="107" spans="1:8" ht="45" x14ac:dyDescent="0.25">
      <c r="A107" s="3" t="s">
        <v>6935</v>
      </c>
      <c r="B107" s="3" t="s">
        <v>7069</v>
      </c>
      <c r="C107" s="3" t="s">
        <v>7070</v>
      </c>
      <c r="D107" s="3"/>
      <c r="E107" s="3"/>
      <c r="F107" s="3"/>
      <c r="G107" s="3" t="s">
        <v>12</v>
      </c>
      <c r="H107" s="6" t="str">
        <f t="shared" si="1"/>
        <v>Link</v>
      </c>
    </row>
    <row r="108" spans="1:8" ht="30" x14ac:dyDescent="0.25">
      <c r="A108" s="3" t="s">
        <v>6935</v>
      </c>
      <c r="B108" s="3" t="s">
        <v>7072</v>
      </c>
      <c r="C108" s="3" t="s">
        <v>7073</v>
      </c>
      <c r="D108" s="3"/>
      <c r="E108" s="3"/>
      <c r="F108" s="3"/>
      <c r="G108" s="3" t="s">
        <v>12</v>
      </c>
      <c r="H108" s="6" t="str">
        <f t="shared" si="1"/>
        <v>Link</v>
      </c>
    </row>
    <row r="109" spans="1:8" ht="45" x14ac:dyDescent="0.25">
      <c r="A109" s="3" t="s">
        <v>6935</v>
      </c>
      <c r="B109" s="3" t="s">
        <v>7074</v>
      </c>
      <c r="C109" s="3" t="s">
        <v>7075</v>
      </c>
      <c r="D109" s="3"/>
      <c r="E109" s="3"/>
      <c r="F109" s="3"/>
      <c r="G109" s="3" t="s">
        <v>12</v>
      </c>
      <c r="H109" s="6" t="str">
        <f t="shared" si="1"/>
        <v>Link</v>
      </c>
    </row>
    <row r="110" spans="1:8" ht="30" x14ac:dyDescent="0.25">
      <c r="A110" s="3" t="s">
        <v>6935</v>
      </c>
      <c r="B110" s="3" t="s">
        <v>7076</v>
      </c>
      <c r="C110" s="3" t="s">
        <v>12002</v>
      </c>
      <c r="D110" s="3"/>
      <c r="E110" s="3"/>
      <c r="F110" s="3"/>
      <c r="G110" s="3" t="s">
        <v>12</v>
      </c>
      <c r="H110" s="6" t="str">
        <f t="shared" si="1"/>
        <v>Link</v>
      </c>
    </row>
    <row r="111" spans="1:8" ht="75" x14ac:dyDescent="0.25">
      <c r="A111" s="3" t="s">
        <v>6935</v>
      </c>
      <c r="B111" s="3" t="s">
        <v>12003</v>
      </c>
      <c r="C111" s="3" t="s">
        <v>12004</v>
      </c>
      <c r="D111" s="3"/>
      <c r="E111" s="3"/>
      <c r="F111" s="3"/>
      <c r="G111" s="3" t="s">
        <v>12</v>
      </c>
      <c r="H111" s="6" t="str">
        <f t="shared" si="1"/>
        <v>Link</v>
      </c>
    </row>
    <row r="112" spans="1:8" ht="30" x14ac:dyDescent="0.25">
      <c r="A112" s="3" t="s">
        <v>6935</v>
      </c>
      <c r="B112" s="3" t="s">
        <v>7077</v>
      </c>
      <c r="C112" s="3" t="s">
        <v>12005</v>
      </c>
      <c r="D112" s="3"/>
      <c r="E112" s="3"/>
      <c r="F112" s="3"/>
      <c r="G112" s="3" t="s">
        <v>12</v>
      </c>
      <c r="H112" s="6" t="str">
        <f t="shared" si="1"/>
        <v>Link</v>
      </c>
    </row>
    <row r="113" spans="1:8" ht="30" x14ac:dyDescent="0.25">
      <c r="A113" s="3" t="s">
        <v>6935</v>
      </c>
      <c r="B113" s="3" t="s">
        <v>7078</v>
      </c>
      <c r="C113" s="3" t="s">
        <v>7079</v>
      </c>
      <c r="D113" s="3"/>
      <c r="E113" s="3"/>
      <c r="F113" s="3"/>
      <c r="G113" s="3" t="s">
        <v>12</v>
      </c>
      <c r="H113" s="6" t="str">
        <f t="shared" si="1"/>
        <v>Link</v>
      </c>
    </row>
    <row r="114" spans="1:8" ht="30" x14ac:dyDescent="0.25">
      <c r="A114" s="3" t="s">
        <v>6935</v>
      </c>
      <c r="B114" s="3" t="s">
        <v>12006</v>
      </c>
      <c r="C114" s="3" t="s">
        <v>7080</v>
      </c>
      <c r="D114" s="3"/>
      <c r="E114" s="3"/>
      <c r="F114" s="3"/>
      <c r="G114" s="3" t="s">
        <v>12</v>
      </c>
      <c r="H114" s="6" t="str">
        <f t="shared" si="1"/>
        <v>Link</v>
      </c>
    </row>
    <row r="115" spans="1:8" ht="45" x14ac:dyDescent="0.25">
      <c r="A115" s="3" t="s">
        <v>6935</v>
      </c>
      <c r="B115" s="3" t="s">
        <v>7081</v>
      </c>
      <c r="C115" s="3" t="s">
        <v>12007</v>
      </c>
      <c r="D115" s="3"/>
      <c r="E115" s="3"/>
      <c r="F115" s="3"/>
      <c r="G115" s="3" t="s">
        <v>12</v>
      </c>
      <c r="H115" s="6" t="str">
        <f t="shared" si="1"/>
        <v>Link</v>
      </c>
    </row>
    <row r="116" spans="1:8" ht="90" x14ac:dyDescent="0.25">
      <c r="A116" s="3" t="s">
        <v>6935</v>
      </c>
      <c r="B116" s="3" t="s">
        <v>7082</v>
      </c>
      <c r="C116" s="3" t="s">
        <v>12008</v>
      </c>
      <c r="D116" s="3"/>
      <c r="E116" s="3"/>
      <c r="F116" s="3"/>
      <c r="G116" s="3" t="s">
        <v>12</v>
      </c>
      <c r="H116" s="6" t="str">
        <f t="shared" si="1"/>
        <v>Link</v>
      </c>
    </row>
    <row r="117" spans="1:8" ht="60" x14ac:dyDescent="0.25">
      <c r="A117" s="3" t="s">
        <v>6935</v>
      </c>
      <c r="B117" s="3" t="s">
        <v>7083</v>
      </c>
      <c r="C117" s="3" t="s">
        <v>7084</v>
      </c>
      <c r="D117" s="3"/>
      <c r="E117" s="3"/>
      <c r="F117" s="3"/>
      <c r="G117" s="3" t="s">
        <v>12</v>
      </c>
      <c r="H117" s="6" t="str">
        <f t="shared" si="1"/>
        <v>Link</v>
      </c>
    </row>
    <row r="118" spans="1:8" ht="45" x14ac:dyDescent="0.25">
      <c r="A118" s="3" t="s">
        <v>6935</v>
      </c>
      <c r="B118" s="3" t="s">
        <v>7085</v>
      </c>
      <c r="C118" s="3" t="s">
        <v>7002</v>
      </c>
      <c r="D118" s="3"/>
      <c r="E118" s="3"/>
      <c r="F118" s="3"/>
      <c r="G118" s="3" t="s">
        <v>12</v>
      </c>
      <c r="H118" s="6" t="str">
        <f t="shared" si="1"/>
        <v>Link</v>
      </c>
    </row>
    <row r="119" spans="1:8" ht="45" x14ac:dyDescent="0.25">
      <c r="A119" s="3" t="s">
        <v>6935</v>
      </c>
      <c r="B119" s="3" t="s">
        <v>7086</v>
      </c>
      <c r="C119" s="3" t="s">
        <v>1558</v>
      </c>
      <c r="D119" s="3"/>
      <c r="E119" s="3"/>
      <c r="F119" s="3"/>
      <c r="G119" s="3" t="s">
        <v>12</v>
      </c>
      <c r="H119" s="6" t="str">
        <f t="shared" si="1"/>
        <v>Link</v>
      </c>
    </row>
    <row r="120" spans="1:8" ht="60" x14ac:dyDescent="0.25">
      <c r="A120" s="3" t="s">
        <v>6935</v>
      </c>
      <c r="B120" s="3" t="s">
        <v>7087</v>
      </c>
      <c r="C120" s="3" t="s">
        <v>7004</v>
      </c>
      <c r="D120" s="3"/>
      <c r="E120" s="3"/>
      <c r="F120" s="3"/>
      <c r="G120" s="3" t="s">
        <v>12</v>
      </c>
      <c r="H120" s="6" t="str">
        <f t="shared" si="1"/>
        <v>Link</v>
      </c>
    </row>
    <row r="121" spans="1:8" ht="30" x14ac:dyDescent="0.25">
      <c r="A121" s="3" t="s">
        <v>6935</v>
      </c>
      <c r="B121" s="3" t="s">
        <v>7088</v>
      </c>
      <c r="C121" s="3" t="s">
        <v>7089</v>
      </c>
      <c r="D121" s="3"/>
      <c r="E121" s="3"/>
      <c r="F121" s="3"/>
      <c r="G121" s="3" t="s">
        <v>12</v>
      </c>
      <c r="H121" s="6" t="str">
        <f t="shared" si="1"/>
        <v>Link</v>
      </c>
    </row>
    <row r="122" spans="1:8" ht="45" x14ac:dyDescent="0.25">
      <c r="A122" s="3" t="s">
        <v>6935</v>
      </c>
      <c r="B122" s="3" t="s">
        <v>12009</v>
      </c>
      <c r="C122" s="3" t="s">
        <v>7090</v>
      </c>
      <c r="D122" s="3"/>
      <c r="E122" s="3"/>
      <c r="F122" s="3"/>
      <c r="G122" s="3" t="s">
        <v>12</v>
      </c>
      <c r="H122" s="6" t="str">
        <f t="shared" si="1"/>
        <v>Link</v>
      </c>
    </row>
    <row r="123" spans="1:8" ht="45" x14ac:dyDescent="0.25">
      <c r="A123" s="3" t="s">
        <v>6935</v>
      </c>
      <c r="B123" s="3" t="s">
        <v>12010</v>
      </c>
      <c r="C123" s="3" t="s">
        <v>7091</v>
      </c>
      <c r="D123" s="3"/>
      <c r="E123" s="3"/>
      <c r="F123" s="3"/>
      <c r="G123" s="3" t="s">
        <v>12</v>
      </c>
      <c r="H123" s="6" t="str">
        <f t="shared" si="1"/>
        <v>Link</v>
      </c>
    </row>
    <row r="124" spans="1:8" ht="45" x14ac:dyDescent="0.25">
      <c r="A124" s="3" t="s">
        <v>6935</v>
      </c>
      <c r="B124" s="3" t="s">
        <v>12011</v>
      </c>
      <c r="C124" s="3" t="s">
        <v>7092</v>
      </c>
      <c r="D124" s="3"/>
      <c r="E124" s="3"/>
      <c r="F124" s="3"/>
      <c r="G124" s="3" t="s">
        <v>12</v>
      </c>
      <c r="H124" s="6" t="str">
        <f t="shared" si="1"/>
        <v>Link</v>
      </c>
    </row>
    <row r="125" spans="1:8" ht="45" x14ac:dyDescent="0.25">
      <c r="A125" s="3" t="s">
        <v>6935</v>
      </c>
      <c r="B125" s="3" t="s">
        <v>12012</v>
      </c>
      <c r="C125" s="3" t="s">
        <v>7093</v>
      </c>
      <c r="D125" s="3"/>
      <c r="E125" s="3"/>
      <c r="F125" s="3"/>
      <c r="G125" s="3" t="s">
        <v>12</v>
      </c>
      <c r="H125" s="6" t="str">
        <f t="shared" si="1"/>
        <v>Link</v>
      </c>
    </row>
    <row r="126" spans="1:8" ht="45" x14ac:dyDescent="0.25">
      <c r="A126" s="3" t="s">
        <v>6935</v>
      </c>
      <c r="B126" s="3" t="s">
        <v>12013</v>
      </c>
      <c r="C126" s="3" t="s">
        <v>7094</v>
      </c>
      <c r="D126" s="3"/>
      <c r="E126" s="3"/>
      <c r="F126" s="3"/>
      <c r="G126" s="3" t="s">
        <v>12</v>
      </c>
      <c r="H126" s="6" t="str">
        <f t="shared" si="1"/>
        <v>Link</v>
      </c>
    </row>
    <row r="127" spans="1:8" ht="30" x14ac:dyDescent="0.25">
      <c r="A127" s="3" t="s">
        <v>6935</v>
      </c>
      <c r="B127" s="3" t="s">
        <v>12014</v>
      </c>
      <c r="C127" s="3" t="s">
        <v>12015</v>
      </c>
      <c r="D127" s="3"/>
      <c r="E127" s="3"/>
      <c r="F127" s="3"/>
      <c r="G127" s="3" t="s">
        <v>12</v>
      </c>
      <c r="H127" s="6" t="str">
        <f t="shared" si="1"/>
        <v>Link</v>
      </c>
    </row>
    <row r="128" spans="1:8" ht="30" x14ac:dyDescent="0.25">
      <c r="A128" s="3" t="s">
        <v>6935</v>
      </c>
      <c r="B128" s="3" t="s">
        <v>7095</v>
      </c>
      <c r="C128" s="3" t="s">
        <v>7096</v>
      </c>
      <c r="D128" s="3"/>
      <c r="E128" s="3"/>
      <c r="F128" s="3"/>
      <c r="G128" s="3" t="s">
        <v>12</v>
      </c>
      <c r="H128" s="6" t="str">
        <f t="shared" si="1"/>
        <v>Link</v>
      </c>
    </row>
    <row r="129" spans="1:8" ht="45" x14ac:dyDescent="0.25">
      <c r="A129" s="3" t="s">
        <v>6935</v>
      </c>
      <c r="B129" s="3" t="s">
        <v>12016</v>
      </c>
      <c r="C129" s="3" t="s">
        <v>7097</v>
      </c>
      <c r="D129" s="3"/>
      <c r="E129" s="3"/>
      <c r="F129" s="3"/>
      <c r="G129" s="3" t="s">
        <v>12</v>
      </c>
      <c r="H129" s="6" t="str">
        <f t="shared" si="1"/>
        <v>Link</v>
      </c>
    </row>
    <row r="130" spans="1:8" ht="45" x14ac:dyDescent="0.25">
      <c r="A130" s="3" t="s">
        <v>6935</v>
      </c>
      <c r="B130" s="3" t="s">
        <v>7098</v>
      </c>
      <c r="C130" s="3" t="s">
        <v>7099</v>
      </c>
      <c r="D130" s="3"/>
      <c r="E130" s="3"/>
      <c r="F130" s="3"/>
      <c r="G130" s="3" t="s">
        <v>12</v>
      </c>
      <c r="H130" s="6" t="str">
        <f t="shared" si="1"/>
        <v>Link</v>
      </c>
    </row>
    <row r="131" spans="1:8" ht="30" x14ac:dyDescent="0.25">
      <c r="A131" s="3" t="s">
        <v>6935</v>
      </c>
      <c r="B131" s="3" t="s">
        <v>12017</v>
      </c>
      <c r="C131" s="3" t="s">
        <v>7100</v>
      </c>
      <c r="D131" s="3"/>
      <c r="E131" s="3"/>
      <c r="F131" s="3"/>
      <c r="G131" s="3" t="s">
        <v>12</v>
      </c>
      <c r="H131" s="6" t="str">
        <f t="shared" si="1"/>
        <v>Link</v>
      </c>
    </row>
    <row r="132" spans="1:8" ht="30" x14ac:dyDescent="0.25">
      <c r="A132" s="3" t="s">
        <v>6935</v>
      </c>
      <c r="B132" s="3" t="s">
        <v>7101</v>
      </c>
      <c r="C132" s="3" t="s">
        <v>12018</v>
      </c>
      <c r="D132" s="3"/>
      <c r="E132" s="3"/>
      <c r="F132" s="3"/>
      <c r="G132" s="3" t="s">
        <v>12</v>
      </c>
      <c r="H132" s="6" t="str">
        <f t="shared" ref="H132:H195" si="2">HYPERLINK(_xlfn.ENCODEURL("https://techdocs.ed-fi.org/display/EFDS20/"),"Link")</f>
        <v>Link</v>
      </c>
    </row>
    <row r="133" spans="1:8" ht="30" x14ac:dyDescent="0.25">
      <c r="A133" s="3" t="s">
        <v>6935</v>
      </c>
      <c r="B133" s="3" t="s">
        <v>12019</v>
      </c>
      <c r="C133" s="3" t="s">
        <v>12020</v>
      </c>
      <c r="D133" s="3"/>
      <c r="E133" s="3"/>
      <c r="F133" s="3"/>
      <c r="G133" s="3" t="s">
        <v>12</v>
      </c>
      <c r="H133" s="6" t="str">
        <f t="shared" si="2"/>
        <v>Link</v>
      </c>
    </row>
    <row r="134" spans="1:8" ht="30" x14ac:dyDescent="0.25">
      <c r="A134" s="3" t="s">
        <v>6935</v>
      </c>
      <c r="B134" s="3" t="s">
        <v>12021</v>
      </c>
      <c r="C134" s="3" t="s">
        <v>6999</v>
      </c>
      <c r="D134" s="3"/>
      <c r="E134" s="3"/>
      <c r="F134" s="3"/>
      <c r="G134" s="3" t="s">
        <v>12</v>
      </c>
      <c r="H134" s="6" t="str">
        <f t="shared" si="2"/>
        <v>Link</v>
      </c>
    </row>
    <row r="135" spans="1:8" ht="30" x14ac:dyDescent="0.25">
      <c r="A135" s="3" t="s">
        <v>6935</v>
      </c>
      <c r="B135" s="3" t="s">
        <v>12022</v>
      </c>
      <c r="C135" s="3" t="s">
        <v>7000</v>
      </c>
      <c r="D135" s="3"/>
      <c r="E135" s="3"/>
      <c r="F135" s="3"/>
      <c r="G135" s="3" t="s">
        <v>12</v>
      </c>
      <c r="H135" s="6" t="str">
        <f t="shared" si="2"/>
        <v>Link</v>
      </c>
    </row>
    <row r="136" spans="1:8" ht="45" x14ac:dyDescent="0.25">
      <c r="A136" s="3" t="s">
        <v>6935</v>
      </c>
      <c r="B136" s="3" t="s">
        <v>7102</v>
      </c>
      <c r="C136" s="3" t="s">
        <v>7002</v>
      </c>
      <c r="D136" s="3"/>
      <c r="E136" s="3"/>
      <c r="F136" s="3"/>
      <c r="G136" s="3" t="s">
        <v>12</v>
      </c>
      <c r="H136" s="6" t="str">
        <f t="shared" si="2"/>
        <v>Link</v>
      </c>
    </row>
    <row r="137" spans="1:8" ht="60" x14ac:dyDescent="0.25">
      <c r="A137" s="3" t="s">
        <v>6935</v>
      </c>
      <c r="B137" s="3" t="s">
        <v>7103</v>
      </c>
      <c r="C137" s="3" t="s">
        <v>7004</v>
      </c>
      <c r="D137" s="3"/>
      <c r="E137" s="3"/>
      <c r="F137" s="3"/>
      <c r="G137" s="3" t="s">
        <v>12</v>
      </c>
      <c r="H137" s="6" t="str">
        <f t="shared" si="2"/>
        <v>Link</v>
      </c>
    </row>
    <row r="138" spans="1:8" ht="60" x14ac:dyDescent="0.25">
      <c r="A138" s="3" t="s">
        <v>6935</v>
      </c>
      <c r="B138" s="3" t="s">
        <v>12023</v>
      </c>
      <c r="C138" s="3" t="s">
        <v>7104</v>
      </c>
      <c r="D138" s="3"/>
      <c r="E138" s="3"/>
      <c r="F138" s="3"/>
      <c r="G138" s="3" t="s">
        <v>12</v>
      </c>
      <c r="H138" s="6" t="str">
        <f t="shared" si="2"/>
        <v>Link</v>
      </c>
    </row>
    <row r="139" spans="1:8" ht="45" x14ac:dyDescent="0.25">
      <c r="A139" s="3" t="s">
        <v>6935</v>
      </c>
      <c r="B139" s="3" t="s">
        <v>7105</v>
      </c>
      <c r="C139" s="3" t="s">
        <v>7002</v>
      </c>
      <c r="D139" s="3"/>
      <c r="E139" s="3"/>
      <c r="F139" s="3"/>
      <c r="G139" s="3" t="s">
        <v>12</v>
      </c>
      <c r="H139" s="6" t="str">
        <f t="shared" si="2"/>
        <v>Link</v>
      </c>
    </row>
    <row r="140" spans="1:8" ht="45" x14ac:dyDescent="0.25">
      <c r="A140" s="3" t="s">
        <v>6935</v>
      </c>
      <c r="B140" s="3" t="s">
        <v>7106</v>
      </c>
      <c r="C140" s="3" t="s">
        <v>1558</v>
      </c>
      <c r="D140" s="3"/>
      <c r="E140" s="3"/>
      <c r="F140" s="3"/>
      <c r="G140" s="3" t="s">
        <v>12</v>
      </c>
      <c r="H140" s="6" t="str">
        <f t="shared" si="2"/>
        <v>Link</v>
      </c>
    </row>
    <row r="141" spans="1:8" ht="60" x14ac:dyDescent="0.25">
      <c r="A141" s="3" t="s">
        <v>6935</v>
      </c>
      <c r="B141" s="3" t="s">
        <v>7107</v>
      </c>
      <c r="C141" s="3" t="s">
        <v>7004</v>
      </c>
      <c r="D141" s="3"/>
      <c r="E141" s="3"/>
      <c r="F141" s="3"/>
      <c r="G141" s="3" t="s">
        <v>12</v>
      </c>
      <c r="H141" s="6" t="str">
        <f t="shared" si="2"/>
        <v>Link</v>
      </c>
    </row>
    <row r="142" spans="1:8" ht="45" x14ac:dyDescent="0.25">
      <c r="A142" s="3" t="s">
        <v>6935</v>
      </c>
      <c r="B142" s="3" t="s">
        <v>12024</v>
      </c>
      <c r="C142" s="3" t="s">
        <v>7090</v>
      </c>
      <c r="D142" s="3"/>
      <c r="E142" s="3"/>
      <c r="F142" s="3"/>
      <c r="G142" s="3" t="s">
        <v>12</v>
      </c>
      <c r="H142" s="6" t="str">
        <f t="shared" si="2"/>
        <v>Link</v>
      </c>
    </row>
    <row r="143" spans="1:8" ht="45" x14ac:dyDescent="0.25">
      <c r="A143" s="3" t="s">
        <v>6935</v>
      </c>
      <c r="B143" s="3" t="s">
        <v>12025</v>
      </c>
      <c r="C143" s="3" t="s">
        <v>7091</v>
      </c>
      <c r="D143" s="3"/>
      <c r="E143" s="3"/>
      <c r="F143" s="3"/>
      <c r="G143" s="3" t="s">
        <v>12</v>
      </c>
      <c r="H143" s="6" t="str">
        <f t="shared" si="2"/>
        <v>Link</v>
      </c>
    </row>
    <row r="144" spans="1:8" ht="45" x14ac:dyDescent="0.25">
      <c r="A144" s="3" t="s">
        <v>6935</v>
      </c>
      <c r="B144" s="3" t="s">
        <v>12026</v>
      </c>
      <c r="C144" s="3" t="s">
        <v>7092</v>
      </c>
      <c r="D144" s="3"/>
      <c r="E144" s="3"/>
      <c r="F144" s="3"/>
      <c r="G144" s="3" t="s">
        <v>12</v>
      </c>
      <c r="H144" s="6" t="str">
        <f t="shared" si="2"/>
        <v>Link</v>
      </c>
    </row>
    <row r="145" spans="1:8" ht="60" x14ac:dyDescent="0.25">
      <c r="A145" s="3" t="s">
        <v>6935</v>
      </c>
      <c r="B145" s="3" t="s">
        <v>12027</v>
      </c>
      <c r="C145" s="3" t="s">
        <v>7093</v>
      </c>
      <c r="D145" s="3"/>
      <c r="E145" s="3"/>
      <c r="F145" s="3"/>
      <c r="G145" s="3" t="s">
        <v>12</v>
      </c>
      <c r="H145" s="6" t="str">
        <f t="shared" si="2"/>
        <v>Link</v>
      </c>
    </row>
    <row r="146" spans="1:8" ht="45" x14ac:dyDescent="0.25">
      <c r="A146" s="3" t="s">
        <v>6935</v>
      </c>
      <c r="B146" s="3" t="s">
        <v>12028</v>
      </c>
      <c r="C146" s="3" t="s">
        <v>7094</v>
      </c>
      <c r="D146" s="3"/>
      <c r="E146" s="3"/>
      <c r="F146" s="3"/>
      <c r="G146" s="3" t="s">
        <v>12</v>
      </c>
      <c r="H146" s="6" t="str">
        <f t="shared" si="2"/>
        <v>Link</v>
      </c>
    </row>
    <row r="147" spans="1:8" ht="45" x14ac:dyDescent="0.25">
      <c r="A147" s="3" t="s">
        <v>6935</v>
      </c>
      <c r="B147" s="3" t="s">
        <v>12029</v>
      </c>
      <c r="C147" s="3" t="s">
        <v>7090</v>
      </c>
      <c r="D147" s="3"/>
      <c r="E147" s="3"/>
      <c r="F147" s="3"/>
      <c r="G147" s="3" t="s">
        <v>12</v>
      </c>
      <c r="H147" s="6" t="str">
        <f t="shared" si="2"/>
        <v>Link</v>
      </c>
    </row>
    <row r="148" spans="1:8" ht="45" x14ac:dyDescent="0.25">
      <c r="A148" s="3" t="s">
        <v>6935</v>
      </c>
      <c r="B148" s="3" t="s">
        <v>12030</v>
      </c>
      <c r="C148" s="3" t="s">
        <v>7091</v>
      </c>
      <c r="D148" s="3"/>
      <c r="E148" s="3"/>
      <c r="F148" s="3"/>
      <c r="G148" s="3" t="s">
        <v>12</v>
      </c>
      <c r="H148" s="6" t="str">
        <f t="shared" si="2"/>
        <v>Link</v>
      </c>
    </row>
    <row r="149" spans="1:8" ht="45" x14ac:dyDescent="0.25">
      <c r="A149" s="3" t="s">
        <v>6935</v>
      </c>
      <c r="B149" s="3" t="s">
        <v>12031</v>
      </c>
      <c r="C149" s="3" t="s">
        <v>7092</v>
      </c>
      <c r="D149" s="3"/>
      <c r="E149" s="3"/>
      <c r="F149" s="3"/>
      <c r="G149" s="3" t="s">
        <v>12</v>
      </c>
      <c r="H149" s="6" t="str">
        <f t="shared" si="2"/>
        <v>Link</v>
      </c>
    </row>
    <row r="150" spans="1:8" ht="45" x14ac:dyDescent="0.25">
      <c r="A150" s="3" t="s">
        <v>6935</v>
      </c>
      <c r="B150" s="3" t="s">
        <v>12032</v>
      </c>
      <c r="C150" s="3" t="s">
        <v>7093</v>
      </c>
      <c r="D150" s="3"/>
      <c r="E150" s="3"/>
      <c r="F150" s="3"/>
      <c r="G150" s="3" t="s">
        <v>12</v>
      </c>
      <c r="H150" s="6" t="str">
        <f t="shared" si="2"/>
        <v>Link</v>
      </c>
    </row>
    <row r="151" spans="1:8" ht="45" x14ac:dyDescent="0.25">
      <c r="A151" s="3" t="s">
        <v>6935</v>
      </c>
      <c r="B151" s="3" t="s">
        <v>12033</v>
      </c>
      <c r="C151" s="3" t="s">
        <v>7094</v>
      </c>
      <c r="D151" s="3"/>
      <c r="E151" s="3"/>
      <c r="F151" s="3"/>
      <c r="G151" s="3" t="s">
        <v>12</v>
      </c>
      <c r="H151" s="6" t="str">
        <f t="shared" si="2"/>
        <v>Link</v>
      </c>
    </row>
    <row r="152" spans="1:8" ht="30" x14ac:dyDescent="0.25">
      <c r="A152" s="3" t="s">
        <v>6935</v>
      </c>
      <c r="B152" s="3" t="s">
        <v>12034</v>
      </c>
      <c r="C152" s="3" t="s">
        <v>7108</v>
      </c>
      <c r="D152" s="3"/>
      <c r="E152" s="3"/>
      <c r="F152" s="3"/>
      <c r="G152" s="3" t="s">
        <v>12</v>
      </c>
      <c r="H152" s="6" t="str">
        <f t="shared" si="2"/>
        <v>Link</v>
      </c>
    </row>
    <row r="153" spans="1:8" ht="30" x14ac:dyDescent="0.25">
      <c r="A153" s="3" t="s">
        <v>6935</v>
      </c>
      <c r="B153" s="3" t="s">
        <v>12035</v>
      </c>
      <c r="C153" s="3" t="s">
        <v>7109</v>
      </c>
      <c r="D153" s="3"/>
      <c r="E153" s="3"/>
      <c r="F153" s="3"/>
      <c r="G153" s="3" t="s">
        <v>12</v>
      </c>
      <c r="H153" s="6" t="str">
        <f t="shared" si="2"/>
        <v>Link</v>
      </c>
    </row>
    <row r="154" spans="1:8" ht="30" x14ac:dyDescent="0.25">
      <c r="A154" s="3" t="s">
        <v>6935</v>
      </c>
      <c r="B154" s="3" t="s">
        <v>7110</v>
      </c>
      <c r="C154" s="3" t="s">
        <v>7089</v>
      </c>
      <c r="D154" s="3"/>
      <c r="E154" s="3"/>
      <c r="F154" s="3"/>
      <c r="G154" s="3" t="s">
        <v>12</v>
      </c>
      <c r="H154" s="6" t="str">
        <f t="shared" si="2"/>
        <v>Link</v>
      </c>
    </row>
    <row r="155" spans="1:8" ht="45" x14ac:dyDescent="0.25">
      <c r="A155" s="3" t="s">
        <v>6935</v>
      </c>
      <c r="B155" s="3" t="s">
        <v>12036</v>
      </c>
      <c r="C155" s="3" t="s">
        <v>7090</v>
      </c>
      <c r="D155" s="3"/>
      <c r="E155" s="3"/>
      <c r="F155" s="3"/>
      <c r="G155" s="3" t="s">
        <v>12</v>
      </c>
      <c r="H155" s="6" t="str">
        <f t="shared" si="2"/>
        <v>Link</v>
      </c>
    </row>
    <row r="156" spans="1:8" ht="45" x14ac:dyDescent="0.25">
      <c r="A156" s="3" t="s">
        <v>6935</v>
      </c>
      <c r="B156" s="3" t="s">
        <v>12037</v>
      </c>
      <c r="C156" s="3" t="s">
        <v>7091</v>
      </c>
      <c r="D156" s="3"/>
      <c r="E156" s="3"/>
      <c r="F156" s="3"/>
      <c r="G156" s="3" t="s">
        <v>12</v>
      </c>
      <c r="H156" s="6" t="str">
        <f t="shared" si="2"/>
        <v>Link</v>
      </c>
    </row>
    <row r="157" spans="1:8" ht="45" x14ac:dyDescent="0.25">
      <c r="A157" s="3" t="s">
        <v>6935</v>
      </c>
      <c r="B157" s="3" t="s">
        <v>12038</v>
      </c>
      <c r="C157" s="3" t="s">
        <v>7092</v>
      </c>
      <c r="D157" s="3"/>
      <c r="E157" s="3"/>
      <c r="F157" s="3"/>
      <c r="G157" s="3" t="s">
        <v>12</v>
      </c>
      <c r="H157" s="6" t="str">
        <f t="shared" si="2"/>
        <v>Link</v>
      </c>
    </row>
    <row r="158" spans="1:8" ht="45" x14ac:dyDescent="0.25">
      <c r="A158" s="3" t="s">
        <v>6935</v>
      </c>
      <c r="B158" s="3" t="s">
        <v>12039</v>
      </c>
      <c r="C158" s="3" t="s">
        <v>7093</v>
      </c>
      <c r="D158" s="3"/>
      <c r="E158" s="3"/>
      <c r="F158" s="3"/>
      <c r="G158" s="3" t="s">
        <v>12</v>
      </c>
      <c r="H158" s="6" t="str">
        <f t="shared" si="2"/>
        <v>Link</v>
      </c>
    </row>
    <row r="159" spans="1:8" ht="45" x14ac:dyDescent="0.25">
      <c r="A159" s="3" t="s">
        <v>6935</v>
      </c>
      <c r="B159" s="3" t="s">
        <v>12040</v>
      </c>
      <c r="C159" s="3" t="s">
        <v>7094</v>
      </c>
      <c r="D159" s="3"/>
      <c r="E159" s="3"/>
      <c r="F159" s="3"/>
      <c r="G159" s="3" t="s">
        <v>12</v>
      </c>
      <c r="H159" s="6" t="str">
        <f t="shared" si="2"/>
        <v>Link</v>
      </c>
    </row>
    <row r="160" spans="1:8" ht="30" x14ac:dyDescent="0.25">
      <c r="A160" s="3" t="s">
        <v>6935</v>
      </c>
      <c r="B160" s="3" t="s">
        <v>12041</v>
      </c>
      <c r="C160" s="3" t="s">
        <v>12042</v>
      </c>
      <c r="D160" s="3"/>
      <c r="E160" s="3"/>
      <c r="F160" s="3"/>
      <c r="G160" s="3" t="s">
        <v>12</v>
      </c>
      <c r="H160" s="6" t="str">
        <f t="shared" si="2"/>
        <v>Link</v>
      </c>
    </row>
    <row r="161" spans="1:8" ht="45" x14ac:dyDescent="0.25">
      <c r="A161" s="3" t="s">
        <v>6935</v>
      </c>
      <c r="B161" s="3" t="s">
        <v>7111</v>
      </c>
      <c r="C161" s="3" t="s">
        <v>7112</v>
      </c>
      <c r="D161" s="3"/>
      <c r="E161" s="3"/>
      <c r="F161" s="3"/>
      <c r="G161" s="3" t="s">
        <v>12</v>
      </c>
      <c r="H161" s="6" t="str">
        <f t="shared" si="2"/>
        <v>Link</v>
      </c>
    </row>
    <row r="162" spans="1:8" ht="30" x14ac:dyDescent="0.25">
      <c r="A162" s="3" t="s">
        <v>6935</v>
      </c>
      <c r="B162" s="3" t="s">
        <v>7113</v>
      </c>
      <c r="C162" s="3" t="s">
        <v>7114</v>
      </c>
      <c r="D162" s="3"/>
      <c r="E162" s="3"/>
      <c r="F162" s="3"/>
      <c r="G162" s="3" t="s">
        <v>12</v>
      </c>
      <c r="H162" s="6" t="str">
        <f t="shared" si="2"/>
        <v>Link</v>
      </c>
    </row>
    <row r="163" spans="1:8" ht="75" x14ac:dyDescent="0.25">
      <c r="A163" s="3" t="s">
        <v>6935</v>
      </c>
      <c r="B163" s="3" t="s">
        <v>7115</v>
      </c>
      <c r="C163" s="3" t="s">
        <v>7116</v>
      </c>
      <c r="D163" s="3"/>
      <c r="E163" s="3"/>
      <c r="F163" s="3"/>
      <c r="G163" s="3" t="s">
        <v>12</v>
      </c>
      <c r="H163" s="6" t="str">
        <f t="shared" si="2"/>
        <v>Link</v>
      </c>
    </row>
    <row r="164" spans="1:8" ht="45" x14ac:dyDescent="0.25">
      <c r="A164" s="3" t="s">
        <v>6935</v>
      </c>
      <c r="B164" s="3" t="s">
        <v>12043</v>
      </c>
      <c r="C164" s="3" t="s">
        <v>12044</v>
      </c>
      <c r="D164" s="3"/>
      <c r="E164" s="3"/>
      <c r="F164" s="3"/>
      <c r="G164" s="3" t="s">
        <v>12</v>
      </c>
      <c r="H164" s="6" t="str">
        <f t="shared" si="2"/>
        <v>Link</v>
      </c>
    </row>
    <row r="165" spans="1:8" ht="45" x14ac:dyDescent="0.25">
      <c r="A165" s="3" t="s">
        <v>6935</v>
      </c>
      <c r="B165" s="3" t="s">
        <v>12045</v>
      </c>
      <c r="C165" s="3" t="s">
        <v>7117</v>
      </c>
      <c r="D165" s="3"/>
      <c r="E165" s="3"/>
      <c r="F165" s="3"/>
      <c r="G165" s="3" t="s">
        <v>12</v>
      </c>
      <c r="H165" s="6" t="str">
        <f t="shared" si="2"/>
        <v>Link</v>
      </c>
    </row>
    <row r="166" spans="1:8" ht="30" x14ac:dyDescent="0.25">
      <c r="A166" s="3" t="s">
        <v>6935</v>
      </c>
      <c r="B166" s="3" t="s">
        <v>7118</v>
      </c>
      <c r="C166" s="3" t="s">
        <v>12046</v>
      </c>
      <c r="D166" s="3"/>
      <c r="E166" s="3"/>
      <c r="F166" s="3"/>
      <c r="G166" s="3" t="s">
        <v>12</v>
      </c>
      <c r="H166" s="6" t="str">
        <f t="shared" si="2"/>
        <v>Link</v>
      </c>
    </row>
    <row r="167" spans="1:8" ht="30" x14ac:dyDescent="0.25">
      <c r="A167" s="3" t="s">
        <v>6935</v>
      </c>
      <c r="B167" s="3" t="s">
        <v>7119</v>
      </c>
      <c r="C167" s="3" t="s">
        <v>12047</v>
      </c>
      <c r="D167" s="3"/>
      <c r="E167" s="3"/>
      <c r="F167" s="3"/>
      <c r="G167" s="3" t="s">
        <v>12</v>
      </c>
      <c r="H167" s="6" t="str">
        <f t="shared" si="2"/>
        <v>Link</v>
      </c>
    </row>
    <row r="168" spans="1:8" ht="75" x14ac:dyDescent="0.25">
      <c r="A168" s="3" t="s">
        <v>6935</v>
      </c>
      <c r="B168" s="3" t="s">
        <v>7120</v>
      </c>
      <c r="C168" s="3" t="s">
        <v>7121</v>
      </c>
      <c r="D168" s="3"/>
      <c r="E168" s="3"/>
      <c r="F168" s="3"/>
      <c r="G168" s="3" t="s">
        <v>12</v>
      </c>
      <c r="H168" s="6" t="str">
        <f t="shared" si="2"/>
        <v>Link</v>
      </c>
    </row>
    <row r="169" spans="1:8" ht="30" x14ac:dyDescent="0.25">
      <c r="A169" s="3" t="s">
        <v>6935</v>
      </c>
      <c r="B169" s="3" t="s">
        <v>12048</v>
      </c>
      <c r="C169" s="3" t="s">
        <v>6999</v>
      </c>
      <c r="D169" s="3"/>
      <c r="E169" s="3"/>
      <c r="F169" s="3"/>
      <c r="G169" s="3" t="s">
        <v>12</v>
      </c>
      <c r="H169" s="6" t="str">
        <f t="shared" si="2"/>
        <v>Link</v>
      </c>
    </row>
    <row r="170" spans="1:8" ht="45" x14ac:dyDescent="0.25">
      <c r="A170" s="3" t="s">
        <v>6935</v>
      </c>
      <c r="B170" s="3" t="s">
        <v>12049</v>
      </c>
      <c r="C170" s="3" t="s">
        <v>7000</v>
      </c>
      <c r="D170" s="3"/>
      <c r="E170" s="3"/>
      <c r="F170" s="3"/>
      <c r="G170" s="3" t="s">
        <v>12</v>
      </c>
      <c r="H170" s="6" t="str">
        <f t="shared" si="2"/>
        <v>Link</v>
      </c>
    </row>
    <row r="171" spans="1:8" ht="45" x14ac:dyDescent="0.25">
      <c r="A171" s="3" t="s">
        <v>6935</v>
      </c>
      <c r="B171" s="3" t="s">
        <v>7122</v>
      </c>
      <c r="C171" s="3" t="s">
        <v>7002</v>
      </c>
      <c r="D171" s="3"/>
      <c r="E171" s="3"/>
      <c r="F171" s="3"/>
      <c r="G171" s="3" t="s">
        <v>12</v>
      </c>
      <c r="H171" s="6" t="str">
        <f t="shared" si="2"/>
        <v>Link</v>
      </c>
    </row>
    <row r="172" spans="1:8" ht="60" x14ac:dyDescent="0.25">
      <c r="A172" s="3" t="s">
        <v>6935</v>
      </c>
      <c r="B172" s="3" t="s">
        <v>7123</v>
      </c>
      <c r="C172" s="3" t="s">
        <v>7004</v>
      </c>
      <c r="D172" s="3"/>
      <c r="E172" s="3"/>
      <c r="F172" s="3"/>
      <c r="G172" s="3" t="s">
        <v>12</v>
      </c>
      <c r="H172" s="6" t="str">
        <f t="shared" si="2"/>
        <v>Link</v>
      </c>
    </row>
    <row r="173" spans="1:8" ht="45" x14ac:dyDescent="0.25">
      <c r="A173" s="3" t="s">
        <v>6935</v>
      </c>
      <c r="B173" s="3" t="s">
        <v>7124</v>
      </c>
      <c r="C173" s="3" t="s">
        <v>7125</v>
      </c>
      <c r="D173" s="3"/>
      <c r="E173" s="3"/>
      <c r="F173" s="3"/>
      <c r="G173" s="3" t="s">
        <v>12</v>
      </c>
      <c r="H173" s="6" t="str">
        <f t="shared" si="2"/>
        <v>Link</v>
      </c>
    </row>
    <row r="174" spans="1:8" ht="45" x14ac:dyDescent="0.25">
      <c r="A174" s="3" t="s">
        <v>6935</v>
      </c>
      <c r="B174" s="3" t="s">
        <v>7126</v>
      </c>
      <c r="C174" s="3" t="s">
        <v>7002</v>
      </c>
      <c r="D174" s="3"/>
      <c r="E174" s="3"/>
      <c r="F174" s="3"/>
      <c r="G174" s="3" t="s">
        <v>12</v>
      </c>
      <c r="H174" s="6" t="str">
        <f t="shared" si="2"/>
        <v>Link</v>
      </c>
    </row>
    <row r="175" spans="1:8" ht="45" x14ac:dyDescent="0.25">
      <c r="A175" s="3" t="s">
        <v>6935</v>
      </c>
      <c r="B175" s="3" t="s">
        <v>7127</v>
      </c>
      <c r="C175" s="3" t="s">
        <v>1558</v>
      </c>
      <c r="D175" s="3"/>
      <c r="E175" s="3"/>
      <c r="F175" s="3"/>
      <c r="G175" s="3" t="s">
        <v>12</v>
      </c>
      <c r="H175" s="6" t="str">
        <f t="shared" si="2"/>
        <v>Link</v>
      </c>
    </row>
    <row r="176" spans="1:8" ht="60" x14ac:dyDescent="0.25">
      <c r="A176" s="3" t="s">
        <v>6935</v>
      </c>
      <c r="B176" s="3" t="s">
        <v>7128</v>
      </c>
      <c r="C176" s="3" t="s">
        <v>7004</v>
      </c>
      <c r="D176" s="3"/>
      <c r="E176" s="3"/>
      <c r="F176" s="3"/>
      <c r="G176" s="3" t="s">
        <v>12</v>
      </c>
      <c r="H176" s="6" t="str">
        <f t="shared" si="2"/>
        <v>Link</v>
      </c>
    </row>
    <row r="177" spans="1:8" ht="45" x14ac:dyDescent="0.25">
      <c r="A177" s="3" t="s">
        <v>6935</v>
      </c>
      <c r="B177" s="3" t="s">
        <v>12050</v>
      </c>
      <c r="C177" s="3" t="s">
        <v>7090</v>
      </c>
      <c r="D177" s="3"/>
      <c r="E177" s="3"/>
      <c r="F177" s="3"/>
      <c r="G177" s="3" t="s">
        <v>12</v>
      </c>
      <c r="H177" s="6" t="str">
        <f t="shared" si="2"/>
        <v>Link</v>
      </c>
    </row>
    <row r="178" spans="1:8" ht="45" x14ac:dyDescent="0.25">
      <c r="A178" s="3" t="s">
        <v>6935</v>
      </c>
      <c r="B178" s="3" t="s">
        <v>12051</v>
      </c>
      <c r="C178" s="3" t="s">
        <v>7091</v>
      </c>
      <c r="D178" s="3"/>
      <c r="E178" s="3"/>
      <c r="F178" s="3"/>
      <c r="G178" s="3" t="s">
        <v>12</v>
      </c>
      <c r="H178" s="6" t="str">
        <f t="shared" si="2"/>
        <v>Link</v>
      </c>
    </row>
    <row r="179" spans="1:8" ht="45" x14ac:dyDescent="0.25">
      <c r="A179" s="3" t="s">
        <v>6935</v>
      </c>
      <c r="B179" s="3" t="s">
        <v>12052</v>
      </c>
      <c r="C179" s="3" t="s">
        <v>7092</v>
      </c>
      <c r="D179" s="3"/>
      <c r="E179" s="3"/>
      <c r="F179" s="3"/>
      <c r="G179" s="3" t="s">
        <v>12</v>
      </c>
      <c r="H179" s="6" t="str">
        <f t="shared" si="2"/>
        <v>Link</v>
      </c>
    </row>
    <row r="180" spans="1:8" ht="60" x14ac:dyDescent="0.25">
      <c r="A180" s="3" t="s">
        <v>6935</v>
      </c>
      <c r="B180" s="3" t="s">
        <v>12053</v>
      </c>
      <c r="C180" s="3" t="s">
        <v>7093</v>
      </c>
      <c r="D180" s="3"/>
      <c r="E180" s="3"/>
      <c r="F180" s="3"/>
      <c r="G180" s="3" t="s">
        <v>12</v>
      </c>
      <c r="H180" s="6" t="str">
        <f t="shared" si="2"/>
        <v>Link</v>
      </c>
    </row>
    <row r="181" spans="1:8" ht="45" x14ac:dyDescent="0.25">
      <c r="A181" s="3" t="s">
        <v>6935</v>
      </c>
      <c r="B181" s="3" t="s">
        <v>12054</v>
      </c>
      <c r="C181" s="3" t="s">
        <v>7094</v>
      </c>
      <c r="D181" s="3"/>
      <c r="E181" s="3"/>
      <c r="F181" s="3"/>
      <c r="G181" s="3" t="s">
        <v>12</v>
      </c>
      <c r="H181" s="6" t="str">
        <f t="shared" si="2"/>
        <v>Link</v>
      </c>
    </row>
    <row r="182" spans="1:8" ht="45" x14ac:dyDescent="0.25">
      <c r="A182" s="3" t="s">
        <v>6935</v>
      </c>
      <c r="B182" s="3" t="s">
        <v>12055</v>
      </c>
      <c r="C182" s="3" t="s">
        <v>7090</v>
      </c>
      <c r="D182" s="3"/>
      <c r="E182" s="3"/>
      <c r="F182" s="3"/>
      <c r="G182" s="3" t="s">
        <v>12</v>
      </c>
      <c r="H182" s="6" t="str">
        <f t="shared" si="2"/>
        <v>Link</v>
      </c>
    </row>
    <row r="183" spans="1:8" ht="45" x14ac:dyDescent="0.25">
      <c r="A183" s="3" t="s">
        <v>6935</v>
      </c>
      <c r="B183" s="3" t="s">
        <v>12056</v>
      </c>
      <c r="C183" s="3" t="s">
        <v>7091</v>
      </c>
      <c r="D183" s="3"/>
      <c r="E183" s="3"/>
      <c r="F183" s="3"/>
      <c r="G183" s="3" t="s">
        <v>12</v>
      </c>
      <c r="H183" s="6" t="str">
        <f t="shared" si="2"/>
        <v>Link</v>
      </c>
    </row>
    <row r="184" spans="1:8" ht="45" x14ac:dyDescent="0.25">
      <c r="A184" s="3" t="s">
        <v>6935</v>
      </c>
      <c r="B184" s="3" t="s">
        <v>12057</v>
      </c>
      <c r="C184" s="3" t="s">
        <v>7092</v>
      </c>
      <c r="D184" s="3"/>
      <c r="E184" s="3"/>
      <c r="F184" s="3"/>
      <c r="G184" s="3" t="s">
        <v>12</v>
      </c>
      <c r="H184" s="6" t="str">
        <f t="shared" si="2"/>
        <v>Link</v>
      </c>
    </row>
    <row r="185" spans="1:8" ht="45" x14ac:dyDescent="0.25">
      <c r="A185" s="3" t="s">
        <v>6935</v>
      </c>
      <c r="B185" s="3" t="s">
        <v>12058</v>
      </c>
      <c r="C185" s="3" t="s">
        <v>7093</v>
      </c>
      <c r="D185" s="3"/>
      <c r="E185" s="3"/>
      <c r="F185" s="3"/>
      <c r="G185" s="3" t="s">
        <v>12</v>
      </c>
      <c r="H185" s="6" t="str">
        <f t="shared" si="2"/>
        <v>Link</v>
      </c>
    </row>
    <row r="186" spans="1:8" ht="45" x14ac:dyDescent="0.25">
      <c r="A186" s="3" t="s">
        <v>6935</v>
      </c>
      <c r="B186" s="3" t="s">
        <v>12059</v>
      </c>
      <c r="C186" s="3" t="s">
        <v>7094</v>
      </c>
      <c r="D186" s="3"/>
      <c r="E186" s="3"/>
      <c r="F186" s="3"/>
      <c r="G186" s="3" t="s">
        <v>12</v>
      </c>
      <c r="H186" s="6" t="str">
        <f t="shared" si="2"/>
        <v>Link</v>
      </c>
    </row>
    <row r="187" spans="1:8" ht="30" x14ac:dyDescent="0.25">
      <c r="A187" s="3" t="s">
        <v>6935</v>
      </c>
      <c r="B187" s="3" t="s">
        <v>12060</v>
      </c>
      <c r="C187" s="3" t="s">
        <v>7129</v>
      </c>
      <c r="D187" s="3"/>
      <c r="E187" s="3"/>
      <c r="F187" s="3"/>
      <c r="G187" s="3" t="s">
        <v>12</v>
      </c>
      <c r="H187" s="6" t="str">
        <f t="shared" si="2"/>
        <v>Link</v>
      </c>
    </row>
    <row r="188" spans="1:8" ht="45" x14ac:dyDescent="0.25">
      <c r="A188" s="3" t="s">
        <v>6935</v>
      </c>
      <c r="B188" s="3" t="s">
        <v>12061</v>
      </c>
      <c r="C188" s="3" t="s">
        <v>7130</v>
      </c>
      <c r="D188" s="3"/>
      <c r="E188" s="3"/>
      <c r="F188" s="3"/>
      <c r="G188" s="3" t="s">
        <v>12</v>
      </c>
      <c r="H188" s="6" t="str">
        <f t="shared" si="2"/>
        <v>Link</v>
      </c>
    </row>
    <row r="189" spans="1:8" ht="45" x14ac:dyDescent="0.25">
      <c r="A189" s="3" t="s">
        <v>6935</v>
      </c>
      <c r="B189" s="3" t="s">
        <v>12062</v>
      </c>
      <c r="C189" s="3" t="s">
        <v>7131</v>
      </c>
      <c r="D189" s="3"/>
      <c r="E189" s="3"/>
      <c r="F189" s="3"/>
      <c r="G189" s="3" t="s">
        <v>12</v>
      </c>
      <c r="H189" s="6" t="str">
        <f t="shared" si="2"/>
        <v>Link</v>
      </c>
    </row>
    <row r="190" spans="1:8" ht="45" x14ac:dyDescent="0.25">
      <c r="A190" s="3" t="s">
        <v>6935</v>
      </c>
      <c r="B190" s="3" t="s">
        <v>12063</v>
      </c>
      <c r="C190" s="3" t="s">
        <v>7132</v>
      </c>
      <c r="D190" s="3"/>
      <c r="E190" s="3"/>
      <c r="F190" s="3"/>
      <c r="G190" s="3" t="s">
        <v>12</v>
      </c>
      <c r="H190" s="6" t="str">
        <f t="shared" si="2"/>
        <v>Link</v>
      </c>
    </row>
    <row r="191" spans="1:8" ht="30" x14ac:dyDescent="0.25">
      <c r="A191" s="3" t="s">
        <v>6935</v>
      </c>
      <c r="B191" s="3" t="s">
        <v>7133</v>
      </c>
      <c r="C191" s="3" t="s">
        <v>7089</v>
      </c>
      <c r="D191" s="3"/>
      <c r="E191" s="3"/>
      <c r="F191" s="3"/>
      <c r="G191" s="3" t="s">
        <v>12</v>
      </c>
      <c r="H191" s="6" t="str">
        <f t="shared" si="2"/>
        <v>Link</v>
      </c>
    </row>
    <row r="192" spans="1:8" x14ac:dyDescent="0.25">
      <c r="A192" s="3" t="s">
        <v>6935</v>
      </c>
      <c r="B192" s="3" t="s">
        <v>7134</v>
      </c>
      <c r="C192" s="3" t="s">
        <v>7135</v>
      </c>
      <c r="D192" s="3"/>
      <c r="E192" s="3"/>
      <c r="F192" s="3"/>
      <c r="G192" s="3" t="s">
        <v>12</v>
      </c>
      <c r="H192" s="6" t="str">
        <f t="shared" si="2"/>
        <v>Link</v>
      </c>
    </row>
    <row r="193" spans="1:8" ht="45" x14ac:dyDescent="0.25">
      <c r="A193" s="3" t="s">
        <v>6935</v>
      </c>
      <c r="B193" s="3" t="s">
        <v>12064</v>
      </c>
      <c r="C193" s="3" t="s">
        <v>7090</v>
      </c>
      <c r="D193" s="3"/>
      <c r="E193" s="3"/>
      <c r="F193" s="3"/>
      <c r="G193" s="3" t="s">
        <v>12</v>
      </c>
      <c r="H193" s="6" t="str">
        <f t="shared" si="2"/>
        <v>Link</v>
      </c>
    </row>
    <row r="194" spans="1:8" ht="45" x14ac:dyDescent="0.25">
      <c r="A194" s="3" t="s">
        <v>6935</v>
      </c>
      <c r="B194" s="3" t="s">
        <v>12065</v>
      </c>
      <c r="C194" s="3" t="s">
        <v>7091</v>
      </c>
      <c r="D194" s="3"/>
      <c r="E194" s="3"/>
      <c r="F194" s="3"/>
      <c r="G194" s="3" t="s">
        <v>12</v>
      </c>
      <c r="H194" s="6" t="str">
        <f t="shared" si="2"/>
        <v>Link</v>
      </c>
    </row>
    <row r="195" spans="1:8" ht="45" x14ac:dyDescent="0.25">
      <c r="A195" s="3" t="s">
        <v>6935</v>
      </c>
      <c r="B195" s="3" t="s">
        <v>12066</v>
      </c>
      <c r="C195" s="3" t="s">
        <v>7092</v>
      </c>
      <c r="D195" s="3"/>
      <c r="E195" s="3"/>
      <c r="F195" s="3"/>
      <c r="G195" s="3" t="s">
        <v>12</v>
      </c>
      <c r="H195" s="6" t="str">
        <f t="shared" si="2"/>
        <v>Link</v>
      </c>
    </row>
    <row r="196" spans="1:8" ht="45" x14ac:dyDescent="0.25">
      <c r="A196" s="3" t="s">
        <v>6935</v>
      </c>
      <c r="B196" s="3" t="s">
        <v>12067</v>
      </c>
      <c r="C196" s="3" t="s">
        <v>7093</v>
      </c>
      <c r="D196" s="3"/>
      <c r="E196" s="3"/>
      <c r="F196" s="3"/>
      <c r="G196" s="3" t="s">
        <v>12</v>
      </c>
      <c r="H196" s="6" t="str">
        <f t="shared" ref="H196:H243" si="3">HYPERLINK(_xlfn.ENCODEURL("https://techdocs.ed-fi.org/display/EFDS20/"),"Link")</f>
        <v>Link</v>
      </c>
    </row>
    <row r="197" spans="1:8" ht="45" x14ac:dyDescent="0.25">
      <c r="A197" s="3" t="s">
        <v>6935</v>
      </c>
      <c r="B197" s="3" t="s">
        <v>12068</v>
      </c>
      <c r="C197" s="3" t="s">
        <v>7094</v>
      </c>
      <c r="D197" s="3"/>
      <c r="E197" s="3"/>
      <c r="F197" s="3"/>
      <c r="G197" s="3" t="s">
        <v>12</v>
      </c>
      <c r="H197" s="6" t="str">
        <f t="shared" si="3"/>
        <v>Link</v>
      </c>
    </row>
    <row r="198" spans="1:8" ht="45" x14ac:dyDescent="0.25">
      <c r="A198" s="3" t="s">
        <v>6935</v>
      </c>
      <c r="B198" s="3" t="s">
        <v>12069</v>
      </c>
      <c r="C198" s="3" t="s">
        <v>7136</v>
      </c>
      <c r="D198" s="3"/>
      <c r="E198" s="3"/>
      <c r="F198" s="3"/>
      <c r="G198" s="3" t="s">
        <v>12</v>
      </c>
      <c r="H198" s="6" t="str">
        <f t="shared" si="3"/>
        <v>Link</v>
      </c>
    </row>
    <row r="199" spans="1:8" ht="45" x14ac:dyDescent="0.25">
      <c r="A199" s="3" t="s">
        <v>6935</v>
      </c>
      <c r="B199" s="3" t="s">
        <v>12070</v>
      </c>
      <c r="C199" s="3" t="s">
        <v>7099</v>
      </c>
      <c r="D199" s="3"/>
      <c r="E199" s="3"/>
      <c r="F199" s="3"/>
      <c r="G199" s="3" t="s">
        <v>12</v>
      </c>
      <c r="H199" s="6" t="str">
        <f t="shared" si="3"/>
        <v>Link</v>
      </c>
    </row>
    <row r="200" spans="1:8" ht="45" x14ac:dyDescent="0.25">
      <c r="A200" s="3" t="s">
        <v>6935</v>
      </c>
      <c r="B200" s="3" t="s">
        <v>12071</v>
      </c>
      <c r="C200" s="3" t="s">
        <v>7137</v>
      </c>
      <c r="D200" s="3"/>
      <c r="E200" s="3"/>
      <c r="F200" s="3"/>
      <c r="G200" s="3" t="s">
        <v>12</v>
      </c>
      <c r="H200" s="6" t="str">
        <f t="shared" si="3"/>
        <v>Link</v>
      </c>
    </row>
    <row r="201" spans="1:8" ht="30" x14ac:dyDescent="0.25">
      <c r="A201" s="3" t="s">
        <v>6935</v>
      </c>
      <c r="B201" s="3" t="s">
        <v>12072</v>
      </c>
      <c r="C201" s="3" t="s">
        <v>7138</v>
      </c>
      <c r="D201" s="3"/>
      <c r="E201" s="3"/>
      <c r="F201" s="3"/>
      <c r="G201" s="3" t="s">
        <v>12</v>
      </c>
      <c r="H201" s="6" t="str">
        <f t="shared" si="3"/>
        <v>Link</v>
      </c>
    </row>
    <row r="202" spans="1:8" ht="45" x14ac:dyDescent="0.25">
      <c r="A202" s="3" t="s">
        <v>6935</v>
      </c>
      <c r="B202" s="3" t="s">
        <v>12073</v>
      </c>
      <c r="C202" s="3" t="s">
        <v>7136</v>
      </c>
      <c r="D202" s="3"/>
      <c r="E202" s="3"/>
      <c r="F202" s="3"/>
      <c r="G202" s="3" t="s">
        <v>12</v>
      </c>
      <c r="H202" s="6" t="str">
        <f t="shared" si="3"/>
        <v>Link</v>
      </c>
    </row>
    <row r="203" spans="1:8" ht="30" x14ac:dyDescent="0.25">
      <c r="A203" s="3" t="s">
        <v>6935</v>
      </c>
      <c r="B203" s="3" t="s">
        <v>12074</v>
      </c>
      <c r="C203" s="3" t="s">
        <v>7139</v>
      </c>
      <c r="D203" s="3"/>
      <c r="E203" s="3"/>
      <c r="F203" s="3"/>
      <c r="G203" s="3" t="s">
        <v>12</v>
      </c>
      <c r="H203" s="6" t="str">
        <f t="shared" si="3"/>
        <v>Link</v>
      </c>
    </row>
    <row r="204" spans="1:8" ht="30" x14ac:dyDescent="0.25">
      <c r="A204" s="3" t="s">
        <v>6935</v>
      </c>
      <c r="B204" s="3" t="s">
        <v>12075</v>
      </c>
      <c r="C204" s="3" t="s">
        <v>7140</v>
      </c>
      <c r="D204" s="3"/>
      <c r="E204" s="3"/>
      <c r="F204" s="3"/>
      <c r="G204" s="3" t="s">
        <v>12</v>
      </c>
      <c r="H204" s="6" t="str">
        <f t="shared" si="3"/>
        <v>Link</v>
      </c>
    </row>
    <row r="205" spans="1:8" ht="45" x14ac:dyDescent="0.25">
      <c r="A205" s="3" t="s">
        <v>6935</v>
      </c>
      <c r="B205" s="3" t="s">
        <v>12076</v>
      </c>
      <c r="C205" s="3" t="s">
        <v>90</v>
      </c>
      <c r="D205" s="3"/>
      <c r="E205" s="3"/>
      <c r="F205" s="3"/>
      <c r="G205" s="3" t="s">
        <v>12</v>
      </c>
      <c r="H205" s="6" t="str">
        <f t="shared" si="3"/>
        <v>Link</v>
      </c>
    </row>
    <row r="206" spans="1:8" ht="45" x14ac:dyDescent="0.25">
      <c r="A206" s="3" t="s">
        <v>6935</v>
      </c>
      <c r="B206" s="3" t="s">
        <v>7141</v>
      </c>
      <c r="C206" s="3" t="s">
        <v>7142</v>
      </c>
      <c r="D206" s="3"/>
      <c r="E206" s="3"/>
      <c r="F206" s="3"/>
      <c r="G206" s="3" t="s">
        <v>12</v>
      </c>
      <c r="H206" s="6" t="str">
        <f t="shared" si="3"/>
        <v>Link</v>
      </c>
    </row>
    <row r="207" spans="1:8" ht="45" x14ac:dyDescent="0.25">
      <c r="A207" s="3" t="s">
        <v>6935</v>
      </c>
      <c r="B207" s="3" t="s">
        <v>12077</v>
      </c>
      <c r="C207" s="3" t="s">
        <v>90</v>
      </c>
      <c r="D207" s="3"/>
      <c r="E207" s="3"/>
      <c r="F207" s="3"/>
      <c r="G207" s="3" t="s">
        <v>12</v>
      </c>
      <c r="H207" s="6" t="str">
        <f t="shared" si="3"/>
        <v>Link</v>
      </c>
    </row>
    <row r="208" spans="1:8" ht="45" x14ac:dyDescent="0.25">
      <c r="A208" s="3" t="s">
        <v>6935</v>
      </c>
      <c r="B208" s="3" t="s">
        <v>12078</v>
      </c>
      <c r="C208" s="3" t="s">
        <v>86</v>
      </c>
      <c r="D208" s="3"/>
      <c r="E208" s="3"/>
      <c r="F208" s="3"/>
      <c r="G208" s="3" t="s">
        <v>12</v>
      </c>
      <c r="H208" s="6" t="str">
        <f t="shared" si="3"/>
        <v>Link</v>
      </c>
    </row>
    <row r="209" spans="1:8" ht="30" x14ac:dyDescent="0.25">
      <c r="A209" s="3" t="s">
        <v>6935</v>
      </c>
      <c r="B209" s="3" t="s">
        <v>12079</v>
      </c>
      <c r="C209" s="3" t="s">
        <v>7143</v>
      </c>
      <c r="D209" s="3"/>
      <c r="E209" s="3"/>
      <c r="F209" s="3"/>
      <c r="G209" s="3" t="s">
        <v>12</v>
      </c>
      <c r="H209" s="6" t="str">
        <f t="shared" si="3"/>
        <v>Link</v>
      </c>
    </row>
    <row r="210" spans="1:8" ht="45" x14ac:dyDescent="0.25">
      <c r="A210" s="3" t="s">
        <v>6935</v>
      </c>
      <c r="B210" s="3" t="s">
        <v>12080</v>
      </c>
      <c r="C210" s="3" t="s">
        <v>90</v>
      </c>
      <c r="D210" s="3"/>
      <c r="E210" s="3"/>
      <c r="F210" s="3"/>
      <c r="G210" s="3" t="s">
        <v>12</v>
      </c>
      <c r="H210" s="6" t="str">
        <f t="shared" si="3"/>
        <v>Link</v>
      </c>
    </row>
    <row r="211" spans="1:8" ht="45" x14ac:dyDescent="0.25">
      <c r="A211" s="3" t="s">
        <v>6935</v>
      </c>
      <c r="B211" s="3" t="s">
        <v>12081</v>
      </c>
      <c r="C211" s="3" t="s">
        <v>86</v>
      </c>
      <c r="D211" s="3"/>
      <c r="E211" s="3"/>
      <c r="F211" s="3"/>
      <c r="G211" s="3" t="s">
        <v>12</v>
      </c>
      <c r="H211" s="6" t="str">
        <f t="shared" si="3"/>
        <v>Link</v>
      </c>
    </row>
    <row r="212" spans="1:8" ht="30" x14ac:dyDescent="0.25">
      <c r="A212" s="3" t="s">
        <v>6935</v>
      </c>
      <c r="B212" s="3" t="s">
        <v>12082</v>
      </c>
      <c r="C212" s="3" t="s">
        <v>7143</v>
      </c>
      <c r="D212" s="3"/>
      <c r="E212" s="3"/>
      <c r="F212" s="3"/>
      <c r="G212" s="3" t="s">
        <v>12</v>
      </c>
      <c r="H212" s="6" t="str">
        <f t="shared" si="3"/>
        <v>Link</v>
      </c>
    </row>
    <row r="213" spans="1:8" ht="30" x14ac:dyDescent="0.25">
      <c r="A213" s="3" t="s">
        <v>6935</v>
      </c>
      <c r="B213" s="3" t="s">
        <v>12083</v>
      </c>
      <c r="C213" s="3" t="s">
        <v>7144</v>
      </c>
      <c r="D213" s="3"/>
      <c r="E213" s="3"/>
      <c r="F213" s="3"/>
      <c r="G213" s="3" t="s">
        <v>12</v>
      </c>
      <c r="H213" s="6" t="str">
        <f t="shared" si="3"/>
        <v>Link</v>
      </c>
    </row>
    <row r="214" spans="1:8" ht="45" x14ac:dyDescent="0.25">
      <c r="A214" s="3" t="s">
        <v>6935</v>
      </c>
      <c r="B214" s="3" t="s">
        <v>12084</v>
      </c>
      <c r="C214" s="3" t="s">
        <v>7145</v>
      </c>
      <c r="D214" s="3"/>
      <c r="E214" s="3"/>
      <c r="F214" s="3"/>
      <c r="G214" s="3" t="s">
        <v>12</v>
      </c>
      <c r="H214" s="6" t="str">
        <f t="shared" si="3"/>
        <v>Link</v>
      </c>
    </row>
    <row r="215" spans="1:8" ht="30" x14ac:dyDescent="0.25">
      <c r="A215" s="3" t="s">
        <v>6935</v>
      </c>
      <c r="B215" s="3" t="s">
        <v>12085</v>
      </c>
      <c r="C215" s="3" t="s">
        <v>6984</v>
      </c>
      <c r="D215" s="3"/>
      <c r="E215" s="3"/>
      <c r="F215" s="3"/>
      <c r="G215" s="3" t="s">
        <v>12</v>
      </c>
      <c r="H215" s="6" t="str">
        <f t="shared" si="3"/>
        <v>Link</v>
      </c>
    </row>
    <row r="216" spans="1:8" ht="30" x14ac:dyDescent="0.25">
      <c r="A216" s="3" t="s">
        <v>6935</v>
      </c>
      <c r="B216" s="3" t="s">
        <v>7146</v>
      </c>
      <c r="C216" s="3" t="s">
        <v>7147</v>
      </c>
      <c r="D216" s="3"/>
      <c r="E216" s="3"/>
      <c r="F216" s="3"/>
      <c r="G216" s="3" t="s">
        <v>12</v>
      </c>
      <c r="H216" s="6" t="str">
        <f t="shared" si="3"/>
        <v>Link</v>
      </c>
    </row>
    <row r="217" spans="1:8" ht="45" x14ac:dyDescent="0.25">
      <c r="A217" s="3" t="s">
        <v>6935</v>
      </c>
      <c r="B217" s="3" t="s">
        <v>12086</v>
      </c>
      <c r="C217" s="3" t="s">
        <v>7148</v>
      </c>
      <c r="D217" s="3"/>
      <c r="E217" s="3"/>
      <c r="F217" s="3"/>
      <c r="G217" s="3" t="s">
        <v>12</v>
      </c>
      <c r="H217" s="6" t="str">
        <f t="shared" si="3"/>
        <v>Link</v>
      </c>
    </row>
    <row r="218" spans="1:8" ht="45" x14ac:dyDescent="0.25">
      <c r="A218" s="3" t="s">
        <v>6935</v>
      </c>
      <c r="B218" s="3" t="s">
        <v>7149</v>
      </c>
      <c r="C218" s="3" t="s">
        <v>7150</v>
      </c>
      <c r="D218" s="3"/>
      <c r="E218" s="3"/>
      <c r="F218" s="3"/>
      <c r="G218" s="3" t="s">
        <v>12</v>
      </c>
      <c r="H218" s="6" t="str">
        <f t="shared" si="3"/>
        <v>Link</v>
      </c>
    </row>
    <row r="219" spans="1:8" ht="45" x14ac:dyDescent="0.25">
      <c r="A219" s="3" t="s">
        <v>6935</v>
      </c>
      <c r="B219" s="3" t="s">
        <v>7151</v>
      </c>
      <c r="C219" s="3" t="s">
        <v>7152</v>
      </c>
      <c r="D219" s="3"/>
      <c r="E219" s="3"/>
      <c r="F219" s="3"/>
      <c r="G219" s="3" t="s">
        <v>12</v>
      </c>
      <c r="H219" s="6" t="str">
        <f t="shared" si="3"/>
        <v>Link</v>
      </c>
    </row>
    <row r="220" spans="1:8" ht="30" x14ac:dyDescent="0.25">
      <c r="A220" s="3" t="s">
        <v>6935</v>
      </c>
      <c r="B220" s="3" t="s">
        <v>12087</v>
      </c>
      <c r="C220" s="3" t="s">
        <v>12088</v>
      </c>
      <c r="D220" s="3"/>
      <c r="E220" s="3"/>
      <c r="F220" s="3"/>
      <c r="G220" s="3" t="s">
        <v>12</v>
      </c>
      <c r="H220" s="6" t="str">
        <f t="shared" si="3"/>
        <v>Link</v>
      </c>
    </row>
    <row r="221" spans="1:8" ht="45" x14ac:dyDescent="0.25">
      <c r="A221" s="3" t="s">
        <v>6935</v>
      </c>
      <c r="B221" s="3" t="s">
        <v>12089</v>
      </c>
      <c r="C221" s="3" t="s">
        <v>7153</v>
      </c>
      <c r="D221" s="3"/>
      <c r="E221" s="3"/>
      <c r="F221" s="3"/>
      <c r="G221" s="3" t="s">
        <v>12</v>
      </c>
      <c r="H221" s="6" t="str">
        <f t="shared" si="3"/>
        <v>Link</v>
      </c>
    </row>
    <row r="222" spans="1:8" ht="45" x14ac:dyDescent="0.25">
      <c r="A222" s="3" t="s">
        <v>6935</v>
      </c>
      <c r="B222" s="3" t="s">
        <v>7154</v>
      </c>
      <c r="C222" s="3" t="s">
        <v>12090</v>
      </c>
      <c r="D222" s="3"/>
      <c r="E222" s="3"/>
      <c r="F222" s="3"/>
      <c r="G222" s="3" t="s">
        <v>12</v>
      </c>
      <c r="H222" s="6" t="str">
        <f t="shared" si="3"/>
        <v>Link</v>
      </c>
    </row>
    <row r="223" spans="1:8" ht="30" x14ac:dyDescent="0.25">
      <c r="A223" s="3" t="s">
        <v>6935</v>
      </c>
      <c r="B223" s="3" t="s">
        <v>7155</v>
      </c>
      <c r="C223" s="3" t="s">
        <v>7156</v>
      </c>
      <c r="D223" s="3"/>
      <c r="E223" s="3"/>
      <c r="F223" s="3"/>
      <c r="G223" s="3" t="s">
        <v>12</v>
      </c>
      <c r="H223" s="6" t="str">
        <f t="shared" si="3"/>
        <v>Link</v>
      </c>
    </row>
    <row r="224" spans="1:8" ht="60" x14ac:dyDescent="0.25">
      <c r="A224" s="3" t="s">
        <v>6935</v>
      </c>
      <c r="B224" s="3" t="s">
        <v>7157</v>
      </c>
      <c r="C224" s="3" t="s">
        <v>7039</v>
      </c>
      <c r="D224" s="3"/>
      <c r="E224" s="3"/>
      <c r="F224" s="3"/>
      <c r="G224" s="3" t="s">
        <v>12</v>
      </c>
      <c r="H224" s="6" t="str">
        <f t="shared" si="3"/>
        <v>Link</v>
      </c>
    </row>
    <row r="225" spans="1:8" ht="45" x14ac:dyDescent="0.25">
      <c r="A225" s="3" t="s">
        <v>6935</v>
      </c>
      <c r="B225" s="3" t="s">
        <v>7158</v>
      </c>
      <c r="C225" s="3" t="s">
        <v>7159</v>
      </c>
      <c r="D225" s="3"/>
      <c r="E225" s="3"/>
      <c r="F225" s="3"/>
      <c r="G225" s="3" t="s">
        <v>12</v>
      </c>
      <c r="H225" s="6" t="str">
        <f t="shared" si="3"/>
        <v>Link</v>
      </c>
    </row>
    <row r="226" spans="1:8" ht="90" x14ac:dyDescent="0.25">
      <c r="A226" s="3" t="s">
        <v>6935</v>
      </c>
      <c r="B226" s="3" t="s">
        <v>7160</v>
      </c>
      <c r="C226" s="3" t="s">
        <v>7041</v>
      </c>
      <c r="D226" s="3"/>
      <c r="E226" s="3"/>
      <c r="F226" s="3"/>
      <c r="G226" s="3" t="s">
        <v>12</v>
      </c>
      <c r="H226" s="6" t="str">
        <f t="shared" si="3"/>
        <v>Link</v>
      </c>
    </row>
    <row r="227" spans="1:8" ht="120" x14ac:dyDescent="0.25">
      <c r="A227" s="3" t="s">
        <v>6935</v>
      </c>
      <c r="B227" s="3" t="s">
        <v>12091</v>
      </c>
      <c r="C227" s="3" t="s">
        <v>7044</v>
      </c>
      <c r="D227" s="3"/>
      <c r="E227" s="3"/>
      <c r="F227" s="3"/>
      <c r="G227" s="3" t="s">
        <v>12</v>
      </c>
      <c r="H227" s="6" t="str">
        <f t="shared" si="3"/>
        <v>Link</v>
      </c>
    </row>
    <row r="228" spans="1:8" ht="45" x14ac:dyDescent="0.25">
      <c r="A228" s="3" t="s">
        <v>6935</v>
      </c>
      <c r="B228" s="3" t="s">
        <v>7161</v>
      </c>
      <c r="C228" s="3" t="s">
        <v>7043</v>
      </c>
      <c r="D228" s="3"/>
      <c r="E228" s="3"/>
      <c r="F228" s="3"/>
      <c r="G228" s="3" t="s">
        <v>12</v>
      </c>
      <c r="H228" s="6" t="str">
        <f t="shared" si="3"/>
        <v>Link</v>
      </c>
    </row>
    <row r="229" spans="1:8" ht="30" x14ac:dyDescent="0.25">
      <c r="A229" s="3" t="s">
        <v>6935</v>
      </c>
      <c r="B229" s="3" t="s">
        <v>7162</v>
      </c>
      <c r="C229" s="3" t="s">
        <v>12088</v>
      </c>
      <c r="D229" s="3"/>
      <c r="E229" s="3"/>
      <c r="F229" s="3"/>
      <c r="G229" s="3" t="s">
        <v>12</v>
      </c>
      <c r="H229" s="6" t="str">
        <f t="shared" si="3"/>
        <v>Link</v>
      </c>
    </row>
    <row r="230" spans="1:8" ht="30" x14ac:dyDescent="0.25">
      <c r="A230" s="3" t="s">
        <v>6935</v>
      </c>
      <c r="B230" s="3" t="s">
        <v>7163</v>
      </c>
      <c r="C230" s="3" t="s">
        <v>7164</v>
      </c>
      <c r="D230" s="3"/>
      <c r="E230" s="3"/>
      <c r="F230" s="3"/>
      <c r="G230" s="3" t="s">
        <v>12</v>
      </c>
      <c r="H230" s="6" t="str">
        <f t="shared" si="3"/>
        <v>Link</v>
      </c>
    </row>
    <row r="231" spans="1:8" ht="30" x14ac:dyDescent="0.25">
      <c r="A231" s="3" t="s">
        <v>6935</v>
      </c>
      <c r="B231" s="3" t="s">
        <v>7165</v>
      </c>
      <c r="C231" s="3" t="s">
        <v>7166</v>
      </c>
      <c r="D231" s="3"/>
      <c r="E231" s="3"/>
      <c r="F231" s="3"/>
      <c r="G231" s="3" t="s">
        <v>12</v>
      </c>
      <c r="H231" s="6" t="str">
        <f t="shared" si="3"/>
        <v>Link</v>
      </c>
    </row>
    <row r="232" spans="1:8" ht="45" x14ac:dyDescent="0.25">
      <c r="A232" s="3" t="s">
        <v>6935</v>
      </c>
      <c r="B232" s="3" t="s">
        <v>7167</v>
      </c>
      <c r="C232" s="3" t="s">
        <v>7168</v>
      </c>
      <c r="D232" s="3"/>
      <c r="E232" s="3"/>
      <c r="F232" s="3"/>
      <c r="G232" s="3" t="s">
        <v>12</v>
      </c>
      <c r="H232" s="6" t="str">
        <f t="shared" si="3"/>
        <v>Link</v>
      </c>
    </row>
    <row r="233" spans="1:8" ht="45" x14ac:dyDescent="0.25">
      <c r="A233" s="3" t="s">
        <v>6935</v>
      </c>
      <c r="B233" s="3" t="s">
        <v>7169</v>
      </c>
      <c r="C233" s="3" t="s">
        <v>7152</v>
      </c>
      <c r="D233" s="3"/>
      <c r="E233" s="3"/>
      <c r="F233" s="3"/>
      <c r="G233" s="3" t="s">
        <v>12</v>
      </c>
      <c r="H233" s="6" t="str">
        <f t="shared" si="3"/>
        <v>Link</v>
      </c>
    </row>
    <row r="234" spans="1:8" ht="30" x14ac:dyDescent="0.25">
      <c r="A234" s="3" t="s">
        <v>6935</v>
      </c>
      <c r="B234" s="3" t="s">
        <v>12092</v>
      </c>
      <c r="C234" s="3" t="s">
        <v>12088</v>
      </c>
      <c r="D234" s="3"/>
      <c r="E234" s="3"/>
      <c r="F234" s="3"/>
      <c r="G234" s="3" t="s">
        <v>12</v>
      </c>
      <c r="H234" s="6" t="str">
        <f t="shared" si="3"/>
        <v>Link</v>
      </c>
    </row>
    <row r="235" spans="1:8" ht="75" x14ac:dyDescent="0.25">
      <c r="A235" s="3" t="s">
        <v>6935</v>
      </c>
      <c r="B235" s="3" t="s">
        <v>7170</v>
      </c>
      <c r="C235" s="3" t="s">
        <v>7171</v>
      </c>
      <c r="D235" s="3"/>
      <c r="E235" s="3"/>
      <c r="F235" s="3"/>
      <c r="G235" s="3" t="s">
        <v>12</v>
      </c>
      <c r="H235" s="6" t="str">
        <f t="shared" si="3"/>
        <v>Link</v>
      </c>
    </row>
    <row r="236" spans="1:8" ht="30" x14ac:dyDescent="0.25">
      <c r="A236" s="3" t="s">
        <v>6935</v>
      </c>
      <c r="B236" s="3" t="s">
        <v>12093</v>
      </c>
      <c r="C236" s="3" t="s">
        <v>12088</v>
      </c>
      <c r="D236" s="3"/>
      <c r="E236" s="3"/>
      <c r="F236" s="3"/>
      <c r="G236" s="3" t="s">
        <v>12</v>
      </c>
      <c r="H236" s="6" t="str">
        <f t="shared" si="3"/>
        <v>Link</v>
      </c>
    </row>
    <row r="237" spans="1:8" ht="45" x14ac:dyDescent="0.25">
      <c r="A237" s="3" t="s">
        <v>6935</v>
      </c>
      <c r="B237" s="3" t="s">
        <v>7172</v>
      </c>
      <c r="C237" s="3" t="s">
        <v>7152</v>
      </c>
      <c r="D237" s="3"/>
      <c r="E237" s="3"/>
      <c r="F237" s="3"/>
      <c r="G237" s="3" t="s">
        <v>12</v>
      </c>
      <c r="H237" s="6" t="str">
        <f t="shared" si="3"/>
        <v>Link</v>
      </c>
    </row>
    <row r="238" spans="1:8" ht="30" x14ac:dyDescent="0.25">
      <c r="A238" s="3" t="s">
        <v>6935</v>
      </c>
      <c r="B238" s="3" t="s">
        <v>12094</v>
      </c>
      <c r="C238" s="3" t="s">
        <v>12088</v>
      </c>
      <c r="D238" s="3"/>
      <c r="E238" s="3"/>
      <c r="F238" s="3"/>
      <c r="G238" s="3" t="s">
        <v>12</v>
      </c>
      <c r="H238" s="6" t="str">
        <f t="shared" si="3"/>
        <v>Link</v>
      </c>
    </row>
    <row r="239" spans="1:8" ht="45" x14ac:dyDescent="0.25">
      <c r="A239" s="3" t="s">
        <v>6935</v>
      </c>
      <c r="B239" s="3" t="s">
        <v>7173</v>
      </c>
      <c r="C239" s="3" t="s">
        <v>7002</v>
      </c>
      <c r="D239" s="3"/>
      <c r="E239" s="3"/>
      <c r="F239" s="3"/>
      <c r="G239" s="3" t="s">
        <v>12</v>
      </c>
      <c r="H239" s="6" t="str">
        <f t="shared" si="3"/>
        <v>Link</v>
      </c>
    </row>
    <row r="240" spans="1:8" ht="60" x14ac:dyDescent="0.25">
      <c r="A240" s="3" t="s">
        <v>6935</v>
      </c>
      <c r="B240" s="3" t="s">
        <v>7174</v>
      </c>
      <c r="C240" s="3" t="s">
        <v>7004</v>
      </c>
      <c r="D240" s="3"/>
      <c r="E240" s="3"/>
      <c r="F240" s="3"/>
      <c r="G240" s="3" t="s">
        <v>12</v>
      </c>
      <c r="H240" s="6" t="str">
        <f t="shared" si="3"/>
        <v>Link</v>
      </c>
    </row>
    <row r="241" spans="1:8" ht="30" x14ac:dyDescent="0.25">
      <c r="A241" s="3" t="s">
        <v>6935</v>
      </c>
      <c r="B241" s="3" t="s">
        <v>12095</v>
      </c>
      <c r="C241" s="3" t="s">
        <v>7108</v>
      </c>
      <c r="D241" s="3"/>
      <c r="E241" s="3"/>
      <c r="F241" s="3"/>
      <c r="G241" s="3" t="s">
        <v>12</v>
      </c>
      <c r="H241" s="6" t="str">
        <f t="shared" si="3"/>
        <v>Link</v>
      </c>
    </row>
    <row r="242" spans="1:8" ht="30" x14ac:dyDescent="0.25">
      <c r="A242" s="3" t="s">
        <v>6935</v>
      </c>
      <c r="B242" s="3" t="s">
        <v>12096</v>
      </c>
      <c r="C242" s="3" t="s">
        <v>7109</v>
      </c>
      <c r="D242" s="3"/>
      <c r="E242" s="3"/>
      <c r="F242" s="3"/>
      <c r="G242" s="3" t="s">
        <v>12</v>
      </c>
      <c r="H242" s="6" t="str">
        <f t="shared" si="3"/>
        <v>Link</v>
      </c>
    </row>
    <row r="243" spans="1:8" ht="60" x14ac:dyDescent="0.25">
      <c r="A243" s="3" t="s">
        <v>6935</v>
      </c>
      <c r="B243" s="3" t="s">
        <v>7175</v>
      </c>
      <c r="C243" s="3" t="s">
        <v>7176</v>
      </c>
      <c r="D243" s="3"/>
      <c r="E243" s="3"/>
      <c r="F243" s="3"/>
      <c r="G243" s="3" t="s">
        <v>12</v>
      </c>
      <c r="H243" s="6" t="str">
        <f t="shared" si="3"/>
        <v>Link</v>
      </c>
    </row>
    <row r="244" spans="1:8" ht="30" x14ac:dyDescent="0.25">
      <c r="A244" s="3" t="s">
        <v>12097</v>
      </c>
      <c r="B244" s="3" t="s">
        <v>7177</v>
      </c>
      <c r="C244" s="3" t="s">
        <v>7178</v>
      </c>
      <c r="D244" s="3">
        <v>1452</v>
      </c>
      <c r="E244" s="3" t="s">
        <v>7179</v>
      </c>
      <c r="F244" s="3">
        <v>5</v>
      </c>
      <c r="G244" s="3" t="s">
        <v>12098</v>
      </c>
      <c r="H244" s="3"/>
    </row>
    <row r="245" spans="1:8" ht="30" x14ac:dyDescent="0.25">
      <c r="A245" s="3" t="s">
        <v>12097</v>
      </c>
      <c r="B245" s="3" t="s">
        <v>7180</v>
      </c>
      <c r="C245" s="3" t="s">
        <v>7181</v>
      </c>
      <c r="D245" s="3">
        <v>10</v>
      </c>
      <c r="E245" s="3" t="s">
        <v>7182</v>
      </c>
      <c r="F245" s="3">
        <v>60</v>
      </c>
      <c r="G245" s="3" t="s">
        <v>12099</v>
      </c>
      <c r="H245" s="3"/>
    </row>
    <row r="246" spans="1:8" ht="150" x14ac:dyDescent="0.25">
      <c r="A246" s="3" t="s">
        <v>12097</v>
      </c>
      <c r="B246" s="3" t="s">
        <v>7183</v>
      </c>
      <c r="C246" s="3" t="s">
        <v>7184</v>
      </c>
      <c r="D246" s="3">
        <v>11</v>
      </c>
      <c r="E246" s="3" t="s">
        <v>7179</v>
      </c>
      <c r="F246" s="3">
        <v>5</v>
      </c>
      <c r="G246" s="3" t="s">
        <v>7185</v>
      </c>
      <c r="H246" s="3"/>
    </row>
    <row r="247" spans="1:8" ht="30" x14ac:dyDescent="0.25">
      <c r="A247" s="3" t="s">
        <v>12097</v>
      </c>
      <c r="B247" s="3" t="s">
        <v>7186</v>
      </c>
      <c r="C247" s="3" t="s">
        <v>7187</v>
      </c>
      <c r="D247" s="3">
        <v>12</v>
      </c>
      <c r="E247" s="3" t="s">
        <v>7182</v>
      </c>
      <c r="F247" s="3">
        <v>60</v>
      </c>
      <c r="G247" s="3" t="s">
        <v>12099</v>
      </c>
      <c r="H247" s="3"/>
    </row>
    <row r="248" spans="1:8" ht="165" x14ac:dyDescent="0.25">
      <c r="A248" s="3" t="s">
        <v>12097</v>
      </c>
      <c r="B248" s="3" t="s">
        <v>7188</v>
      </c>
      <c r="C248" s="3" t="s">
        <v>7189</v>
      </c>
      <c r="D248" s="3">
        <v>842</v>
      </c>
      <c r="E248" s="3" t="s">
        <v>7179</v>
      </c>
      <c r="F248" s="3">
        <v>5</v>
      </c>
      <c r="G248" s="3" t="s">
        <v>7190</v>
      </c>
      <c r="H248" s="3"/>
    </row>
    <row r="249" spans="1:8" ht="150" x14ac:dyDescent="0.25">
      <c r="A249" s="3" t="s">
        <v>12097</v>
      </c>
      <c r="B249" s="3" t="s">
        <v>7191</v>
      </c>
      <c r="C249" s="3" t="s">
        <v>7192</v>
      </c>
      <c r="D249" s="3">
        <v>14</v>
      </c>
      <c r="E249" s="3" t="s">
        <v>7179</v>
      </c>
      <c r="F249" s="3">
        <v>5</v>
      </c>
      <c r="G249" s="3" t="s">
        <v>7193</v>
      </c>
      <c r="H249" s="3"/>
    </row>
    <row r="250" spans="1:8" ht="195" x14ac:dyDescent="0.25">
      <c r="A250" s="3" t="s">
        <v>12097</v>
      </c>
      <c r="B250" s="3" t="s">
        <v>7194</v>
      </c>
      <c r="C250" s="3" t="s">
        <v>7195</v>
      </c>
      <c r="D250" s="3">
        <v>15</v>
      </c>
      <c r="E250" s="3" t="s">
        <v>7179</v>
      </c>
      <c r="F250" s="3">
        <v>5</v>
      </c>
      <c r="G250" s="3" t="s">
        <v>7196</v>
      </c>
      <c r="H250" s="3"/>
    </row>
    <row r="251" spans="1:8" ht="150" x14ac:dyDescent="0.25">
      <c r="A251" s="3" t="s">
        <v>12097</v>
      </c>
      <c r="B251" s="3" t="s">
        <v>7197</v>
      </c>
      <c r="C251" s="3" t="s">
        <v>7198</v>
      </c>
      <c r="D251" s="3">
        <v>1121</v>
      </c>
      <c r="E251" s="3" t="s">
        <v>7179</v>
      </c>
      <c r="F251" s="3">
        <v>5</v>
      </c>
      <c r="G251" s="3" t="s">
        <v>12098</v>
      </c>
      <c r="H251" s="3"/>
    </row>
    <row r="252" spans="1:8" ht="60" x14ac:dyDescent="0.25">
      <c r="A252" s="3" t="s">
        <v>12097</v>
      </c>
      <c r="B252" s="3" t="s">
        <v>7201</v>
      </c>
      <c r="C252" s="3" t="s">
        <v>7202</v>
      </c>
      <c r="D252" s="3">
        <v>24</v>
      </c>
      <c r="E252" s="3" t="s">
        <v>7179</v>
      </c>
      <c r="F252" s="3">
        <v>5</v>
      </c>
      <c r="G252" s="3" t="s">
        <v>7203</v>
      </c>
      <c r="H252" s="3"/>
    </row>
    <row r="253" spans="1:8" ht="45" x14ac:dyDescent="0.25">
      <c r="A253" s="3" t="s">
        <v>12097</v>
      </c>
      <c r="B253" s="3" t="s">
        <v>113</v>
      </c>
      <c r="C253" s="3" t="s">
        <v>7204</v>
      </c>
      <c r="D253" s="3">
        <v>20</v>
      </c>
      <c r="E253" s="3" t="s">
        <v>7182</v>
      </c>
      <c r="F253" s="3">
        <v>80</v>
      </c>
      <c r="G253" s="3" t="s">
        <v>12099</v>
      </c>
      <c r="H253" s="3"/>
    </row>
    <row r="254" spans="1:8" ht="150" x14ac:dyDescent="0.25">
      <c r="A254" s="3" t="s">
        <v>12097</v>
      </c>
      <c r="B254" s="3" t="s">
        <v>7205</v>
      </c>
      <c r="C254" s="3" t="s">
        <v>7206</v>
      </c>
      <c r="D254" s="3">
        <v>1311</v>
      </c>
      <c r="E254" s="3" t="s">
        <v>7179</v>
      </c>
      <c r="F254" s="3">
        <v>5</v>
      </c>
      <c r="G254" s="3" t="s">
        <v>7207</v>
      </c>
      <c r="H254" s="3"/>
    </row>
    <row r="255" spans="1:8" ht="165" x14ac:dyDescent="0.25">
      <c r="A255" s="3" t="s">
        <v>12097</v>
      </c>
      <c r="B255" s="3" t="s">
        <v>7208</v>
      </c>
      <c r="C255" s="3" t="s">
        <v>7209</v>
      </c>
      <c r="D255" s="3">
        <v>21</v>
      </c>
      <c r="E255" s="3" t="s">
        <v>7182</v>
      </c>
      <c r="F255" s="3">
        <v>35</v>
      </c>
      <c r="G255" s="3" t="s">
        <v>7210</v>
      </c>
      <c r="H255" s="3"/>
    </row>
    <row r="256" spans="1:8" ht="75" x14ac:dyDescent="0.25">
      <c r="A256" s="3" t="s">
        <v>12097</v>
      </c>
      <c r="B256" s="3" t="s">
        <v>7211</v>
      </c>
      <c r="C256" s="3" t="s">
        <v>7212</v>
      </c>
      <c r="D256" s="3">
        <v>22</v>
      </c>
      <c r="E256" s="3" t="s">
        <v>7179</v>
      </c>
      <c r="F256" s="3">
        <v>5</v>
      </c>
      <c r="G256" s="3" t="s">
        <v>7213</v>
      </c>
      <c r="H256" s="3"/>
    </row>
    <row r="257" spans="1:8" ht="409.5" x14ac:dyDescent="0.25">
      <c r="A257" s="3" t="s">
        <v>12097</v>
      </c>
      <c r="B257" s="3" t="s">
        <v>7214</v>
      </c>
      <c r="C257" s="3" t="s">
        <v>7215</v>
      </c>
      <c r="D257" s="3">
        <v>679</v>
      </c>
      <c r="E257" s="3" t="s">
        <v>7179</v>
      </c>
      <c r="F257" s="3">
        <v>5</v>
      </c>
      <c r="G257" s="3" t="s">
        <v>7216</v>
      </c>
      <c r="H257" s="3"/>
    </row>
    <row r="258" spans="1:8" ht="60" x14ac:dyDescent="0.25">
      <c r="A258" s="3" t="s">
        <v>12097</v>
      </c>
      <c r="B258" s="3" t="s">
        <v>7217</v>
      </c>
      <c r="C258" s="3" t="s">
        <v>7218</v>
      </c>
      <c r="D258" s="3">
        <v>517</v>
      </c>
      <c r="E258" s="3" t="s">
        <v>7200</v>
      </c>
      <c r="F258" s="3">
        <v>8</v>
      </c>
      <c r="G258" s="3" t="s">
        <v>12099</v>
      </c>
      <c r="H258" s="3"/>
    </row>
    <row r="259" spans="1:8" ht="105" x14ac:dyDescent="0.25">
      <c r="A259" s="3" t="s">
        <v>12097</v>
      </c>
      <c r="B259" s="3" t="s">
        <v>7221</v>
      </c>
      <c r="C259" s="3" t="s">
        <v>7222</v>
      </c>
      <c r="D259" s="3">
        <v>498</v>
      </c>
      <c r="E259" s="3" t="s">
        <v>7179</v>
      </c>
      <c r="F259" s="3">
        <v>5</v>
      </c>
      <c r="G259" s="3" t="s">
        <v>7223</v>
      </c>
      <c r="H259" s="3"/>
    </row>
    <row r="260" spans="1:8" ht="45" x14ac:dyDescent="0.25">
      <c r="A260" s="3" t="s">
        <v>12097</v>
      </c>
      <c r="B260" s="3" t="s">
        <v>7224</v>
      </c>
      <c r="C260" s="3" t="s">
        <v>7225</v>
      </c>
      <c r="D260" s="3">
        <v>202</v>
      </c>
      <c r="E260" s="3" t="s">
        <v>7182</v>
      </c>
      <c r="F260" s="3">
        <v>60</v>
      </c>
      <c r="G260" s="3" t="s">
        <v>12099</v>
      </c>
      <c r="H260" s="3"/>
    </row>
    <row r="261" spans="1:8" ht="60" x14ac:dyDescent="0.25">
      <c r="A261" s="3" t="s">
        <v>12097</v>
      </c>
      <c r="B261" s="3" t="s">
        <v>7226</v>
      </c>
      <c r="C261" s="3" t="s">
        <v>7227</v>
      </c>
      <c r="D261" s="3">
        <v>344</v>
      </c>
      <c r="E261" s="3" t="s">
        <v>7182</v>
      </c>
      <c r="F261" s="3">
        <v>60</v>
      </c>
      <c r="G261" s="3" t="s">
        <v>12099</v>
      </c>
      <c r="H261" s="3"/>
    </row>
    <row r="262" spans="1:8" ht="90" x14ac:dyDescent="0.25">
      <c r="A262" s="3" t="s">
        <v>12097</v>
      </c>
      <c r="B262" s="3" t="s">
        <v>7228</v>
      </c>
      <c r="C262" s="3" t="s">
        <v>7229</v>
      </c>
      <c r="D262" s="3">
        <v>715</v>
      </c>
      <c r="E262" s="3" t="s">
        <v>7182</v>
      </c>
      <c r="F262" s="3">
        <v>60</v>
      </c>
      <c r="G262" s="3" t="s">
        <v>12099</v>
      </c>
      <c r="H262" s="3"/>
    </row>
    <row r="263" spans="1:8" ht="105" x14ac:dyDescent="0.25">
      <c r="A263" s="3" t="s">
        <v>12097</v>
      </c>
      <c r="B263" s="3" t="s">
        <v>7230</v>
      </c>
      <c r="C263" s="3" t="s">
        <v>7231</v>
      </c>
      <c r="D263" s="3">
        <v>351</v>
      </c>
      <c r="E263" s="3" t="s">
        <v>7182</v>
      </c>
      <c r="F263" s="3">
        <v>60</v>
      </c>
      <c r="G263" s="3" t="s">
        <v>12099</v>
      </c>
      <c r="H263" s="3"/>
    </row>
    <row r="264" spans="1:8" ht="45" x14ac:dyDescent="0.25">
      <c r="A264" s="3" t="s">
        <v>12097</v>
      </c>
      <c r="B264" s="3" t="s">
        <v>7232</v>
      </c>
      <c r="C264" s="3" t="s">
        <v>7233</v>
      </c>
      <c r="D264" s="3">
        <v>26</v>
      </c>
      <c r="E264" s="3" t="s">
        <v>7200</v>
      </c>
      <c r="F264" s="3">
        <v>8</v>
      </c>
      <c r="G264" s="3" t="s">
        <v>12099</v>
      </c>
      <c r="H264" s="3"/>
    </row>
    <row r="265" spans="1:8" ht="45" x14ac:dyDescent="0.25">
      <c r="A265" s="3" t="s">
        <v>12097</v>
      </c>
      <c r="B265" s="3" t="s">
        <v>7234</v>
      </c>
      <c r="C265" s="3" t="s">
        <v>7235</v>
      </c>
      <c r="D265" s="3">
        <v>27</v>
      </c>
      <c r="E265" s="3" t="s">
        <v>7200</v>
      </c>
      <c r="F265" s="3">
        <v>8</v>
      </c>
      <c r="G265" s="3" t="s">
        <v>12099</v>
      </c>
      <c r="H265" s="3"/>
    </row>
    <row r="266" spans="1:8" ht="60" x14ac:dyDescent="0.25">
      <c r="A266" s="3" t="s">
        <v>12097</v>
      </c>
      <c r="B266" s="3" t="s">
        <v>7236</v>
      </c>
      <c r="C266" s="3" t="s">
        <v>7237</v>
      </c>
      <c r="D266" s="3">
        <v>524</v>
      </c>
      <c r="E266" s="3" t="s">
        <v>7238</v>
      </c>
      <c r="F266" s="3">
        <v>6.2</v>
      </c>
      <c r="G266" s="3" t="s">
        <v>12099</v>
      </c>
      <c r="H266" s="3"/>
    </row>
    <row r="267" spans="1:8" ht="45" x14ac:dyDescent="0.25">
      <c r="A267" s="3" t="s">
        <v>12097</v>
      </c>
      <c r="B267" s="3" t="s">
        <v>7240</v>
      </c>
      <c r="C267" s="3" t="s">
        <v>7241</v>
      </c>
      <c r="D267" s="3">
        <v>616</v>
      </c>
      <c r="E267" s="3" t="s">
        <v>7200</v>
      </c>
      <c r="F267" s="3">
        <v>8</v>
      </c>
      <c r="G267" s="3" t="s">
        <v>12099</v>
      </c>
      <c r="H267" s="3"/>
    </row>
    <row r="268" spans="1:8" ht="195" x14ac:dyDescent="0.25">
      <c r="A268" s="3" t="s">
        <v>12097</v>
      </c>
      <c r="B268" s="3" t="s">
        <v>7242</v>
      </c>
      <c r="C268" s="3" t="s">
        <v>7243</v>
      </c>
      <c r="D268" s="3">
        <v>617</v>
      </c>
      <c r="E268" s="3" t="s">
        <v>7179</v>
      </c>
      <c r="F268" s="3">
        <v>5</v>
      </c>
      <c r="G268" s="3" t="s">
        <v>7244</v>
      </c>
      <c r="H268" s="3"/>
    </row>
    <row r="269" spans="1:8" ht="30" x14ac:dyDescent="0.25">
      <c r="A269" s="3" t="s">
        <v>12097</v>
      </c>
      <c r="B269" s="3" t="s">
        <v>7245</v>
      </c>
      <c r="C269" s="3" t="s">
        <v>7246</v>
      </c>
      <c r="D269" s="3">
        <v>525</v>
      </c>
      <c r="E269" s="3" t="s">
        <v>7238</v>
      </c>
      <c r="F269" s="3">
        <v>6.2</v>
      </c>
      <c r="G269" s="3" t="s">
        <v>12099</v>
      </c>
      <c r="H269" s="3"/>
    </row>
    <row r="270" spans="1:8" ht="360" x14ac:dyDescent="0.25">
      <c r="A270" s="3" t="s">
        <v>12097</v>
      </c>
      <c r="B270" s="3" t="s">
        <v>7247</v>
      </c>
      <c r="C270" s="3" t="s">
        <v>7248</v>
      </c>
      <c r="D270" s="3">
        <v>30</v>
      </c>
      <c r="E270" s="3" t="s">
        <v>7179</v>
      </c>
      <c r="F270" s="3">
        <v>5</v>
      </c>
      <c r="G270" s="3" t="s">
        <v>7249</v>
      </c>
      <c r="H270" s="3"/>
    </row>
    <row r="271" spans="1:8" ht="45" x14ac:dyDescent="0.25">
      <c r="A271" s="3" t="s">
        <v>12097</v>
      </c>
      <c r="B271" s="3" t="s">
        <v>7250</v>
      </c>
      <c r="C271" s="3" t="s">
        <v>7251</v>
      </c>
      <c r="D271" s="3">
        <v>1598</v>
      </c>
      <c r="E271" s="3" t="s">
        <v>7182</v>
      </c>
      <c r="F271" s="3">
        <v>60</v>
      </c>
      <c r="G271" s="3" t="s">
        <v>12099</v>
      </c>
      <c r="H271" s="3"/>
    </row>
    <row r="272" spans="1:8" ht="60" x14ac:dyDescent="0.25">
      <c r="A272" s="3" t="s">
        <v>12097</v>
      </c>
      <c r="B272" s="3" t="s">
        <v>7253</v>
      </c>
      <c r="C272" s="3" t="s">
        <v>7254</v>
      </c>
      <c r="D272" s="3">
        <v>1075</v>
      </c>
      <c r="E272" s="3" t="s">
        <v>7238</v>
      </c>
      <c r="F272" s="3">
        <v>2.2000000000000002</v>
      </c>
      <c r="G272" s="3" t="s">
        <v>12099</v>
      </c>
      <c r="H272" s="3"/>
    </row>
    <row r="273" spans="1:8" ht="135" x14ac:dyDescent="0.25">
      <c r="A273" s="3" t="s">
        <v>12097</v>
      </c>
      <c r="B273" s="3" t="s">
        <v>7255</v>
      </c>
      <c r="C273" s="3" t="s">
        <v>7256</v>
      </c>
      <c r="D273" s="3">
        <v>1296</v>
      </c>
      <c r="E273" s="3" t="s">
        <v>7179</v>
      </c>
      <c r="F273" s="3">
        <v>5</v>
      </c>
      <c r="G273" s="3" t="s">
        <v>7257</v>
      </c>
      <c r="H273" s="3"/>
    </row>
    <row r="274" spans="1:8" ht="30" x14ac:dyDescent="0.25">
      <c r="A274" s="3" t="s">
        <v>12097</v>
      </c>
      <c r="B274" s="3" t="s">
        <v>7258</v>
      </c>
      <c r="C274" s="3" t="s">
        <v>7259</v>
      </c>
      <c r="D274" s="3">
        <v>33</v>
      </c>
      <c r="E274" s="3" t="s">
        <v>7182</v>
      </c>
      <c r="F274" s="3">
        <v>35</v>
      </c>
      <c r="G274" s="3" t="s">
        <v>12099</v>
      </c>
      <c r="H274" s="3"/>
    </row>
    <row r="275" spans="1:8" ht="30" x14ac:dyDescent="0.25">
      <c r="A275" s="3" t="s">
        <v>12097</v>
      </c>
      <c r="B275" s="3" t="s">
        <v>7260</v>
      </c>
      <c r="C275" s="3" t="s">
        <v>7261</v>
      </c>
      <c r="D275" s="3">
        <v>1424</v>
      </c>
      <c r="E275" s="3" t="s">
        <v>7182</v>
      </c>
      <c r="F275" s="3">
        <v>35</v>
      </c>
      <c r="G275" s="3" t="s">
        <v>12099</v>
      </c>
      <c r="H275" s="3"/>
    </row>
    <row r="276" spans="1:8" ht="45" x14ac:dyDescent="0.25">
      <c r="A276" s="3" t="s">
        <v>12097</v>
      </c>
      <c r="B276" s="3" t="s">
        <v>7262</v>
      </c>
      <c r="C276" s="3" t="s">
        <v>7263</v>
      </c>
      <c r="D276" s="3">
        <v>542</v>
      </c>
      <c r="E276" s="3" t="s">
        <v>7220</v>
      </c>
      <c r="F276" s="3">
        <v>2</v>
      </c>
      <c r="G276" s="3" t="s">
        <v>12099</v>
      </c>
      <c r="H276" s="3"/>
    </row>
    <row r="277" spans="1:8" ht="120" x14ac:dyDescent="0.25">
      <c r="A277" s="3" t="s">
        <v>12097</v>
      </c>
      <c r="B277" s="3" t="s">
        <v>7264</v>
      </c>
      <c r="C277" s="3" t="s">
        <v>7265</v>
      </c>
      <c r="D277" s="3">
        <v>36</v>
      </c>
      <c r="E277" s="3" t="s">
        <v>7179</v>
      </c>
      <c r="F277" s="3">
        <v>5</v>
      </c>
      <c r="G277" s="3" t="s">
        <v>12098</v>
      </c>
      <c r="H277" s="3"/>
    </row>
    <row r="278" spans="1:8" ht="45" x14ac:dyDescent="0.25">
      <c r="A278" s="3" t="s">
        <v>12097</v>
      </c>
      <c r="B278" s="3" t="s">
        <v>7266</v>
      </c>
      <c r="C278" s="3" t="s">
        <v>7267</v>
      </c>
      <c r="D278" s="3">
        <v>682</v>
      </c>
      <c r="E278" s="3" t="s">
        <v>7182</v>
      </c>
      <c r="F278" s="3">
        <v>35</v>
      </c>
      <c r="G278" s="3" t="s">
        <v>12099</v>
      </c>
      <c r="H278" s="3"/>
    </row>
    <row r="279" spans="1:8" ht="45" x14ac:dyDescent="0.25">
      <c r="A279" s="3" t="s">
        <v>12097</v>
      </c>
      <c r="B279" s="3" t="s">
        <v>7268</v>
      </c>
      <c r="C279" s="3" t="s">
        <v>7269</v>
      </c>
      <c r="D279" s="3">
        <v>692</v>
      </c>
      <c r="E279" s="3" t="s">
        <v>7182</v>
      </c>
      <c r="F279" s="3">
        <v>35</v>
      </c>
      <c r="G279" s="3" t="s">
        <v>12099</v>
      </c>
      <c r="H279" s="3"/>
    </row>
    <row r="280" spans="1:8" ht="60" x14ac:dyDescent="0.25">
      <c r="A280" s="3" t="s">
        <v>12097</v>
      </c>
      <c r="B280" s="3" t="s">
        <v>7270</v>
      </c>
      <c r="C280" s="3" t="s">
        <v>7271</v>
      </c>
      <c r="D280" s="3">
        <v>1255</v>
      </c>
      <c r="E280" s="3" t="s">
        <v>7220</v>
      </c>
      <c r="F280" s="3">
        <v>7</v>
      </c>
      <c r="G280" s="3" t="s">
        <v>12099</v>
      </c>
      <c r="H280" s="3"/>
    </row>
    <row r="281" spans="1:8" ht="75" x14ac:dyDescent="0.25">
      <c r="A281" s="3" t="s">
        <v>12097</v>
      </c>
      <c r="B281" s="3" t="s">
        <v>7272</v>
      </c>
      <c r="C281" s="3" t="s">
        <v>7273</v>
      </c>
      <c r="D281" s="3">
        <v>1560</v>
      </c>
      <c r="E281" s="3" t="s">
        <v>7220</v>
      </c>
      <c r="F281" s="3">
        <v>5</v>
      </c>
      <c r="G281" s="3" t="s">
        <v>12099</v>
      </c>
      <c r="H281" s="3"/>
    </row>
    <row r="282" spans="1:8" ht="75" x14ac:dyDescent="0.25">
      <c r="A282" s="3" t="s">
        <v>12097</v>
      </c>
      <c r="B282" s="3" t="s">
        <v>7274</v>
      </c>
      <c r="C282" s="3" t="s">
        <v>7275</v>
      </c>
      <c r="D282" s="3">
        <v>1558</v>
      </c>
      <c r="E282" s="3" t="s">
        <v>7220</v>
      </c>
      <c r="F282" s="3">
        <v>5</v>
      </c>
      <c r="G282" s="3" t="s">
        <v>12099</v>
      </c>
      <c r="H282" s="3"/>
    </row>
    <row r="283" spans="1:8" ht="75" x14ac:dyDescent="0.25">
      <c r="A283" s="3" t="s">
        <v>12097</v>
      </c>
      <c r="B283" s="3" t="s">
        <v>7276</v>
      </c>
      <c r="C283" s="3" t="s">
        <v>7277</v>
      </c>
      <c r="D283" s="3">
        <v>1559</v>
      </c>
      <c r="E283" s="3" t="s">
        <v>7220</v>
      </c>
      <c r="F283" s="3">
        <v>5</v>
      </c>
      <c r="G283" s="3" t="s">
        <v>12099</v>
      </c>
      <c r="H283" s="3"/>
    </row>
    <row r="284" spans="1:8" ht="75" x14ac:dyDescent="0.25">
      <c r="A284" s="3" t="s">
        <v>12097</v>
      </c>
      <c r="B284" s="3" t="s">
        <v>7278</v>
      </c>
      <c r="C284" s="3" t="s">
        <v>7279</v>
      </c>
      <c r="D284" s="3">
        <v>1562</v>
      </c>
      <c r="E284" s="3" t="s">
        <v>7220</v>
      </c>
      <c r="F284" s="3">
        <v>5</v>
      </c>
      <c r="G284" s="3" t="s">
        <v>12099</v>
      </c>
      <c r="H284" s="3"/>
    </row>
    <row r="285" spans="1:8" ht="75" x14ac:dyDescent="0.25">
      <c r="A285" s="3" t="s">
        <v>12097</v>
      </c>
      <c r="B285" s="3" t="s">
        <v>7280</v>
      </c>
      <c r="C285" s="3" t="s">
        <v>7281</v>
      </c>
      <c r="D285" s="3">
        <v>1561</v>
      </c>
      <c r="E285" s="3" t="s">
        <v>7220</v>
      </c>
      <c r="F285" s="3">
        <v>5</v>
      </c>
      <c r="G285" s="3" t="s">
        <v>12099</v>
      </c>
      <c r="H285" s="3"/>
    </row>
    <row r="286" spans="1:8" ht="60" x14ac:dyDescent="0.25">
      <c r="A286" s="3" t="s">
        <v>12097</v>
      </c>
      <c r="B286" s="3" t="s">
        <v>7282</v>
      </c>
      <c r="C286" s="3" t="s">
        <v>7283</v>
      </c>
      <c r="D286" s="3">
        <v>531</v>
      </c>
      <c r="E286" s="3" t="s">
        <v>7238</v>
      </c>
      <c r="F286" s="3">
        <v>6.2</v>
      </c>
      <c r="G286" s="3" t="s">
        <v>12099</v>
      </c>
      <c r="H286" s="3"/>
    </row>
    <row r="287" spans="1:8" ht="345" x14ac:dyDescent="0.25">
      <c r="A287" s="3" t="s">
        <v>12097</v>
      </c>
      <c r="B287" s="3" t="s">
        <v>7284</v>
      </c>
      <c r="C287" s="3" t="s">
        <v>7285</v>
      </c>
      <c r="D287" s="3">
        <v>38</v>
      </c>
      <c r="E287" s="3" t="s">
        <v>7179</v>
      </c>
      <c r="F287" s="3">
        <v>5</v>
      </c>
      <c r="G287" s="3" t="s">
        <v>7286</v>
      </c>
      <c r="H287" s="3"/>
    </row>
    <row r="288" spans="1:8" ht="60" x14ac:dyDescent="0.25">
      <c r="A288" s="3" t="s">
        <v>12097</v>
      </c>
      <c r="B288" s="3" t="s">
        <v>7287</v>
      </c>
      <c r="C288" s="3" t="s">
        <v>7288</v>
      </c>
      <c r="D288" s="3">
        <v>459</v>
      </c>
      <c r="E288" s="3" t="s">
        <v>7179</v>
      </c>
      <c r="F288" s="3">
        <v>5</v>
      </c>
      <c r="G288" s="3" t="s">
        <v>7289</v>
      </c>
      <c r="H288" s="3"/>
    </row>
    <row r="289" spans="1:8" ht="60" x14ac:dyDescent="0.25">
      <c r="A289" s="3" t="s">
        <v>12097</v>
      </c>
      <c r="B289" s="3" t="s">
        <v>7292</v>
      </c>
      <c r="C289" s="3" t="s">
        <v>7293</v>
      </c>
      <c r="D289" s="3">
        <v>451</v>
      </c>
      <c r="E289" s="3" t="s">
        <v>7182</v>
      </c>
      <c r="F289" s="3">
        <v>80</v>
      </c>
      <c r="G289" s="3" t="s">
        <v>12099</v>
      </c>
      <c r="H289" s="3"/>
    </row>
    <row r="290" spans="1:8" ht="30" x14ac:dyDescent="0.25">
      <c r="A290" s="3" t="s">
        <v>12097</v>
      </c>
      <c r="B290" s="3" t="s">
        <v>7296</v>
      </c>
      <c r="C290" s="3" t="s">
        <v>7297</v>
      </c>
      <c r="D290" s="3">
        <v>39</v>
      </c>
      <c r="E290" s="3" t="s">
        <v>7200</v>
      </c>
      <c r="F290" s="3">
        <v>8</v>
      </c>
      <c r="G290" s="3" t="s">
        <v>12099</v>
      </c>
      <c r="H290" s="3"/>
    </row>
    <row r="291" spans="1:8" ht="30" x14ac:dyDescent="0.25">
      <c r="A291" s="3" t="s">
        <v>12097</v>
      </c>
      <c r="B291" s="3" t="s">
        <v>7298</v>
      </c>
      <c r="C291" s="3" t="s">
        <v>7299</v>
      </c>
      <c r="D291" s="3">
        <v>44</v>
      </c>
      <c r="E291" s="3" t="s">
        <v>7182</v>
      </c>
      <c r="F291" s="3">
        <v>60</v>
      </c>
      <c r="G291" s="3" t="s">
        <v>12099</v>
      </c>
      <c r="H291" s="3"/>
    </row>
    <row r="292" spans="1:8" ht="135" x14ac:dyDescent="0.25">
      <c r="A292" s="3" t="s">
        <v>12097</v>
      </c>
      <c r="B292" s="3" t="s">
        <v>7300</v>
      </c>
      <c r="C292" s="3" t="s">
        <v>7301</v>
      </c>
      <c r="D292" s="3">
        <v>45</v>
      </c>
      <c r="E292" s="3" t="s">
        <v>7179</v>
      </c>
      <c r="F292" s="3">
        <v>5</v>
      </c>
      <c r="G292" s="3" t="s">
        <v>7302</v>
      </c>
      <c r="H292" s="3"/>
    </row>
    <row r="293" spans="1:8" ht="45" x14ac:dyDescent="0.25">
      <c r="A293" s="3" t="s">
        <v>12097</v>
      </c>
      <c r="B293" s="3" t="s">
        <v>7303</v>
      </c>
      <c r="C293" s="3" t="s">
        <v>7304</v>
      </c>
      <c r="D293" s="3">
        <v>1143</v>
      </c>
      <c r="E293" s="3" t="s">
        <v>7182</v>
      </c>
      <c r="F293" s="3">
        <v>60</v>
      </c>
      <c r="G293" s="3" t="s">
        <v>12099</v>
      </c>
      <c r="H293" s="3"/>
    </row>
    <row r="294" spans="1:8" ht="30" x14ac:dyDescent="0.25">
      <c r="A294" s="3" t="s">
        <v>12097</v>
      </c>
      <c r="B294" s="3" t="s">
        <v>7305</v>
      </c>
      <c r="C294" s="3" t="s">
        <v>7306</v>
      </c>
      <c r="D294" s="3">
        <v>1611</v>
      </c>
      <c r="E294" s="3" t="s">
        <v>7182</v>
      </c>
      <c r="F294" s="3">
        <v>50</v>
      </c>
      <c r="G294" s="3" t="s">
        <v>12099</v>
      </c>
      <c r="H294" s="3"/>
    </row>
    <row r="295" spans="1:8" ht="120" x14ac:dyDescent="0.25">
      <c r="A295" s="3" t="s">
        <v>12097</v>
      </c>
      <c r="B295" s="3" t="s">
        <v>7307</v>
      </c>
      <c r="C295" s="3" t="s">
        <v>7308</v>
      </c>
      <c r="D295" s="3">
        <v>1393</v>
      </c>
      <c r="E295" s="3" t="s">
        <v>7179</v>
      </c>
      <c r="F295" s="3">
        <v>5</v>
      </c>
      <c r="G295" s="3" t="s">
        <v>7309</v>
      </c>
      <c r="H295" s="3"/>
    </row>
    <row r="296" spans="1:8" ht="105" x14ac:dyDescent="0.25">
      <c r="A296" s="3" t="s">
        <v>12097</v>
      </c>
      <c r="B296" s="3" t="s">
        <v>7310</v>
      </c>
      <c r="C296" s="3" t="s">
        <v>7311</v>
      </c>
      <c r="D296" s="3">
        <v>49</v>
      </c>
      <c r="E296" s="3" t="s">
        <v>7179</v>
      </c>
      <c r="F296" s="3">
        <v>5</v>
      </c>
      <c r="G296" s="3" t="s">
        <v>7312</v>
      </c>
      <c r="H296" s="3"/>
    </row>
    <row r="297" spans="1:8" ht="45" x14ac:dyDescent="0.25">
      <c r="A297" s="3" t="s">
        <v>12097</v>
      </c>
      <c r="B297" s="3" t="s">
        <v>7313</v>
      </c>
      <c r="C297" s="3" t="s">
        <v>7314</v>
      </c>
      <c r="D297" s="3">
        <v>1487</v>
      </c>
      <c r="E297" s="3" t="s">
        <v>7182</v>
      </c>
      <c r="F297" s="3">
        <v>50</v>
      </c>
      <c r="G297" s="3" t="s">
        <v>12099</v>
      </c>
      <c r="H297" s="3"/>
    </row>
    <row r="298" spans="1:8" ht="45" x14ac:dyDescent="0.25">
      <c r="A298" s="3" t="s">
        <v>12097</v>
      </c>
      <c r="B298" s="3" t="s">
        <v>7315</v>
      </c>
      <c r="C298" s="3" t="s">
        <v>7316</v>
      </c>
      <c r="D298" s="3">
        <v>1488</v>
      </c>
      <c r="E298" s="3" t="s">
        <v>7220</v>
      </c>
      <c r="F298" s="3">
        <v>5</v>
      </c>
      <c r="G298" s="3" t="s">
        <v>12099</v>
      </c>
      <c r="H298" s="3"/>
    </row>
    <row r="299" spans="1:8" ht="45" x14ac:dyDescent="0.25">
      <c r="A299" s="3" t="s">
        <v>12097</v>
      </c>
      <c r="B299" s="3" t="s">
        <v>7317</v>
      </c>
      <c r="C299" s="3" t="s">
        <v>7318</v>
      </c>
      <c r="D299" s="3">
        <v>1486</v>
      </c>
      <c r="E299" s="3" t="s">
        <v>7182</v>
      </c>
      <c r="F299" s="3">
        <v>5</v>
      </c>
      <c r="G299" s="3" t="s">
        <v>12099</v>
      </c>
      <c r="H299" s="3"/>
    </row>
    <row r="300" spans="1:8" ht="30" x14ac:dyDescent="0.25">
      <c r="A300" s="3" t="s">
        <v>12097</v>
      </c>
      <c r="B300" s="3" t="s">
        <v>7319</v>
      </c>
      <c r="C300" s="3" t="s">
        <v>6963</v>
      </c>
      <c r="D300" s="3">
        <v>1615</v>
      </c>
      <c r="E300" s="3" t="s">
        <v>7182</v>
      </c>
      <c r="F300" s="3">
        <v>80</v>
      </c>
      <c r="G300" s="3" t="s">
        <v>12099</v>
      </c>
      <c r="H300" s="3"/>
    </row>
    <row r="301" spans="1:8" ht="30" x14ac:dyDescent="0.25">
      <c r="A301" s="3" t="s">
        <v>12097</v>
      </c>
      <c r="B301" s="3" t="s">
        <v>7320</v>
      </c>
      <c r="C301" s="3" t="s">
        <v>7321</v>
      </c>
      <c r="D301" s="3">
        <v>1352</v>
      </c>
      <c r="E301" s="3" t="s">
        <v>7182</v>
      </c>
      <c r="F301" s="3">
        <v>60</v>
      </c>
      <c r="G301" s="3" t="s">
        <v>12099</v>
      </c>
      <c r="H301" s="3"/>
    </row>
    <row r="302" spans="1:8" ht="30" x14ac:dyDescent="0.25">
      <c r="A302" s="3" t="s">
        <v>12097</v>
      </c>
      <c r="B302" s="3" t="s">
        <v>7322</v>
      </c>
      <c r="C302" s="3" t="s">
        <v>7323</v>
      </c>
      <c r="D302" s="3">
        <v>1629</v>
      </c>
      <c r="E302" s="3" t="s">
        <v>7182</v>
      </c>
      <c r="F302" s="3">
        <v>30</v>
      </c>
      <c r="G302" s="3" t="s">
        <v>12099</v>
      </c>
      <c r="H302" s="3"/>
    </row>
    <row r="303" spans="1:8" ht="60" x14ac:dyDescent="0.25">
      <c r="A303" s="3" t="s">
        <v>12097</v>
      </c>
      <c r="B303" s="3" t="s">
        <v>7324</v>
      </c>
      <c r="C303" s="3" t="s">
        <v>7325</v>
      </c>
      <c r="D303" s="3">
        <v>1353</v>
      </c>
      <c r="E303" s="3" t="s">
        <v>7182</v>
      </c>
      <c r="F303" s="3">
        <v>45</v>
      </c>
      <c r="G303" s="3" t="s">
        <v>12099</v>
      </c>
      <c r="H303" s="3"/>
    </row>
    <row r="304" spans="1:8" ht="30" x14ac:dyDescent="0.25">
      <c r="A304" s="3" t="s">
        <v>12097</v>
      </c>
      <c r="B304" s="3" t="s">
        <v>7326</v>
      </c>
      <c r="C304" s="3" t="s">
        <v>7327</v>
      </c>
      <c r="D304" s="3">
        <v>1351</v>
      </c>
      <c r="E304" s="3" t="s">
        <v>7182</v>
      </c>
      <c r="F304" s="3">
        <v>45</v>
      </c>
      <c r="G304" s="3" t="s">
        <v>12099</v>
      </c>
      <c r="H304" s="3"/>
    </row>
    <row r="305" spans="1:8" ht="30" x14ac:dyDescent="0.25">
      <c r="A305" s="3" t="s">
        <v>12097</v>
      </c>
      <c r="B305" s="3" t="s">
        <v>7328</v>
      </c>
      <c r="C305" s="3" t="s">
        <v>7329</v>
      </c>
      <c r="D305" s="3">
        <v>199</v>
      </c>
      <c r="E305" s="3" t="s">
        <v>7220</v>
      </c>
      <c r="F305" s="3">
        <v>3</v>
      </c>
      <c r="G305" s="3" t="s">
        <v>12099</v>
      </c>
      <c r="H305" s="3"/>
    </row>
    <row r="306" spans="1:8" ht="30" x14ac:dyDescent="0.25">
      <c r="A306" s="3" t="s">
        <v>12097</v>
      </c>
      <c r="B306" s="3" t="s">
        <v>7330</v>
      </c>
      <c r="C306" s="3" t="s">
        <v>7331</v>
      </c>
      <c r="D306" s="3">
        <v>1513</v>
      </c>
      <c r="E306" s="3" t="s">
        <v>7179</v>
      </c>
      <c r="F306" s="3">
        <v>5</v>
      </c>
      <c r="G306" s="3" t="s">
        <v>12099</v>
      </c>
      <c r="H306" s="3"/>
    </row>
    <row r="307" spans="1:8" ht="135" x14ac:dyDescent="0.25">
      <c r="A307" s="3" t="s">
        <v>12097</v>
      </c>
      <c r="B307" s="3" t="s">
        <v>7330</v>
      </c>
      <c r="C307" s="3" t="s">
        <v>7331</v>
      </c>
      <c r="D307" s="3">
        <v>1513</v>
      </c>
      <c r="E307" s="3" t="s">
        <v>7179</v>
      </c>
      <c r="F307" s="3">
        <v>5</v>
      </c>
      <c r="G307" s="3" t="s">
        <v>7332</v>
      </c>
      <c r="H307" s="3"/>
    </row>
    <row r="308" spans="1:8" ht="90" x14ac:dyDescent="0.25">
      <c r="A308" s="3" t="s">
        <v>12097</v>
      </c>
      <c r="B308" s="3" t="s">
        <v>7333</v>
      </c>
      <c r="C308" s="3" t="s">
        <v>7334</v>
      </c>
      <c r="D308" s="3">
        <v>54</v>
      </c>
      <c r="E308" s="3" t="s">
        <v>7179</v>
      </c>
      <c r="F308" s="3">
        <v>5</v>
      </c>
      <c r="G308" s="3" t="s">
        <v>7335</v>
      </c>
      <c r="H308" s="3"/>
    </row>
    <row r="309" spans="1:8" ht="409.5" x14ac:dyDescent="0.25">
      <c r="A309" s="3" t="s">
        <v>12097</v>
      </c>
      <c r="B309" s="3" t="s">
        <v>7336</v>
      </c>
      <c r="C309" s="3" t="s">
        <v>7337</v>
      </c>
      <c r="D309" s="3">
        <v>2061</v>
      </c>
      <c r="E309" s="3" t="s">
        <v>7179</v>
      </c>
      <c r="F309" s="3">
        <v>5</v>
      </c>
      <c r="G309" s="3" t="s">
        <v>7338</v>
      </c>
      <c r="H309" s="3"/>
    </row>
    <row r="310" spans="1:8" ht="240" x14ac:dyDescent="0.25">
      <c r="A310" s="3" t="s">
        <v>12097</v>
      </c>
      <c r="B310" s="3" t="s">
        <v>7339</v>
      </c>
      <c r="C310" s="3" t="s">
        <v>7340</v>
      </c>
      <c r="D310" s="3">
        <v>55</v>
      </c>
      <c r="E310" s="3" t="s">
        <v>7179</v>
      </c>
      <c r="F310" s="3">
        <v>5</v>
      </c>
      <c r="G310" s="3" t="s">
        <v>7341</v>
      </c>
      <c r="H310" s="3"/>
    </row>
    <row r="311" spans="1:8" ht="240" x14ac:dyDescent="0.25">
      <c r="A311" s="3" t="s">
        <v>12097</v>
      </c>
      <c r="B311" s="3" t="s">
        <v>7342</v>
      </c>
      <c r="C311" s="3" t="s">
        <v>7343</v>
      </c>
      <c r="D311" s="3">
        <v>57</v>
      </c>
      <c r="E311" s="3" t="s">
        <v>7179</v>
      </c>
      <c r="F311" s="3">
        <v>5</v>
      </c>
      <c r="G311" s="3" t="s">
        <v>7344</v>
      </c>
      <c r="H311" s="3"/>
    </row>
    <row r="312" spans="1:8" ht="409.5" x14ac:dyDescent="0.25">
      <c r="A312" s="3" t="s">
        <v>12097</v>
      </c>
      <c r="B312" s="3" t="s">
        <v>7345</v>
      </c>
      <c r="C312" s="3" t="s">
        <v>7346</v>
      </c>
      <c r="D312" s="3">
        <v>59</v>
      </c>
      <c r="E312" s="3" t="s">
        <v>7179</v>
      </c>
      <c r="F312" s="3">
        <v>5</v>
      </c>
      <c r="G312" s="3" t="s">
        <v>12100</v>
      </c>
      <c r="H312" s="3"/>
    </row>
    <row r="313" spans="1:8" ht="409.5" x14ac:dyDescent="0.25">
      <c r="A313" s="3"/>
      <c r="B313" s="3"/>
      <c r="C313" s="3"/>
      <c r="D313" s="3"/>
      <c r="E313" s="3"/>
      <c r="F313" s="3"/>
      <c r="G313" s="3" t="s">
        <v>12101</v>
      </c>
      <c r="H313" s="3"/>
    </row>
    <row r="314" spans="1:8" ht="60" x14ac:dyDescent="0.25">
      <c r="A314" s="3" t="s">
        <v>12097</v>
      </c>
      <c r="B314" s="3" t="s">
        <v>7347</v>
      </c>
      <c r="C314" s="3" t="s">
        <v>7348</v>
      </c>
      <c r="D314" s="3">
        <v>60</v>
      </c>
      <c r="E314" s="3" t="s">
        <v>7182</v>
      </c>
      <c r="F314" s="3">
        <v>45</v>
      </c>
      <c r="G314" s="3" t="s">
        <v>12099</v>
      </c>
      <c r="H314" s="3"/>
    </row>
    <row r="315" spans="1:8" ht="30" x14ac:dyDescent="0.25">
      <c r="A315" s="3" t="s">
        <v>12097</v>
      </c>
      <c r="B315" s="3" t="s">
        <v>7349</v>
      </c>
      <c r="C315" s="3" t="s">
        <v>7350</v>
      </c>
      <c r="D315" s="3">
        <v>68</v>
      </c>
      <c r="E315" s="3" t="s">
        <v>7182</v>
      </c>
      <c r="F315" s="3">
        <v>60</v>
      </c>
      <c r="G315" s="3" t="s">
        <v>12099</v>
      </c>
      <c r="H315" s="3"/>
    </row>
    <row r="316" spans="1:8" ht="150" x14ac:dyDescent="0.25">
      <c r="A316" s="3" t="s">
        <v>12097</v>
      </c>
      <c r="B316" s="3" t="s">
        <v>7351</v>
      </c>
      <c r="C316" s="3" t="s">
        <v>7352</v>
      </c>
      <c r="D316" s="3">
        <v>1632</v>
      </c>
      <c r="E316" s="3" t="s">
        <v>7238</v>
      </c>
      <c r="F316" s="3">
        <v>10.199999999999999</v>
      </c>
      <c r="G316" s="3" t="s">
        <v>12099</v>
      </c>
      <c r="H316" s="3"/>
    </row>
    <row r="317" spans="1:8" ht="30" x14ac:dyDescent="0.25">
      <c r="A317" s="3" t="s">
        <v>12097</v>
      </c>
      <c r="B317" s="3" t="s">
        <v>6845</v>
      </c>
      <c r="C317" s="3" t="s">
        <v>7354</v>
      </c>
      <c r="D317" s="3">
        <v>69</v>
      </c>
      <c r="E317" s="3" t="s">
        <v>7182</v>
      </c>
      <c r="F317" s="3">
        <v>60</v>
      </c>
      <c r="G317" s="3" t="s">
        <v>12099</v>
      </c>
      <c r="H317" s="3"/>
    </row>
    <row r="318" spans="1:8" ht="120" x14ac:dyDescent="0.25">
      <c r="A318" s="3" t="s">
        <v>12097</v>
      </c>
      <c r="B318" s="3" t="s">
        <v>7355</v>
      </c>
      <c r="C318" s="3" t="s">
        <v>7356</v>
      </c>
      <c r="D318" s="3">
        <v>558</v>
      </c>
      <c r="E318" s="3" t="s">
        <v>7182</v>
      </c>
      <c r="F318" s="3">
        <v>80</v>
      </c>
      <c r="G318" s="3" t="s">
        <v>12099</v>
      </c>
      <c r="H318" s="3"/>
    </row>
    <row r="319" spans="1:8" ht="30" x14ac:dyDescent="0.25">
      <c r="A319" s="3" t="s">
        <v>12097</v>
      </c>
      <c r="B319" s="3" t="s">
        <v>7357</v>
      </c>
      <c r="C319" s="3" t="s">
        <v>7358</v>
      </c>
      <c r="D319" s="3">
        <v>71</v>
      </c>
      <c r="E319" s="3" t="s">
        <v>7200</v>
      </c>
      <c r="F319" s="3">
        <v>8</v>
      </c>
      <c r="G319" s="3" t="s">
        <v>12099</v>
      </c>
      <c r="H319" s="3"/>
    </row>
    <row r="320" spans="1:8" ht="45" x14ac:dyDescent="0.25">
      <c r="A320" s="3" t="s">
        <v>12097</v>
      </c>
      <c r="B320" s="3" t="s">
        <v>7359</v>
      </c>
      <c r="C320" s="3" t="s">
        <v>7360</v>
      </c>
      <c r="D320" s="3">
        <v>72</v>
      </c>
      <c r="E320" s="3" t="s">
        <v>7220</v>
      </c>
      <c r="F320" s="3">
        <v>2</v>
      </c>
      <c r="G320" s="3" t="s">
        <v>12099</v>
      </c>
      <c r="H320" s="3"/>
    </row>
    <row r="321" spans="1:8" ht="45" x14ac:dyDescent="0.25">
      <c r="A321" s="3" t="s">
        <v>12097</v>
      </c>
      <c r="B321" s="3" t="s">
        <v>7361</v>
      </c>
      <c r="C321" s="3" t="s">
        <v>7362</v>
      </c>
      <c r="D321" s="3">
        <v>1114</v>
      </c>
      <c r="E321" s="3" t="s">
        <v>7182</v>
      </c>
      <c r="F321" s="3">
        <v>30</v>
      </c>
      <c r="G321" s="3" t="s">
        <v>12099</v>
      </c>
      <c r="H321" s="3"/>
    </row>
    <row r="322" spans="1:8" ht="105" x14ac:dyDescent="0.25">
      <c r="A322" s="3" t="s">
        <v>12097</v>
      </c>
      <c r="B322" s="3" t="s">
        <v>7363</v>
      </c>
      <c r="C322" s="3" t="s">
        <v>7364</v>
      </c>
      <c r="D322" s="3">
        <v>1224</v>
      </c>
      <c r="E322" s="3" t="s">
        <v>7179</v>
      </c>
      <c r="F322" s="3">
        <v>5</v>
      </c>
      <c r="G322" s="3" t="s">
        <v>7365</v>
      </c>
      <c r="H322" s="3"/>
    </row>
    <row r="323" spans="1:8" ht="45" x14ac:dyDescent="0.25">
      <c r="A323" s="3" t="s">
        <v>12097</v>
      </c>
      <c r="B323" s="3" t="s">
        <v>7366</v>
      </c>
      <c r="C323" s="3" t="s">
        <v>7367</v>
      </c>
      <c r="D323" s="3">
        <v>1379</v>
      </c>
      <c r="E323" s="3" t="s">
        <v>7179</v>
      </c>
      <c r="F323" s="3">
        <v>5</v>
      </c>
      <c r="G323" s="3" t="s">
        <v>12098</v>
      </c>
      <c r="H323" s="3"/>
    </row>
    <row r="324" spans="1:8" ht="75" x14ac:dyDescent="0.25">
      <c r="A324" s="3" t="s">
        <v>12097</v>
      </c>
      <c r="B324" s="3" t="s">
        <v>7368</v>
      </c>
      <c r="C324" s="3" t="s">
        <v>7369</v>
      </c>
      <c r="D324" s="3">
        <v>960</v>
      </c>
      <c r="E324" s="3" t="s">
        <v>7182</v>
      </c>
      <c r="F324" s="3">
        <v>30</v>
      </c>
      <c r="G324" s="3" t="s">
        <v>12099</v>
      </c>
      <c r="H324" s="3"/>
    </row>
    <row r="325" spans="1:8" ht="30" x14ac:dyDescent="0.25">
      <c r="A325" s="3" t="s">
        <v>12097</v>
      </c>
      <c r="B325" s="3" t="s">
        <v>7370</v>
      </c>
      <c r="C325" s="3" t="s">
        <v>7371</v>
      </c>
      <c r="D325" s="3">
        <v>1199</v>
      </c>
      <c r="E325" s="3" t="s">
        <v>7182</v>
      </c>
      <c r="F325" s="3">
        <v>60</v>
      </c>
      <c r="G325" s="3" t="s">
        <v>12099</v>
      </c>
      <c r="H325" s="3"/>
    </row>
    <row r="326" spans="1:8" ht="105" x14ac:dyDescent="0.25">
      <c r="A326" s="3" t="s">
        <v>12097</v>
      </c>
      <c r="B326" s="3" t="s">
        <v>7372</v>
      </c>
      <c r="C326" s="3" t="s">
        <v>7373</v>
      </c>
      <c r="D326" s="3">
        <v>1297</v>
      </c>
      <c r="E326" s="3" t="s">
        <v>7179</v>
      </c>
      <c r="F326" s="3">
        <v>5</v>
      </c>
      <c r="G326" s="3" t="s">
        <v>7374</v>
      </c>
      <c r="H326" s="3"/>
    </row>
    <row r="327" spans="1:8" ht="30" x14ac:dyDescent="0.25">
      <c r="A327" s="3" t="s">
        <v>12097</v>
      </c>
      <c r="B327" s="3" t="s">
        <v>7375</v>
      </c>
      <c r="C327" s="3" t="s">
        <v>7376</v>
      </c>
      <c r="D327" s="3">
        <v>1200</v>
      </c>
      <c r="E327" s="3" t="s">
        <v>7182</v>
      </c>
      <c r="F327" s="3">
        <v>10</v>
      </c>
      <c r="G327" s="3" t="s">
        <v>12099</v>
      </c>
      <c r="H327" s="3"/>
    </row>
    <row r="328" spans="1:8" ht="45" x14ac:dyDescent="0.25">
      <c r="A328" s="3" t="s">
        <v>12097</v>
      </c>
      <c r="B328" s="3" t="s">
        <v>12102</v>
      </c>
      <c r="C328" s="3" t="s">
        <v>12103</v>
      </c>
      <c r="D328" s="3">
        <v>2201</v>
      </c>
      <c r="E328" s="3" t="s">
        <v>7182</v>
      </c>
      <c r="F328" s="3"/>
      <c r="G328" s="3" t="s">
        <v>12</v>
      </c>
      <c r="H328" s="3"/>
    </row>
    <row r="329" spans="1:8" ht="225" x14ac:dyDescent="0.25">
      <c r="A329" s="3" t="s">
        <v>12097</v>
      </c>
      <c r="B329" s="3" t="s">
        <v>7378</v>
      </c>
      <c r="C329" s="3" t="s">
        <v>7379</v>
      </c>
      <c r="D329" s="3">
        <v>420</v>
      </c>
      <c r="E329" s="3" t="s">
        <v>7179</v>
      </c>
      <c r="F329" s="3">
        <v>5</v>
      </c>
      <c r="G329" s="3" t="s">
        <v>7380</v>
      </c>
      <c r="H329" s="3"/>
    </row>
    <row r="330" spans="1:8" ht="60" x14ac:dyDescent="0.25">
      <c r="A330" s="3" t="s">
        <v>12097</v>
      </c>
      <c r="B330" s="3" t="s">
        <v>7381</v>
      </c>
      <c r="C330" s="3" t="s">
        <v>7382</v>
      </c>
      <c r="D330" s="3">
        <v>489</v>
      </c>
      <c r="E330" s="3" t="s">
        <v>7179</v>
      </c>
      <c r="F330" s="3">
        <v>5</v>
      </c>
      <c r="G330" s="3" t="s">
        <v>12098</v>
      </c>
      <c r="H330" s="3"/>
    </row>
    <row r="331" spans="1:8" ht="60" x14ac:dyDescent="0.25">
      <c r="A331" s="3" t="s">
        <v>12097</v>
      </c>
      <c r="B331" s="3" t="s">
        <v>7383</v>
      </c>
      <c r="C331" s="3" t="s">
        <v>7384</v>
      </c>
      <c r="D331" s="3">
        <v>490</v>
      </c>
      <c r="E331" s="3" t="s">
        <v>7179</v>
      </c>
      <c r="F331" s="3">
        <v>5</v>
      </c>
      <c r="G331" s="3" t="s">
        <v>12098</v>
      </c>
      <c r="H331" s="3"/>
    </row>
    <row r="332" spans="1:8" ht="75" x14ac:dyDescent="0.25">
      <c r="A332" s="3" t="s">
        <v>12097</v>
      </c>
      <c r="B332" s="3" t="s">
        <v>7385</v>
      </c>
      <c r="C332" s="3" t="s">
        <v>7386</v>
      </c>
      <c r="D332" s="3">
        <v>450</v>
      </c>
      <c r="E332" s="3" t="s">
        <v>7182</v>
      </c>
      <c r="F332" s="3">
        <v>80</v>
      </c>
      <c r="G332" s="3" t="s">
        <v>12099</v>
      </c>
      <c r="H332" s="3"/>
    </row>
    <row r="333" spans="1:8" ht="45" x14ac:dyDescent="0.25">
      <c r="A333" s="3" t="s">
        <v>12097</v>
      </c>
      <c r="B333" s="3" t="s">
        <v>7387</v>
      </c>
      <c r="C333" s="3" t="s">
        <v>7388</v>
      </c>
      <c r="D333" s="3">
        <v>77</v>
      </c>
      <c r="E333" s="3" t="s">
        <v>7238</v>
      </c>
      <c r="F333" s="3">
        <v>7.2</v>
      </c>
      <c r="G333" s="3" t="s">
        <v>12099</v>
      </c>
      <c r="H333" s="3"/>
    </row>
    <row r="334" spans="1:8" ht="90" x14ac:dyDescent="0.25">
      <c r="A334" s="3" t="s">
        <v>12097</v>
      </c>
      <c r="B334" s="3" t="s">
        <v>7389</v>
      </c>
      <c r="C334" s="3" t="s">
        <v>7390</v>
      </c>
      <c r="D334" s="3">
        <v>403</v>
      </c>
      <c r="E334" s="3" t="s">
        <v>7200</v>
      </c>
      <c r="F334" s="3">
        <v>8</v>
      </c>
      <c r="G334" s="3" t="s">
        <v>12099</v>
      </c>
      <c r="H334" s="3"/>
    </row>
    <row r="335" spans="1:8" ht="90" x14ac:dyDescent="0.25">
      <c r="A335" s="3" t="s">
        <v>12097</v>
      </c>
      <c r="B335" s="3" t="s">
        <v>7391</v>
      </c>
      <c r="C335" s="3" t="s">
        <v>7392</v>
      </c>
      <c r="D335" s="3">
        <v>402</v>
      </c>
      <c r="E335" s="3" t="s">
        <v>7182</v>
      </c>
      <c r="F335" s="3">
        <v>60</v>
      </c>
      <c r="G335" s="3" t="s">
        <v>12099</v>
      </c>
      <c r="H335" s="3"/>
    </row>
    <row r="336" spans="1:8" ht="105" x14ac:dyDescent="0.25">
      <c r="A336" s="3" t="s">
        <v>12097</v>
      </c>
      <c r="B336" s="3" t="s">
        <v>7393</v>
      </c>
      <c r="C336" s="3" t="s">
        <v>7394</v>
      </c>
      <c r="D336" s="3">
        <v>401</v>
      </c>
      <c r="E336" s="3" t="s">
        <v>7179</v>
      </c>
      <c r="F336" s="3">
        <v>5</v>
      </c>
      <c r="G336" s="3" t="s">
        <v>7395</v>
      </c>
      <c r="H336" s="3"/>
    </row>
    <row r="337" spans="1:8" ht="90" x14ac:dyDescent="0.25">
      <c r="A337" s="3" t="s">
        <v>12097</v>
      </c>
      <c r="B337" s="3" t="s">
        <v>7396</v>
      </c>
      <c r="C337" s="3" t="s">
        <v>7397</v>
      </c>
      <c r="D337" s="3">
        <v>534</v>
      </c>
      <c r="E337" s="3" t="s">
        <v>7179</v>
      </c>
      <c r="F337" s="3">
        <v>5</v>
      </c>
      <c r="G337" s="3" t="s">
        <v>7398</v>
      </c>
      <c r="H337" s="3"/>
    </row>
    <row r="338" spans="1:8" ht="90" x14ac:dyDescent="0.25">
      <c r="A338" s="3" t="s">
        <v>12097</v>
      </c>
      <c r="B338" s="3" t="s">
        <v>7399</v>
      </c>
      <c r="C338" s="3" t="s">
        <v>7400</v>
      </c>
      <c r="D338" s="3">
        <v>78</v>
      </c>
      <c r="E338" s="3" t="s">
        <v>7179</v>
      </c>
      <c r="F338" s="3">
        <v>5</v>
      </c>
      <c r="G338" s="3" t="s">
        <v>7401</v>
      </c>
      <c r="H338" s="3"/>
    </row>
    <row r="339" spans="1:8" ht="60" x14ac:dyDescent="0.25">
      <c r="A339" s="3" t="s">
        <v>12097</v>
      </c>
      <c r="B339" s="3" t="s">
        <v>7402</v>
      </c>
      <c r="C339" s="3" t="s">
        <v>7403</v>
      </c>
      <c r="D339" s="3">
        <v>981</v>
      </c>
      <c r="E339" s="3" t="s">
        <v>7238</v>
      </c>
      <c r="F339" s="3">
        <v>6.2</v>
      </c>
      <c r="G339" s="3" t="s">
        <v>12099</v>
      </c>
      <c r="H339" s="3"/>
    </row>
    <row r="340" spans="1:8" ht="30" x14ac:dyDescent="0.25">
      <c r="A340" s="3" t="s">
        <v>12097</v>
      </c>
      <c r="B340" s="3" t="s">
        <v>7404</v>
      </c>
      <c r="C340" s="3" t="s">
        <v>7405</v>
      </c>
      <c r="D340" s="3">
        <v>1522</v>
      </c>
      <c r="E340" s="3" t="s">
        <v>7182</v>
      </c>
      <c r="F340" s="3">
        <v>80</v>
      </c>
      <c r="G340" s="3" t="s">
        <v>12099</v>
      </c>
      <c r="H340" s="3"/>
    </row>
    <row r="341" spans="1:8" ht="30" x14ac:dyDescent="0.25">
      <c r="A341" s="3" t="s">
        <v>12097</v>
      </c>
      <c r="B341" s="3" t="s">
        <v>7406</v>
      </c>
      <c r="C341" s="3" t="s">
        <v>7407</v>
      </c>
      <c r="D341" s="3">
        <v>1523</v>
      </c>
      <c r="E341" s="3" t="s">
        <v>7182</v>
      </c>
      <c r="F341" s="3">
        <v>80</v>
      </c>
      <c r="G341" s="3" t="s">
        <v>12099</v>
      </c>
      <c r="H341" s="3"/>
    </row>
    <row r="342" spans="1:8" ht="30" x14ac:dyDescent="0.25">
      <c r="A342" s="3" t="s">
        <v>12097</v>
      </c>
      <c r="B342" s="3" t="s">
        <v>7409</v>
      </c>
      <c r="C342" s="3" t="s">
        <v>7410</v>
      </c>
      <c r="D342" s="3">
        <v>79</v>
      </c>
      <c r="E342" s="3" t="s">
        <v>7200</v>
      </c>
      <c r="F342" s="3">
        <v>8</v>
      </c>
      <c r="G342" s="3" t="s">
        <v>12099</v>
      </c>
      <c r="H342" s="3"/>
    </row>
    <row r="343" spans="1:8" ht="30" x14ac:dyDescent="0.25">
      <c r="A343" s="3" t="s">
        <v>12097</v>
      </c>
      <c r="B343" s="3" t="s">
        <v>7411</v>
      </c>
      <c r="C343" s="3" t="s">
        <v>7412</v>
      </c>
      <c r="D343" s="3">
        <v>1461</v>
      </c>
      <c r="E343" s="3" t="s">
        <v>7182</v>
      </c>
      <c r="F343" s="3">
        <v>10</v>
      </c>
      <c r="G343" s="3" t="s">
        <v>12099</v>
      </c>
      <c r="H343" s="3"/>
    </row>
    <row r="344" spans="1:8" ht="30" x14ac:dyDescent="0.25">
      <c r="A344" s="3" t="s">
        <v>12097</v>
      </c>
      <c r="B344" s="3" t="s">
        <v>7413</v>
      </c>
      <c r="C344" s="3" t="s">
        <v>7414</v>
      </c>
      <c r="D344" s="3">
        <v>1460</v>
      </c>
      <c r="E344" s="3" t="s">
        <v>7182</v>
      </c>
      <c r="F344" s="3">
        <v>10</v>
      </c>
      <c r="G344" s="3" t="s">
        <v>12099</v>
      </c>
      <c r="H344" s="3"/>
    </row>
    <row r="345" spans="1:8" ht="45" x14ac:dyDescent="0.25">
      <c r="A345" s="3" t="s">
        <v>12097</v>
      </c>
      <c r="B345" s="3" t="s">
        <v>7415</v>
      </c>
      <c r="C345" s="3" t="s">
        <v>7416</v>
      </c>
      <c r="D345" s="3">
        <v>1456</v>
      </c>
      <c r="E345" s="3" t="s">
        <v>7182</v>
      </c>
      <c r="F345" s="3">
        <v>25</v>
      </c>
      <c r="G345" s="3" t="s">
        <v>12099</v>
      </c>
      <c r="H345" s="3"/>
    </row>
    <row r="346" spans="1:8" ht="45" x14ac:dyDescent="0.25">
      <c r="A346" s="3" t="s">
        <v>12097</v>
      </c>
      <c r="B346" s="3" t="s">
        <v>7417</v>
      </c>
      <c r="C346" s="3" t="s">
        <v>7418</v>
      </c>
      <c r="D346" s="3">
        <v>520</v>
      </c>
      <c r="E346" s="3" t="s">
        <v>7238</v>
      </c>
      <c r="F346" s="3">
        <v>6.2</v>
      </c>
      <c r="G346" s="3" t="s">
        <v>12099</v>
      </c>
      <c r="H346" s="3"/>
    </row>
    <row r="347" spans="1:8" ht="75" x14ac:dyDescent="0.25">
      <c r="A347" s="3" t="s">
        <v>12097</v>
      </c>
      <c r="B347" s="3" t="s">
        <v>7419</v>
      </c>
      <c r="C347" s="3" t="s">
        <v>7420</v>
      </c>
      <c r="D347" s="3">
        <v>519</v>
      </c>
      <c r="E347" s="3" t="s">
        <v>7179</v>
      </c>
      <c r="F347" s="3">
        <v>5</v>
      </c>
      <c r="G347" s="3" t="s">
        <v>7421</v>
      </c>
      <c r="H347" s="3"/>
    </row>
    <row r="348" spans="1:8" ht="240" x14ac:dyDescent="0.25">
      <c r="A348" s="3" t="s">
        <v>12097</v>
      </c>
      <c r="B348" s="3" t="s">
        <v>7422</v>
      </c>
      <c r="C348" s="3" t="s">
        <v>7423</v>
      </c>
      <c r="D348" s="3">
        <v>518</v>
      </c>
      <c r="E348" s="3" t="s">
        <v>7179</v>
      </c>
      <c r="F348" s="3">
        <v>5</v>
      </c>
      <c r="G348" s="3" t="s">
        <v>7424</v>
      </c>
      <c r="H348" s="3"/>
    </row>
    <row r="349" spans="1:8" ht="60" x14ac:dyDescent="0.25">
      <c r="A349" s="3" t="s">
        <v>12097</v>
      </c>
      <c r="B349" s="3" t="s">
        <v>7425</v>
      </c>
      <c r="C349" s="3" t="s">
        <v>7426</v>
      </c>
      <c r="D349" s="3">
        <v>516</v>
      </c>
      <c r="E349" s="3" t="s">
        <v>7200</v>
      </c>
      <c r="F349" s="3">
        <v>8</v>
      </c>
      <c r="G349" s="3" t="s">
        <v>12099</v>
      </c>
      <c r="H349" s="3"/>
    </row>
    <row r="350" spans="1:8" ht="135" x14ac:dyDescent="0.25">
      <c r="A350" s="3" t="s">
        <v>12097</v>
      </c>
      <c r="B350" s="3" t="s">
        <v>7427</v>
      </c>
      <c r="C350" s="3" t="s">
        <v>7428</v>
      </c>
      <c r="D350" s="3">
        <v>1169</v>
      </c>
      <c r="E350" s="3" t="s">
        <v>7179</v>
      </c>
      <c r="F350" s="3">
        <v>5</v>
      </c>
      <c r="G350" s="3" t="s">
        <v>7429</v>
      </c>
      <c r="H350" s="3"/>
    </row>
    <row r="351" spans="1:8" ht="75" x14ac:dyDescent="0.25">
      <c r="A351" s="3" t="s">
        <v>12097</v>
      </c>
      <c r="B351" s="3" t="s">
        <v>7431</v>
      </c>
      <c r="C351" s="3" t="s">
        <v>7432</v>
      </c>
      <c r="D351" s="3">
        <v>759</v>
      </c>
      <c r="E351" s="3" t="s">
        <v>7182</v>
      </c>
      <c r="F351" s="3">
        <v>8</v>
      </c>
      <c r="G351" s="3" t="s">
        <v>12099</v>
      </c>
      <c r="H351" s="3"/>
    </row>
    <row r="352" spans="1:8" ht="105" x14ac:dyDescent="0.25">
      <c r="A352" s="3" t="s">
        <v>12097</v>
      </c>
      <c r="B352" s="3" t="s">
        <v>7433</v>
      </c>
      <c r="C352" s="3" t="s">
        <v>7434</v>
      </c>
      <c r="D352" s="3">
        <v>624</v>
      </c>
      <c r="E352" s="3" t="s">
        <v>7179</v>
      </c>
      <c r="F352" s="3">
        <v>5</v>
      </c>
      <c r="G352" s="3" t="s">
        <v>7435</v>
      </c>
      <c r="H352" s="3"/>
    </row>
    <row r="353" spans="1:8" ht="30" x14ac:dyDescent="0.25">
      <c r="A353" s="3" t="s">
        <v>12097</v>
      </c>
      <c r="B353" s="3" t="s">
        <v>7436</v>
      </c>
      <c r="C353" s="3" t="s">
        <v>7437</v>
      </c>
      <c r="D353" s="3">
        <v>1016</v>
      </c>
      <c r="E353" s="3" t="s">
        <v>7238</v>
      </c>
      <c r="F353" s="3">
        <v>2.2000000000000002</v>
      </c>
      <c r="G353" s="3" t="s">
        <v>12099</v>
      </c>
      <c r="H353" s="3"/>
    </row>
    <row r="354" spans="1:8" ht="30" x14ac:dyDescent="0.25">
      <c r="A354" s="3" t="s">
        <v>12097</v>
      </c>
      <c r="B354" s="3" t="s">
        <v>7438</v>
      </c>
      <c r="C354" s="3" t="s">
        <v>7439</v>
      </c>
      <c r="D354" s="3">
        <v>1014</v>
      </c>
      <c r="E354" s="3" t="s">
        <v>7220</v>
      </c>
      <c r="F354" s="3">
        <v>2</v>
      </c>
      <c r="G354" s="3" t="s">
        <v>12099</v>
      </c>
      <c r="H354" s="3"/>
    </row>
    <row r="355" spans="1:8" ht="30" x14ac:dyDescent="0.25">
      <c r="A355" s="3" t="s">
        <v>12097</v>
      </c>
      <c r="B355" s="3" t="s">
        <v>7440</v>
      </c>
      <c r="C355" s="3" t="s">
        <v>7441</v>
      </c>
      <c r="D355" s="3">
        <v>1015</v>
      </c>
      <c r="E355" s="3" t="s">
        <v>7220</v>
      </c>
      <c r="F355" s="3">
        <v>4</v>
      </c>
      <c r="G355" s="3" t="s">
        <v>12099</v>
      </c>
      <c r="H355" s="3"/>
    </row>
    <row r="356" spans="1:8" ht="75" x14ac:dyDescent="0.25">
      <c r="A356" s="3" t="s">
        <v>12097</v>
      </c>
      <c r="B356" s="3" t="s">
        <v>7442</v>
      </c>
      <c r="C356" s="3" t="s">
        <v>7443</v>
      </c>
      <c r="D356" s="3">
        <v>584</v>
      </c>
      <c r="E356" s="3" t="s">
        <v>7179</v>
      </c>
      <c r="F356" s="3">
        <v>5</v>
      </c>
      <c r="G356" s="3" t="s">
        <v>7444</v>
      </c>
      <c r="H356" s="3"/>
    </row>
    <row r="357" spans="1:8" ht="45" x14ac:dyDescent="0.25">
      <c r="A357" s="3" t="s">
        <v>12097</v>
      </c>
      <c r="B357" s="3" t="s">
        <v>7452</v>
      </c>
      <c r="C357" s="3" t="s">
        <v>7453</v>
      </c>
      <c r="D357" s="3">
        <v>1877</v>
      </c>
      <c r="E357" s="3" t="s">
        <v>7182</v>
      </c>
      <c r="F357" s="3">
        <v>50</v>
      </c>
      <c r="G357" s="3" t="s">
        <v>12099</v>
      </c>
      <c r="H357" s="3"/>
    </row>
    <row r="358" spans="1:8" ht="30" x14ac:dyDescent="0.25">
      <c r="A358" s="3" t="s">
        <v>12097</v>
      </c>
      <c r="B358" s="3" t="s">
        <v>7455</v>
      </c>
      <c r="C358" s="3" t="s">
        <v>7456</v>
      </c>
      <c r="D358" s="3">
        <v>1328</v>
      </c>
      <c r="E358" s="3" t="s">
        <v>7182</v>
      </c>
      <c r="F358" s="3">
        <v>45</v>
      </c>
      <c r="G358" s="3" t="s">
        <v>12099</v>
      </c>
      <c r="H358" s="3"/>
    </row>
    <row r="359" spans="1:8" ht="45" x14ac:dyDescent="0.25">
      <c r="A359" s="3" t="s">
        <v>12097</v>
      </c>
      <c r="B359" s="3" t="s">
        <v>7457</v>
      </c>
      <c r="C359" s="3" t="s">
        <v>7458</v>
      </c>
      <c r="D359" s="3">
        <v>1327</v>
      </c>
      <c r="E359" s="3" t="s">
        <v>7220</v>
      </c>
      <c r="F359" s="3">
        <v>3</v>
      </c>
      <c r="G359" s="3" t="s">
        <v>12099</v>
      </c>
      <c r="H359" s="3"/>
    </row>
    <row r="360" spans="1:8" ht="60" x14ac:dyDescent="0.25">
      <c r="A360" s="3" t="s">
        <v>12097</v>
      </c>
      <c r="B360" s="3" t="s">
        <v>7459</v>
      </c>
      <c r="C360" s="3" t="s">
        <v>7460</v>
      </c>
      <c r="D360" s="3">
        <v>1325</v>
      </c>
      <c r="E360" s="3" t="s">
        <v>7182</v>
      </c>
      <c r="F360" s="3">
        <v>45</v>
      </c>
      <c r="G360" s="3" t="s">
        <v>12099</v>
      </c>
      <c r="H360" s="3"/>
    </row>
    <row r="361" spans="1:8" ht="30" x14ac:dyDescent="0.25">
      <c r="A361" s="3" t="s">
        <v>12097</v>
      </c>
      <c r="B361" s="3" t="s">
        <v>7461</v>
      </c>
      <c r="C361" s="3" t="s">
        <v>7462</v>
      </c>
      <c r="D361" s="3">
        <v>1330</v>
      </c>
      <c r="E361" s="3" t="s">
        <v>7182</v>
      </c>
      <c r="F361" s="3">
        <v>6</v>
      </c>
      <c r="G361" s="3" t="s">
        <v>12099</v>
      </c>
      <c r="H361" s="3"/>
    </row>
    <row r="362" spans="1:8" ht="30" x14ac:dyDescent="0.25">
      <c r="A362" s="3" t="s">
        <v>12097</v>
      </c>
      <c r="B362" s="3" t="s">
        <v>7463</v>
      </c>
      <c r="C362" s="3" t="s">
        <v>7464</v>
      </c>
      <c r="D362" s="3">
        <v>1332</v>
      </c>
      <c r="E362" s="3" t="s">
        <v>7182</v>
      </c>
      <c r="F362" s="3">
        <v>6</v>
      </c>
      <c r="G362" s="3" t="s">
        <v>12099</v>
      </c>
      <c r="H362" s="3"/>
    </row>
    <row r="363" spans="1:8" ht="30" x14ac:dyDescent="0.25">
      <c r="A363" s="3" t="s">
        <v>12097</v>
      </c>
      <c r="B363" s="3" t="s">
        <v>7465</v>
      </c>
      <c r="C363" s="3" t="s">
        <v>7466</v>
      </c>
      <c r="D363" s="3">
        <v>1329</v>
      </c>
      <c r="E363" s="3" t="s">
        <v>7182</v>
      </c>
      <c r="F363" s="3">
        <v>6</v>
      </c>
      <c r="G363" s="3" t="s">
        <v>12099</v>
      </c>
      <c r="H363" s="3"/>
    </row>
    <row r="364" spans="1:8" ht="60" x14ac:dyDescent="0.25">
      <c r="A364" s="3" t="s">
        <v>12097</v>
      </c>
      <c r="B364" s="3" t="s">
        <v>7467</v>
      </c>
      <c r="C364" s="3" t="s">
        <v>7468</v>
      </c>
      <c r="D364" s="3">
        <v>1331</v>
      </c>
      <c r="E364" s="3" t="s">
        <v>7182</v>
      </c>
      <c r="F364" s="3">
        <v>6</v>
      </c>
      <c r="G364" s="3" t="s">
        <v>12099</v>
      </c>
      <c r="H364" s="3"/>
    </row>
    <row r="365" spans="1:8" ht="30" x14ac:dyDescent="0.25">
      <c r="A365" s="3" t="s">
        <v>12097</v>
      </c>
      <c r="B365" s="3" t="s">
        <v>7469</v>
      </c>
      <c r="C365" s="3" t="s">
        <v>7470</v>
      </c>
      <c r="D365" s="3">
        <v>1324</v>
      </c>
      <c r="E365" s="3" t="s">
        <v>7182</v>
      </c>
      <c r="F365" s="3">
        <v>30</v>
      </c>
      <c r="G365" s="3" t="s">
        <v>12099</v>
      </c>
      <c r="H365" s="3"/>
    </row>
    <row r="366" spans="1:8" ht="60" x14ac:dyDescent="0.25">
      <c r="A366" s="3" t="s">
        <v>12097</v>
      </c>
      <c r="B366" s="3" t="s">
        <v>7471</v>
      </c>
      <c r="C366" s="3" t="s">
        <v>7472</v>
      </c>
      <c r="D366" s="3">
        <v>1326</v>
      </c>
      <c r="E366" s="3" t="s">
        <v>7179</v>
      </c>
      <c r="F366" s="3">
        <v>5</v>
      </c>
      <c r="G366" s="3" t="s">
        <v>7473</v>
      </c>
      <c r="H366" s="3"/>
    </row>
    <row r="367" spans="1:8" ht="30" x14ac:dyDescent="0.25">
      <c r="A367" s="3" t="s">
        <v>12097</v>
      </c>
      <c r="B367" s="3" t="s">
        <v>7474</v>
      </c>
      <c r="C367" s="3" t="s">
        <v>7475</v>
      </c>
      <c r="D367" s="3">
        <v>1336</v>
      </c>
      <c r="E367" s="3" t="s">
        <v>7182</v>
      </c>
      <c r="F367" s="3">
        <v>10</v>
      </c>
      <c r="G367" s="3" t="s">
        <v>12099</v>
      </c>
      <c r="H367" s="3"/>
    </row>
    <row r="368" spans="1:8" ht="60" x14ac:dyDescent="0.25">
      <c r="A368" s="3" t="s">
        <v>12097</v>
      </c>
      <c r="B368" s="3" t="s">
        <v>7476</v>
      </c>
      <c r="C368" s="3" t="s">
        <v>7477</v>
      </c>
      <c r="D368" s="3">
        <v>1334</v>
      </c>
      <c r="E368" s="3" t="s">
        <v>7182</v>
      </c>
      <c r="F368" s="3">
        <v>45</v>
      </c>
      <c r="G368" s="3" t="s">
        <v>12099</v>
      </c>
      <c r="H368" s="3"/>
    </row>
    <row r="369" spans="1:8" ht="45" x14ac:dyDescent="0.25">
      <c r="A369" s="3" t="s">
        <v>12097</v>
      </c>
      <c r="B369" s="3" t="s">
        <v>7478</v>
      </c>
      <c r="C369" s="3" t="s">
        <v>7479</v>
      </c>
      <c r="D369" s="3">
        <v>1339</v>
      </c>
      <c r="E369" s="3" t="s">
        <v>7182</v>
      </c>
      <c r="F369" s="3">
        <v>6</v>
      </c>
      <c r="G369" s="3" t="s">
        <v>12099</v>
      </c>
      <c r="H369" s="3"/>
    </row>
    <row r="370" spans="1:8" ht="45" x14ac:dyDescent="0.25">
      <c r="A370" s="3" t="s">
        <v>12097</v>
      </c>
      <c r="B370" s="3" t="s">
        <v>7480</v>
      </c>
      <c r="C370" s="3" t="s">
        <v>7481</v>
      </c>
      <c r="D370" s="3">
        <v>1338</v>
      </c>
      <c r="E370" s="3" t="s">
        <v>7182</v>
      </c>
      <c r="F370" s="3">
        <v>30</v>
      </c>
      <c r="G370" s="3" t="s">
        <v>12099</v>
      </c>
      <c r="H370" s="3"/>
    </row>
    <row r="371" spans="1:8" ht="45" x14ac:dyDescent="0.25">
      <c r="A371" s="3" t="s">
        <v>12097</v>
      </c>
      <c r="B371" s="3" t="s">
        <v>7482</v>
      </c>
      <c r="C371" s="3" t="s">
        <v>7483</v>
      </c>
      <c r="D371" s="3">
        <v>1333</v>
      </c>
      <c r="E371" s="3" t="s">
        <v>7182</v>
      </c>
      <c r="F371" s="3">
        <v>30</v>
      </c>
      <c r="G371" s="3" t="s">
        <v>12099</v>
      </c>
      <c r="H371" s="3"/>
    </row>
    <row r="372" spans="1:8" ht="45" x14ac:dyDescent="0.25">
      <c r="A372" s="3" t="s">
        <v>12097</v>
      </c>
      <c r="B372" s="3" t="s">
        <v>7484</v>
      </c>
      <c r="C372" s="3" t="s">
        <v>7485</v>
      </c>
      <c r="D372" s="3">
        <v>1335</v>
      </c>
      <c r="E372" s="3" t="s">
        <v>7182</v>
      </c>
      <c r="F372" s="3">
        <v>6</v>
      </c>
      <c r="G372" s="3" t="s">
        <v>12099</v>
      </c>
      <c r="H372" s="3"/>
    </row>
    <row r="373" spans="1:8" ht="45" x14ac:dyDescent="0.25">
      <c r="A373" s="3" t="s">
        <v>12097</v>
      </c>
      <c r="B373" s="3" t="s">
        <v>7486</v>
      </c>
      <c r="C373" s="3" t="s">
        <v>7483</v>
      </c>
      <c r="D373" s="3">
        <v>1337</v>
      </c>
      <c r="E373" s="3" t="s">
        <v>7182</v>
      </c>
      <c r="F373" s="3">
        <v>30</v>
      </c>
      <c r="G373" s="3" t="s">
        <v>12099</v>
      </c>
      <c r="H373" s="3"/>
    </row>
    <row r="374" spans="1:8" ht="360" x14ac:dyDescent="0.25">
      <c r="A374" s="3" t="s">
        <v>12097</v>
      </c>
      <c r="B374" s="3" t="s">
        <v>7487</v>
      </c>
      <c r="C374" s="3" t="s">
        <v>7488</v>
      </c>
      <c r="D374" s="3">
        <v>429</v>
      </c>
      <c r="E374" s="3" t="s">
        <v>7179</v>
      </c>
      <c r="F374" s="3">
        <v>5</v>
      </c>
      <c r="G374" s="3" t="s">
        <v>7249</v>
      </c>
      <c r="H374" s="3"/>
    </row>
    <row r="375" spans="1:8" ht="30" x14ac:dyDescent="0.25">
      <c r="A375" s="3" t="s">
        <v>12097</v>
      </c>
      <c r="B375" s="3" t="s">
        <v>7489</v>
      </c>
      <c r="C375" s="3" t="s">
        <v>7490</v>
      </c>
      <c r="D375" s="3">
        <v>1471</v>
      </c>
      <c r="E375" s="3" t="s">
        <v>7220</v>
      </c>
      <c r="F375" s="3">
        <v>5</v>
      </c>
      <c r="G375" s="3" t="s">
        <v>12099</v>
      </c>
      <c r="H375" s="3"/>
    </row>
    <row r="376" spans="1:8" ht="45" x14ac:dyDescent="0.25">
      <c r="A376" s="3" t="s">
        <v>12097</v>
      </c>
      <c r="B376" s="3" t="s">
        <v>7491</v>
      </c>
      <c r="C376" s="3" t="s">
        <v>7492</v>
      </c>
      <c r="D376" s="3">
        <v>86</v>
      </c>
      <c r="E376" s="3" t="s">
        <v>7182</v>
      </c>
      <c r="F376" s="3">
        <v>45</v>
      </c>
      <c r="G376" s="3" t="s">
        <v>12099</v>
      </c>
      <c r="H376" s="3"/>
    </row>
    <row r="377" spans="1:8" ht="30" x14ac:dyDescent="0.25">
      <c r="A377" s="3" t="s">
        <v>12097</v>
      </c>
      <c r="B377" s="3" t="s">
        <v>7493</v>
      </c>
      <c r="C377" s="3" t="s">
        <v>7494</v>
      </c>
      <c r="D377" s="3">
        <v>87</v>
      </c>
      <c r="E377" s="3" t="s">
        <v>7200</v>
      </c>
      <c r="F377" s="3">
        <v>8</v>
      </c>
      <c r="G377" s="3" t="s">
        <v>12099</v>
      </c>
      <c r="H377" s="3"/>
    </row>
    <row r="378" spans="1:8" ht="105" x14ac:dyDescent="0.25">
      <c r="A378" s="3" t="s">
        <v>12097</v>
      </c>
      <c r="B378" s="3" t="s">
        <v>7495</v>
      </c>
      <c r="C378" s="3" t="s">
        <v>7496</v>
      </c>
      <c r="D378" s="3">
        <v>88</v>
      </c>
      <c r="E378" s="3" t="s">
        <v>7179</v>
      </c>
      <c r="F378" s="3">
        <v>5</v>
      </c>
      <c r="G378" s="3" t="s">
        <v>7497</v>
      </c>
      <c r="H378" s="3"/>
    </row>
    <row r="379" spans="1:8" ht="30" x14ac:dyDescent="0.25">
      <c r="A379" s="3" t="s">
        <v>12097</v>
      </c>
      <c r="B379" s="3" t="s">
        <v>7499</v>
      </c>
      <c r="C379" s="3" t="s">
        <v>7500</v>
      </c>
      <c r="D379" s="3">
        <v>1009</v>
      </c>
      <c r="E379" s="3" t="s">
        <v>7220</v>
      </c>
      <c r="F379" s="3">
        <v>4</v>
      </c>
      <c r="G379" s="3" t="s">
        <v>12099</v>
      </c>
      <c r="H379" s="3"/>
    </row>
    <row r="380" spans="1:8" ht="30" x14ac:dyDescent="0.25">
      <c r="A380" s="3" t="s">
        <v>12097</v>
      </c>
      <c r="B380" s="3" t="s">
        <v>7501</v>
      </c>
      <c r="C380" s="3" t="s">
        <v>7502</v>
      </c>
      <c r="D380" s="3">
        <v>1035</v>
      </c>
      <c r="E380" s="3" t="s">
        <v>7238</v>
      </c>
      <c r="F380" s="3">
        <v>8.1999999999999993</v>
      </c>
      <c r="G380" s="3" t="s">
        <v>12099</v>
      </c>
      <c r="H380" s="3"/>
    </row>
    <row r="381" spans="1:8" ht="30" x14ac:dyDescent="0.25">
      <c r="A381" s="3" t="s">
        <v>12097</v>
      </c>
      <c r="B381" s="3" t="s">
        <v>7503</v>
      </c>
      <c r="C381" s="3" t="s">
        <v>7504</v>
      </c>
      <c r="D381" s="3">
        <v>1012</v>
      </c>
      <c r="E381" s="3" t="s">
        <v>7238</v>
      </c>
      <c r="F381" s="3">
        <v>8.1999999999999993</v>
      </c>
      <c r="G381" s="3" t="s">
        <v>12099</v>
      </c>
      <c r="H381" s="3"/>
    </row>
    <row r="382" spans="1:8" ht="409.5" x14ac:dyDescent="0.25">
      <c r="A382" s="3" t="s">
        <v>12097</v>
      </c>
      <c r="B382" s="3" t="s">
        <v>7505</v>
      </c>
      <c r="C382" s="3" t="s">
        <v>12104</v>
      </c>
      <c r="D382" s="3">
        <v>971</v>
      </c>
      <c r="E382" s="3" t="s">
        <v>7179</v>
      </c>
      <c r="F382" s="3">
        <v>5</v>
      </c>
      <c r="G382" s="3" t="s">
        <v>7506</v>
      </c>
      <c r="H382" s="3"/>
    </row>
    <row r="383" spans="1:8" ht="45" x14ac:dyDescent="0.25">
      <c r="A383" s="3" t="s">
        <v>12097</v>
      </c>
      <c r="B383" s="3" t="s">
        <v>7507</v>
      </c>
      <c r="C383" s="3" t="s">
        <v>7508</v>
      </c>
      <c r="D383" s="3">
        <v>977</v>
      </c>
      <c r="E383" s="3" t="s">
        <v>7200</v>
      </c>
      <c r="F383" s="3">
        <v>8</v>
      </c>
      <c r="G383" s="3" t="s">
        <v>12099</v>
      </c>
      <c r="H383" s="3"/>
    </row>
    <row r="384" spans="1:8" ht="30" x14ac:dyDescent="0.25">
      <c r="A384" s="3" t="s">
        <v>12097</v>
      </c>
      <c r="B384" s="3" t="s">
        <v>12105</v>
      </c>
      <c r="C384" s="3" t="s">
        <v>12106</v>
      </c>
      <c r="D384" s="3">
        <v>1034</v>
      </c>
      <c r="E384" s="3" t="s">
        <v>7200</v>
      </c>
      <c r="F384" s="3">
        <v>8</v>
      </c>
      <c r="G384" s="3" t="s">
        <v>12099</v>
      </c>
      <c r="H384" s="3"/>
    </row>
    <row r="385" spans="1:8" ht="75" x14ac:dyDescent="0.25">
      <c r="A385" s="3" t="s">
        <v>12097</v>
      </c>
      <c r="B385" s="3" t="s">
        <v>7509</v>
      </c>
      <c r="C385" s="3" t="s">
        <v>7510</v>
      </c>
      <c r="D385" s="3">
        <v>1552</v>
      </c>
      <c r="E385" s="3" t="s">
        <v>7200</v>
      </c>
      <c r="F385" s="3">
        <v>8</v>
      </c>
      <c r="G385" s="3" t="s">
        <v>12099</v>
      </c>
      <c r="H385" s="3"/>
    </row>
    <row r="386" spans="1:8" ht="30" x14ac:dyDescent="0.25">
      <c r="A386" s="3" t="s">
        <v>12097</v>
      </c>
      <c r="B386" s="3" t="s">
        <v>7511</v>
      </c>
      <c r="C386" s="3" t="s">
        <v>7512</v>
      </c>
      <c r="D386" s="3">
        <v>1551</v>
      </c>
      <c r="E386" s="3" t="s">
        <v>7200</v>
      </c>
      <c r="F386" s="3">
        <v>8</v>
      </c>
      <c r="G386" s="3" t="s">
        <v>12099</v>
      </c>
      <c r="H386" s="3"/>
    </row>
    <row r="387" spans="1:8" ht="165" x14ac:dyDescent="0.25">
      <c r="A387" s="3" t="s">
        <v>12097</v>
      </c>
      <c r="B387" s="3" t="s">
        <v>7513</v>
      </c>
      <c r="C387" s="3" t="s">
        <v>7514</v>
      </c>
      <c r="D387" s="3">
        <v>972</v>
      </c>
      <c r="E387" s="3" t="s">
        <v>7179</v>
      </c>
      <c r="F387" s="3">
        <v>5</v>
      </c>
      <c r="G387" s="3" t="s">
        <v>7515</v>
      </c>
      <c r="H387" s="3"/>
    </row>
    <row r="388" spans="1:8" ht="30" x14ac:dyDescent="0.25">
      <c r="A388" s="3" t="s">
        <v>12097</v>
      </c>
      <c r="B388" s="3" t="s">
        <v>7516</v>
      </c>
      <c r="C388" s="3" t="s">
        <v>7517</v>
      </c>
      <c r="D388" s="3">
        <v>1010</v>
      </c>
      <c r="E388" s="3" t="s">
        <v>7238</v>
      </c>
      <c r="F388" s="3">
        <v>8.1999999999999993</v>
      </c>
      <c r="G388" s="3" t="s">
        <v>12099</v>
      </c>
      <c r="H388" s="3"/>
    </row>
    <row r="389" spans="1:8" ht="30" x14ac:dyDescent="0.25">
      <c r="A389" s="3" t="s">
        <v>12097</v>
      </c>
      <c r="B389" s="3" t="s">
        <v>7518</v>
      </c>
      <c r="C389" s="3" t="s">
        <v>7519</v>
      </c>
      <c r="D389" s="3">
        <v>976</v>
      </c>
      <c r="E389" s="3" t="s">
        <v>7200</v>
      </c>
      <c r="F389" s="3">
        <v>8</v>
      </c>
      <c r="G389" s="3" t="s">
        <v>12099</v>
      </c>
      <c r="H389" s="3"/>
    </row>
    <row r="390" spans="1:8" ht="45" x14ac:dyDescent="0.25">
      <c r="A390" s="3" t="s">
        <v>12097</v>
      </c>
      <c r="B390" s="3" t="s">
        <v>7520</v>
      </c>
      <c r="C390" s="3" t="s">
        <v>7521</v>
      </c>
      <c r="D390" s="3">
        <v>974</v>
      </c>
      <c r="E390" s="3" t="s">
        <v>7182</v>
      </c>
      <c r="F390" s="3">
        <v>80</v>
      </c>
      <c r="G390" s="3" t="s">
        <v>12099</v>
      </c>
      <c r="H390" s="3"/>
    </row>
    <row r="391" spans="1:8" ht="30" x14ac:dyDescent="0.25">
      <c r="A391" s="3" t="s">
        <v>12097</v>
      </c>
      <c r="B391" s="3" t="s">
        <v>7522</v>
      </c>
      <c r="C391" s="3" t="s">
        <v>7523</v>
      </c>
      <c r="D391" s="3">
        <v>975</v>
      </c>
      <c r="E391" s="3" t="s">
        <v>7200</v>
      </c>
      <c r="F391" s="3">
        <v>8</v>
      </c>
      <c r="G391" s="3" t="s">
        <v>12099</v>
      </c>
      <c r="H391" s="3"/>
    </row>
    <row r="392" spans="1:8" ht="315" x14ac:dyDescent="0.25">
      <c r="A392" s="3" t="s">
        <v>12097</v>
      </c>
      <c r="B392" s="3" t="s">
        <v>7524</v>
      </c>
      <c r="C392" s="3" t="s">
        <v>7525</v>
      </c>
      <c r="D392" s="3">
        <v>1553</v>
      </c>
      <c r="E392" s="3" t="s">
        <v>7179</v>
      </c>
      <c r="F392" s="3">
        <v>5</v>
      </c>
      <c r="G392" s="3" t="s">
        <v>7526</v>
      </c>
      <c r="H392" s="3"/>
    </row>
    <row r="393" spans="1:8" ht="315" x14ac:dyDescent="0.25">
      <c r="A393" s="3" t="s">
        <v>12097</v>
      </c>
      <c r="B393" s="3" t="s">
        <v>7527</v>
      </c>
      <c r="C393" s="3" t="s">
        <v>7528</v>
      </c>
      <c r="D393" s="3">
        <v>973</v>
      </c>
      <c r="E393" s="3" t="s">
        <v>7179</v>
      </c>
      <c r="F393" s="3">
        <v>5</v>
      </c>
      <c r="G393" s="3" t="s">
        <v>7526</v>
      </c>
      <c r="H393" s="3"/>
    </row>
    <row r="394" spans="1:8" ht="45" x14ac:dyDescent="0.25">
      <c r="A394" s="3" t="s">
        <v>12097</v>
      </c>
      <c r="B394" s="3" t="s">
        <v>7529</v>
      </c>
      <c r="C394" s="3" t="s">
        <v>7530</v>
      </c>
      <c r="D394" s="3">
        <v>848</v>
      </c>
      <c r="E394" s="3" t="s">
        <v>7200</v>
      </c>
      <c r="F394" s="3">
        <v>8</v>
      </c>
      <c r="G394" s="3" t="s">
        <v>12099</v>
      </c>
      <c r="H394" s="3"/>
    </row>
    <row r="395" spans="1:8" ht="60" x14ac:dyDescent="0.25">
      <c r="A395" s="3" t="s">
        <v>12097</v>
      </c>
      <c r="B395" s="3" t="s">
        <v>7531</v>
      </c>
      <c r="C395" s="3" t="s">
        <v>7532</v>
      </c>
      <c r="D395" s="3">
        <v>847</v>
      </c>
      <c r="E395" s="3" t="s">
        <v>7179</v>
      </c>
      <c r="F395" s="3">
        <v>5</v>
      </c>
      <c r="G395" s="3" t="s">
        <v>7533</v>
      </c>
      <c r="H395" s="3"/>
    </row>
    <row r="396" spans="1:8" ht="45" x14ac:dyDescent="0.25">
      <c r="A396" s="3" t="s">
        <v>12097</v>
      </c>
      <c r="B396" s="3" t="s">
        <v>7534</v>
      </c>
      <c r="C396" s="3" t="s">
        <v>7535</v>
      </c>
      <c r="D396" s="3">
        <v>814</v>
      </c>
      <c r="E396" s="3" t="s">
        <v>7200</v>
      </c>
      <c r="F396" s="3">
        <v>8</v>
      </c>
      <c r="G396" s="3" t="s">
        <v>12099</v>
      </c>
      <c r="H396" s="3"/>
    </row>
    <row r="397" spans="1:8" ht="60" x14ac:dyDescent="0.25">
      <c r="A397" s="3" t="s">
        <v>12097</v>
      </c>
      <c r="B397" s="3" t="s">
        <v>7536</v>
      </c>
      <c r="C397" s="3" t="s">
        <v>7537</v>
      </c>
      <c r="D397" s="3">
        <v>845</v>
      </c>
      <c r="E397" s="3" t="s">
        <v>7238</v>
      </c>
      <c r="F397" s="3">
        <v>3.1</v>
      </c>
      <c r="G397" s="3" t="s">
        <v>12099</v>
      </c>
      <c r="H397" s="3"/>
    </row>
    <row r="398" spans="1:8" ht="150" x14ac:dyDescent="0.25">
      <c r="A398" s="3" t="s">
        <v>12097</v>
      </c>
      <c r="B398" s="3" t="s">
        <v>7538</v>
      </c>
      <c r="C398" s="3" t="s">
        <v>7539</v>
      </c>
      <c r="D398" s="3">
        <v>570</v>
      </c>
      <c r="E398" s="3" t="s">
        <v>7179</v>
      </c>
      <c r="F398" s="3">
        <v>5</v>
      </c>
      <c r="G398" s="3" t="s">
        <v>7540</v>
      </c>
      <c r="H398" s="3"/>
    </row>
    <row r="399" spans="1:8" ht="409.5" x14ac:dyDescent="0.25">
      <c r="A399" s="3" t="s">
        <v>12097</v>
      </c>
      <c r="B399" s="3" t="s">
        <v>7541</v>
      </c>
      <c r="C399" s="3" t="s">
        <v>7542</v>
      </c>
      <c r="D399" s="3">
        <v>712</v>
      </c>
      <c r="E399" s="3" t="s">
        <v>7179</v>
      </c>
      <c r="F399" s="3">
        <v>5</v>
      </c>
      <c r="G399" s="3" t="s">
        <v>7543</v>
      </c>
      <c r="H399" s="3"/>
    </row>
    <row r="400" spans="1:8" ht="90" x14ac:dyDescent="0.25">
      <c r="A400" s="3" t="s">
        <v>12097</v>
      </c>
      <c r="B400" s="3" t="s">
        <v>7544</v>
      </c>
      <c r="C400" s="3" t="s">
        <v>7545</v>
      </c>
      <c r="D400" s="3">
        <v>1648</v>
      </c>
      <c r="E400" s="3" t="s">
        <v>7179</v>
      </c>
      <c r="F400" s="3">
        <v>5</v>
      </c>
      <c r="G400" s="3" t="s">
        <v>7546</v>
      </c>
      <c r="H400" s="3"/>
    </row>
    <row r="401" spans="1:8" ht="105" x14ac:dyDescent="0.25">
      <c r="A401" s="3" t="s">
        <v>12097</v>
      </c>
      <c r="B401" s="3" t="s">
        <v>7548</v>
      </c>
      <c r="C401" s="3" t="s">
        <v>7549</v>
      </c>
      <c r="D401" s="3">
        <v>800</v>
      </c>
      <c r="E401" s="3" t="s">
        <v>7182</v>
      </c>
      <c r="F401" s="3">
        <v>35</v>
      </c>
      <c r="G401" s="3" t="s">
        <v>12099</v>
      </c>
      <c r="H401" s="3"/>
    </row>
    <row r="402" spans="1:8" ht="45" x14ac:dyDescent="0.25">
      <c r="A402" s="3" t="s">
        <v>12097</v>
      </c>
      <c r="B402" s="3" t="s">
        <v>7550</v>
      </c>
      <c r="C402" s="3" t="s">
        <v>7551</v>
      </c>
      <c r="D402" s="3">
        <v>1507</v>
      </c>
      <c r="E402" s="3" t="s">
        <v>7182</v>
      </c>
      <c r="F402" s="3">
        <v>45</v>
      </c>
      <c r="G402" s="3" t="s">
        <v>12099</v>
      </c>
      <c r="H402" s="3"/>
    </row>
    <row r="403" spans="1:8" ht="409.5" x14ac:dyDescent="0.25">
      <c r="A403" s="3" t="s">
        <v>12097</v>
      </c>
      <c r="B403" s="3" t="s">
        <v>7552</v>
      </c>
      <c r="C403" s="3" t="s">
        <v>7553</v>
      </c>
      <c r="D403" s="3">
        <v>1173</v>
      </c>
      <c r="E403" s="3" t="s">
        <v>7179</v>
      </c>
      <c r="F403" s="3">
        <v>5</v>
      </c>
      <c r="G403" s="3" t="s">
        <v>7554</v>
      </c>
      <c r="H403" s="3"/>
    </row>
    <row r="404" spans="1:8" ht="45" x14ac:dyDescent="0.25">
      <c r="A404" s="3" t="s">
        <v>12097</v>
      </c>
      <c r="B404" s="3" t="s">
        <v>7556</v>
      </c>
      <c r="C404" s="3" t="s">
        <v>7557</v>
      </c>
      <c r="D404" s="3">
        <v>1419</v>
      </c>
      <c r="E404" s="3" t="s">
        <v>7179</v>
      </c>
      <c r="F404" s="3">
        <v>5</v>
      </c>
      <c r="G404" s="3" t="s">
        <v>12098</v>
      </c>
      <c r="H404" s="3"/>
    </row>
    <row r="405" spans="1:8" ht="240" x14ac:dyDescent="0.25">
      <c r="A405" s="3" t="s">
        <v>12097</v>
      </c>
      <c r="B405" s="3" t="s">
        <v>7558</v>
      </c>
      <c r="C405" s="3" t="s">
        <v>7559</v>
      </c>
      <c r="D405" s="3">
        <v>1246</v>
      </c>
      <c r="E405" s="3" t="s">
        <v>7179</v>
      </c>
      <c r="F405" s="3">
        <v>5</v>
      </c>
      <c r="G405" s="3" t="s">
        <v>7560</v>
      </c>
      <c r="H405" s="3"/>
    </row>
    <row r="406" spans="1:8" ht="60" x14ac:dyDescent="0.25">
      <c r="A406" s="3" t="s">
        <v>12097</v>
      </c>
      <c r="B406" s="3" t="s">
        <v>7561</v>
      </c>
      <c r="C406" s="3" t="s">
        <v>7562</v>
      </c>
      <c r="D406" s="3">
        <v>1572</v>
      </c>
      <c r="E406" s="3" t="s">
        <v>7179</v>
      </c>
      <c r="F406" s="3">
        <v>5</v>
      </c>
      <c r="G406" s="3" t="s">
        <v>7563</v>
      </c>
      <c r="H406" s="3"/>
    </row>
    <row r="407" spans="1:8" ht="30" x14ac:dyDescent="0.25">
      <c r="A407" s="3" t="s">
        <v>12097</v>
      </c>
      <c r="B407" s="3" t="s">
        <v>7564</v>
      </c>
      <c r="C407" s="3" t="s">
        <v>7565</v>
      </c>
      <c r="D407" s="3">
        <v>1650</v>
      </c>
      <c r="E407" s="3" t="s">
        <v>7238</v>
      </c>
      <c r="F407" s="3">
        <v>5.2</v>
      </c>
      <c r="G407" s="3" t="s">
        <v>12099</v>
      </c>
      <c r="H407" s="3"/>
    </row>
    <row r="408" spans="1:8" ht="240" x14ac:dyDescent="0.25">
      <c r="A408" s="3" t="s">
        <v>12097</v>
      </c>
      <c r="B408" s="3" t="s">
        <v>7566</v>
      </c>
      <c r="C408" s="3" t="s">
        <v>7567</v>
      </c>
      <c r="D408" s="3">
        <v>1276</v>
      </c>
      <c r="E408" s="3" t="s">
        <v>7179</v>
      </c>
      <c r="F408" s="3">
        <v>5</v>
      </c>
      <c r="G408" s="3" t="s">
        <v>7568</v>
      </c>
      <c r="H408" s="3"/>
    </row>
    <row r="409" spans="1:8" ht="105" x14ac:dyDescent="0.25">
      <c r="A409" s="3" t="s">
        <v>12097</v>
      </c>
      <c r="B409" s="3" t="s">
        <v>7570</v>
      </c>
      <c r="C409" s="3" t="s">
        <v>7571</v>
      </c>
      <c r="D409" s="3">
        <v>640</v>
      </c>
      <c r="E409" s="3" t="s">
        <v>7179</v>
      </c>
      <c r="F409" s="3">
        <v>5</v>
      </c>
      <c r="G409" s="3" t="s">
        <v>7573</v>
      </c>
      <c r="H409" s="3"/>
    </row>
    <row r="410" spans="1:8" ht="90" x14ac:dyDescent="0.25">
      <c r="A410" s="3" t="s">
        <v>12097</v>
      </c>
      <c r="B410" s="3" t="s">
        <v>7570</v>
      </c>
      <c r="C410" s="3" t="s">
        <v>7571</v>
      </c>
      <c r="D410" s="3">
        <v>640</v>
      </c>
      <c r="E410" s="3" t="s">
        <v>7179</v>
      </c>
      <c r="F410" s="3">
        <v>5</v>
      </c>
      <c r="G410" s="3" t="s">
        <v>7572</v>
      </c>
      <c r="H410" s="3"/>
    </row>
    <row r="411" spans="1:8" ht="150" x14ac:dyDescent="0.25">
      <c r="A411" s="3" t="s">
        <v>12097</v>
      </c>
      <c r="B411" s="3" t="s">
        <v>7574</v>
      </c>
      <c r="C411" s="3" t="s">
        <v>7575</v>
      </c>
      <c r="D411" s="3">
        <v>94</v>
      </c>
      <c r="E411" s="3" t="s">
        <v>7179</v>
      </c>
      <c r="F411" s="3">
        <v>5</v>
      </c>
      <c r="G411" s="3" t="s">
        <v>7576</v>
      </c>
      <c r="H411" s="3"/>
    </row>
    <row r="412" spans="1:8" ht="90" x14ac:dyDescent="0.25">
      <c r="A412" s="3" t="s">
        <v>12097</v>
      </c>
      <c r="B412" s="3" t="s">
        <v>7577</v>
      </c>
      <c r="C412" s="3" t="s">
        <v>7578</v>
      </c>
      <c r="D412" s="3">
        <v>1146</v>
      </c>
      <c r="E412" s="3" t="s">
        <v>7179</v>
      </c>
      <c r="F412" s="3">
        <v>5</v>
      </c>
      <c r="G412" s="3" t="s">
        <v>7579</v>
      </c>
      <c r="H412" s="3"/>
    </row>
    <row r="413" spans="1:8" ht="45" x14ac:dyDescent="0.25">
      <c r="A413" s="3" t="s">
        <v>12097</v>
      </c>
      <c r="B413" s="3" t="s">
        <v>7580</v>
      </c>
      <c r="C413" s="3" t="s">
        <v>7581</v>
      </c>
      <c r="D413" s="3">
        <v>953</v>
      </c>
      <c r="E413" s="3" t="s">
        <v>7179</v>
      </c>
      <c r="F413" s="3">
        <v>5</v>
      </c>
      <c r="G413" s="3" t="s">
        <v>12107</v>
      </c>
      <c r="H413" s="3"/>
    </row>
    <row r="414" spans="1:8" ht="75" x14ac:dyDescent="0.25">
      <c r="A414" s="3" t="s">
        <v>12097</v>
      </c>
      <c r="B414" s="3" t="s">
        <v>7583</v>
      </c>
      <c r="C414" s="3" t="s">
        <v>7584</v>
      </c>
      <c r="D414" s="3">
        <v>96</v>
      </c>
      <c r="E414" s="3" t="s">
        <v>7179</v>
      </c>
      <c r="F414" s="3">
        <v>5</v>
      </c>
      <c r="G414" s="3" t="s">
        <v>7585</v>
      </c>
      <c r="H414" s="3"/>
    </row>
    <row r="415" spans="1:8" ht="90" x14ac:dyDescent="0.25">
      <c r="A415" s="3" t="s">
        <v>12097</v>
      </c>
      <c r="B415" s="3" t="s">
        <v>7586</v>
      </c>
      <c r="C415" s="3" t="s">
        <v>7587</v>
      </c>
      <c r="D415" s="3">
        <v>1293</v>
      </c>
      <c r="E415" s="3" t="s">
        <v>7179</v>
      </c>
      <c r="F415" s="3">
        <v>5</v>
      </c>
      <c r="G415" s="3" t="s">
        <v>7588</v>
      </c>
      <c r="H415" s="3"/>
    </row>
    <row r="416" spans="1:8" ht="45" x14ac:dyDescent="0.25">
      <c r="A416" s="3" t="s">
        <v>12097</v>
      </c>
      <c r="B416" s="3" t="s">
        <v>7589</v>
      </c>
      <c r="C416" s="3" t="s">
        <v>7590</v>
      </c>
      <c r="D416" s="3">
        <v>1525</v>
      </c>
      <c r="E416" s="3" t="s">
        <v>7182</v>
      </c>
      <c r="F416" s="3">
        <v>80</v>
      </c>
      <c r="G416" s="3" t="s">
        <v>12099</v>
      </c>
      <c r="H416" s="3"/>
    </row>
    <row r="417" spans="1:8" ht="30" x14ac:dyDescent="0.25">
      <c r="A417" s="3" t="s">
        <v>12097</v>
      </c>
      <c r="B417" s="3" t="s">
        <v>7591</v>
      </c>
      <c r="C417" s="3" t="s">
        <v>7592</v>
      </c>
      <c r="D417" s="3">
        <v>1209</v>
      </c>
      <c r="E417" s="3" t="s">
        <v>7220</v>
      </c>
      <c r="F417" s="3">
        <v>5</v>
      </c>
      <c r="G417" s="3" t="s">
        <v>12099</v>
      </c>
      <c r="H417" s="3"/>
    </row>
    <row r="418" spans="1:8" ht="165" x14ac:dyDescent="0.25">
      <c r="A418" s="3" t="s">
        <v>12097</v>
      </c>
      <c r="B418" s="3" t="s">
        <v>7593</v>
      </c>
      <c r="C418" s="3" t="s">
        <v>7594</v>
      </c>
      <c r="D418" s="3">
        <v>1172</v>
      </c>
      <c r="E418" s="3" t="s">
        <v>7179</v>
      </c>
      <c r="F418" s="3">
        <v>5</v>
      </c>
      <c r="G418" s="3" t="s">
        <v>7595</v>
      </c>
      <c r="H418" s="3"/>
    </row>
    <row r="419" spans="1:8" ht="75" x14ac:dyDescent="0.25">
      <c r="A419" s="3" t="s">
        <v>12097</v>
      </c>
      <c r="B419" s="3" t="s">
        <v>7597</v>
      </c>
      <c r="C419" s="3" t="s">
        <v>7598</v>
      </c>
      <c r="D419" s="3">
        <v>504</v>
      </c>
      <c r="E419" s="3" t="s">
        <v>7238</v>
      </c>
      <c r="F419" s="3">
        <v>6.2</v>
      </c>
      <c r="G419" s="3" t="s">
        <v>12099</v>
      </c>
      <c r="H419" s="3"/>
    </row>
    <row r="420" spans="1:8" ht="75" x14ac:dyDescent="0.25">
      <c r="A420" s="3" t="s">
        <v>12097</v>
      </c>
      <c r="B420" s="3" t="s">
        <v>7599</v>
      </c>
      <c r="C420" s="3" t="s">
        <v>7600</v>
      </c>
      <c r="D420" s="3">
        <v>502</v>
      </c>
      <c r="E420" s="3" t="s">
        <v>7182</v>
      </c>
      <c r="F420" s="3">
        <v>60</v>
      </c>
      <c r="G420" s="3" t="s">
        <v>12099</v>
      </c>
      <c r="H420" s="3"/>
    </row>
    <row r="421" spans="1:8" ht="75" x14ac:dyDescent="0.25">
      <c r="A421" s="3" t="s">
        <v>12097</v>
      </c>
      <c r="B421" s="3" t="s">
        <v>7601</v>
      </c>
      <c r="C421" s="3" t="s">
        <v>7602</v>
      </c>
      <c r="D421" s="3">
        <v>503</v>
      </c>
      <c r="E421" s="3" t="s">
        <v>7182</v>
      </c>
      <c r="F421" s="3">
        <v>60</v>
      </c>
      <c r="G421" s="3" t="s">
        <v>12099</v>
      </c>
      <c r="H421" s="3"/>
    </row>
    <row r="422" spans="1:8" ht="60" x14ac:dyDescent="0.25">
      <c r="A422" s="3" t="s">
        <v>12097</v>
      </c>
      <c r="B422" s="3" t="s">
        <v>7603</v>
      </c>
      <c r="C422" s="3" t="s">
        <v>7604</v>
      </c>
      <c r="D422" s="3">
        <v>368</v>
      </c>
      <c r="E422" s="3" t="s">
        <v>7200</v>
      </c>
      <c r="F422" s="3">
        <v>8</v>
      </c>
      <c r="G422" s="3" t="s">
        <v>12099</v>
      </c>
      <c r="H422" s="3"/>
    </row>
    <row r="423" spans="1:8" ht="180" x14ac:dyDescent="0.25">
      <c r="A423" s="3" t="s">
        <v>12097</v>
      </c>
      <c r="B423" s="3" t="s">
        <v>7611</v>
      </c>
      <c r="C423" s="3" t="s">
        <v>7612</v>
      </c>
      <c r="D423" s="3">
        <v>651</v>
      </c>
      <c r="E423" s="3" t="s">
        <v>7182</v>
      </c>
      <c r="F423" s="3">
        <v>60</v>
      </c>
      <c r="G423" s="3" t="s">
        <v>12099</v>
      </c>
      <c r="H423" s="3"/>
    </row>
    <row r="424" spans="1:8" ht="150" x14ac:dyDescent="0.25">
      <c r="A424" s="3" t="s">
        <v>12097</v>
      </c>
      <c r="B424" s="3" t="s">
        <v>7613</v>
      </c>
      <c r="C424" s="3" t="s">
        <v>7614</v>
      </c>
      <c r="D424" s="3">
        <v>1094</v>
      </c>
      <c r="E424" s="3" t="s">
        <v>7179</v>
      </c>
      <c r="F424" s="3">
        <v>5</v>
      </c>
      <c r="G424" s="3" t="s">
        <v>7615</v>
      </c>
      <c r="H424" s="3"/>
    </row>
    <row r="425" spans="1:8" ht="360" x14ac:dyDescent="0.25">
      <c r="A425" s="3" t="s">
        <v>12097</v>
      </c>
      <c r="B425" s="3" t="s">
        <v>7616</v>
      </c>
      <c r="C425" s="3" t="s">
        <v>7617</v>
      </c>
      <c r="D425" s="3">
        <v>1093</v>
      </c>
      <c r="E425" s="3" t="s">
        <v>7179</v>
      </c>
      <c r="F425" s="3">
        <v>5</v>
      </c>
      <c r="G425" s="3" t="s">
        <v>7618</v>
      </c>
      <c r="H425" s="3"/>
    </row>
    <row r="426" spans="1:8" ht="75" x14ac:dyDescent="0.25">
      <c r="A426" s="3" t="s">
        <v>12097</v>
      </c>
      <c r="B426" s="3" t="s">
        <v>7619</v>
      </c>
      <c r="C426" s="3" t="s">
        <v>7620</v>
      </c>
      <c r="D426" s="3">
        <v>1396</v>
      </c>
      <c r="E426" s="3" t="s">
        <v>7238</v>
      </c>
      <c r="F426" s="3">
        <v>6</v>
      </c>
      <c r="G426" s="3" t="s">
        <v>12099</v>
      </c>
      <c r="H426" s="3"/>
    </row>
    <row r="427" spans="1:8" ht="45" x14ac:dyDescent="0.25">
      <c r="A427" s="3" t="s">
        <v>12097</v>
      </c>
      <c r="B427" s="3" t="s">
        <v>7621</v>
      </c>
      <c r="C427" s="3" t="s">
        <v>7622</v>
      </c>
      <c r="D427" s="3">
        <v>433</v>
      </c>
      <c r="E427" s="3" t="s">
        <v>7182</v>
      </c>
      <c r="F427" s="3">
        <v>60</v>
      </c>
      <c r="G427" s="3" t="s">
        <v>12099</v>
      </c>
      <c r="H427" s="3"/>
    </row>
    <row r="428" spans="1:8" ht="30" x14ac:dyDescent="0.25">
      <c r="A428" s="3" t="s">
        <v>12097</v>
      </c>
      <c r="B428" s="3" t="s">
        <v>7624</v>
      </c>
      <c r="C428" s="3" t="s">
        <v>7625</v>
      </c>
      <c r="D428" s="3">
        <v>767</v>
      </c>
      <c r="E428" s="3" t="s">
        <v>7200</v>
      </c>
      <c r="F428" s="3">
        <v>8</v>
      </c>
      <c r="G428" s="3" t="s">
        <v>12099</v>
      </c>
      <c r="H428" s="3"/>
    </row>
    <row r="429" spans="1:8" ht="285" x14ac:dyDescent="0.25">
      <c r="A429" s="3" t="s">
        <v>12097</v>
      </c>
      <c r="B429" s="3" t="s">
        <v>7626</v>
      </c>
      <c r="C429" s="3" t="s">
        <v>7627</v>
      </c>
      <c r="D429" s="3">
        <v>1095</v>
      </c>
      <c r="E429" s="3" t="s">
        <v>7182</v>
      </c>
      <c r="F429" s="3">
        <v>2</v>
      </c>
      <c r="G429" s="3" t="s">
        <v>12099</v>
      </c>
      <c r="H429" s="3"/>
    </row>
    <row r="430" spans="1:8" ht="30" x14ac:dyDescent="0.25">
      <c r="A430" s="3" t="s">
        <v>12097</v>
      </c>
      <c r="B430" s="3" t="s">
        <v>7631</v>
      </c>
      <c r="C430" s="3" t="s">
        <v>7632</v>
      </c>
      <c r="D430" s="3">
        <v>1455</v>
      </c>
      <c r="E430" s="3" t="s">
        <v>7220</v>
      </c>
      <c r="F430" s="3">
        <v>2</v>
      </c>
      <c r="G430" s="3" t="s">
        <v>12099</v>
      </c>
      <c r="H430" s="3"/>
    </row>
    <row r="431" spans="1:8" ht="75" x14ac:dyDescent="0.25">
      <c r="A431" s="3" t="s">
        <v>12097</v>
      </c>
      <c r="B431" s="3" t="s">
        <v>7633</v>
      </c>
      <c r="C431" s="3" t="s">
        <v>7634</v>
      </c>
      <c r="D431" s="3">
        <v>469</v>
      </c>
      <c r="E431" s="3" t="s">
        <v>7200</v>
      </c>
      <c r="F431" s="3">
        <v>8</v>
      </c>
      <c r="G431" s="3" t="s">
        <v>12099</v>
      </c>
      <c r="H431" s="3"/>
    </row>
    <row r="432" spans="1:8" ht="90" x14ac:dyDescent="0.25">
      <c r="A432" s="3" t="s">
        <v>12097</v>
      </c>
      <c r="B432" s="3" t="s">
        <v>7635</v>
      </c>
      <c r="C432" s="3" t="s">
        <v>7636</v>
      </c>
      <c r="D432" s="3">
        <v>470</v>
      </c>
      <c r="E432" s="3" t="s">
        <v>7200</v>
      </c>
      <c r="F432" s="3">
        <v>8</v>
      </c>
      <c r="G432" s="3" t="s">
        <v>12099</v>
      </c>
      <c r="H432" s="3"/>
    </row>
    <row r="433" spans="1:8" ht="120" x14ac:dyDescent="0.25">
      <c r="A433" s="3" t="s">
        <v>12097</v>
      </c>
      <c r="B433" s="3" t="s">
        <v>7637</v>
      </c>
      <c r="C433" s="3" t="s">
        <v>7638</v>
      </c>
      <c r="D433" s="3">
        <v>468</v>
      </c>
      <c r="E433" s="3" t="s">
        <v>7179</v>
      </c>
      <c r="F433" s="3">
        <v>5</v>
      </c>
      <c r="G433" s="3" t="s">
        <v>7639</v>
      </c>
      <c r="H433" s="3"/>
    </row>
    <row r="434" spans="1:8" ht="30" x14ac:dyDescent="0.25">
      <c r="A434" s="3" t="s">
        <v>12097</v>
      </c>
      <c r="B434" s="3" t="s">
        <v>7642</v>
      </c>
      <c r="C434" s="3" t="s">
        <v>7643</v>
      </c>
      <c r="D434" s="3">
        <v>98</v>
      </c>
      <c r="E434" s="3" t="s">
        <v>7200</v>
      </c>
      <c r="F434" s="3">
        <v>8</v>
      </c>
      <c r="G434" s="3" t="s">
        <v>12099</v>
      </c>
      <c r="H434" s="3"/>
    </row>
    <row r="435" spans="1:8" ht="30" x14ac:dyDescent="0.25">
      <c r="A435" s="3" t="s">
        <v>12097</v>
      </c>
      <c r="B435" s="3" t="s">
        <v>7644</v>
      </c>
      <c r="C435" s="3" t="s">
        <v>7645</v>
      </c>
      <c r="D435" s="3">
        <v>1501</v>
      </c>
      <c r="E435" s="3" t="s">
        <v>7182</v>
      </c>
      <c r="F435" s="3">
        <v>60</v>
      </c>
      <c r="G435" s="3" t="s">
        <v>12099</v>
      </c>
      <c r="H435" s="3"/>
    </row>
    <row r="436" spans="1:8" ht="105" x14ac:dyDescent="0.25">
      <c r="A436" s="3" t="s">
        <v>12097</v>
      </c>
      <c r="B436" s="3" t="s">
        <v>7646</v>
      </c>
      <c r="C436" s="3" t="s">
        <v>7647</v>
      </c>
      <c r="D436" s="3">
        <v>757</v>
      </c>
      <c r="E436" s="3" t="s">
        <v>7182</v>
      </c>
      <c r="F436" s="3">
        <v>35</v>
      </c>
      <c r="G436" s="3" t="s">
        <v>12099</v>
      </c>
      <c r="H436" s="3"/>
    </row>
    <row r="437" spans="1:8" ht="60" x14ac:dyDescent="0.25">
      <c r="A437" s="3" t="s">
        <v>12097</v>
      </c>
      <c r="B437" s="3" t="s">
        <v>7648</v>
      </c>
      <c r="C437" s="3" t="s">
        <v>7649</v>
      </c>
      <c r="D437" s="3">
        <v>764</v>
      </c>
      <c r="E437" s="3" t="s">
        <v>7182</v>
      </c>
      <c r="F437" s="3">
        <v>35</v>
      </c>
      <c r="G437" s="3" t="s">
        <v>12099</v>
      </c>
      <c r="H437" s="3"/>
    </row>
    <row r="438" spans="1:8" ht="45" x14ac:dyDescent="0.25">
      <c r="A438" s="3" t="s">
        <v>12097</v>
      </c>
      <c r="B438" s="3" t="s">
        <v>7650</v>
      </c>
      <c r="C438" s="3" t="s">
        <v>7651</v>
      </c>
      <c r="D438" s="3">
        <v>765</v>
      </c>
      <c r="E438" s="3" t="s">
        <v>7182</v>
      </c>
      <c r="F438" s="3">
        <v>60</v>
      </c>
      <c r="G438" s="3" t="s">
        <v>12099</v>
      </c>
      <c r="H438" s="3"/>
    </row>
    <row r="439" spans="1:8" ht="409.5" x14ac:dyDescent="0.25">
      <c r="A439" s="3" t="s">
        <v>12097</v>
      </c>
      <c r="B439" s="3" t="s">
        <v>7652</v>
      </c>
      <c r="C439" s="3" t="s">
        <v>7653</v>
      </c>
      <c r="D439" s="3">
        <v>323</v>
      </c>
      <c r="E439" s="3" t="s">
        <v>7179</v>
      </c>
      <c r="F439" s="3">
        <v>5</v>
      </c>
      <c r="G439" s="3" t="s">
        <v>10460</v>
      </c>
      <c r="H439" s="3"/>
    </row>
    <row r="440" spans="1:8" ht="409.5" x14ac:dyDescent="0.25">
      <c r="A440" s="3" t="s">
        <v>12097</v>
      </c>
      <c r="B440" s="3" t="s">
        <v>7654</v>
      </c>
      <c r="C440" s="3" t="s">
        <v>7655</v>
      </c>
      <c r="D440" s="3">
        <v>100</v>
      </c>
      <c r="E440" s="3" t="s">
        <v>7179</v>
      </c>
      <c r="F440" s="3">
        <v>5</v>
      </c>
      <c r="G440" s="3" t="s">
        <v>12108</v>
      </c>
      <c r="H440" s="3"/>
    </row>
    <row r="441" spans="1:8" ht="409.5" x14ac:dyDescent="0.25">
      <c r="A441" s="3"/>
      <c r="B441" s="3"/>
      <c r="C441" s="3"/>
      <c r="D441" s="3"/>
      <c r="E441" s="3"/>
      <c r="F441" s="3"/>
      <c r="G441" s="3" t="s">
        <v>12109</v>
      </c>
      <c r="H441" s="3"/>
    </row>
    <row r="442" spans="1:8" ht="409.5" x14ac:dyDescent="0.25">
      <c r="A442" s="3"/>
      <c r="B442" s="3"/>
      <c r="C442" s="3"/>
      <c r="D442" s="3"/>
      <c r="E442" s="3"/>
      <c r="F442" s="3"/>
      <c r="G442" s="3" t="s">
        <v>12110</v>
      </c>
      <c r="H442" s="3"/>
    </row>
    <row r="443" spans="1:8" ht="409.5" x14ac:dyDescent="0.25">
      <c r="A443" s="3"/>
      <c r="B443" s="3"/>
      <c r="C443" s="3"/>
      <c r="D443" s="3"/>
      <c r="E443" s="3"/>
      <c r="F443" s="3"/>
      <c r="G443" s="3" t="s">
        <v>12111</v>
      </c>
      <c r="H443" s="3"/>
    </row>
    <row r="444" spans="1:8" ht="409.5" x14ac:dyDescent="0.25">
      <c r="A444" s="3"/>
      <c r="B444" s="3"/>
      <c r="C444" s="3"/>
      <c r="D444" s="3"/>
      <c r="E444" s="3"/>
      <c r="F444" s="3"/>
      <c r="G444" s="3" t="s">
        <v>12112</v>
      </c>
      <c r="H444" s="3"/>
    </row>
    <row r="445" spans="1:8" ht="45" x14ac:dyDescent="0.25">
      <c r="A445" s="3" t="s">
        <v>12097</v>
      </c>
      <c r="B445" s="3" t="s">
        <v>7656</v>
      </c>
      <c r="C445" s="3" t="s">
        <v>7657</v>
      </c>
      <c r="D445" s="3">
        <v>317</v>
      </c>
      <c r="E445" s="3" t="s">
        <v>7182</v>
      </c>
      <c r="F445" s="3">
        <v>30</v>
      </c>
      <c r="G445" s="3" t="s">
        <v>12099</v>
      </c>
      <c r="H445" s="3"/>
    </row>
    <row r="446" spans="1:8" ht="90" x14ac:dyDescent="0.25">
      <c r="A446" s="3" t="s">
        <v>12097</v>
      </c>
      <c r="B446" s="3" t="s">
        <v>7658</v>
      </c>
      <c r="C446" s="3" t="s">
        <v>7659</v>
      </c>
      <c r="D446" s="3">
        <v>1123</v>
      </c>
      <c r="E446" s="3" t="s">
        <v>7182</v>
      </c>
      <c r="F446" s="3">
        <v>30</v>
      </c>
      <c r="G446" s="3" t="s">
        <v>12099</v>
      </c>
      <c r="H446" s="3"/>
    </row>
    <row r="447" spans="1:8" ht="60" x14ac:dyDescent="0.25">
      <c r="A447" s="3" t="s">
        <v>12097</v>
      </c>
      <c r="B447" s="3" t="s">
        <v>7660</v>
      </c>
      <c r="C447" s="3" t="s">
        <v>7661</v>
      </c>
      <c r="D447" s="3">
        <v>1122</v>
      </c>
      <c r="E447" s="3" t="s">
        <v>7179</v>
      </c>
      <c r="F447" s="3">
        <v>5</v>
      </c>
      <c r="G447" s="3" t="s">
        <v>12098</v>
      </c>
      <c r="H447" s="3"/>
    </row>
    <row r="448" spans="1:8" ht="30" x14ac:dyDescent="0.25">
      <c r="A448" s="3" t="s">
        <v>12097</v>
      </c>
      <c r="B448" s="3" t="s">
        <v>7662</v>
      </c>
      <c r="C448" s="3" t="s">
        <v>7663</v>
      </c>
      <c r="D448" s="3">
        <v>1193</v>
      </c>
      <c r="E448" s="3" t="s">
        <v>7220</v>
      </c>
      <c r="F448" s="3">
        <v>5</v>
      </c>
      <c r="G448" s="3" t="s">
        <v>12099</v>
      </c>
      <c r="H448" s="3"/>
    </row>
    <row r="449" spans="1:8" ht="30" x14ac:dyDescent="0.25">
      <c r="A449" s="3" t="s">
        <v>12097</v>
      </c>
      <c r="B449" s="3" t="s">
        <v>7664</v>
      </c>
      <c r="C449" s="3" t="s">
        <v>7665</v>
      </c>
      <c r="D449" s="3">
        <v>511</v>
      </c>
      <c r="E449" s="3" t="s">
        <v>7238</v>
      </c>
      <c r="F449" s="3">
        <v>7.2</v>
      </c>
      <c r="G449" s="3" t="s">
        <v>12099</v>
      </c>
      <c r="H449" s="3"/>
    </row>
    <row r="450" spans="1:8" ht="45" x14ac:dyDescent="0.25">
      <c r="A450" s="3" t="s">
        <v>12097</v>
      </c>
      <c r="B450" s="3" t="s">
        <v>7666</v>
      </c>
      <c r="C450" s="3" t="s">
        <v>7667</v>
      </c>
      <c r="D450" s="3">
        <v>513</v>
      </c>
      <c r="E450" s="3" t="s">
        <v>7200</v>
      </c>
      <c r="F450" s="3">
        <v>8</v>
      </c>
      <c r="G450" s="3" t="s">
        <v>12099</v>
      </c>
      <c r="H450" s="3"/>
    </row>
    <row r="451" spans="1:8" ht="45" x14ac:dyDescent="0.25">
      <c r="A451" s="3" t="s">
        <v>12097</v>
      </c>
      <c r="B451" s="3" t="s">
        <v>7668</v>
      </c>
      <c r="C451" s="3" t="s">
        <v>7669</v>
      </c>
      <c r="D451" s="3">
        <v>508</v>
      </c>
      <c r="E451" s="3" t="s">
        <v>7182</v>
      </c>
      <c r="F451" s="3">
        <v>80</v>
      </c>
      <c r="G451" s="3" t="s">
        <v>12099</v>
      </c>
      <c r="H451" s="3"/>
    </row>
    <row r="452" spans="1:8" ht="30" x14ac:dyDescent="0.25">
      <c r="A452" s="3" t="s">
        <v>12097</v>
      </c>
      <c r="B452" s="3" t="s">
        <v>7670</v>
      </c>
      <c r="C452" s="3" t="s">
        <v>7671</v>
      </c>
      <c r="D452" s="3">
        <v>514</v>
      </c>
      <c r="E452" s="3" t="s">
        <v>7200</v>
      </c>
      <c r="F452" s="3">
        <v>8</v>
      </c>
      <c r="G452" s="3" t="s">
        <v>12099</v>
      </c>
      <c r="H452" s="3"/>
    </row>
    <row r="453" spans="1:8" ht="45" x14ac:dyDescent="0.25">
      <c r="A453" s="3" t="s">
        <v>12097</v>
      </c>
      <c r="B453" s="3" t="s">
        <v>7672</v>
      </c>
      <c r="C453" s="3" t="s">
        <v>7673</v>
      </c>
      <c r="D453" s="3">
        <v>510</v>
      </c>
      <c r="E453" s="3" t="s">
        <v>7182</v>
      </c>
      <c r="F453" s="3">
        <v>45</v>
      </c>
      <c r="G453" s="3" t="s">
        <v>12099</v>
      </c>
      <c r="H453" s="3"/>
    </row>
    <row r="454" spans="1:8" ht="150" x14ac:dyDescent="0.25">
      <c r="A454" s="3" t="s">
        <v>12097</v>
      </c>
      <c r="B454" s="3" t="s">
        <v>7674</v>
      </c>
      <c r="C454" s="3" t="s">
        <v>7675</v>
      </c>
      <c r="D454" s="3">
        <v>509</v>
      </c>
      <c r="E454" s="3" t="s">
        <v>7182</v>
      </c>
      <c r="F454" s="3">
        <v>60</v>
      </c>
      <c r="G454" s="3" t="s">
        <v>7676</v>
      </c>
      <c r="H454" s="3"/>
    </row>
    <row r="455" spans="1:8" ht="240" x14ac:dyDescent="0.25">
      <c r="A455" s="3" t="s">
        <v>12097</v>
      </c>
      <c r="B455" s="3" t="s">
        <v>7677</v>
      </c>
      <c r="C455" s="3" t="s">
        <v>7678</v>
      </c>
      <c r="D455" s="3">
        <v>1164</v>
      </c>
      <c r="E455" s="3" t="s">
        <v>7179</v>
      </c>
      <c r="F455" s="3">
        <v>5</v>
      </c>
      <c r="G455" s="3" t="s">
        <v>7679</v>
      </c>
      <c r="H455" s="3"/>
    </row>
    <row r="456" spans="1:8" ht="75" x14ac:dyDescent="0.25">
      <c r="A456" s="3" t="s">
        <v>12097</v>
      </c>
      <c r="B456" s="3" t="s">
        <v>7680</v>
      </c>
      <c r="C456" s="3" t="s">
        <v>7681</v>
      </c>
      <c r="D456" s="3">
        <v>413</v>
      </c>
      <c r="E456" s="3" t="s">
        <v>7182</v>
      </c>
      <c r="F456" s="3">
        <v>30</v>
      </c>
      <c r="G456" s="3" t="s">
        <v>12099</v>
      </c>
      <c r="H456" s="3"/>
    </row>
    <row r="457" spans="1:8" ht="240" x14ac:dyDescent="0.25">
      <c r="A457" s="3" t="s">
        <v>12097</v>
      </c>
      <c r="B457" s="3" t="s">
        <v>7682</v>
      </c>
      <c r="C457" s="3" t="s">
        <v>7683</v>
      </c>
      <c r="D457" s="3">
        <v>416</v>
      </c>
      <c r="E457" s="3" t="s">
        <v>7179</v>
      </c>
      <c r="F457" s="3">
        <v>5</v>
      </c>
      <c r="G457" s="3" t="s">
        <v>7684</v>
      </c>
      <c r="H457" s="3"/>
    </row>
    <row r="458" spans="1:8" ht="60" x14ac:dyDescent="0.25">
      <c r="A458" s="3" t="s">
        <v>12097</v>
      </c>
      <c r="B458" s="3" t="s">
        <v>7685</v>
      </c>
      <c r="C458" s="3" t="s">
        <v>7686</v>
      </c>
      <c r="D458" s="3">
        <v>417</v>
      </c>
      <c r="E458" s="3" t="s">
        <v>7182</v>
      </c>
      <c r="F458" s="3">
        <v>35</v>
      </c>
      <c r="G458" s="3" t="s">
        <v>12099</v>
      </c>
      <c r="H458" s="3"/>
    </row>
    <row r="459" spans="1:8" ht="45" x14ac:dyDescent="0.25">
      <c r="A459" s="3" t="s">
        <v>12097</v>
      </c>
      <c r="B459" s="3" t="s">
        <v>7687</v>
      </c>
      <c r="C459" s="3" t="s">
        <v>7688</v>
      </c>
      <c r="D459" s="3">
        <v>418</v>
      </c>
      <c r="E459" s="3" t="s">
        <v>7200</v>
      </c>
      <c r="F459" s="3">
        <v>8</v>
      </c>
      <c r="G459" s="3" t="s">
        <v>12099</v>
      </c>
      <c r="H459" s="3"/>
    </row>
    <row r="460" spans="1:8" ht="90" x14ac:dyDescent="0.25">
      <c r="A460" s="3" t="s">
        <v>12097</v>
      </c>
      <c r="B460" s="3" t="s">
        <v>7689</v>
      </c>
      <c r="C460" s="3" t="s">
        <v>7690</v>
      </c>
      <c r="D460" s="3">
        <v>412</v>
      </c>
      <c r="E460" s="3" t="s">
        <v>7179</v>
      </c>
      <c r="F460" s="3">
        <v>5</v>
      </c>
      <c r="G460" s="3" t="s">
        <v>7691</v>
      </c>
      <c r="H460" s="3"/>
    </row>
    <row r="461" spans="1:8" ht="45" x14ac:dyDescent="0.25">
      <c r="A461" s="3" t="s">
        <v>12097</v>
      </c>
      <c r="B461" s="3" t="s">
        <v>7692</v>
      </c>
      <c r="C461" s="3" t="s">
        <v>7693</v>
      </c>
      <c r="D461" s="3">
        <v>430</v>
      </c>
      <c r="E461" s="3" t="s">
        <v>7182</v>
      </c>
      <c r="F461" s="3">
        <v>35</v>
      </c>
      <c r="G461" s="3" t="s">
        <v>12099</v>
      </c>
      <c r="H461" s="3"/>
    </row>
    <row r="462" spans="1:8" ht="90" x14ac:dyDescent="0.25">
      <c r="A462" s="3" t="s">
        <v>12097</v>
      </c>
      <c r="B462" s="3" t="s">
        <v>7694</v>
      </c>
      <c r="C462" s="3" t="s">
        <v>7695</v>
      </c>
      <c r="D462" s="3">
        <v>419</v>
      </c>
      <c r="E462" s="3" t="s">
        <v>7182</v>
      </c>
      <c r="F462" s="3">
        <v>30</v>
      </c>
      <c r="G462" s="3" t="s">
        <v>12099</v>
      </c>
      <c r="H462" s="3"/>
    </row>
    <row r="463" spans="1:8" ht="30" x14ac:dyDescent="0.25">
      <c r="A463" s="3" t="s">
        <v>12097</v>
      </c>
      <c r="B463" s="3" t="s">
        <v>7696</v>
      </c>
      <c r="C463" s="3" t="s">
        <v>7697</v>
      </c>
      <c r="D463" s="3">
        <v>396</v>
      </c>
      <c r="E463" s="3" t="s">
        <v>7182</v>
      </c>
      <c r="F463" s="3">
        <v>60</v>
      </c>
      <c r="G463" s="3" t="s">
        <v>12099</v>
      </c>
      <c r="H463" s="3"/>
    </row>
    <row r="464" spans="1:8" ht="45" x14ac:dyDescent="0.25">
      <c r="A464" s="3" t="s">
        <v>12097</v>
      </c>
      <c r="B464" s="3" t="s">
        <v>7698</v>
      </c>
      <c r="C464" s="3" t="s">
        <v>7699</v>
      </c>
      <c r="D464" s="3">
        <v>422</v>
      </c>
      <c r="E464" s="3" t="s">
        <v>7238</v>
      </c>
      <c r="F464" s="3">
        <v>5.2</v>
      </c>
      <c r="G464" s="3" t="s">
        <v>12099</v>
      </c>
      <c r="H464" s="3"/>
    </row>
    <row r="465" spans="1:8" ht="45" x14ac:dyDescent="0.25">
      <c r="A465" s="3" t="s">
        <v>12097</v>
      </c>
      <c r="B465" s="3" t="s">
        <v>7700</v>
      </c>
      <c r="C465" s="3" t="s">
        <v>7701</v>
      </c>
      <c r="D465" s="3">
        <v>410</v>
      </c>
      <c r="E465" s="3" t="s">
        <v>7200</v>
      </c>
      <c r="F465" s="3">
        <v>8</v>
      </c>
      <c r="G465" s="3" t="s">
        <v>12099</v>
      </c>
      <c r="H465" s="3"/>
    </row>
    <row r="466" spans="1:8" ht="409.5" x14ac:dyDescent="0.25">
      <c r="A466" s="3" t="s">
        <v>12097</v>
      </c>
      <c r="B466" s="3" t="s">
        <v>7702</v>
      </c>
      <c r="C466" s="3" t="s">
        <v>7703</v>
      </c>
      <c r="D466" s="3">
        <v>405</v>
      </c>
      <c r="E466" s="3" t="s">
        <v>7179</v>
      </c>
      <c r="F466" s="3">
        <v>5</v>
      </c>
      <c r="G466" s="3" t="s">
        <v>7704</v>
      </c>
      <c r="H466" s="3"/>
    </row>
    <row r="467" spans="1:8" ht="45" x14ac:dyDescent="0.25">
      <c r="A467" s="3" t="s">
        <v>12097</v>
      </c>
      <c r="B467" s="3" t="s">
        <v>7705</v>
      </c>
      <c r="C467" s="3" t="s">
        <v>7706</v>
      </c>
      <c r="D467" s="3">
        <v>407</v>
      </c>
      <c r="E467" s="3" t="s">
        <v>7220</v>
      </c>
      <c r="F467" s="3">
        <v>3</v>
      </c>
      <c r="G467" s="3" t="s">
        <v>12099</v>
      </c>
      <c r="H467" s="3"/>
    </row>
    <row r="468" spans="1:8" ht="45" x14ac:dyDescent="0.25">
      <c r="A468" s="3" t="s">
        <v>12097</v>
      </c>
      <c r="B468" s="3" t="s">
        <v>7707</v>
      </c>
      <c r="C468" s="3" t="s">
        <v>7708</v>
      </c>
      <c r="D468" s="3">
        <v>408</v>
      </c>
      <c r="E468" s="3" t="s">
        <v>7220</v>
      </c>
      <c r="F468" s="3">
        <v>3</v>
      </c>
      <c r="G468" s="3" t="s">
        <v>12099</v>
      </c>
      <c r="H468" s="3"/>
    </row>
    <row r="469" spans="1:8" ht="30" x14ac:dyDescent="0.25">
      <c r="A469" s="3" t="s">
        <v>12097</v>
      </c>
      <c r="B469" s="3" t="s">
        <v>7709</v>
      </c>
      <c r="C469" s="3" t="s">
        <v>7710</v>
      </c>
      <c r="D469" s="3">
        <v>425</v>
      </c>
      <c r="E469" s="3" t="s">
        <v>7200</v>
      </c>
      <c r="F469" s="3">
        <v>8</v>
      </c>
      <c r="G469" s="3" t="s">
        <v>12099</v>
      </c>
      <c r="H469" s="3"/>
    </row>
    <row r="470" spans="1:8" ht="45" x14ac:dyDescent="0.25">
      <c r="A470" s="3" t="s">
        <v>12097</v>
      </c>
      <c r="B470" s="3" t="s">
        <v>7711</v>
      </c>
      <c r="C470" s="3" t="s">
        <v>7712</v>
      </c>
      <c r="D470" s="3">
        <v>426</v>
      </c>
      <c r="E470" s="3" t="s">
        <v>7182</v>
      </c>
      <c r="F470" s="3">
        <v>60</v>
      </c>
      <c r="G470" s="3" t="s">
        <v>12099</v>
      </c>
      <c r="H470" s="3"/>
    </row>
    <row r="471" spans="1:8" ht="45" x14ac:dyDescent="0.25">
      <c r="A471" s="3" t="s">
        <v>12097</v>
      </c>
      <c r="B471" s="3" t="s">
        <v>7713</v>
      </c>
      <c r="C471" s="3" t="s">
        <v>7714</v>
      </c>
      <c r="D471" s="3">
        <v>657</v>
      </c>
      <c r="E471" s="3" t="s">
        <v>7238</v>
      </c>
      <c r="F471" s="3">
        <v>2.1</v>
      </c>
      <c r="G471" s="3" t="s">
        <v>12099</v>
      </c>
      <c r="H471" s="3"/>
    </row>
    <row r="472" spans="1:8" ht="60" x14ac:dyDescent="0.25">
      <c r="A472" s="3" t="s">
        <v>12097</v>
      </c>
      <c r="B472" s="3" t="s">
        <v>7715</v>
      </c>
      <c r="C472" s="3" t="s">
        <v>7716</v>
      </c>
      <c r="D472" s="3">
        <v>659</v>
      </c>
      <c r="E472" s="3" t="s">
        <v>7238</v>
      </c>
      <c r="F472" s="3">
        <v>2.1</v>
      </c>
      <c r="G472" s="3" t="s">
        <v>12099</v>
      </c>
      <c r="H472" s="3"/>
    </row>
    <row r="473" spans="1:8" ht="45" x14ac:dyDescent="0.25">
      <c r="A473" s="3" t="s">
        <v>12097</v>
      </c>
      <c r="B473" s="3" t="s">
        <v>7717</v>
      </c>
      <c r="C473" s="3" t="s">
        <v>7718</v>
      </c>
      <c r="D473" s="3">
        <v>658</v>
      </c>
      <c r="E473" s="3" t="s">
        <v>7238</v>
      </c>
      <c r="F473" s="3">
        <v>2.1</v>
      </c>
      <c r="G473" s="3" t="s">
        <v>12099</v>
      </c>
      <c r="H473" s="3"/>
    </row>
    <row r="474" spans="1:8" ht="45" x14ac:dyDescent="0.25">
      <c r="A474" s="3" t="s">
        <v>12097</v>
      </c>
      <c r="B474" s="3" t="s">
        <v>7719</v>
      </c>
      <c r="C474" s="3" t="s">
        <v>7720</v>
      </c>
      <c r="D474" s="3">
        <v>375</v>
      </c>
      <c r="E474" s="3" t="s">
        <v>7238</v>
      </c>
      <c r="F474" s="3">
        <v>2.1</v>
      </c>
      <c r="G474" s="3" t="s">
        <v>12099</v>
      </c>
      <c r="H474" s="3"/>
    </row>
    <row r="475" spans="1:8" ht="60" x14ac:dyDescent="0.25">
      <c r="A475" s="3" t="s">
        <v>12097</v>
      </c>
      <c r="B475" s="3" t="s">
        <v>7721</v>
      </c>
      <c r="C475" s="3" t="s">
        <v>7722</v>
      </c>
      <c r="D475" s="3">
        <v>661</v>
      </c>
      <c r="E475" s="3" t="s">
        <v>7238</v>
      </c>
      <c r="F475" s="3">
        <v>2.1</v>
      </c>
      <c r="G475" s="3" t="s">
        <v>12099</v>
      </c>
      <c r="H475" s="3"/>
    </row>
    <row r="476" spans="1:8" ht="60" x14ac:dyDescent="0.25">
      <c r="A476" s="3" t="s">
        <v>12097</v>
      </c>
      <c r="B476" s="3" t="s">
        <v>7723</v>
      </c>
      <c r="C476" s="3" t="s">
        <v>7724</v>
      </c>
      <c r="D476" s="3">
        <v>663</v>
      </c>
      <c r="E476" s="3" t="s">
        <v>7238</v>
      </c>
      <c r="F476" s="3">
        <v>2.1</v>
      </c>
      <c r="G476" s="3" t="s">
        <v>12099</v>
      </c>
      <c r="H476" s="3"/>
    </row>
    <row r="477" spans="1:8" ht="60" x14ac:dyDescent="0.25">
      <c r="A477" s="3" t="s">
        <v>12097</v>
      </c>
      <c r="B477" s="3" t="s">
        <v>7725</v>
      </c>
      <c r="C477" s="3" t="s">
        <v>7726</v>
      </c>
      <c r="D477" s="3">
        <v>662</v>
      </c>
      <c r="E477" s="3" t="s">
        <v>7238</v>
      </c>
      <c r="F477" s="3">
        <v>2.1</v>
      </c>
      <c r="G477" s="3" t="s">
        <v>12099</v>
      </c>
      <c r="H477" s="3"/>
    </row>
    <row r="478" spans="1:8" ht="30" x14ac:dyDescent="0.25">
      <c r="A478" s="3" t="s">
        <v>12097</v>
      </c>
      <c r="B478" s="3" t="s">
        <v>7727</v>
      </c>
      <c r="C478" s="3" t="s">
        <v>2140</v>
      </c>
      <c r="D478" s="3">
        <v>1361</v>
      </c>
      <c r="E478" s="3" t="s">
        <v>7182</v>
      </c>
      <c r="F478" s="3">
        <v>35</v>
      </c>
      <c r="G478" s="3" t="s">
        <v>12099</v>
      </c>
      <c r="H478" s="3"/>
    </row>
    <row r="479" spans="1:8" ht="30" x14ac:dyDescent="0.25">
      <c r="A479" s="3" t="s">
        <v>12097</v>
      </c>
      <c r="B479" s="3" t="s">
        <v>7728</v>
      </c>
      <c r="C479" s="3" t="s">
        <v>7729</v>
      </c>
      <c r="D479" s="3">
        <v>109</v>
      </c>
      <c r="E479" s="3" t="s">
        <v>7182</v>
      </c>
      <c r="F479" s="3">
        <v>45</v>
      </c>
      <c r="G479" s="3" t="s">
        <v>12099</v>
      </c>
      <c r="H479" s="3"/>
    </row>
    <row r="480" spans="1:8" ht="30" x14ac:dyDescent="0.25">
      <c r="A480" s="3" t="s">
        <v>12097</v>
      </c>
      <c r="B480" s="3" t="s">
        <v>7730</v>
      </c>
      <c r="C480" s="3" t="s">
        <v>7731</v>
      </c>
      <c r="D480" s="3">
        <v>1454</v>
      </c>
      <c r="E480" s="3" t="s">
        <v>7179</v>
      </c>
      <c r="F480" s="3">
        <v>5</v>
      </c>
      <c r="G480" s="3" t="s">
        <v>12098</v>
      </c>
      <c r="H480" s="3"/>
    </row>
    <row r="481" spans="1:8" ht="105" x14ac:dyDescent="0.25">
      <c r="A481" s="3" t="s">
        <v>12097</v>
      </c>
      <c r="B481" s="3" t="s">
        <v>7732</v>
      </c>
      <c r="C481" s="3" t="s">
        <v>7733</v>
      </c>
      <c r="D481" s="3">
        <v>636</v>
      </c>
      <c r="E481" s="3" t="s">
        <v>7179</v>
      </c>
      <c r="F481" s="3">
        <v>5</v>
      </c>
      <c r="G481" s="3" t="s">
        <v>7573</v>
      </c>
      <c r="H481" s="3"/>
    </row>
    <row r="482" spans="1:8" ht="30" x14ac:dyDescent="0.25">
      <c r="A482" s="3" t="s">
        <v>12097</v>
      </c>
      <c r="B482" s="3" t="s">
        <v>7734</v>
      </c>
      <c r="C482" s="3" t="s">
        <v>7735</v>
      </c>
      <c r="D482" s="3">
        <v>1473</v>
      </c>
      <c r="E482" s="3" t="s">
        <v>7220</v>
      </c>
      <c r="F482" s="3">
        <v>5</v>
      </c>
      <c r="G482" s="3" t="s">
        <v>12099</v>
      </c>
      <c r="H482" s="3"/>
    </row>
    <row r="483" spans="1:8" ht="45" x14ac:dyDescent="0.25">
      <c r="A483" s="3" t="s">
        <v>12097</v>
      </c>
      <c r="B483" s="3" t="s">
        <v>7736</v>
      </c>
      <c r="C483" s="3" t="s">
        <v>7737</v>
      </c>
      <c r="D483" s="3">
        <v>1472</v>
      </c>
      <c r="E483" s="3" t="s">
        <v>7179</v>
      </c>
      <c r="F483" s="3">
        <v>5</v>
      </c>
      <c r="G483" s="3" t="s">
        <v>12098</v>
      </c>
      <c r="H483" s="3"/>
    </row>
    <row r="484" spans="1:8" ht="45" x14ac:dyDescent="0.25">
      <c r="A484" s="3" t="s">
        <v>12097</v>
      </c>
      <c r="B484" s="3" t="s">
        <v>7738</v>
      </c>
      <c r="C484" s="3" t="s">
        <v>7739</v>
      </c>
      <c r="D484" s="3">
        <v>397</v>
      </c>
      <c r="E484" s="3" t="s">
        <v>7200</v>
      </c>
      <c r="F484" s="3">
        <v>8</v>
      </c>
      <c r="G484" s="3" t="s">
        <v>12099</v>
      </c>
      <c r="H484" s="3"/>
    </row>
    <row r="485" spans="1:8" ht="30" x14ac:dyDescent="0.25">
      <c r="A485" s="3" t="s">
        <v>12097</v>
      </c>
      <c r="B485" s="3" t="s">
        <v>7740</v>
      </c>
      <c r="C485" s="3" t="s">
        <v>7741</v>
      </c>
      <c r="D485" s="3">
        <v>843</v>
      </c>
      <c r="E485" s="3" t="s">
        <v>7200</v>
      </c>
      <c r="F485" s="3">
        <v>8</v>
      </c>
      <c r="G485" s="3" t="s">
        <v>12099</v>
      </c>
      <c r="H485" s="3"/>
    </row>
    <row r="486" spans="1:8" ht="60" x14ac:dyDescent="0.25">
      <c r="A486" s="3" t="s">
        <v>12097</v>
      </c>
      <c r="B486" s="3" t="s">
        <v>7742</v>
      </c>
      <c r="C486" s="3" t="s">
        <v>1315</v>
      </c>
      <c r="D486" s="3">
        <v>112</v>
      </c>
      <c r="E486" s="3" t="s">
        <v>7200</v>
      </c>
      <c r="F486" s="3">
        <v>8</v>
      </c>
      <c r="G486" s="3" t="s">
        <v>12099</v>
      </c>
      <c r="H486" s="3"/>
    </row>
    <row r="487" spans="1:8" ht="60" x14ac:dyDescent="0.25">
      <c r="A487" s="3" t="s">
        <v>12097</v>
      </c>
      <c r="B487" s="3" t="s">
        <v>7743</v>
      </c>
      <c r="C487" s="3" t="s">
        <v>7744</v>
      </c>
      <c r="D487" s="3">
        <v>1008</v>
      </c>
      <c r="E487" s="3" t="s">
        <v>7200</v>
      </c>
      <c r="F487" s="3">
        <v>8</v>
      </c>
      <c r="G487" s="3" t="s">
        <v>12099</v>
      </c>
      <c r="H487" s="3"/>
    </row>
    <row r="488" spans="1:8" ht="30" x14ac:dyDescent="0.25">
      <c r="A488" s="3" t="s">
        <v>12097</v>
      </c>
      <c r="B488" s="3" t="s">
        <v>7746</v>
      </c>
      <c r="C488" s="3" t="s">
        <v>7747</v>
      </c>
      <c r="D488" s="3">
        <v>113</v>
      </c>
      <c r="E488" s="3" t="s">
        <v>7200</v>
      </c>
      <c r="F488" s="3">
        <v>8</v>
      </c>
      <c r="G488" s="3" t="s">
        <v>12099</v>
      </c>
      <c r="H488" s="3"/>
    </row>
    <row r="489" spans="1:8" ht="75" x14ac:dyDescent="0.25">
      <c r="A489" s="3" t="s">
        <v>12097</v>
      </c>
      <c r="B489" s="3" t="s">
        <v>7748</v>
      </c>
      <c r="C489" s="3" t="s">
        <v>7749</v>
      </c>
      <c r="D489" s="3">
        <v>576</v>
      </c>
      <c r="E489" s="3" t="s">
        <v>7200</v>
      </c>
      <c r="F489" s="3">
        <v>8</v>
      </c>
      <c r="G489" s="3" t="s">
        <v>12099</v>
      </c>
      <c r="H489" s="3"/>
    </row>
    <row r="490" spans="1:8" ht="75" x14ac:dyDescent="0.25">
      <c r="A490" s="3" t="s">
        <v>12097</v>
      </c>
      <c r="B490" s="3" t="s">
        <v>7750</v>
      </c>
      <c r="C490" s="3" t="s">
        <v>7751</v>
      </c>
      <c r="D490" s="3">
        <v>1021</v>
      </c>
      <c r="E490" s="3" t="s">
        <v>7200</v>
      </c>
      <c r="F490" s="3">
        <v>8</v>
      </c>
      <c r="G490" s="3" t="s">
        <v>12099</v>
      </c>
      <c r="H490" s="3"/>
    </row>
    <row r="491" spans="1:8" ht="30" x14ac:dyDescent="0.25">
      <c r="A491" s="3" t="s">
        <v>12097</v>
      </c>
      <c r="B491" s="3" t="s">
        <v>7752</v>
      </c>
      <c r="C491" s="3" t="s">
        <v>7753</v>
      </c>
      <c r="D491" s="3">
        <v>114</v>
      </c>
      <c r="E491" s="3" t="s">
        <v>7200</v>
      </c>
      <c r="F491" s="3">
        <v>8</v>
      </c>
      <c r="G491" s="3" t="s">
        <v>12099</v>
      </c>
      <c r="H491" s="3"/>
    </row>
    <row r="492" spans="1:8" ht="30" x14ac:dyDescent="0.25">
      <c r="A492" s="3" t="s">
        <v>12097</v>
      </c>
      <c r="B492" s="3" t="s">
        <v>7754</v>
      </c>
      <c r="C492" s="3" t="s">
        <v>7755</v>
      </c>
      <c r="D492" s="3">
        <v>111</v>
      </c>
      <c r="E492" s="3" t="s">
        <v>7200</v>
      </c>
      <c r="F492" s="3">
        <v>8</v>
      </c>
      <c r="G492" s="3" t="s">
        <v>12099</v>
      </c>
      <c r="H492" s="3"/>
    </row>
    <row r="493" spans="1:8" ht="120" x14ac:dyDescent="0.25">
      <c r="A493" s="3" t="s">
        <v>12097</v>
      </c>
      <c r="B493" s="3" t="s">
        <v>7756</v>
      </c>
      <c r="C493" s="3" t="s">
        <v>7757</v>
      </c>
      <c r="D493" s="3">
        <v>115</v>
      </c>
      <c r="E493" s="3" t="s">
        <v>7179</v>
      </c>
      <c r="F493" s="3">
        <v>5</v>
      </c>
      <c r="G493" s="3" t="s">
        <v>7758</v>
      </c>
      <c r="H493" s="3"/>
    </row>
    <row r="494" spans="1:8" ht="120" x14ac:dyDescent="0.25">
      <c r="A494" s="3" t="s">
        <v>12097</v>
      </c>
      <c r="B494" s="3" t="s">
        <v>7759</v>
      </c>
      <c r="C494" s="3" t="s">
        <v>7760</v>
      </c>
      <c r="D494" s="3">
        <v>623</v>
      </c>
      <c r="E494" s="3" t="s">
        <v>7179</v>
      </c>
      <c r="F494" s="3">
        <v>5</v>
      </c>
      <c r="G494" s="3" t="s">
        <v>7761</v>
      </c>
      <c r="H494" s="3"/>
    </row>
    <row r="495" spans="1:8" ht="60" x14ac:dyDescent="0.25">
      <c r="A495" s="3" t="s">
        <v>12097</v>
      </c>
      <c r="B495" s="3" t="s">
        <v>7762</v>
      </c>
      <c r="C495" s="3" t="s">
        <v>7763</v>
      </c>
      <c r="D495" s="3">
        <v>478</v>
      </c>
      <c r="E495" s="3" t="s">
        <v>7238</v>
      </c>
      <c r="F495" s="3">
        <v>1.2</v>
      </c>
      <c r="G495" s="3" t="s">
        <v>12099</v>
      </c>
      <c r="H495" s="3"/>
    </row>
    <row r="496" spans="1:8" ht="30" x14ac:dyDescent="0.25">
      <c r="A496" s="3" t="s">
        <v>12097</v>
      </c>
      <c r="B496" s="3" t="s">
        <v>7764</v>
      </c>
      <c r="C496" s="3" t="s">
        <v>7765</v>
      </c>
      <c r="D496" s="3">
        <v>646</v>
      </c>
      <c r="E496" s="3" t="s">
        <v>7182</v>
      </c>
      <c r="F496" s="3">
        <v>35</v>
      </c>
      <c r="G496" s="3" t="s">
        <v>12099</v>
      </c>
      <c r="H496" s="3"/>
    </row>
    <row r="497" spans="1:8" ht="30" x14ac:dyDescent="0.25">
      <c r="A497" s="3" t="s">
        <v>12097</v>
      </c>
      <c r="B497" s="3" t="s">
        <v>7766</v>
      </c>
      <c r="C497" s="3" t="s">
        <v>7767</v>
      </c>
      <c r="D497" s="3">
        <v>645</v>
      </c>
      <c r="E497" s="3" t="s">
        <v>7200</v>
      </c>
      <c r="F497" s="3">
        <v>8</v>
      </c>
      <c r="G497" s="3" t="s">
        <v>12099</v>
      </c>
      <c r="H497" s="3"/>
    </row>
    <row r="498" spans="1:8" ht="30" x14ac:dyDescent="0.25">
      <c r="A498" s="3" t="s">
        <v>12097</v>
      </c>
      <c r="B498" s="3" t="s">
        <v>7768</v>
      </c>
      <c r="C498" s="3" t="s">
        <v>7769</v>
      </c>
      <c r="D498" s="3">
        <v>1020</v>
      </c>
      <c r="E498" s="3" t="s">
        <v>7238</v>
      </c>
      <c r="F498" s="3">
        <v>8.1999999999999993</v>
      </c>
      <c r="G498" s="3" t="s">
        <v>12099</v>
      </c>
      <c r="H498" s="3"/>
    </row>
    <row r="499" spans="1:8" ht="180" x14ac:dyDescent="0.25">
      <c r="A499" s="3" t="s">
        <v>12097</v>
      </c>
      <c r="B499" s="3" t="s">
        <v>7770</v>
      </c>
      <c r="C499" s="3" t="s">
        <v>7771</v>
      </c>
      <c r="D499" s="3">
        <v>1013</v>
      </c>
      <c r="E499" s="3" t="s">
        <v>7179</v>
      </c>
      <c r="F499" s="3">
        <v>5</v>
      </c>
      <c r="G499" s="3" t="s">
        <v>7772</v>
      </c>
      <c r="H499" s="3"/>
    </row>
    <row r="500" spans="1:8" ht="45" x14ac:dyDescent="0.25">
      <c r="A500" s="3" t="s">
        <v>12097</v>
      </c>
      <c r="B500" s="3" t="s">
        <v>7773</v>
      </c>
      <c r="C500" s="3" t="s">
        <v>7774</v>
      </c>
      <c r="D500" s="3">
        <v>530</v>
      </c>
      <c r="E500" s="3" t="s">
        <v>7238</v>
      </c>
      <c r="F500" s="3">
        <v>6.2</v>
      </c>
      <c r="G500" s="3" t="s">
        <v>12099</v>
      </c>
      <c r="H500" s="3"/>
    </row>
    <row r="501" spans="1:8" ht="105" x14ac:dyDescent="0.25">
      <c r="A501" s="3" t="s">
        <v>12097</v>
      </c>
      <c r="B501" s="3" t="s">
        <v>7775</v>
      </c>
      <c r="C501" s="3" t="s">
        <v>7776</v>
      </c>
      <c r="D501" s="3">
        <v>529</v>
      </c>
      <c r="E501" s="3" t="s">
        <v>7182</v>
      </c>
      <c r="F501" s="3">
        <v>45</v>
      </c>
      <c r="G501" s="3" t="s">
        <v>12099</v>
      </c>
      <c r="H501" s="3"/>
    </row>
    <row r="502" spans="1:8" ht="360" x14ac:dyDescent="0.25">
      <c r="A502" s="3" t="s">
        <v>12097</v>
      </c>
      <c r="B502" s="3" t="s">
        <v>7777</v>
      </c>
      <c r="C502" s="3" t="s">
        <v>7778</v>
      </c>
      <c r="D502" s="3">
        <v>1270</v>
      </c>
      <c r="E502" s="3" t="s">
        <v>7179</v>
      </c>
      <c r="F502" s="3">
        <v>5</v>
      </c>
      <c r="G502" s="3" t="s">
        <v>7779</v>
      </c>
      <c r="H502" s="3"/>
    </row>
    <row r="503" spans="1:8" ht="30" x14ac:dyDescent="0.25">
      <c r="A503" s="3" t="s">
        <v>12097</v>
      </c>
      <c r="B503" s="3" t="s">
        <v>7780</v>
      </c>
      <c r="C503" s="3" t="s">
        <v>7781</v>
      </c>
      <c r="D503" s="3">
        <v>535</v>
      </c>
      <c r="E503" s="3" t="s">
        <v>7238</v>
      </c>
      <c r="F503" s="3">
        <v>6.2</v>
      </c>
      <c r="G503" s="3" t="s">
        <v>12099</v>
      </c>
      <c r="H503" s="3"/>
    </row>
    <row r="504" spans="1:8" ht="45" x14ac:dyDescent="0.25">
      <c r="A504" s="3" t="s">
        <v>12097</v>
      </c>
      <c r="B504" s="3" t="s">
        <v>7782</v>
      </c>
      <c r="C504" s="3" t="s">
        <v>7783</v>
      </c>
      <c r="D504" s="3">
        <v>536</v>
      </c>
      <c r="E504" s="3" t="s">
        <v>7200</v>
      </c>
      <c r="F504" s="3">
        <v>8</v>
      </c>
      <c r="G504" s="3" t="s">
        <v>12099</v>
      </c>
      <c r="H504" s="3"/>
    </row>
    <row r="505" spans="1:8" ht="30" x14ac:dyDescent="0.25">
      <c r="A505" s="3" t="s">
        <v>12097</v>
      </c>
      <c r="B505" s="3" t="s">
        <v>7784</v>
      </c>
      <c r="C505" s="3" t="s">
        <v>7785</v>
      </c>
      <c r="D505" s="3">
        <v>291</v>
      </c>
      <c r="E505" s="3" t="s">
        <v>7182</v>
      </c>
      <c r="F505" s="3">
        <v>60</v>
      </c>
      <c r="G505" s="3" t="s">
        <v>12099</v>
      </c>
      <c r="H505" s="3"/>
    </row>
    <row r="506" spans="1:8" ht="30" x14ac:dyDescent="0.25">
      <c r="A506" s="3" t="s">
        <v>12097</v>
      </c>
      <c r="B506" s="3" t="s">
        <v>7786</v>
      </c>
      <c r="C506" s="3" t="s">
        <v>7787</v>
      </c>
      <c r="D506" s="3">
        <v>987</v>
      </c>
      <c r="E506" s="3" t="s">
        <v>7182</v>
      </c>
      <c r="F506" s="3">
        <v>80</v>
      </c>
      <c r="G506" s="3" t="s">
        <v>12099</v>
      </c>
      <c r="H506" s="3"/>
    </row>
    <row r="507" spans="1:8" ht="240" x14ac:dyDescent="0.25">
      <c r="A507" s="3" t="s">
        <v>12097</v>
      </c>
      <c r="B507" s="3" t="s">
        <v>7788</v>
      </c>
      <c r="C507" s="3" t="s">
        <v>7789</v>
      </c>
      <c r="D507" s="3">
        <v>1223</v>
      </c>
      <c r="E507" s="3" t="s">
        <v>7179</v>
      </c>
      <c r="F507" s="3">
        <v>5</v>
      </c>
      <c r="G507" s="3" t="s">
        <v>7560</v>
      </c>
      <c r="H507" s="3"/>
    </row>
    <row r="508" spans="1:8" ht="60" x14ac:dyDescent="0.25">
      <c r="A508" s="3" t="s">
        <v>12097</v>
      </c>
      <c r="B508" s="3" t="s">
        <v>7790</v>
      </c>
      <c r="C508" s="3" t="s">
        <v>7791</v>
      </c>
      <c r="D508" s="3">
        <v>1670</v>
      </c>
      <c r="E508" s="3" t="s">
        <v>7179</v>
      </c>
      <c r="F508" s="3">
        <v>5</v>
      </c>
      <c r="G508" s="3" t="s">
        <v>7792</v>
      </c>
      <c r="H508" s="3"/>
    </row>
    <row r="509" spans="1:8" ht="60" x14ac:dyDescent="0.25">
      <c r="A509" s="3" t="s">
        <v>12097</v>
      </c>
      <c r="B509" s="3" t="s">
        <v>7793</v>
      </c>
      <c r="C509" s="3" t="s">
        <v>7794</v>
      </c>
      <c r="D509" s="3">
        <v>766</v>
      </c>
      <c r="E509" s="3" t="s">
        <v>7182</v>
      </c>
      <c r="F509" s="3">
        <v>60</v>
      </c>
      <c r="G509" s="3" t="s">
        <v>12099</v>
      </c>
      <c r="H509" s="3"/>
    </row>
    <row r="510" spans="1:8" ht="30" x14ac:dyDescent="0.25">
      <c r="A510" s="3" t="s">
        <v>12097</v>
      </c>
      <c r="B510" s="3" t="s">
        <v>7795</v>
      </c>
      <c r="C510" s="3" t="s">
        <v>7796</v>
      </c>
      <c r="D510" s="3">
        <v>1174</v>
      </c>
      <c r="E510" s="3" t="s">
        <v>7182</v>
      </c>
      <c r="F510" s="3">
        <v>60</v>
      </c>
      <c r="G510" s="3" t="s">
        <v>12099</v>
      </c>
      <c r="H510" s="3"/>
    </row>
    <row r="511" spans="1:8" ht="75" x14ac:dyDescent="0.25">
      <c r="A511" s="3" t="s">
        <v>12097</v>
      </c>
      <c r="B511" s="3" t="s">
        <v>7797</v>
      </c>
      <c r="C511" s="3" t="s">
        <v>7798</v>
      </c>
      <c r="D511" s="3">
        <v>41</v>
      </c>
      <c r="E511" s="3" t="s">
        <v>7179</v>
      </c>
      <c r="F511" s="3">
        <v>5</v>
      </c>
      <c r="G511" s="3" t="s">
        <v>7799</v>
      </c>
      <c r="H511" s="3"/>
    </row>
    <row r="512" spans="1:8" ht="75" x14ac:dyDescent="0.25">
      <c r="A512" s="3" t="s">
        <v>12097</v>
      </c>
      <c r="B512" s="3" t="s">
        <v>7800</v>
      </c>
      <c r="C512" s="3" t="s">
        <v>7801</v>
      </c>
      <c r="D512" s="3">
        <v>772</v>
      </c>
      <c r="E512" s="3" t="s">
        <v>7182</v>
      </c>
      <c r="F512" s="3">
        <v>35</v>
      </c>
      <c r="G512" s="3" t="s">
        <v>12099</v>
      </c>
      <c r="H512" s="3"/>
    </row>
    <row r="513" spans="1:8" ht="135" x14ac:dyDescent="0.25">
      <c r="A513" s="3" t="s">
        <v>12097</v>
      </c>
      <c r="B513" s="3" t="s">
        <v>7802</v>
      </c>
      <c r="C513" s="3" t="s">
        <v>7803</v>
      </c>
      <c r="D513" s="3">
        <v>1226</v>
      </c>
      <c r="E513" s="3" t="s">
        <v>7179</v>
      </c>
      <c r="F513" s="3">
        <v>5</v>
      </c>
      <c r="G513" s="3" t="s">
        <v>7804</v>
      </c>
      <c r="H513" s="3"/>
    </row>
    <row r="514" spans="1:8" ht="409.5" x14ac:dyDescent="0.25">
      <c r="A514" s="3" t="s">
        <v>12097</v>
      </c>
      <c r="B514" s="3" t="s">
        <v>7805</v>
      </c>
      <c r="C514" s="3" t="s">
        <v>7806</v>
      </c>
      <c r="D514" s="3">
        <v>650</v>
      </c>
      <c r="E514" s="3" t="s">
        <v>7179</v>
      </c>
      <c r="F514" s="3">
        <v>5</v>
      </c>
      <c r="G514" s="3" t="s">
        <v>7807</v>
      </c>
      <c r="H514" s="3"/>
    </row>
    <row r="515" spans="1:8" ht="45" x14ac:dyDescent="0.25">
      <c r="A515" s="3" t="s">
        <v>12097</v>
      </c>
      <c r="B515" s="3" t="s">
        <v>7808</v>
      </c>
      <c r="C515" s="3" t="s">
        <v>7809</v>
      </c>
      <c r="D515" s="3">
        <v>1017</v>
      </c>
      <c r="E515" s="3" t="s">
        <v>7238</v>
      </c>
      <c r="F515" s="3">
        <v>2.2000000000000002</v>
      </c>
      <c r="G515" s="3" t="s">
        <v>12099</v>
      </c>
      <c r="H515" s="3"/>
    </row>
    <row r="516" spans="1:8" ht="409.5" x14ac:dyDescent="0.25">
      <c r="A516" s="3" t="s">
        <v>12097</v>
      </c>
      <c r="B516" s="3" t="s">
        <v>7810</v>
      </c>
      <c r="C516" s="3" t="s">
        <v>7811</v>
      </c>
      <c r="D516" s="3">
        <v>747</v>
      </c>
      <c r="E516" s="3" t="s">
        <v>7179</v>
      </c>
      <c r="F516" s="3">
        <v>5</v>
      </c>
      <c r="G516" s="3" t="s">
        <v>12113</v>
      </c>
      <c r="H516" s="3"/>
    </row>
    <row r="517" spans="1:8" ht="409.5" x14ac:dyDescent="0.25">
      <c r="A517" s="3"/>
      <c r="B517" s="3"/>
      <c r="C517" s="3"/>
      <c r="D517" s="3"/>
      <c r="E517" s="3"/>
      <c r="F517" s="3"/>
      <c r="G517" s="3" t="s">
        <v>10461</v>
      </c>
      <c r="H517" s="3"/>
    </row>
    <row r="518" spans="1:8" ht="45" x14ac:dyDescent="0.25">
      <c r="A518" s="3" t="s">
        <v>12097</v>
      </c>
      <c r="B518" s="3" t="s">
        <v>7812</v>
      </c>
      <c r="C518" s="3" t="s">
        <v>7813</v>
      </c>
      <c r="D518" s="3">
        <v>723</v>
      </c>
      <c r="E518" s="3" t="s">
        <v>7182</v>
      </c>
      <c r="F518" s="3">
        <v>8</v>
      </c>
      <c r="G518" s="3" t="s">
        <v>12099</v>
      </c>
      <c r="H518" s="3"/>
    </row>
    <row r="519" spans="1:8" ht="60" x14ac:dyDescent="0.25">
      <c r="A519" s="3" t="s">
        <v>12097</v>
      </c>
      <c r="B519" s="3" t="s">
        <v>7814</v>
      </c>
      <c r="C519" s="3" t="s">
        <v>7815</v>
      </c>
      <c r="D519" s="3">
        <v>1097</v>
      </c>
      <c r="E519" s="3" t="s">
        <v>7179</v>
      </c>
      <c r="F519" s="3">
        <v>5</v>
      </c>
      <c r="G519" s="3" t="s">
        <v>12098</v>
      </c>
      <c r="H519" s="3"/>
    </row>
    <row r="520" spans="1:8" ht="240" x14ac:dyDescent="0.25">
      <c r="A520" s="3" t="s">
        <v>12097</v>
      </c>
      <c r="B520" s="3" t="s">
        <v>7816</v>
      </c>
      <c r="C520" s="3" t="s">
        <v>7817</v>
      </c>
      <c r="D520" s="3">
        <v>1298</v>
      </c>
      <c r="E520" s="3" t="s">
        <v>7179</v>
      </c>
      <c r="F520" s="3">
        <v>5</v>
      </c>
      <c r="G520" s="3" t="s">
        <v>7818</v>
      </c>
      <c r="H520" s="3"/>
    </row>
    <row r="521" spans="1:8" ht="270" x14ac:dyDescent="0.25">
      <c r="A521" s="3" t="s">
        <v>12097</v>
      </c>
      <c r="B521" s="3" t="s">
        <v>7819</v>
      </c>
      <c r="C521" s="3" t="s">
        <v>7820</v>
      </c>
      <c r="D521" s="3">
        <v>600</v>
      </c>
      <c r="E521" s="3" t="s">
        <v>7179</v>
      </c>
      <c r="F521" s="3">
        <v>5</v>
      </c>
      <c r="G521" s="3" t="s">
        <v>7821</v>
      </c>
      <c r="H521" s="3"/>
    </row>
    <row r="522" spans="1:8" ht="90" x14ac:dyDescent="0.25">
      <c r="A522" s="3" t="s">
        <v>12097</v>
      </c>
      <c r="B522" s="3" t="s">
        <v>7822</v>
      </c>
      <c r="C522" s="3" t="s">
        <v>7823</v>
      </c>
      <c r="D522" s="3">
        <v>601</v>
      </c>
      <c r="E522" s="3" t="s">
        <v>7179</v>
      </c>
      <c r="F522" s="3">
        <v>5</v>
      </c>
      <c r="G522" s="3" t="s">
        <v>7824</v>
      </c>
      <c r="H522" s="3"/>
    </row>
    <row r="523" spans="1:8" ht="75" x14ac:dyDescent="0.25">
      <c r="A523" s="3" t="s">
        <v>12097</v>
      </c>
      <c r="B523" s="3" t="s">
        <v>7825</v>
      </c>
      <c r="C523" s="3" t="s">
        <v>7826</v>
      </c>
      <c r="D523" s="3">
        <v>803</v>
      </c>
      <c r="E523" s="3" t="s">
        <v>7182</v>
      </c>
      <c r="F523" s="3">
        <v>60</v>
      </c>
      <c r="G523" s="3" t="s">
        <v>7827</v>
      </c>
      <c r="H523" s="3"/>
    </row>
    <row r="524" spans="1:8" ht="120" x14ac:dyDescent="0.25">
      <c r="A524" s="3" t="s">
        <v>12097</v>
      </c>
      <c r="B524" s="3" t="s">
        <v>7828</v>
      </c>
      <c r="C524" s="3" t="s">
        <v>7829</v>
      </c>
      <c r="D524" s="3">
        <v>801</v>
      </c>
      <c r="E524" s="3" t="s">
        <v>7179</v>
      </c>
      <c r="F524" s="3">
        <v>5</v>
      </c>
      <c r="G524" s="3" t="s">
        <v>7830</v>
      </c>
      <c r="H524" s="3"/>
    </row>
    <row r="525" spans="1:8" ht="120" x14ac:dyDescent="0.25">
      <c r="A525" s="3" t="s">
        <v>12097</v>
      </c>
      <c r="B525" s="3" t="s">
        <v>7831</v>
      </c>
      <c r="C525" s="3" t="s">
        <v>7832</v>
      </c>
      <c r="D525" s="3">
        <v>802</v>
      </c>
      <c r="E525" s="3" t="s">
        <v>7179</v>
      </c>
      <c r="F525" s="3">
        <v>5</v>
      </c>
      <c r="G525" s="3" t="s">
        <v>7833</v>
      </c>
      <c r="H525" s="3"/>
    </row>
    <row r="526" spans="1:8" ht="135" x14ac:dyDescent="0.25">
      <c r="A526" s="3" t="s">
        <v>12097</v>
      </c>
      <c r="B526" s="3" t="s">
        <v>7834</v>
      </c>
      <c r="C526" s="3" t="s">
        <v>7835</v>
      </c>
      <c r="D526" s="3">
        <v>805</v>
      </c>
      <c r="E526" s="3" t="s">
        <v>7179</v>
      </c>
      <c r="F526" s="3">
        <v>5</v>
      </c>
      <c r="G526" s="3" t="s">
        <v>7836</v>
      </c>
      <c r="H526" s="3"/>
    </row>
    <row r="527" spans="1:8" ht="405" x14ac:dyDescent="0.25">
      <c r="A527" s="3" t="s">
        <v>12097</v>
      </c>
      <c r="B527" s="3" t="s">
        <v>7837</v>
      </c>
      <c r="C527" s="3" t="s">
        <v>7838</v>
      </c>
      <c r="D527" s="3">
        <v>804</v>
      </c>
      <c r="E527" s="3" t="s">
        <v>7179</v>
      </c>
      <c r="F527" s="3">
        <v>5</v>
      </c>
      <c r="G527" s="3" t="s">
        <v>7839</v>
      </c>
      <c r="H527" s="3"/>
    </row>
    <row r="528" spans="1:8" ht="45" x14ac:dyDescent="0.25">
      <c r="A528" s="3" t="s">
        <v>12097</v>
      </c>
      <c r="B528" s="3" t="s">
        <v>7840</v>
      </c>
      <c r="C528" s="3" t="s">
        <v>7841</v>
      </c>
      <c r="D528" s="3">
        <v>1279</v>
      </c>
      <c r="E528" s="3" t="s">
        <v>7220</v>
      </c>
      <c r="F528" s="3">
        <v>6</v>
      </c>
      <c r="G528" s="3" t="s">
        <v>12099</v>
      </c>
      <c r="H528" s="3"/>
    </row>
    <row r="529" spans="1:8" ht="360" x14ac:dyDescent="0.25">
      <c r="A529" s="3" t="s">
        <v>12097</v>
      </c>
      <c r="B529" s="3" t="s">
        <v>7842</v>
      </c>
      <c r="C529" s="3" t="s">
        <v>7843</v>
      </c>
      <c r="D529" s="3">
        <v>1272</v>
      </c>
      <c r="E529" s="3" t="s">
        <v>7179</v>
      </c>
      <c r="F529" s="3">
        <v>5</v>
      </c>
      <c r="G529" s="3" t="s">
        <v>7779</v>
      </c>
      <c r="H529" s="3"/>
    </row>
    <row r="530" spans="1:8" ht="360" x14ac:dyDescent="0.25">
      <c r="A530" s="3" t="s">
        <v>12097</v>
      </c>
      <c r="B530" s="3" t="s">
        <v>7844</v>
      </c>
      <c r="C530" s="3" t="s">
        <v>7845</v>
      </c>
      <c r="D530" s="3">
        <v>1271</v>
      </c>
      <c r="E530" s="3" t="s">
        <v>7179</v>
      </c>
      <c r="F530" s="3">
        <v>5</v>
      </c>
      <c r="G530" s="3" t="s">
        <v>7779</v>
      </c>
      <c r="H530" s="3"/>
    </row>
    <row r="531" spans="1:8" ht="60" x14ac:dyDescent="0.25">
      <c r="A531" s="3" t="s">
        <v>12097</v>
      </c>
      <c r="B531" s="3" t="s">
        <v>7846</v>
      </c>
      <c r="C531" s="3" t="s">
        <v>7847</v>
      </c>
      <c r="D531" s="3">
        <v>1231</v>
      </c>
      <c r="E531" s="3" t="s">
        <v>7182</v>
      </c>
      <c r="F531" s="3">
        <v>80</v>
      </c>
      <c r="G531" s="3" t="s">
        <v>12099</v>
      </c>
      <c r="H531" s="3"/>
    </row>
    <row r="532" spans="1:8" ht="105" x14ac:dyDescent="0.25">
      <c r="A532" s="3" t="s">
        <v>12097</v>
      </c>
      <c r="B532" s="3" t="s">
        <v>7848</v>
      </c>
      <c r="C532" s="3" t="s">
        <v>7849</v>
      </c>
      <c r="D532" s="3">
        <v>1225</v>
      </c>
      <c r="E532" s="3" t="s">
        <v>7182</v>
      </c>
      <c r="F532" s="3">
        <v>60</v>
      </c>
      <c r="G532" s="3" t="s">
        <v>12099</v>
      </c>
      <c r="H532" s="3"/>
    </row>
    <row r="533" spans="1:8" ht="360" x14ac:dyDescent="0.25">
      <c r="A533" s="3" t="s">
        <v>12097</v>
      </c>
      <c r="B533" s="3" t="s">
        <v>7850</v>
      </c>
      <c r="C533" s="3" t="s">
        <v>7851</v>
      </c>
      <c r="D533" s="3">
        <v>1265</v>
      </c>
      <c r="E533" s="3" t="s">
        <v>7179</v>
      </c>
      <c r="F533" s="3">
        <v>5</v>
      </c>
      <c r="G533" s="3" t="s">
        <v>7779</v>
      </c>
      <c r="H533" s="3"/>
    </row>
    <row r="534" spans="1:8" ht="360" x14ac:dyDescent="0.25">
      <c r="A534" s="3" t="s">
        <v>12097</v>
      </c>
      <c r="B534" s="3" t="s">
        <v>7852</v>
      </c>
      <c r="C534" s="3" t="s">
        <v>7853</v>
      </c>
      <c r="D534" s="3">
        <v>1269</v>
      </c>
      <c r="E534" s="3" t="s">
        <v>7179</v>
      </c>
      <c r="F534" s="3">
        <v>5</v>
      </c>
      <c r="G534" s="3" t="s">
        <v>7854</v>
      </c>
      <c r="H534" s="3"/>
    </row>
    <row r="535" spans="1:8" ht="360" x14ac:dyDescent="0.25">
      <c r="A535" s="3" t="s">
        <v>12097</v>
      </c>
      <c r="B535" s="3" t="s">
        <v>7855</v>
      </c>
      <c r="C535" s="3" t="s">
        <v>7856</v>
      </c>
      <c r="D535" s="3">
        <v>1233</v>
      </c>
      <c r="E535" s="3" t="s">
        <v>7179</v>
      </c>
      <c r="F535" s="3">
        <v>5</v>
      </c>
      <c r="G535" s="3" t="s">
        <v>7779</v>
      </c>
      <c r="H535" s="3"/>
    </row>
    <row r="536" spans="1:8" ht="270" x14ac:dyDescent="0.25">
      <c r="A536" s="3" t="s">
        <v>12097</v>
      </c>
      <c r="B536" s="3" t="s">
        <v>7857</v>
      </c>
      <c r="C536" s="3" t="s">
        <v>7858</v>
      </c>
      <c r="D536" s="3">
        <v>1236</v>
      </c>
      <c r="E536" s="3" t="s">
        <v>7179</v>
      </c>
      <c r="F536" s="3">
        <v>5</v>
      </c>
      <c r="G536" s="3" t="s">
        <v>7859</v>
      </c>
      <c r="H536" s="3"/>
    </row>
    <row r="537" spans="1:8" ht="45" x14ac:dyDescent="0.25">
      <c r="A537" s="3" t="s">
        <v>12097</v>
      </c>
      <c r="B537" s="3" t="s">
        <v>7860</v>
      </c>
      <c r="C537" s="3" t="s">
        <v>7861</v>
      </c>
      <c r="D537" s="3">
        <v>537</v>
      </c>
      <c r="E537" s="3" t="s">
        <v>7238</v>
      </c>
      <c r="F537" s="3">
        <v>6.2</v>
      </c>
      <c r="G537" s="3" t="s">
        <v>12099</v>
      </c>
      <c r="H537" s="3"/>
    </row>
    <row r="538" spans="1:8" ht="45" x14ac:dyDescent="0.25">
      <c r="A538" s="3" t="s">
        <v>12097</v>
      </c>
      <c r="B538" s="3" t="s">
        <v>7862</v>
      </c>
      <c r="C538" s="3" t="s">
        <v>7863</v>
      </c>
      <c r="D538" s="3">
        <v>496</v>
      </c>
      <c r="E538" s="3" t="s">
        <v>7182</v>
      </c>
      <c r="F538" s="3">
        <v>60</v>
      </c>
      <c r="G538" s="3" t="s">
        <v>12099</v>
      </c>
      <c r="H538" s="3"/>
    </row>
    <row r="539" spans="1:8" ht="409.5" x14ac:dyDescent="0.25">
      <c r="A539" s="3" t="s">
        <v>12097</v>
      </c>
      <c r="B539" s="3" t="s">
        <v>7864</v>
      </c>
      <c r="C539" s="3" t="s">
        <v>7865</v>
      </c>
      <c r="D539" s="3">
        <v>710</v>
      </c>
      <c r="E539" s="3" t="s">
        <v>7179</v>
      </c>
      <c r="F539" s="3">
        <v>5</v>
      </c>
      <c r="G539" s="3" t="s">
        <v>7866</v>
      </c>
      <c r="H539" s="3"/>
    </row>
    <row r="540" spans="1:8" ht="409.5" x14ac:dyDescent="0.25">
      <c r="A540" s="3" t="s">
        <v>12097</v>
      </c>
      <c r="B540" s="3" t="s">
        <v>7867</v>
      </c>
      <c r="C540" s="3" t="s">
        <v>7868</v>
      </c>
      <c r="D540" s="3">
        <v>370</v>
      </c>
      <c r="E540" s="3" t="s">
        <v>7179</v>
      </c>
      <c r="F540" s="3">
        <v>5</v>
      </c>
      <c r="G540" s="3" t="s">
        <v>7869</v>
      </c>
      <c r="H540" s="3"/>
    </row>
    <row r="541" spans="1:8" ht="120" x14ac:dyDescent="0.25">
      <c r="A541" s="3" t="s">
        <v>12097</v>
      </c>
      <c r="B541" s="3" t="s">
        <v>7870</v>
      </c>
      <c r="C541" s="3" t="s">
        <v>7871</v>
      </c>
      <c r="D541" s="3">
        <v>117</v>
      </c>
      <c r="E541" s="3" t="s">
        <v>7179</v>
      </c>
      <c r="F541" s="3">
        <v>5</v>
      </c>
      <c r="G541" s="3" t="s">
        <v>7872</v>
      </c>
      <c r="H541" s="3"/>
    </row>
    <row r="542" spans="1:8" ht="165" x14ac:dyDescent="0.25">
      <c r="A542" s="3" t="s">
        <v>12097</v>
      </c>
      <c r="B542" s="3" t="s">
        <v>7873</v>
      </c>
      <c r="C542" s="3" t="s">
        <v>7874</v>
      </c>
      <c r="D542" s="3">
        <v>118</v>
      </c>
      <c r="E542" s="3" t="s">
        <v>7179</v>
      </c>
      <c r="F542" s="3">
        <v>5</v>
      </c>
      <c r="G542" s="3" t="s">
        <v>7875</v>
      </c>
      <c r="H542" s="3"/>
    </row>
    <row r="543" spans="1:8" ht="60" x14ac:dyDescent="0.25">
      <c r="A543" s="3" t="s">
        <v>12097</v>
      </c>
      <c r="B543" s="3" t="s">
        <v>7876</v>
      </c>
      <c r="C543" s="3" t="s">
        <v>7877</v>
      </c>
      <c r="D543" s="3">
        <v>382</v>
      </c>
      <c r="E543" s="3" t="s">
        <v>7238</v>
      </c>
      <c r="F543" s="3">
        <v>4.0999999999999996</v>
      </c>
      <c r="G543" s="3" t="s">
        <v>12099</v>
      </c>
      <c r="H543" s="3"/>
    </row>
    <row r="544" spans="1:8" ht="45" x14ac:dyDescent="0.25">
      <c r="A544" s="3" t="s">
        <v>12097</v>
      </c>
      <c r="B544" s="3" t="s">
        <v>7878</v>
      </c>
      <c r="C544" s="3" t="s">
        <v>7879</v>
      </c>
      <c r="D544" s="3">
        <v>1267</v>
      </c>
      <c r="E544" s="3" t="s">
        <v>7182</v>
      </c>
      <c r="F544" s="3">
        <v>60</v>
      </c>
      <c r="G544" s="3" t="s">
        <v>12099</v>
      </c>
      <c r="H544" s="3"/>
    </row>
    <row r="545" spans="1:8" ht="60" x14ac:dyDescent="0.25">
      <c r="A545" s="3" t="s">
        <v>12097</v>
      </c>
      <c r="B545" s="3" t="s">
        <v>7880</v>
      </c>
      <c r="C545" s="3" t="s">
        <v>7881</v>
      </c>
      <c r="D545" s="3">
        <v>383</v>
      </c>
      <c r="E545" s="3" t="s">
        <v>7238</v>
      </c>
      <c r="F545" s="3">
        <v>4.0999999999999996</v>
      </c>
      <c r="G545" s="3" t="s">
        <v>12099</v>
      </c>
      <c r="H545" s="3"/>
    </row>
    <row r="546" spans="1:8" ht="330" x14ac:dyDescent="0.25">
      <c r="A546" s="3" t="s">
        <v>12097</v>
      </c>
      <c r="B546" s="3" t="s">
        <v>7882</v>
      </c>
      <c r="C546" s="3" t="s">
        <v>7883</v>
      </c>
      <c r="D546" s="3">
        <v>378</v>
      </c>
      <c r="E546" s="3" t="s">
        <v>7179</v>
      </c>
      <c r="F546" s="3">
        <v>5</v>
      </c>
      <c r="G546" s="3" t="s">
        <v>7884</v>
      </c>
      <c r="H546" s="3"/>
    </row>
    <row r="547" spans="1:8" ht="60" x14ac:dyDescent="0.25">
      <c r="A547" s="3" t="s">
        <v>12097</v>
      </c>
      <c r="B547" s="3" t="s">
        <v>7885</v>
      </c>
      <c r="C547" s="3" t="s">
        <v>7886</v>
      </c>
      <c r="D547" s="3">
        <v>381</v>
      </c>
      <c r="E547" s="3" t="s">
        <v>7220</v>
      </c>
      <c r="F547" s="3">
        <v>3</v>
      </c>
      <c r="G547" s="3" t="s">
        <v>12099</v>
      </c>
      <c r="H547" s="3"/>
    </row>
    <row r="548" spans="1:8" ht="60" x14ac:dyDescent="0.25">
      <c r="A548" s="3" t="s">
        <v>12097</v>
      </c>
      <c r="B548" s="3" t="s">
        <v>7887</v>
      </c>
      <c r="C548" s="3" t="s">
        <v>7888</v>
      </c>
      <c r="D548" s="3">
        <v>380</v>
      </c>
      <c r="E548" s="3" t="s">
        <v>7220</v>
      </c>
      <c r="F548" s="3">
        <v>4</v>
      </c>
      <c r="G548" s="3" t="s">
        <v>12099</v>
      </c>
      <c r="H548" s="3"/>
    </row>
    <row r="549" spans="1:8" ht="105" x14ac:dyDescent="0.25">
      <c r="A549" s="3" t="s">
        <v>12097</v>
      </c>
      <c r="B549" s="3" t="s">
        <v>7889</v>
      </c>
      <c r="C549" s="3" t="s">
        <v>7890</v>
      </c>
      <c r="D549" s="3">
        <v>379</v>
      </c>
      <c r="E549" s="3" t="s">
        <v>7182</v>
      </c>
      <c r="F549" s="3">
        <v>45</v>
      </c>
      <c r="G549" s="3" t="s">
        <v>12099</v>
      </c>
      <c r="H549" s="3"/>
    </row>
    <row r="550" spans="1:8" ht="105" x14ac:dyDescent="0.25">
      <c r="A550" s="3" t="s">
        <v>12097</v>
      </c>
      <c r="B550" s="3" t="s">
        <v>7891</v>
      </c>
      <c r="C550" s="3" t="s">
        <v>7892</v>
      </c>
      <c r="D550" s="3">
        <v>384</v>
      </c>
      <c r="E550" s="3" t="s">
        <v>7182</v>
      </c>
      <c r="F550" s="3">
        <v>45</v>
      </c>
      <c r="G550" s="3" t="s">
        <v>12099</v>
      </c>
      <c r="H550" s="3"/>
    </row>
    <row r="551" spans="1:8" ht="60" x14ac:dyDescent="0.25">
      <c r="A551" s="3" t="s">
        <v>12097</v>
      </c>
      <c r="B551" s="3" t="s">
        <v>7893</v>
      </c>
      <c r="C551" s="3" t="s">
        <v>7894</v>
      </c>
      <c r="D551" s="3">
        <v>1266</v>
      </c>
      <c r="E551" s="3" t="s">
        <v>7182</v>
      </c>
      <c r="F551" s="3">
        <v>30</v>
      </c>
      <c r="G551" s="3" t="s">
        <v>12099</v>
      </c>
      <c r="H551" s="3"/>
    </row>
    <row r="552" spans="1:8" ht="105" x14ac:dyDescent="0.25">
      <c r="A552" s="3" t="s">
        <v>12097</v>
      </c>
      <c r="B552" s="3" t="s">
        <v>7895</v>
      </c>
      <c r="C552" s="3" t="s">
        <v>7896</v>
      </c>
      <c r="D552" s="3">
        <v>390</v>
      </c>
      <c r="E552" s="3" t="s">
        <v>7182</v>
      </c>
      <c r="F552" s="3">
        <v>60</v>
      </c>
      <c r="G552" s="3" t="s">
        <v>12099</v>
      </c>
      <c r="H552" s="3"/>
    </row>
    <row r="553" spans="1:8" ht="120" x14ac:dyDescent="0.25">
      <c r="A553" s="3" t="s">
        <v>12097</v>
      </c>
      <c r="B553" s="3" t="s">
        <v>7897</v>
      </c>
      <c r="C553" s="3" t="s">
        <v>7898</v>
      </c>
      <c r="D553" s="3">
        <v>377</v>
      </c>
      <c r="E553" s="3" t="s">
        <v>7179</v>
      </c>
      <c r="F553" s="3">
        <v>5</v>
      </c>
      <c r="G553" s="3" t="s">
        <v>7899</v>
      </c>
      <c r="H553" s="3"/>
    </row>
    <row r="554" spans="1:8" ht="135" x14ac:dyDescent="0.25">
      <c r="A554" s="3" t="s">
        <v>12097</v>
      </c>
      <c r="B554" s="3" t="s">
        <v>7900</v>
      </c>
      <c r="C554" s="3" t="s">
        <v>7901</v>
      </c>
      <c r="D554" s="3">
        <v>369</v>
      </c>
      <c r="E554" s="3" t="s">
        <v>7179</v>
      </c>
      <c r="F554" s="3">
        <v>5</v>
      </c>
      <c r="G554" s="3" t="s">
        <v>7902</v>
      </c>
      <c r="H554" s="3"/>
    </row>
    <row r="555" spans="1:8" ht="150" x14ac:dyDescent="0.25">
      <c r="A555" s="3" t="s">
        <v>12097</v>
      </c>
      <c r="B555" s="3" t="s">
        <v>7903</v>
      </c>
      <c r="C555" s="3" t="s">
        <v>7904</v>
      </c>
      <c r="D555" s="3">
        <v>371</v>
      </c>
      <c r="E555" s="3" t="s">
        <v>7179</v>
      </c>
      <c r="F555" s="3">
        <v>5</v>
      </c>
      <c r="G555" s="3" t="s">
        <v>7905</v>
      </c>
      <c r="H555" s="3"/>
    </row>
    <row r="556" spans="1:8" ht="120" x14ac:dyDescent="0.25">
      <c r="A556" s="3" t="s">
        <v>12097</v>
      </c>
      <c r="B556" s="3" t="s">
        <v>7906</v>
      </c>
      <c r="C556" s="3" t="s">
        <v>7907</v>
      </c>
      <c r="D556" s="3">
        <v>1268</v>
      </c>
      <c r="E556" s="3" t="s">
        <v>7179</v>
      </c>
      <c r="F556" s="3">
        <v>5</v>
      </c>
      <c r="G556" s="3" t="s">
        <v>7899</v>
      </c>
      <c r="H556" s="3"/>
    </row>
    <row r="557" spans="1:8" ht="315" x14ac:dyDescent="0.25">
      <c r="A557" s="3" t="s">
        <v>12097</v>
      </c>
      <c r="B557" s="3" t="s">
        <v>7906</v>
      </c>
      <c r="C557" s="3" t="s">
        <v>7907</v>
      </c>
      <c r="D557" s="3">
        <v>1268</v>
      </c>
      <c r="E557" s="3" t="s">
        <v>7179</v>
      </c>
      <c r="F557" s="3">
        <v>5</v>
      </c>
      <c r="G557" s="3" t="s">
        <v>7908</v>
      </c>
      <c r="H557" s="3"/>
    </row>
    <row r="558" spans="1:8" ht="45" x14ac:dyDescent="0.25">
      <c r="A558" s="3" t="s">
        <v>12097</v>
      </c>
      <c r="B558" s="3" t="s">
        <v>7909</v>
      </c>
      <c r="C558" s="3" t="s">
        <v>7910</v>
      </c>
      <c r="D558" s="3">
        <v>119</v>
      </c>
      <c r="E558" s="3" t="s">
        <v>7182</v>
      </c>
      <c r="F558" s="3">
        <v>45</v>
      </c>
      <c r="G558" s="3" t="s">
        <v>12099</v>
      </c>
      <c r="H558" s="3"/>
    </row>
    <row r="559" spans="1:8" ht="60" x14ac:dyDescent="0.25">
      <c r="A559" s="3" t="s">
        <v>12097</v>
      </c>
      <c r="B559" s="3" t="s">
        <v>7912</v>
      </c>
      <c r="C559" s="3" t="s">
        <v>7913</v>
      </c>
      <c r="D559" s="3">
        <v>533</v>
      </c>
      <c r="E559" s="3" t="s">
        <v>7182</v>
      </c>
      <c r="F559" s="3">
        <v>20</v>
      </c>
      <c r="G559" s="3" t="s">
        <v>12099</v>
      </c>
      <c r="H559" s="3"/>
    </row>
    <row r="560" spans="1:8" ht="60" x14ac:dyDescent="0.25">
      <c r="A560" s="3" t="s">
        <v>12097</v>
      </c>
      <c r="B560" s="3" t="s">
        <v>7914</v>
      </c>
      <c r="C560" s="3" t="s">
        <v>7915</v>
      </c>
      <c r="D560" s="3">
        <v>532</v>
      </c>
      <c r="E560" s="3" t="s">
        <v>7182</v>
      </c>
      <c r="F560" s="3">
        <v>20</v>
      </c>
      <c r="G560" s="3" t="s">
        <v>12099</v>
      </c>
      <c r="H560" s="3"/>
    </row>
    <row r="561" spans="1:8" ht="90" x14ac:dyDescent="0.25">
      <c r="A561" s="3" t="s">
        <v>12097</v>
      </c>
      <c r="B561" s="3" t="s">
        <v>7916</v>
      </c>
      <c r="C561" s="3" t="s">
        <v>7917</v>
      </c>
      <c r="D561" s="3">
        <v>506</v>
      </c>
      <c r="E561" s="3" t="s">
        <v>7179</v>
      </c>
      <c r="F561" s="3">
        <v>5</v>
      </c>
      <c r="G561" s="3" t="s">
        <v>7918</v>
      </c>
      <c r="H561" s="3"/>
    </row>
    <row r="562" spans="1:8" ht="315" x14ac:dyDescent="0.25">
      <c r="A562" s="3" t="s">
        <v>12097</v>
      </c>
      <c r="B562" s="3" t="s">
        <v>7919</v>
      </c>
      <c r="C562" s="3" t="s">
        <v>7920</v>
      </c>
      <c r="D562" s="3">
        <v>343</v>
      </c>
      <c r="E562" s="3" t="s">
        <v>7179</v>
      </c>
      <c r="F562" s="3">
        <v>5</v>
      </c>
      <c r="G562" s="3" t="s">
        <v>7921</v>
      </c>
      <c r="H562" s="3"/>
    </row>
    <row r="563" spans="1:8" ht="90" x14ac:dyDescent="0.25">
      <c r="A563" s="3" t="s">
        <v>12097</v>
      </c>
      <c r="B563" s="3" t="s">
        <v>7922</v>
      </c>
      <c r="C563" s="3" t="s">
        <v>7923</v>
      </c>
      <c r="D563" s="3">
        <v>995</v>
      </c>
      <c r="E563" s="3" t="s">
        <v>7182</v>
      </c>
      <c r="F563" s="3">
        <v>80</v>
      </c>
      <c r="G563" s="3" t="s">
        <v>12099</v>
      </c>
      <c r="H563" s="3"/>
    </row>
    <row r="564" spans="1:8" ht="75" x14ac:dyDescent="0.25">
      <c r="A564" s="3" t="s">
        <v>12097</v>
      </c>
      <c r="B564" s="3" t="s">
        <v>7924</v>
      </c>
      <c r="C564" s="3" t="s">
        <v>7925</v>
      </c>
      <c r="D564" s="3">
        <v>1031</v>
      </c>
      <c r="E564" s="3" t="s">
        <v>7238</v>
      </c>
      <c r="F564" s="3">
        <v>6.2</v>
      </c>
      <c r="G564" s="3" t="s">
        <v>12099</v>
      </c>
      <c r="H564" s="3"/>
    </row>
    <row r="565" spans="1:8" ht="165" x14ac:dyDescent="0.25">
      <c r="A565" s="3" t="s">
        <v>12097</v>
      </c>
      <c r="B565" s="3" t="s">
        <v>7926</v>
      </c>
      <c r="C565" s="3" t="s">
        <v>7927</v>
      </c>
      <c r="D565" s="3">
        <v>614</v>
      </c>
      <c r="E565" s="3" t="s">
        <v>7179</v>
      </c>
      <c r="F565" s="3">
        <v>5</v>
      </c>
      <c r="G565" s="3" t="s">
        <v>7928</v>
      </c>
      <c r="H565" s="3"/>
    </row>
    <row r="566" spans="1:8" ht="409.5" x14ac:dyDescent="0.25">
      <c r="A566" s="3" t="s">
        <v>12097</v>
      </c>
      <c r="B566" s="3" t="s">
        <v>7929</v>
      </c>
      <c r="C566" s="3" t="s">
        <v>7930</v>
      </c>
      <c r="D566" s="3">
        <v>326</v>
      </c>
      <c r="E566" s="3" t="s">
        <v>7179</v>
      </c>
      <c r="F566" s="3">
        <v>5</v>
      </c>
      <c r="G566" s="3" t="s">
        <v>7931</v>
      </c>
      <c r="H566" s="3"/>
    </row>
    <row r="567" spans="1:8" ht="409.5" x14ac:dyDescent="0.25">
      <c r="A567" s="3" t="s">
        <v>12097</v>
      </c>
      <c r="B567" s="3" t="s">
        <v>7932</v>
      </c>
      <c r="C567" s="3" t="s">
        <v>7933</v>
      </c>
      <c r="D567" s="3">
        <v>2149</v>
      </c>
      <c r="E567" s="3" t="s">
        <v>7179</v>
      </c>
      <c r="F567" s="3">
        <v>5</v>
      </c>
      <c r="G567" s="3" t="s">
        <v>7934</v>
      </c>
      <c r="H567" s="3"/>
    </row>
    <row r="568" spans="1:8" ht="45" x14ac:dyDescent="0.25">
      <c r="A568" s="3" t="s">
        <v>12097</v>
      </c>
      <c r="B568" s="3" t="s">
        <v>7935</v>
      </c>
      <c r="C568" s="3" t="s">
        <v>7936</v>
      </c>
      <c r="D568" s="3">
        <v>702</v>
      </c>
      <c r="E568" s="3" t="s">
        <v>7182</v>
      </c>
      <c r="F568" s="3">
        <v>60</v>
      </c>
      <c r="G568" s="3" t="s">
        <v>12099</v>
      </c>
      <c r="H568" s="3"/>
    </row>
    <row r="569" spans="1:8" ht="45" x14ac:dyDescent="0.25">
      <c r="A569" s="3" t="s">
        <v>12097</v>
      </c>
      <c r="B569" s="3" t="s">
        <v>7937</v>
      </c>
      <c r="C569" s="3" t="s">
        <v>7938</v>
      </c>
      <c r="D569" s="3">
        <v>703</v>
      </c>
      <c r="E569" s="3" t="s">
        <v>7182</v>
      </c>
      <c r="F569" s="3">
        <v>60</v>
      </c>
      <c r="G569" s="3" t="s">
        <v>12099</v>
      </c>
      <c r="H569" s="3"/>
    </row>
    <row r="570" spans="1:8" ht="30" x14ac:dyDescent="0.25">
      <c r="A570" s="3" t="s">
        <v>12097</v>
      </c>
      <c r="B570" s="3" t="s">
        <v>7939</v>
      </c>
      <c r="C570" s="3" t="s">
        <v>7940</v>
      </c>
      <c r="D570" s="3">
        <v>705</v>
      </c>
      <c r="E570" s="3" t="s">
        <v>7200</v>
      </c>
      <c r="F570" s="3">
        <v>8</v>
      </c>
      <c r="G570" s="3" t="s">
        <v>12099</v>
      </c>
      <c r="H570" s="3"/>
    </row>
    <row r="571" spans="1:8" ht="45" x14ac:dyDescent="0.25">
      <c r="A571" s="3" t="s">
        <v>12097</v>
      </c>
      <c r="B571" s="3" t="s">
        <v>7941</v>
      </c>
      <c r="C571" s="3" t="s">
        <v>7942</v>
      </c>
      <c r="D571" s="3">
        <v>701</v>
      </c>
      <c r="E571" s="3" t="s">
        <v>7182</v>
      </c>
      <c r="F571" s="3">
        <v>20</v>
      </c>
      <c r="G571" s="3" t="s">
        <v>12099</v>
      </c>
      <c r="H571" s="3"/>
    </row>
    <row r="572" spans="1:8" ht="30" x14ac:dyDescent="0.25">
      <c r="A572" s="3" t="s">
        <v>12097</v>
      </c>
      <c r="B572" s="3" t="s">
        <v>7943</v>
      </c>
      <c r="C572" s="3" t="s">
        <v>7944</v>
      </c>
      <c r="D572" s="3">
        <v>704</v>
      </c>
      <c r="E572" s="3" t="s">
        <v>7200</v>
      </c>
      <c r="F572" s="3">
        <v>8</v>
      </c>
      <c r="G572" s="3" t="s">
        <v>12099</v>
      </c>
      <c r="H572" s="3"/>
    </row>
    <row r="573" spans="1:8" ht="180" x14ac:dyDescent="0.25">
      <c r="A573" s="3" t="s">
        <v>12097</v>
      </c>
      <c r="B573" s="3" t="s">
        <v>7945</v>
      </c>
      <c r="C573" s="3" t="s">
        <v>7946</v>
      </c>
      <c r="D573" s="3">
        <v>708</v>
      </c>
      <c r="E573" s="3" t="s">
        <v>7179</v>
      </c>
      <c r="F573" s="3">
        <v>5</v>
      </c>
      <c r="G573" s="3" t="s">
        <v>7947</v>
      </c>
      <c r="H573" s="3"/>
    </row>
    <row r="574" spans="1:8" ht="60" x14ac:dyDescent="0.25">
      <c r="A574" s="3" t="s">
        <v>12097</v>
      </c>
      <c r="B574" s="3" t="s">
        <v>7948</v>
      </c>
      <c r="C574" s="3" t="s">
        <v>7949</v>
      </c>
      <c r="D574" s="3">
        <v>579</v>
      </c>
      <c r="E574" s="3" t="s">
        <v>7200</v>
      </c>
      <c r="F574" s="3">
        <v>8</v>
      </c>
      <c r="G574" s="3" t="s">
        <v>12099</v>
      </c>
      <c r="H574" s="3"/>
    </row>
    <row r="575" spans="1:8" ht="75" x14ac:dyDescent="0.25">
      <c r="A575" s="3" t="s">
        <v>12097</v>
      </c>
      <c r="B575" s="3" t="s">
        <v>7950</v>
      </c>
      <c r="C575" s="3" t="s">
        <v>7951</v>
      </c>
      <c r="D575" s="3">
        <v>474</v>
      </c>
      <c r="E575" s="3" t="s">
        <v>7182</v>
      </c>
      <c r="F575" s="3">
        <v>16</v>
      </c>
      <c r="G575" s="3" t="s">
        <v>12099</v>
      </c>
      <c r="H575" s="3"/>
    </row>
    <row r="576" spans="1:8" ht="45" x14ac:dyDescent="0.25">
      <c r="A576" s="3" t="s">
        <v>12097</v>
      </c>
      <c r="B576" s="3" t="s">
        <v>7952</v>
      </c>
      <c r="C576" s="3" t="s">
        <v>7953</v>
      </c>
      <c r="D576" s="3">
        <v>1468</v>
      </c>
      <c r="E576" s="3" t="s">
        <v>7200</v>
      </c>
      <c r="F576" s="3">
        <v>8</v>
      </c>
      <c r="G576" s="3" t="s">
        <v>12099</v>
      </c>
      <c r="H576" s="3"/>
    </row>
    <row r="577" spans="1:8" ht="45" x14ac:dyDescent="0.25">
      <c r="A577" s="3" t="s">
        <v>12097</v>
      </c>
      <c r="B577" s="3" t="s">
        <v>7954</v>
      </c>
      <c r="C577" s="3" t="s">
        <v>7955</v>
      </c>
      <c r="D577" s="3">
        <v>1469</v>
      </c>
      <c r="E577" s="3" t="s">
        <v>7220</v>
      </c>
      <c r="F577" s="3">
        <v>5</v>
      </c>
      <c r="G577" s="3" t="s">
        <v>12099</v>
      </c>
      <c r="H577" s="3"/>
    </row>
    <row r="578" spans="1:8" ht="30" x14ac:dyDescent="0.25">
      <c r="A578" s="3" t="s">
        <v>12097</v>
      </c>
      <c r="B578" s="3" t="s">
        <v>7956</v>
      </c>
      <c r="C578" s="3" t="s">
        <v>7957</v>
      </c>
      <c r="D578" s="3">
        <v>123</v>
      </c>
      <c r="E578" s="3" t="s">
        <v>7200</v>
      </c>
      <c r="F578" s="3">
        <v>8</v>
      </c>
      <c r="G578" s="3" t="s">
        <v>12099</v>
      </c>
      <c r="H578" s="3"/>
    </row>
    <row r="579" spans="1:8" ht="210" x14ac:dyDescent="0.25">
      <c r="A579" s="3" t="s">
        <v>12097</v>
      </c>
      <c r="B579" s="3" t="s">
        <v>7961</v>
      </c>
      <c r="C579" s="3" t="s">
        <v>7962</v>
      </c>
      <c r="D579" s="3">
        <v>1170</v>
      </c>
      <c r="E579" s="3" t="s">
        <v>7179</v>
      </c>
      <c r="F579" s="3">
        <v>5</v>
      </c>
      <c r="G579" s="3" t="s">
        <v>7963</v>
      </c>
      <c r="H579" s="3"/>
    </row>
    <row r="580" spans="1:8" ht="150" x14ac:dyDescent="0.25">
      <c r="A580" s="3" t="s">
        <v>12097</v>
      </c>
      <c r="B580" s="3" t="s">
        <v>7964</v>
      </c>
      <c r="C580" s="3" t="s">
        <v>7965</v>
      </c>
      <c r="D580" s="3">
        <v>585</v>
      </c>
      <c r="E580" s="3" t="s">
        <v>7179</v>
      </c>
      <c r="F580" s="3">
        <v>5</v>
      </c>
      <c r="G580" s="3" t="s">
        <v>7966</v>
      </c>
      <c r="H580" s="3"/>
    </row>
    <row r="581" spans="1:8" ht="135" x14ac:dyDescent="0.25">
      <c r="A581" s="3" t="s">
        <v>12097</v>
      </c>
      <c r="B581" s="3" t="s">
        <v>7967</v>
      </c>
      <c r="C581" s="3" t="s">
        <v>7968</v>
      </c>
      <c r="D581" s="3">
        <v>126</v>
      </c>
      <c r="E581" s="3" t="s">
        <v>7220</v>
      </c>
      <c r="F581" s="3">
        <v>7</v>
      </c>
      <c r="G581" s="3" t="s">
        <v>12099</v>
      </c>
      <c r="H581" s="3"/>
    </row>
    <row r="582" spans="1:8" ht="45" x14ac:dyDescent="0.25">
      <c r="A582" s="3" t="s">
        <v>12097</v>
      </c>
      <c r="B582" s="3" t="s">
        <v>7969</v>
      </c>
      <c r="C582" s="3" t="s">
        <v>7970</v>
      </c>
      <c r="D582" s="3">
        <v>1563</v>
      </c>
      <c r="E582" s="3" t="s">
        <v>7220</v>
      </c>
      <c r="F582" s="3">
        <v>7</v>
      </c>
      <c r="G582" s="3" t="s">
        <v>12099</v>
      </c>
      <c r="H582" s="3"/>
    </row>
    <row r="583" spans="1:8" ht="30" x14ac:dyDescent="0.25">
      <c r="A583" s="3" t="s">
        <v>12097</v>
      </c>
      <c r="B583" s="3" t="s">
        <v>7971</v>
      </c>
      <c r="C583" s="3" t="s">
        <v>7972</v>
      </c>
      <c r="D583" s="3">
        <v>128</v>
      </c>
      <c r="E583" s="3" t="s">
        <v>7220</v>
      </c>
      <c r="F583" s="3">
        <v>4</v>
      </c>
      <c r="G583" s="3" t="s">
        <v>12099</v>
      </c>
      <c r="H583" s="3"/>
    </row>
    <row r="584" spans="1:8" ht="60" x14ac:dyDescent="0.25">
      <c r="A584" s="3" t="s">
        <v>12097</v>
      </c>
      <c r="B584" s="3" t="s">
        <v>7973</v>
      </c>
      <c r="C584" s="3" t="s">
        <v>7974</v>
      </c>
      <c r="D584" s="3">
        <v>1565</v>
      </c>
      <c r="E584" s="3" t="s">
        <v>7220</v>
      </c>
      <c r="F584" s="3">
        <v>4</v>
      </c>
      <c r="G584" s="3" t="s">
        <v>12099</v>
      </c>
      <c r="H584" s="3"/>
    </row>
    <row r="585" spans="1:8" ht="45" x14ac:dyDescent="0.25">
      <c r="A585" s="3" t="s">
        <v>12097</v>
      </c>
      <c r="B585" s="3" t="s">
        <v>7975</v>
      </c>
      <c r="C585" s="3" t="s">
        <v>7976</v>
      </c>
      <c r="D585" s="3">
        <v>1564</v>
      </c>
      <c r="E585" s="3" t="s">
        <v>7977</v>
      </c>
      <c r="F585" s="3">
        <v>4</v>
      </c>
      <c r="G585" s="3" t="s">
        <v>12099</v>
      </c>
      <c r="H585" s="3"/>
    </row>
    <row r="586" spans="1:8" ht="30" x14ac:dyDescent="0.25">
      <c r="A586" s="3" t="s">
        <v>12097</v>
      </c>
      <c r="B586" s="3" t="s">
        <v>7979</v>
      </c>
      <c r="C586" s="3" t="s">
        <v>7980</v>
      </c>
      <c r="D586" s="3">
        <v>1342</v>
      </c>
      <c r="E586" s="3" t="s">
        <v>7182</v>
      </c>
      <c r="F586" s="3">
        <v>60</v>
      </c>
      <c r="G586" s="3" t="s">
        <v>12099</v>
      </c>
      <c r="H586" s="3"/>
    </row>
    <row r="587" spans="1:8" ht="60" x14ac:dyDescent="0.25">
      <c r="A587" s="3" t="s">
        <v>12097</v>
      </c>
      <c r="B587" s="3" t="s">
        <v>7981</v>
      </c>
      <c r="C587" s="3" t="s">
        <v>7982</v>
      </c>
      <c r="D587" s="3">
        <v>1112</v>
      </c>
      <c r="E587" s="3" t="s">
        <v>7179</v>
      </c>
      <c r="F587" s="3">
        <v>5</v>
      </c>
      <c r="G587" s="3" t="s">
        <v>7983</v>
      </c>
      <c r="H587" s="3"/>
    </row>
    <row r="588" spans="1:8" ht="30" x14ac:dyDescent="0.25">
      <c r="A588" s="3" t="s">
        <v>12097</v>
      </c>
      <c r="B588" s="3" t="s">
        <v>7984</v>
      </c>
      <c r="C588" s="3" t="s">
        <v>7985</v>
      </c>
      <c r="D588" s="3">
        <v>1341</v>
      </c>
      <c r="E588" s="3" t="s">
        <v>7182</v>
      </c>
      <c r="F588" s="3">
        <v>45</v>
      </c>
      <c r="G588" s="3" t="s">
        <v>12099</v>
      </c>
      <c r="H588" s="3"/>
    </row>
    <row r="589" spans="1:8" ht="165" x14ac:dyDescent="0.25">
      <c r="A589" s="3" t="s">
        <v>12097</v>
      </c>
      <c r="B589" s="3" t="s">
        <v>7986</v>
      </c>
      <c r="C589" s="3" t="s">
        <v>7987</v>
      </c>
      <c r="D589" s="3">
        <v>1113</v>
      </c>
      <c r="E589" s="3" t="s">
        <v>7179</v>
      </c>
      <c r="F589" s="3">
        <v>5</v>
      </c>
      <c r="G589" s="3" t="s">
        <v>7988</v>
      </c>
      <c r="H589" s="3"/>
    </row>
    <row r="590" spans="1:8" ht="135" x14ac:dyDescent="0.25">
      <c r="A590" s="3" t="s">
        <v>12097</v>
      </c>
      <c r="B590" s="3" t="s">
        <v>7989</v>
      </c>
      <c r="C590" s="3" t="s">
        <v>7990</v>
      </c>
      <c r="D590" s="3">
        <v>561</v>
      </c>
      <c r="E590" s="3" t="s">
        <v>7179</v>
      </c>
      <c r="F590" s="3">
        <v>5</v>
      </c>
      <c r="G590" s="3" t="s">
        <v>7991</v>
      </c>
      <c r="H590" s="3"/>
    </row>
    <row r="591" spans="1:8" ht="75" x14ac:dyDescent="0.25">
      <c r="A591" s="3" t="s">
        <v>12097</v>
      </c>
      <c r="B591" s="3" t="s">
        <v>7992</v>
      </c>
      <c r="C591" s="3" t="s">
        <v>7993</v>
      </c>
      <c r="D591" s="3">
        <v>1222</v>
      </c>
      <c r="E591" s="3" t="s">
        <v>7179</v>
      </c>
      <c r="F591" s="3">
        <v>5</v>
      </c>
      <c r="G591" s="3" t="s">
        <v>7994</v>
      </c>
      <c r="H591" s="3"/>
    </row>
    <row r="592" spans="1:8" ht="30" x14ac:dyDescent="0.25">
      <c r="A592" s="3" t="s">
        <v>12097</v>
      </c>
      <c r="B592" s="3" t="s">
        <v>7996</v>
      </c>
      <c r="C592" s="3" t="s">
        <v>7997</v>
      </c>
      <c r="D592" s="3">
        <v>835</v>
      </c>
      <c r="E592" s="3" t="s">
        <v>7200</v>
      </c>
      <c r="F592" s="3">
        <v>8</v>
      </c>
      <c r="G592" s="3" t="s">
        <v>12099</v>
      </c>
      <c r="H592" s="3"/>
    </row>
    <row r="593" spans="1:8" ht="75" x14ac:dyDescent="0.25">
      <c r="A593" s="3" t="s">
        <v>12097</v>
      </c>
      <c r="B593" s="3" t="s">
        <v>7998</v>
      </c>
      <c r="C593" s="3" t="s">
        <v>7999</v>
      </c>
      <c r="D593" s="3">
        <v>1212</v>
      </c>
      <c r="E593" s="3" t="s">
        <v>7200</v>
      </c>
      <c r="F593" s="3">
        <v>8</v>
      </c>
      <c r="G593" s="3" t="s">
        <v>12099</v>
      </c>
      <c r="H593" s="3"/>
    </row>
    <row r="594" spans="1:8" ht="270" x14ac:dyDescent="0.25">
      <c r="A594" s="3" t="s">
        <v>12097</v>
      </c>
      <c r="B594" s="3" t="s">
        <v>8000</v>
      </c>
      <c r="C594" s="3" t="s">
        <v>8001</v>
      </c>
      <c r="D594" s="3">
        <v>1232</v>
      </c>
      <c r="E594" s="3" t="s">
        <v>7179</v>
      </c>
      <c r="F594" s="3">
        <v>5</v>
      </c>
      <c r="G594" s="3" t="s">
        <v>7859</v>
      </c>
      <c r="H594" s="3"/>
    </row>
    <row r="595" spans="1:8" ht="45" x14ac:dyDescent="0.25">
      <c r="A595" s="3" t="s">
        <v>12097</v>
      </c>
      <c r="B595" s="3" t="s">
        <v>8002</v>
      </c>
      <c r="C595" s="3" t="s">
        <v>8003</v>
      </c>
      <c r="D595" s="3">
        <v>1210</v>
      </c>
      <c r="E595" s="3" t="s">
        <v>7200</v>
      </c>
      <c r="F595" s="3">
        <v>8</v>
      </c>
      <c r="G595" s="3" t="s">
        <v>12099</v>
      </c>
      <c r="H595" s="3"/>
    </row>
    <row r="596" spans="1:8" ht="135" x14ac:dyDescent="0.25">
      <c r="A596" s="3" t="s">
        <v>12097</v>
      </c>
      <c r="B596" s="3" t="s">
        <v>8004</v>
      </c>
      <c r="C596" s="3" t="s">
        <v>8005</v>
      </c>
      <c r="D596" s="3">
        <v>834</v>
      </c>
      <c r="E596" s="3" t="s">
        <v>7179</v>
      </c>
      <c r="F596" s="3">
        <v>5</v>
      </c>
      <c r="G596" s="3" t="s">
        <v>8006</v>
      </c>
      <c r="H596" s="3"/>
    </row>
    <row r="597" spans="1:8" ht="120" x14ac:dyDescent="0.25">
      <c r="A597" s="3" t="s">
        <v>12097</v>
      </c>
      <c r="B597" s="3" t="s">
        <v>8007</v>
      </c>
      <c r="C597" s="3" t="s">
        <v>8008</v>
      </c>
      <c r="D597" s="3">
        <v>833</v>
      </c>
      <c r="E597" s="3" t="s">
        <v>7179</v>
      </c>
      <c r="F597" s="3">
        <v>5</v>
      </c>
      <c r="G597" s="3" t="s">
        <v>8009</v>
      </c>
      <c r="H597" s="3"/>
    </row>
    <row r="598" spans="1:8" ht="330" x14ac:dyDescent="0.25">
      <c r="A598" s="3" t="s">
        <v>12097</v>
      </c>
      <c r="B598" s="3" t="s">
        <v>8010</v>
      </c>
      <c r="C598" s="3" t="s">
        <v>8011</v>
      </c>
      <c r="D598" s="3">
        <v>836</v>
      </c>
      <c r="E598" s="3" t="s">
        <v>7179</v>
      </c>
      <c r="F598" s="3">
        <v>5</v>
      </c>
      <c r="G598" s="3" t="s">
        <v>8012</v>
      </c>
      <c r="H598" s="3"/>
    </row>
    <row r="599" spans="1:8" ht="90" x14ac:dyDescent="0.25">
      <c r="A599" s="3" t="s">
        <v>12097</v>
      </c>
      <c r="B599" s="3" t="s">
        <v>8013</v>
      </c>
      <c r="C599" s="3" t="s">
        <v>8014</v>
      </c>
      <c r="D599" s="3">
        <v>754</v>
      </c>
      <c r="E599" s="3" t="s">
        <v>7179</v>
      </c>
      <c r="F599" s="3">
        <v>5</v>
      </c>
      <c r="G599" s="3" t="s">
        <v>8015</v>
      </c>
      <c r="H599" s="3"/>
    </row>
    <row r="600" spans="1:8" ht="195" x14ac:dyDescent="0.25">
      <c r="A600" s="3" t="s">
        <v>12097</v>
      </c>
      <c r="B600" s="3" t="s">
        <v>8018</v>
      </c>
      <c r="C600" s="3" t="s">
        <v>8019</v>
      </c>
      <c r="D600" s="3">
        <v>696</v>
      </c>
      <c r="E600" s="3" t="s">
        <v>7179</v>
      </c>
      <c r="F600" s="3">
        <v>5</v>
      </c>
      <c r="G600" s="3" t="s">
        <v>8020</v>
      </c>
      <c r="H600" s="3"/>
    </row>
    <row r="601" spans="1:8" ht="30" x14ac:dyDescent="0.25">
      <c r="A601" s="3" t="s">
        <v>12097</v>
      </c>
      <c r="B601" s="3" t="s">
        <v>8021</v>
      </c>
      <c r="C601" s="3" t="s">
        <v>8022</v>
      </c>
      <c r="D601" s="3">
        <v>648</v>
      </c>
      <c r="E601" s="3" t="s">
        <v>7182</v>
      </c>
      <c r="F601" s="3">
        <v>60</v>
      </c>
      <c r="G601" s="3" t="s">
        <v>12099</v>
      </c>
      <c r="H601" s="3"/>
    </row>
    <row r="602" spans="1:8" ht="60" x14ac:dyDescent="0.25">
      <c r="A602" s="3" t="s">
        <v>12097</v>
      </c>
      <c r="B602" s="3" t="s">
        <v>8023</v>
      </c>
      <c r="C602" s="3" t="s">
        <v>8024</v>
      </c>
      <c r="D602" s="3">
        <v>649</v>
      </c>
      <c r="E602" s="3" t="s">
        <v>7200</v>
      </c>
      <c r="F602" s="3">
        <v>8</v>
      </c>
      <c r="G602" s="3" t="s">
        <v>12099</v>
      </c>
      <c r="H602" s="3"/>
    </row>
    <row r="603" spans="1:8" ht="30" x14ac:dyDescent="0.25">
      <c r="A603" s="3" t="s">
        <v>12097</v>
      </c>
      <c r="B603" s="3" t="s">
        <v>8025</v>
      </c>
      <c r="C603" s="3" t="s">
        <v>8026</v>
      </c>
      <c r="D603" s="3">
        <v>1213</v>
      </c>
      <c r="E603" s="3" t="s">
        <v>7182</v>
      </c>
      <c r="F603" s="3">
        <v>60</v>
      </c>
      <c r="G603" s="3" t="s">
        <v>12099</v>
      </c>
      <c r="H603" s="3"/>
    </row>
    <row r="604" spans="1:8" ht="180" x14ac:dyDescent="0.25">
      <c r="A604" s="3" t="s">
        <v>12097</v>
      </c>
      <c r="B604" s="3" t="s">
        <v>8027</v>
      </c>
      <c r="C604" s="3" t="s">
        <v>8028</v>
      </c>
      <c r="D604" s="3">
        <v>901</v>
      </c>
      <c r="E604" s="3" t="s">
        <v>7179</v>
      </c>
      <c r="F604" s="3">
        <v>5</v>
      </c>
      <c r="G604" s="3" t="s">
        <v>8029</v>
      </c>
      <c r="H604" s="3"/>
    </row>
    <row r="605" spans="1:8" ht="150" x14ac:dyDescent="0.25">
      <c r="A605" s="3" t="s">
        <v>12097</v>
      </c>
      <c r="B605" s="3" t="s">
        <v>8030</v>
      </c>
      <c r="C605" s="3" t="s">
        <v>8031</v>
      </c>
      <c r="D605" s="3">
        <v>899</v>
      </c>
      <c r="E605" s="3" t="s">
        <v>7179</v>
      </c>
      <c r="F605" s="3">
        <v>5</v>
      </c>
      <c r="G605" s="3" t="s">
        <v>8032</v>
      </c>
      <c r="H605" s="3"/>
    </row>
    <row r="606" spans="1:8" ht="150" x14ac:dyDescent="0.25">
      <c r="A606" s="3" t="s">
        <v>12097</v>
      </c>
      <c r="B606" s="3" t="s">
        <v>8033</v>
      </c>
      <c r="C606" s="3" t="s">
        <v>8034</v>
      </c>
      <c r="D606" s="3">
        <v>898</v>
      </c>
      <c r="E606" s="3" t="s">
        <v>7179</v>
      </c>
      <c r="F606" s="3">
        <v>5</v>
      </c>
      <c r="G606" s="3" t="s">
        <v>8035</v>
      </c>
      <c r="H606" s="3"/>
    </row>
    <row r="607" spans="1:8" ht="270" x14ac:dyDescent="0.25">
      <c r="A607" s="3" t="s">
        <v>12097</v>
      </c>
      <c r="B607" s="3" t="s">
        <v>8036</v>
      </c>
      <c r="C607" s="3" t="s">
        <v>8037</v>
      </c>
      <c r="D607" s="3">
        <v>1006</v>
      </c>
      <c r="E607" s="3" t="s">
        <v>7179</v>
      </c>
      <c r="F607" s="3">
        <v>5</v>
      </c>
      <c r="G607" s="3" t="s">
        <v>8038</v>
      </c>
      <c r="H607" s="3"/>
    </row>
    <row r="608" spans="1:8" ht="60" x14ac:dyDescent="0.25">
      <c r="A608" s="3" t="s">
        <v>12097</v>
      </c>
      <c r="B608" s="3" t="s">
        <v>8039</v>
      </c>
      <c r="C608" s="3" t="s">
        <v>8040</v>
      </c>
      <c r="D608" s="3">
        <v>1007</v>
      </c>
      <c r="E608" s="3" t="s">
        <v>7238</v>
      </c>
      <c r="F608" s="3">
        <v>8.1999999999999993</v>
      </c>
      <c r="G608" s="3" t="s">
        <v>12099</v>
      </c>
      <c r="H608" s="3"/>
    </row>
    <row r="609" spans="1:8" ht="30" x14ac:dyDescent="0.25">
      <c r="A609" s="3" t="s">
        <v>12097</v>
      </c>
      <c r="B609" s="3" t="s">
        <v>8043</v>
      </c>
      <c r="C609" s="3" t="s">
        <v>8044</v>
      </c>
      <c r="D609" s="3">
        <v>1005</v>
      </c>
      <c r="E609" s="3" t="s">
        <v>7238</v>
      </c>
      <c r="F609" s="3">
        <v>8.1999999999999993</v>
      </c>
      <c r="G609" s="3" t="s">
        <v>12099</v>
      </c>
      <c r="H609" s="3"/>
    </row>
    <row r="610" spans="1:8" ht="270" x14ac:dyDescent="0.25">
      <c r="A610" s="3" t="s">
        <v>12097</v>
      </c>
      <c r="B610" s="3" t="s">
        <v>8045</v>
      </c>
      <c r="C610" s="3" t="s">
        <v>8046</v>
      </c>
      <c r="D610" s="3">
        <v>1004</v>
      </c>
      <c r="E610" s="3" t="s">
        <v>7179</v>
      </c>
      <c r="F610" s="3">
        <v>5</v>
      </c>
      <c r="G610" s="3" t="s">
        <v>8047</v>
      </c>
      <c r="H610" s="3"/>
    </row>
    <row r="611" spans="1:8" ht="30" x14ac:dyDescent="0.25">
      <c r="A611" s="3" t="s">
        <v>12097</v>
      </c>
      <c r="B611" s="3" t="s">
        <v>8049</v>
      </c>
      <c r="C611" s="3" t="s">
        <v>8050</v>
      </c>
      <c r="D611" s="3">
        <v>968</v>
      </c>
      <c r="E611" s="3" t="s">
        <v>7238</v>
      </c>
      <c r="F611" s="3">
        <v>8.1999999999999993</v>
      </c>
      <c r="G611" s="3" t="s">
        <v>12099</v>
      </c>
      <c r="H611" s="3"/>
    </row>
    <row r="612" spans="1:8" ht="45" x14ac:dyDescent="0.25">
      <c r="A612" s="3" t="s">
        <v>12097</v>
      </c>
      <c r="B612" s="3" t="s">
        <v>12114</v>
      </c>
      <c r="C612" s="3" t="s">
        <v>12115</v>
      </c>
      <c r="D612" s="3">
        <v>2200</v>
      </c>
      <c r="E612" s="3" t="s">
        <v>7238</v>
      </c>
      <c r="F612" s="3">
        <v>6.2</v>
      </c>
      <c r="G612" s="3" t="s">
        <v>12</v>
      </c>
      <c r="H612" s="3"/>
    </row>
    <row r="613" spans="1:8" ht="255" x14ac:dyDescent="0.25">
      <c r="A613" s="3" t="s">
        <v>12097</v>
      </c>
      <c r="B613" s="3" t="s">
        <v>8062</v>
      </c>
      <c r="C613" s="3" t="s">
        <v>8063</v>
      </c>
      <c r="D613" s="3">
        <v>129</v>
      </c>
      <c r="E613" s="3" t="s">
        <v>7179</v>
      </c>
      <c r="F613" s="3">
        <v>5</v>
      </c>
      <c r="G613" s="3" t="s">
        <v>8064</v>
      </c>
      <c r="H613" s="3"/>
    </row>
    <row r="614" spans="1:8" ht="45" x14ac:dyDescent="0.25">
      <c r="A614" s="3" t="s">
        <v>12097</v>
      </c>
      <c r="B614" s="3" t="s">
        <v>12116</v>
      </c>
      <c r="C614" s="3" t="s">
        <v>12117</v>
      </c>
      <c r="D614" s="3">
        <v>2202</v>
      </c>
      <c r="E614" s="3" t="s">
        <v>7220</v>
      </c>
      <c r="F614" s="3">
        <v>3</v>
      </c>
      <c r="G614" s="3" t="s">
        <v>12</v>
      </c>
      <c r="H614" s="3"/>
    </row>
    <row r="615" spans="1:8" ht="165" x14ac:dyDescent="0.25">
      <c r="A615" s="3" t="s">
        <v>12097</v>
      </c>
      <c r="B615" s="3" t="s">
        <v>8065</v>
      </c>
      <c r="C615" s="3" t="s">
        <v>8066</v>
      </c>
      <c r="D615" s="3">
        <v>485</v>
      </c>
      <c r="E615" s="3" t="s">
        <v>7179</v>
      </c>
      <c r="F615" s="3">
        <v>5</v>
      </c>
      <c r="G615" s="3" t="s">
        <v>8067</v>
      </c>
      <c r="H615" s="3"/>
    </row>
    <row r="616" spans="1:8" ht="255" x14ac:dyDescent="0.25">
      <c r="A616" s="3" t="s">
        <v>12097</v>
      </c>
      <c r="B616" s="3" t="s">
        <v>8068</v>
      </c>
      <c r="C616" s="3" t="s">
        <v>8069</v>
      </c>
      <c r="D616" s="3">
        <v>604</v>
      </c>
      <c r="E616" s="3" t="s">
        <v>7179</v>
      </c>
      <c r="F616" s="3">
        <v>5</v>
      </c>
      <c r="G616" s="3" t="s">
        <v>8070</v>
      </c>
      <c r="H616" s="3"/>
    </row>
    <row r="617" spans="1:8" ht="120" x14ac:dyDescent="0.25">
      <c r="A617" s="3" t="s">
        <v>12097</v>
      </c>
      <c r="B617" s="3" t="s">
        <v>8071</v>
      </c>
      <c r="C617" s="3" t="s">
        <v>8072</v>
      </c>
      <c r="D617" s="3">
        <v>1284</v>
      </c>
      <c r="E617" s="3" t="s">
        <v>7179</v>
      </c>
      <c r="F617" s="3">
        <v>5</v>
      </c>
      <c r="G617" s="3" t="s">
        <v>8073</v>
      </c>
      <c r="H617" s="3"/>
    </row>
    <row r="618" spans="1:8" ht="195" x14ac:dyDescent="0.25">
      <c r="A618" s="3" t="s">
        <v>12097</v>
      </c>
      <c r="B618" s="3" t="s">
        <v>8074</v>
      </c>
      <c r="C618" s="3" t="s">
        <v>8075</v>
      </c>
      <c r="D618" s="3">
        <v>1264</v>
      </c>
      <c r="E618" s="3" t="s">
        <v>7179</v>
      </c>
      <c r="F618" s="3">
        <v>5</v>
      </c>
      <c r="G618" s="3" t="s">
        <v>8076</v>
      </c>
      <c r="H618" s="3"/>
    </row>
    <row r="619" spans="1:8" ht="45" x14ac:dyDescent="0.25">
      <c r="A619" s="3" t="s">
        <v>12097</v>
      </c>
      <c r="B619" s="3" t="s">
        <v>8077</v>
      </c>
      <c r="C619" s="3" t="s">
        <v>8078</v>
      </c>
      <c r="D619" s="3">
        <v>1247</v>
      </c>
      <c r="E619" s="3" t="s">
        <v>7182</v>
      </c>
      <c r="F619" s="3">
        <v>60</v>
      </c>
      <c r="G619" s="3" t="s">
        <v>12099</v>
      </c>
      <c r="H619" s="3"/>
    </row>
    <row r="620" spans="1:8" ht="135" x14ac:dyDescent="0.25">
      <c r="A620" s="3" t="s">
        <v>12097</v>
      </c>
      <c r="B620" s="3" t="s">
        <v>8079</v>
      </c>
      <c r="C620" s="3" t="s">
        <v>8080</v>
      </c>
      <c r="D620" s="3">
        <v>608</v>
      </c>
      <c r="E620" s="3" t="s">
        <v>7179</v>
      </c>
      <c r="F620" s="3">
        <v>5</v>
      </c>
      <c r="G620" s="3" t="s">
        <v>8081</v>
      </c>
      <c r="H620" s="3"/>
    </row>
    <row r="621" spans="1:8" ht="105" x14ac:dyDescent="0.25">
      <c r="A621" s="3" t="s">
        <v>12097</v>
      </c>
      <c r="B621" s="3" t="s">
        <v>8082</v>
      </c>
      <c r="C621" s="3" t="s">
        <v>8083</v>
      </c>
      <c r="D621" s="3">
        <v>1258</v>
      </c>
      <c r="E621" s="3" t="s">
        <v>7179</v>
      </c>
      <c r="F621" s="3">
        <v>5</v>
      </c>
      <c r="G621" s="3" t="s">
        <v>8084</v>
      </c>
      <c r="H621" s="3"/>
    </row>
    <row r="622" spans="1:8" ht="105" x14ac:dyDescent="0.25">
      <c r="A622" s="3" t="s">
        <v>12097</v>
      </c>
      <c r="B622" s="3" t="s">
        <v>8085</v>
      </c>
      <c r="C622" s="3" t="s">
        <v>8086</v>
      </c>
      <c r="D622" s="3">
        <v>1263</v>
      </c>
      <c r="E622" s="3" t="s">
        <v>7179</v>
      </c>
      <c r="F622" s="3">
        <v>5</v>
      </c>
      <c r="G622" s="3" t="s">
        <v>8084</v>
      </c>
      <c r="H622" s="3"/>
    </row>
    <row r="623" spans="1:8" ht="60" x14ac:dyDescent="0.25">
      <c r="A623" s="3" t="s">
        <v>12097</v>
      </c>
      <c r="B623" s="3" t="s">
        <v>8089</v>
      </c>
      <c r="C623" s="3" t="s">
        <v>8090</v>
      </c>
      <c r="D623" s="3">
        <v>853</v>
      </c>
      <c r="E623" s="3" t="s">
        <v>7238</v>
      </c>
      <c r="F623" s="3">
        <v>5.2</v>
      </c>
      <c r="G623" s="3" t="s">
        <v>12099</v>
      </c>
      <c r="H623" s="3"/>
    </row>
    <row r="624" spans="1:8" ht="45" x14ac:dyDescent="0.25">
      <c r="A624" s="3" t="s">
        <v>12097</v>
      </c>
      <c r="B624" s="3" t="s">
        <v>8091</v>
      </c>
      <c r="C624" s="3" t="s">
        <v>8092</v>
      </c>
      <c r="D624" s="3">
        <v>424</v>
      </c>
      <c r="E624" s="3" t="s">
        <v>7200</v>
      </c>
      <c r="F624" s="3">
        <v>8</v>
      </c>
      <c r="G624" s="3" t="s">
        <v>12099</v>
      </c>
      <c r="H624" s="3"/>
    </row>
    <row r="625" spans="1:8" ht="75" x14ac:dyDescent="0.25">
      <c r="A625" s="3" t="s">
        <v>12097</v>
      </c>
      <c r="B625" s="3" t="s">
        <v>8093</v>
      </c>
      <c r="C625" s="3" t="s">
        <v>8094</v>
      </c>
      <c r="D625" s="3">
        <v>423</v>
      </c>
      <c r="E625" s="3" t="s">
        <v>7179</v>
      </c>
      <c r="F625" s="3">
        <v>5</v>
      </c>
      <c r="G625" s="3" t="s">
        <v>8095</v>
      </c>
      <c r="H625" s="3"/>
    </row>
    <row r="626" spans="1:8" ht="255" x14ac:dyDescent="0.25">
      <c r="A626" s="3" t="s">
        <v>12097</v>
      </c>
      <c r="B626" s="3" t="s">
        <v>8096</v>
      </c>
      <c r="C626" s="3" t="s">
        <v>8097</v>
      </c>
      <c r="D626" s="3">
        <v>626</v>
      </c>
      <c r="E626" s="3" t="s">
        <v>7179</v>
      </c>
      <c r="F626" s="3">
        <v>5</v>
      </c>
      <c r="G626" s="3" t="s">
        <v>8098</v>
      </c>
      <c r="H626" s="3"/>
    </row>
    <row r="627" spans="1:8" ht="45" x14ac:dyDescent="0.25">
      <c r="A627" s="3" t="s">
        <v>12097</v>
      </c>
      <c r="B627" s="3" t="s">
        <v>8099</v>
      </c>
      <c r="C627" s="3" t="s">
        <v>8100</v>
      </c>
      <c r="D627" s="3">
        <v>1280</v>
      </c>
      <c r="E627" s="3" t="s">
        <v>7220</v>
      </c>
      <c r="F627" s="3">
        <v>5.2</v>
      </c>
      <c r="G627" s="3" t="s">
        <v>12099</v>
      </c>
      <c r="H627" s="3"/>
    </row>
    <row r="628" spans="1:8" ht="75" x14ac:dyDescent="0.25">
      <c r="A628" s="3" t="s">
        <v>12097</v>
      </c>
      <c r="B628" s="3" t="s">
        <v>12118</v>
      </c>
      <c r="C628" s="3" t="s">
        <v>12119</v>
      </c>
      <c r="D628" s="3">
        <v>2203</v>
      </c>
      <c r="E628" s="3" t="s">
        <v>7182</v>
      </c>
      <c r="F628" s="3"/>
      <c r="G628" s="3" t="s">
        <v>12</v>
      </c>
      <c r="H628" s="3"/>
    </row>
    <row r="629" spans="1:8" ht="120" x14ac:dyDescent="0.25">
      <c r="A629" s="3" t="s">
        <v>12097</v>
      </c>
      <c r="B629" s="3" t="s">
        <v>8101</v>
      </c>
      <c r="C629" s="3" t="s">
        <v>8102</v>
      </c>
      <c r="D629" s="3">
        <v>1018</v>
      </c>
      <c r="E629" s="3" t="s">
        <v>7179</v>
      </c>
      <c r="F629" s="3">
        <v>5</v>
      </c>
      <c r="G629" s="3" t="s">
        <v>8103</v>
      </c>
      <c r="H629" s="3"/>
    </row>
    <row r="630" spans="1:8" ht="60" x14ac:dyDescent="0.25">
      <c r="A630" s="3" t="s">
        <v>12097</v>
      </c>
      <c r="B630" s="3" t="s">
        <v>8104</v>
      </c>
      <c r="C630" s="3" t="s">
        <v>8105</v>
      </c>
      <c r="D630" s="3">
        <v>634</v>
      </c>
      <c r="E630" s="3" t="s">
        <v>7238</v>
      </c>
      <c r="F630" s="3">
        <v>5.2</v>
      </c>
      <c r="G630" s="3" t="s">
        <v>12099</v>
      </c>
      <c r="H630" s="3"/>
    </row>
    <row r="631" spans="1:8" ht="45" x14ac:dyDescent="0.25">
      <c r="A631" s="3" t="s">
        <v>12097</v>
      </c>
      <c r="B631" s="3" t="s">
        <v>8106</v>
      </c>
      <c r="C631" s="3" t="s">
        <v>8107</v>
      </c>
      <c r="D631" s="3">
        <v>632</v>
      </c>
      <c r="E631" s="3" t="s">
        <v>7182</v>
      </c>
      <c r="F631" s="3">
        <v>60</v>
      </c>
      <c r="G631" s="3" t="s">
        <v>12099</v>
      </c>
      <c r="H631" s="3"/>
    </row>
    <row r="632" spans="1:8" ht="60" x14ac:dyDescent="0.25">
      <c r="A632" s="3" t="s">
        <v>12097</v>
      </c>
      <c r="B632" s="3" t="s">
        <v>8108</v>
      </c>
      <c r="C632" s="3" t="s">
        <v>8109</v>
      </c>
      <c r="D632" s="3">
        <v>630</v>
      </c>
      <c r="E632" s="3" t="s">
        <v>7179</v>
      </c>
      <c r="F632" s="3">
        <v>5</v>
      </c>
      <c r="G632" s="3" t="s">
        <v>8110</v>
      </c>
      <c r="H632" s="3"/>
    </row>
    <row r="633" spans="1:8" ht="285" x14ac:dyDescent="0.25">
      <c r="A633" s="3" t="s">
        <v>12097</v>
      </c>
      <c r="B633" s="3" t="s">
        <v>8111</v>
      </c>
      <c r="C633" s="3" t="s">
        <v>8112</v>
      </c>
      <c r="D633" s="3">
        <v>633</v>
      </c>
      <c r="E633" s="3" t="s">
        <v>7179</v>
      </c>
      <c r="F633" s="3">
        <v>5</v>
      </c>
      <c r="G633" s="3" t="s">
        <v>8113</v>
      </c>
      <c r="H633" s="3"/>
    </row>
    <row r="634" spans="1:8" ht="135" x14ac:dyDescent="0.25">
      <c r="A634" s="3" t="s">
        <v>12097</v>
      </c>
      <c r="B634" s="3" t="s">
        <v>8114</v>
      </c>
      <c r="C634" s="3" t="s">
        <v>8115</v>
      </c>
      <c r="D634" s="3">
        <v>631</v>
      </c>
      <c r="E634" s="3" t="s">
        <v>7179</v>
      </c>
      <c r="F634" s="3">
        <v>5</v>
      </c>
      <c r="G634" s="3" t="s">
        <v>8116</v>
      </c>
      <c r="H634" s="3"/>
    </row>
    <row r="635" spans="1:8" ht="30" x14ac:dyDescent="0.25">
      <c r="A635" s="3" t="s">
        <v>12097</v>
      </c>
      <c r="B635" s="3" t="s">
        <v>8119</v>
      </c>
      <c r="C635" s="3" t="s">
        <v>8120</v>
      </c>
      <c r="D635" s="3">
        <v>1135</v>
      </c>
      <c r="E635" s="3" t="s">
        <v>7200</v>
      </c>
      <c r="F635" s="3">
        <v>8</v>
      </c>
      <c r="G635" s="3" t="s">
        <v>12099</v>
      </c>
      <c r="H635" s="3"/>
    </row>
    <row r="636" spans="1:8" ht="60" x14ac:dyDescent="0.25">
      <c r="A636" s="3" t="s">
        <v>12097</v>
      </c>
      <c r="B636" s="3" t="s">
        <v>8121</v>
      </c>
      <c r="C636" s="3" t="s">
        <v>8122</v>
      </c>
      <c r="D636" s="3">
        <v>325</v>
      </c>
      <c r="E636" s="3" t="s">
        <v>7200</v>
      </c>
      <c r="F636" s="3">
        <v>8</v>
      </c>
      <c r="G636" s="3" t="s">
        <v>12099</v>
      </c>
      <c r="H636" s="3"/>
    </row>
    <row r="637" spans="1:8" ht="45" x14ac:dyDescent="0.25">
      <c r="A637" s="3" t="s">
        <v>12097</v>
      </c>
      <c r="B637" s="3" t="s">
        <v>8123</v>
      </c>
      <c r="C637" s="3" t="s">
        <v>8124</v>
      </c>
      <c r="D637" s="3">
        <v>1534</v>
      </c>
      <c r="E637" s="3" t="s">
        <v>7182</v>
      </c>
      <c r="F637" s="3">
        <v>50</v>
      </c>
      <c r="G637" s="3" t="s">
        <v>12099</v>
      </c>
      <c r="H637" s="3"/>
    </row>
    <row r="638" spans="1:8" ht="30" x14ac:dyDescent="0.25">
      <c r="A638" s="3" t="s">
        <v>12097</v>
      </c>
      <c r="B638" s="3" t="s">
        <v>8125</v>
      </c>
      <c r="C638" s="3" t="s">
        <v>8126</v>
      </c>
      <c r="D638" s="3">
        <v>1530</v>
      </c>
      <c r="E638" s="3" t="s">
        <v>7182</v>
      </c>
      <c r="F638" s="3">
        <v>50</v>
      </c>
      <c r="G638" s="3" t="s">
        <v>12099</v>
      </c>
      <c r="H638" s="3"/>
    </row>
    <row r="639" spans="1:8" ht="30" x14ac:dyDescent="0.25">
      <c r="A639" s="3" t="s">
        <v>12097</v>
      </c>
      <c r="B639" s="3" t="s">
        <v>8127</v>
      </c>
      <c r="C639" s="3" t="s">
        <v>8128</v>
      </c>
      <c r="D639" s="3">
        <v>1528</v>
      </c>
      <c r="E639" s="3" t="s">
        <v>7182</v>
      </c>
      <c r="F639" s="3">
        <v>50</v>
      </c>
      <c r="G639" s="3" t="s">
        <v>12099</v>
      </c>
      <c r="H639" s="3"/>
    </row>
    <row r="640" spans="1:8" ht="30" x14ac:dyDescent="0.25">
      <c r="A640" s="3" t="s">
        <v>12097</v>
      </c>
      <c r="B640" s="3" t="s">
        <v>8129</v>
      </c>
      <c r="C640" s="3" t="s">
        <v>8130</v>
      </c>
      <c r="D640" s="3">
        <v>1388</v>
      </c>
      <c r="E640" s="3" t="s">
        <v>7182</v>
      </c>
      <c r="F640" s="3">
        <v>50</v>
      </c>
      <c r="G640" s="3" t="s">
        <v>12099</v>
      </c>
      <c r="H640" s="3"/>
    </row>
    <row r="641" spans="1:8" ht="105" x14ac:dyDescent="0.25">
      <c r="A641" s="3" t="s">
        <v>12097</v>
      </c>
      <c r="B641" s="3" t="s">
        <v>8131</v>
      </c>
      <c r="C641" s="3" t="s">
        <v>8132</v>
      </c>
      <c r="D641" s="3">
        <v>1064</v>
      </c>
      <c r="E641" s="3" t="s">
        <v>7179</v>
      </c>
      <c r="F641" s="3">
        <v>5</v>
      </c>
      <c r="G641" s="3" t="s">
        <v>7444</v>
      </c>
      <c r="H641" s="3"/>
    </row>
    <row r="642" spans="1:8" ht="30" x14ac:dyDescent="0.25">
      <c r="A642" s="3" t="s">
        <v>12097</v>
      </c>
      <c r="B642" s="3" t="s">
        <v>8133</v>
      </c>
      <c r="C642" s="3" t="s">
        <v>8134</v>
      </c>
      <c r="D642" s="3">
        <v>1063</v>
      </c>
      <c r="E642" s="3" t="s">
        <v>7182</v>
      </c>
      <c r="F642" s="3">
        <v>60</v>
      </c>
      <c r="G642" s="3" t="s">
        <v>12099</v>
      </c>
      <c r="H642" s="3"/>
    </row>
    <row r="643" spans="1:8" ht="45" x14ac:dyDescent="0.25">
      <c r="A643" s="3" t="s">
        <v>12097</v>
      </c>
      <c r="B643" s="3" t="s">
        <v>8136</v>
      </c>
      <c r="C643" s="3" t="s">
        <v>8137</v>
      </c>
      <c r="D643" s="3">
        <v>539</v>
      </c>
      <c r="E643" s="3" t="s">
        <v>7200</v>
      </c>
      <c r="F643" s="3">
        <v>8</v>
      </c>
      <c r="G643" s="3" t="s">
        <v>12099</v>
      </c>
      <c r="H643" s="3"/>
    </row>
    <row r="644" spans="1:8" ht="75" x14ac:dyDescent="0.25">
      <c r="A644" s="3" t="s">
        <v>12097</v>
      </c>
      <c r="B644" s="3" t="s">
        <v>8138</v>
      </c>
      <c r="C644" s="3" t="s">
        <v>8139</v>
      </c>
      <c r="D644" s="3">
        <v>538</v>
      </c>
      <c r="E644" s="3" t="s">
        <v>7179</v>
      </c>
      <c r="F644" s="3">
        <v>5</v>
      </c>
      <c r="G644" s="3" t="s">
        <v>8140</v>
      </c>
      <c r="H644" s="3"/>
    </row>
    <row r="645" spans="1:8" ht="30" x14ac:dyDescent="0.25">
      <c r="A645" s="3" t="s">
        <v>12097</v>
      </c>
      <c r="B645" s="3" t="s">
        <v>8141</v>
      </c>
      <c r="C645" s="3" t="s">
        <v>8142</v>
      </c>
      <c r="D645" s="3">
        <v>132</v>
      </c>
      <c r="E645" s="3" t="s">
        <v>7182</v>
      </c>
      <c r="F645" s="3">
        <v>35</v>
      </c>
      <c r="G645" s="3" t="s">
        <v>12099</v>
      </c>
      <c r="H645" s="3"/>
    </row>
    <row r="646" spans="1:8" ht="45" x14ac:dyDescent="0.25">
      <c r="A646" s="3" t="s">
        <v>12097</v>
      </c>
      <c r="B646" s="3" t="s">
        <v>8143</v>
      </c>
      <c r="C646" s="3" t="s">
        <v>8144</v>
      </c>
      <c r="D646" s="3">
        <v>313</v>
      </c>
      <c r="E646" s="3" t="s">
        <v>7182</v>
      </c>
      <c r="F646" s="3">
        <v>60</v>
      </c>
      <c r="G646" s="3" t="s">
        <v>12099</v>
      </c>
      <c r="H646" s="3"/>
    </row>
    <row r="647" spans="1:8" ht="75" x14ac:dyDescent="0.25">
      <c r="A647" s="3" t="s">
        <v>12097</v>
      </c>
      <c r="B647" s="3" t="s">
        <v>8145</v>
      </c>
      <c r="C647" s="3" t="s">
        <v>8146</v>
      </c>
      <c r="D647" s="3">
        <v>1529</v>
      </c>
      <c r="E647" s="3" t="s">
        <v>7179</v>
      </c>
      <c r="F647" s="3">
        <v>5</v>
      </c>
      <c r="G647" s="3" t="s">
        <v>8147</v>
      </c>
      <c r="H647" s="3"/>
    </row>
    <row r="648" spans="1:8" ht="105" x14ac:dyDescent="0.25">
      <c r="A648" s="3" t="s">
        <v>12097</v>
      </c>
      <c r="B648" s="3" t="s">
        <v>8148</v>
      </c>
      <c r="C648" s="3" t="s">
        <v>8149</v>
      </c>
      <c r="D648" s="3">
        <v>133</v>
      </c>
      <c r="E648" s="3" t="s">
        <v>7179</v>
      </c>
      <c r="F648" s="3">
        <v>5</v>
      </c>
      <c r="G648" s="3" t="s">
        <v>8150</v>
      </c>
      <c r="H648" s="3"/>
    </row>
    <row r="649" spans="1:8" ht="409.5" x14ac:dyDescent="0.25">
      <c r="A649" s="3" t="s">
        <v>12097</v>
      </c>
      <c r="B649" s="3" t="s">
        <v>8151</v>
      </c>
      <c r="C649" s="3" t="s">
        <v>8152</v>
      </c>
      <c r="D649" s="3">
        <v>505</v>
      </c>
      <c r="E649" s="3" t="s">
        <v>7179</v>
      </c>
      <c r="F649" s="3">
        <v>5</v>
      </c>
      <c r="G649" s="3" t="s">
        <v>8153</v>
      </c>
      <c r="H649" s="3"/>
    </row>
    <row r="650" spans="1:8" ht="45" x14ac:dyDescent="0.25">
      <c r="A650" s="3" t="s">
        <v>12097</v>
      </c>
      <c r="B650" s="3" t="s">
        <v>8154</v>
      </c>
      <c r="C650" s="3" t="s">
        <v>8155</v>
      </c>
      <c r="D650" s="3">
        <v>1392</v>
      </c>
      <c r="E650" s="3" t="s">
        <v>7182</v>
      </c>
      <c r="F650" s="3">
        <v>50</v>
      </c>
      <c r="G650" s="3" t="s">
        <v>12099</v>
      </c>
      <c r="H650" s="3"/>
    </row>
    <row r="651" spans="1:8" ht="45" x14ac:dyDescent="0.25">
      <c r="A651" s="3" t="s">
        <v>12097</v>
      </c>
      <c r="B651" s="3" t="s">
        <v>8157</v>
      </c>
      <c r="C651" s="3" t="s">
        <v>8158</v>
      </c>
      <c r="D651" s="3">
        <v>622</v>
      </c>
      <c r="E651" s="3" t="s">
        <v>7238</v>
      </c>
      <c r="F651" s="3">
        <v>1.2</v>
      </c>
      <c r="G651" s="3" t="s">
        <v>12099</v>
      </c>
      <c r="H651" s="3"/>
    </row>
    <row r="652" spans="1:8" ht="75" x14ac:dyDescent="0.25">
      <c r="A652" s="3" t="s">
        <v>12097</v>
      </c>
      <c r="B652" s="3" t="s">
        <v>8159</v>
      </c>
      <c r="C652" s="3" t="s">
        <v>8160</v>
      </c>
      <c r="D652" s="3">
        <v>134</v>
      </c>
      <c r="E652" s="3" t="s">
        <v>7179</v>
      </c>
      <c r="F652" s="3">
        <v>5</v>
      </c>
      <c r="G652" s="3" t="s">
        <v>8161</v>
      </c>
      <c r="H652" s="3"/>
    </row>
    <row r="653" spans="1:8" ht="120" x14ac:dyDescent="0.25">
      <c r="A653" s="3" t="s">
        <v>12097</v>
      </c>
      <c r="B653" s="3" t="s">
        <v>8162</v>
      </c>
      <c r="C653" s="3" t="s">
        <v>8163</v>
      </c>
      <c r="D653" s="3">
        <v>568</v>
      </c>
      <c r="E653" s="3" t="s">
        <v>7179</v>
      </c>
      <c r="F653" s="3">
        <v>5</v>
      </c>
      <c r="G653" s="3" t="s">
        <v>12099</v>
      </c>
      <c r="H653" s="3"/>
    </row>
    <row r="654" spans="1:8" ht="90" x14ac:dyDescent="0.25">
      <c r="A654" s="3" t="s">
        <v>12097</v>
      </c>
      <c r="B654" s="3" t="s">
        <v>8164</v>
      </c>
      <c r="C654" s="3" t="s">
        <v>12120</v>
      </c>
      <c r="D654" s="3">
        <v>1519</v>
      </c>
      <c r="E654" s="3" t="s">
        <v>7238</v>
      </c>
      <c r="F654" s="3">
        <v>3.1</v>
      </c>
      <c r="G654" s="3" t="s">
        <v>12099</v>
      </c>
      <c r="H654" s="3"/>
    </row>
    <row r="655" spans="1:8" ht="45" x14ac:dyDescent="0.25">
      <c r="A655" s="3" t="s">
        <v>12097</v>
      </c>
      <c r="B655" s="3" t="s">
        <v>8165</v>
      </c>
      <c r="C655" s="3" t="s">
        <v>8166</v>
      </c>
      <c r="D655" s="3">
        <v>1350</v>
      </c>
      <c r="E655" s="3" t="s">
        <v>7200</v>
      </c>
      <c r="F655" s="3">
        <v>8</v>
      </c>
      <c r="G655" s="3" t="s">
        <v>12099</v>
      </c>
      <c r="H655" s="3"/>
    </row>
    <row r="656" spans="1:8" ht="75" x14ac:dyDescent="0.25">
      <c r="A656" s="3" t="s">
        <v>12097</v>
      </c>
      <c r="B656" s="3" t="s">
        <v>8167</v>
      </c>
      <c r="C656" s="3" t="s">
        <v>8168</v>
      </c>
      <c r="D656" s="3">
        <v>136</v>
      </c>
      <c r="E656" s="3" t="s">
        <v>7182</v>
      </c>
      <c r="F656" s="3">
        <v>80</v>
      </c>
      <c r="G656" s="3" t="s">
        <v>12099</v>
      </c>
      <c r="H656" s="3"/>
    </row>
    <row r="657" spans="1:8" ht="30" x14ac:dyDescent="0.25">
      <c r="A657" s="3" t="s">
        <v>12097</v>
      </c>
      <c r="B657" s="3" t="s">
        <v>8169</v>
      </c>
      <c r="C657" s="3" t="s">
        <v>8170</v>
      </c>
      <c r="D657" s="3">
        <v>311</v>
      </c>
      <c r="E657" s="3" t="s">
        <v>7182</v>
      </c>
      <c r="F657" s="3">
        <v>60</v>
      </c>
      <c r="G657" s="3" t="s">
        <v>12099</v>
      </c>
      <c r="H657" s="3"/>
    </row>
    <row r="658" spans="1:8" ht="120" x14ac:dyDescent="0.25">
      <c r="A658" s="3" t="s">
        <v>12097</v>
      </c>
      <c r="B658" s="3" t="s">
        <v>8171</v>
      </c>
      <c r="C658" s="3" t="s">
        <v>8172</v>
      </c>
      <c r="D658" s="3">
        <v>312</v>
      </c>
      <c r="E658" s="3" t="s">
        <v>7179</v>
      </c>
      <c r="F658" s="3">
        <v>5</v>
      </c>
      <c r="G658" s="3" t="s">
        <v>8173</v>
      </c>
      <c r="H658" s="3"/>
    </row>
    <row r="659" spans="1:8" ht="30" x14ac:dyDescent="0.25">
      <c r="A659" s="3" t="s">
        <v>12097</v>
      </c>
      <c r="B659" s="3" t="s">
        <v>8174</v>
      </c>
      <c r="C659" s="3" t="s">
        <v>8175</v>
      </c>
      <c r="D659" s="3">
        <v>1414</v>
      </c>
      <c r="E659" s="3" t="s">
        <v>7182</v>
      </c>
      <c r="F659" s="3">
        <v>20</v>
      </c>
      <c r="G659" s="3" t="s">
        <v>12099</v>
      </c>
      <c r="H659" s="3"/>
    </row>
    <row r="660" spans="1:8" ht="345" x14ac:dyDescent="0.25">
      <c r="A660" s="3" t="s">
        <v>12097</v>
      </c>
      <c r="B660" s="3" t="s">
        <v>8176</v>
      </c>
      <c r="C660" s="3" t="s">
        <v>8177</v>
      </c>
      <c r="D660" s="3">
        <v>140</v>
      </c>
      <c r="E660" s="3" t="s">
        <v>7179</v>
      </c>
      <c r="F660" s="3">
        <v>5</v>
      </c>
      <c r="G660" s="3" t="s">
        <v>7286</v>
      </c>
      <c r="H660" s="3"/>
    </row>
    <row r="661" spans="1:8" ht="105" x14ac:dyDescent="0.25">
      <c r="A661" s="3" t="s">
        <v>12097</v>
      </c>
      <c r="B661" s="3" t="s">
        <v>8178</v>
      </c>
      <c r="C661" s="3" t="s">
        <v>8179</v>
      </c>
      <c r="D661" s="3">
        <v>671</v>
      </c>
      <c r="E661" s="3" t="s">
        <v>7238</v>
      </c>
      <c r="F661" s="3">
        <v>1.4</v>
      </c>
      <c r="G661" s="3" t="s">
        <v>12099</v>
      </c>
      <c r="H661" s="3"/>
    </row>
    <row r="662" spans="1:8" ht="120" x14ac:dyDescent="0.25">
      <c r="A662" s="3" t="s">
        <v>12097</v>
      </c>
      <c r="B662" s="3" t="s">
        <v>8180</v>
      </c>
      <c r="C662" s="3" t="s">
        <v>8181</v>
      </c>
      <c r="D662" s="3">
        <v>669</v>
      </c>
      <c r="E662" s="3" t="s">
        <v>7238</v>
      </c>
      <c r="F662" s="3">
        <v>1.4</v>
      </c>
      <c r="G662" s="3" t="s">
        <v>12099</v>
      </c>
      <c r="H662" s="3"/>
    </row>
    <row r="663" spans="1:8" ht="60" x14ac:dyDescent="0.25">
      <c r="A663" s="3" t="s">
        <v>12097</v>
      </c>
      <c r="B663" s="3" t="s">
        <v>8182</v>
      </c>
      <c r="C663" s="3" t="s">
        <v>8183</v>
      </c>
      <c r="D663" s="3">
        <v>665</v>
      </c>
      <c r="E663" s="3" t="s">
        <v>7238</v>
      </c>
      <c r="F663" s="3">
        <v>2.2000000000000002</v>
      </c>
      <c r="G663" s="3" t="s">
        <v>12099</v>
      </c>
      <c r="H663" s="3"/>
    </row>
    <row r="664" spans="1:8" ht="75" x14ac:dyDescent="0.25">
      <c r="A664" s="3" t="s">
        <v>12097</v>
      </c>
      <c r="B664" s="3" t="s">
        <v>8184</v>
      </c>
      <c r="C664" s="3" t="s">
        <v>8185</v>
      </c>
      <c r="D664" s="3">
        <v>667</v>
      </c>
      <c r="E664" s="3" t="s">
        <v>7238</v>
      </c>
      <c r="F664" s="3">
        <v>2.2000000000000002</v>
      </c>
      <c r="G664" s="3" t="s">
        <v>12099</v>
      </c>
      <c r="H664" s="3"/>
    </row>
    <row r="665" spans="1:8" ht="60" x14ac:dyDescent="0.25">
      <c r="A665" s="3" t="s">
        <v>12097</v>
      </c>
      <c r="B665" s="3" t="s">
        <v>8186</v>
      </c>
      <c r="C665" s="3" t="s">
        <v>8187</v>
      </c>
      <c r="D665" s="3">
        <v>666</v>
      </c>
      <c r="E665" s="3" t="s">
        <v>7238</v>
      </c>
      <c r="F665" s="3">
        <v>2.2000000000000002</v>
      </c>
      <c r="G665" s="3" t="s">
        <v>12099</v>
      </c>
      <c r="H665" s="3"/>
    </row>
    <row r="666" spans="1:8" ht="30" x14ac:dyDescent="0.25">
      <c r="A666" s="3" t="s">
        <v>12097</v>
      </c>
      <c r="B666" s="3" t="s">
        <v>8188</v>
      </c>
      <c r="C666" s="3" t="s">
        <v>8189</v>
      </c>
      <c r="D666" s="3">
        <v>143</v>
      </c>
      <c r="E666" s="3" t="s">
        <v>7200</v>
      </c>
      <c r="F666" s="3">
        <v>8</v>
      </c>
      <c r="G666" s="3" t="s">
        <v>12099</v>
      </c>
      <c r="H666" s="3"/>
    </row>
    <row r="667" spans="1:8" ht="30" x14ac:dyDescent="0.25">
      <c r="A667" s="3" t="s">
        <v>12097</v>
      </c>
      <c r="B667" s="3" t="s">
        <v>8190</v>
      </c>
      <c r="C667" s="3" t="s">
        <v>8191</v>
      </c>
      <c r="D667" s="3">
        <v>144</v>
      </c>
      <c r="E667" s="3" t="s">
        <v>7200</v>
      </c>
      <c r="F667" s="3">
        <v>8</v>
      </c>
      <c r="G667" s="3" t="s">
        <v>12099</v>
      </c>
      <c r="H667" s="3"/>
    </row>
    <row r="668" spans="1:8" ht="90" x14ac:dyDescent="0.25">
      <c r="A668" s="3" t="s">
        <v>12097</v>
      </c>
      <c r="B668" s="3" t="s">
        <v>8192</v>
      </c>
      <c r="C668" s="3" t="s">
        <v>8193</v>
      </c>
      <c r="D668" s="3">
        <v>1434</v>
      </c>
      <c r="E668" s="3" t="s">
        <v>7179</v>
      </c>
      <c r="F668" s="3">
        <v>5</v>
      </c>
      <c r="G668" s="3" t="s">
        <v>8194</v>
      </c>
      <c r="H668" s="3"/>
    </row>
    <row r="669" spans="1:8" ht="45" x14ac:dyDescent="0.25">
      <c r="A669" s="3" t="s">
        <v>12097</v>
      </c>
      <c r="B669" s="3" t="s">
        <v>8195</v>
      </c>
      <c r="C669" s="3" t="s">
        <v>8196</v>
      </c>
      <c r="D669" s="3">
        <v>554</v>
      </c>
      <c r="E669" s="3" t="s">
        <v>7182</v>
      </c>
      <c r="F669" s="3">
        <v>80</v>
      </c>
      <c r="G669" s="3" t="s">
        <v>12099</v>
      </c>
      <c r="H669" s="3"/>
    </row>
    <row r="670" spans="1:8" ht="30" x14ac:dyDescent="0.25">
      <c r="A670" s="3" t="s">
        <v>12097</v>
      </c>
      <c r="B670" s="3" t="s">
        <v>8197</v>
      </c>
      <c r="C670" s="3" t="s">
        <v>8198</v>
      </c>
      <c r="D670" s="3">
        <v>553</v>
      </c>
      <c r="E670" s="3" t="s">
        <v>7200</v>
      </c>
      <c r="F670" s="3">
        <v>8</v>
      </c>
      <c r="G670" s="3" t="s">
        <v>12099</v>
      </c>
      <c r="H670" s="3"/>
    </row>
    <row r="671" spans="1:8" ht="60" x14ac:dyDescent="0.25">
      <c r="A671" s="3" t="s">
        <v>12097</v>
      </c>
      <c r="B671" s="3" t="s">
        <v>8199</v>
      </c>
      <c r="C671" s="3" t="s">
        <v>8200</v>
      </c>
      <c r="D671" s="3">
        <v>552</v>
      </c>
      <c r="E671" s="3" t="s">
        <v>7182</v>
      </c>
      <c r="F671" s="3">
        <v>80</v>
      </c>
      <c r="G671" s="3" t="s">
        <v>12099</v>
      </c>
      <c r="H671" s="3"/>
    </row>
    <row r="672" spans="1:8" ht="45" x14ac:dyDescent="0.25">
      <c r="A672" s="3" t="s">
        <v>12097</v>
      </c>
      <c r="B672" s="3" t="s">
        <v>8201</v>
      </c>
      <c r="C672" s="3" t="s">
        <v>8202</v>
      </c>
      <c r="D672" s="3">
        <v>556</v>
      </c>
      <c r="E672" s="3" t="s">
        <v>7182</v>
      </c>
      <c r="F672" s="3">
        <v>80</v>
      </c>
      <c r="G672" s="3" t="s">
        <v>12099</v>
      </c>
      <c r="H672" s="3"/>
    </row>
    <row r="673" spans="1:8" ht="45" x14ac:dyDescent="0.25">
      <c r="A673" s="3" t="s">
        <v>12097</v>
      </c>
      <c r="B673" s="3" t="s">
        <v>8203</v>
      </c>
      <c r="C673" s="3" t="s">
        <v>8204</v>
      </c>
      <c r="D673" s="3">
        <v>555</v>
      </c>
      <c r="E673" s="3" t="s">
        <v>7200</v>
      </c>
      <c r="F673" s="3">
        <v>8</v>
      </c>
      <c r="G673" s="3" t="s">
        <v>12099</v>
      </c>
      <c r="H673" s="3"/>
    </row>
    <row r="674" spans="1:8" ht="60" x14ac:dyDescent="0.25">
      <c r="A674" s="3" t="s">
        <v>12097</v>
      </c>
      <c r="B674" s="3" t="s">
        <v>8205</v>
      </c>
      <c r="C674" s="3" t="s">
        <v>8206</v>
      </c>
      <c r="D674" s="3">
        <v>523</v>
      </c>
      <c r="E674" s="3" t="s">
        <v>7238</v>
      </c>
      <c r="F674" s="3">
        <v>6.2</v>
      </c>
      <c r="G674" s="3" t="s">
        <v>12099</v>
      </c>
      <c r="H674" s="3"/>
    </row>
    <row r="675" spans="1:8" ht="75" x14ac:dyDescent="0.25">
      <c r="A675" s="3" t="s">
        <v>12097</v>
      </c>
      <c r="B675" s="3" t="s">
        <v>8207</v>
      </c>
      <c r="C675" s="3" t="s">
        <v>8208</v>
      </c>
      <c r="D675" s="3">
        <v>1299</v>
      </c>
      <c r="E675" s="3" t="s">
        <v>7179</v>
      </c>
      <c r="F675" s="3">
        <v>5</v>
      </c>
      <c r="G675" s="3" t="s">
        <v>8209</v>
      </c>
      <c r="H675" s="3"/>
    </row>
    <row r="676" spans="1:8" ht="45" x14ac:dyDescent="0.25">
      <c r="A676" s="3" t="s">
        <v>12097</v>
      </c>
      <c r="B676" s="3" t="s">
        <v>8210</v>
      </c>
      <c r="C676" s="3" t="s">
        <v>8211</v>
      </c>
      <c r="D676" s="3">
        <v>1878</v>
      </c>
      <c r="E676" s="3" t="s">
        <v>7182</v>
      </c>
      <c r="F676" s="3">
        <v>50</v>
      </c>
      <c r="G676" s="3" t="s">
        <v>12099</v>
      </c>
      <c r="H676" s="3"/>
    </row>
    <row r="677" spans="1:8" ht="210" x14ac:dyDescent="0.25">
      <c r="A677" s="3" t="s">
        <v>12097</v>
      </c>
      <c r="B677" s="3" t="s">
        <v>8215</v>
      </c>
      <c r="C677" s="3" t="s">
        <v>8216</v>
      </c>
      <c r="D677" s="3">
        <v>602</v>
      </c>
      <c r="E677" s="3" t="s">
        <v>7179</v>
      </c>
      <c r="F677" s="3">
        <v>5</v>
      </c>
      <c r="G677" s="3" t="s">
        <v>8217</v>
      </c>
      <c r="H677" s="3"/>
    </row>
    <row r="678" spans="1:8" ht="45" x14ac:dyDescent="0.25">
      <c r="A678" s="3" t="s">
        <v>12097</v>
      </c>
      <c r="B678" s="3" t="s">
        <v>8218</v>
      </c>
      <c r="C678" s="3" t="s">
        <v>8219</v>
      </c>
      <c r="D678" s="3">
        <v>364</v>
      </c>
      <c r="E678" s="3" t="s">
        <v>7182</v>
      </c>
      <c r="F678" s="3">
        <v>60</v>
      </c>
      <c r="G678" s="3" t="s">
        <v>12099</v>
      </c>
      <c r="H678" s="3"/>
    </row>
    <row r="679" spans="1:8" ht="60" x14ac:dyDescent="0.25">
      <c r="A679" s="3" t="s">
        <v>12097</v>
      </c>
      <c r="B679" s="3" t="s">
        <v>8220</v>
      </c>
      <c r="C679" s="3" t="s">
        <v>8221</v>
      </c>
      <c r="D679" s="3">
        <v>753</v>
      </c>
      <c r="E679" s="3" t="s">
        <v>7200</v>
      </c>
      <c r="F679" s="3">
        <v>8</v>
      </c>
      <c r="G679" s="3" t="s">
        <v>12099</v>
      </c>
      <c r="H679" s="3"/>
    </row>
    <row r="680" spans="1:8" ht="45" x14ac:dyDescent="0.25">
      <c r="A680" s="3" t="s">
        <v>12097</v>
      </c>
      <c r="B680" s="3" t="s">
        <v>8222</v>
      </c>
      <c r="C680" s="3" t="s">
        <v>8223</v>
      </c>
      <c r="D680" s="3">
        <v>348</v>
      </c>
      <c r="E680" s="3" t="s">
        <v>7182</v>
      </c>
      <c r="F680" s="3">
        <v>35</v>
      </c>
      <c r="G680" s="3" t="s">
        <v>12099</v>
      </c>
      <c r="H680" s="3"/>
    </row>
    <row r="681" spans="1:8" ht="45" x14ac:dyDescent="0.25">
      <c r="A681" s="3" t="s">
        <v>12097</v>
      </c>
      <c r="B681" s="3" t="s">
        <v>8224</v>
      </c>
      <c r="C681" s="3" t="s">
        <v>8225</v>
      </c>
      <c r="D681" s="3">
        <v>752</v>
      </c>
      <c r="E681" s="3" t="s">
        <v>7182</v>
      </c>
      <c r="F681" s="3">
        <v>80</v>
      </c>
      <c r="G681" s="3" t="s">
        <v>12099</v>
      </c>
      <c r="H681" s="3"/>
    </row>
    <row r="682" spans="1:8" ht="75" x14ac:dyDescent="0.25">
      <c r="A682" s="3" t="s">
        <v>12097</v>
      </c>
      <c r="B682" s="3" t="s">
        <v>8228</v>
      </c>
      <c r="C682" s="3" t="s">
        <v>8229</v>
      </c>
      <c r="D682" s="3">
        <v>799</v>
      </c>
      <c r="E682" s="3" t="s">
        <v>7179</v>
      </c>
      <c r="F682" s="3">
        <v>5</v>
      </c>
      <c r="G682" s="3" t="s">
        <v>8230</v>
      </c>
      <c r="H682" s="3"/>
    </row>
    <row r="683" spans="1:8" ht="75" x14ac:dyDescent="0.25">
      <c r="A683" s="3" t="s">
        <v>12097</v>
      </c>
      <c r="B683" s="3" t="s">
        <v>8231</v>
      </c>
      <c r="C683" s="3" t="s">
        <v>8232</v>
      </c>
      <c r="D683" s="3">
        <v>1140</v>
      </c>
      <c r="E683" s="3" t="s">
        <v>7179</v>
      </c>
      <c r="F683" s="3">
        <v>5</v>
      </c>
      <c r="G683" s="3" t="s">
        <v>12098</v>
      </c>
      <c r="H683" s="3"/>
    </row>
    <row r="684" spans="1:8" ht="60" x14ac:dyDescent="0.25">
      <c r="A684" s="3" t="s">
        <v>12097</v>
      </c>
      <c r="B684" s="3" t="s">
        <v>8233</v>
      </c>
      <c r="C684" s="3" t="s">
        <v>8234</v>
      </c>
      <c r="D684" s="3">
        <v>389</v>
      </c>
      <c r="E684" s="3" t="s">
        <v>7182</v>
      </c>
      <c r="F684" s="3">
        <v>45</v>
      </c>
      <c r="G684" s="3" t="s">
        <v>12099</v>
      </c>
      <c r="H684" s="3"/>
    </row>
    <row r="685" spans="1:8" ht="30" x14ac:dyDescent="0.25">
      <c r="A685" s="3" t="s">
        <v>12097</v>
      </c>
      <c r="B685" s="3" t="s">
        <v>8235</v>
      </c>
      <c r="C685" s="3" t="s">
        <v>8236</v>
      </c>
      <c r="D685" s="3">
        <v>1423</v>
      </c>
      <c r="E685" s="3" t="s">
        <v>7182</v>
      </c>
      <c r="F685" s="3">
        <v>35</v>
      </c>
      <c r="G685" s="3" t="s">
        <v>12099</v>
      </c>
      <c r="H685" s="3"/>
    </row>
    <row r="686" spans="1:8" ht="90" x14ac:dyDescent="0.25">
      <c r="A686" s="3" t="s">
        <v>12097</v>
      </c>
      <c r="B686" s="3" t="s">
        <v>8237</v>
      </c>
      <c r="C686" s="3" t="s">
        <v>8238</v>
      </c>
      <c r="D686" s="3">
        <v>349</v>
      </c>
      <c r="E686" s="3" t="s">
        <v>7182</v>
      </c>
      <c r="F686" s="3">
        <v>35</v>
      </c>
      <c r="G686" s="3" t="s">
        <v>12099</v>
      </c>
      <c r="H686" s="3"/>
    </row>
    <row r="687" spans="1:8" ht="30" x14ac:dyDescent="0.25">
      <c r="A687" s="3" t="s">
        <v>12097</v>
      </c>
      <c r="B687" s="3" t="s">
        <v>8239</v>
      </c>
      <c r="C687" s="3" t="s">
        <v>8240</v>
      </c>
      <c r="D687" s="3">
        <v>548</v>
      </c>
      <c r="E687" s="3" t="s">
        <v>7238</v>
      </c>
      <c r="F687" s="3">
        <v>4.2</v>
      </c>
      <c r="G687" s="3" t="s">
        <v>12099</v>
      </c>
      <c r="H687" s="3"/>
    </row>
    <row r="688" spans="1:8" ht="60" x14ac:dyDescent="0.25">
      <c r="A688" s="3" t="s">
        <v>12097</v>
      </c>
      <c r="B688" s="3" t="s">
        <v>8242</v>
      </c>
      <c r="C688" s="3" t="s">
        <v>8243</v>
      </c>
      <c r="D688" s="3">
        <v>477</v>
      </c>
      <c r="E688" s="3" t="s">
        <v>7238</v>
      </c>
      <c r="F688" s="3">
        <v>2.2000000000000002</v>
      </c>
      <c r="G688" s="3" t="s">
        <v>12099</v>
      </c>
      <c r="H688" s="3"/>
    </row>
    <row r="689" spans="1:8" ht="60" x14ac:dyDescent="0.25">
      <c r="A689" s="3" t="s">
        <v>12097</v>
      </c>
      <c r="B689" s="3" t="s">
        <v>8244</v>
      </c>
      <c r="C689" s="3" t="s">
        <v>8245</v>
      </c>
      <c r="D689" s="3">
        <v>479</v>
      </c>
      <c r="E689" s="3" t="s">
        <v>7238</v>
      </c>
      <c r="F689" s="3">
        <v>2.2000000000000002</v>
      </c>
      <c r="G689" s="3" t="s">
        <v>12099</v>
      </c>
      <c r="H689" s="3"/>
    </row>
    <row r="690" spans="1:8" ht="45" x14ac:dyDescent="0.25">
      <c r="A690" s="3" t="s">
        <v>12097</v>
      </c>
      <c r="B690" s="3" t="s">
        <v>8247</v>
      </c>
      <c r="C690" s="3" t="s">
        <v>8248</v>
      </c>
      <c r="D690" s="3">
        <v>309</v>
      </c>
      <c r="E690" s="3" t="s">
        <v>7200</v>
      </c>
      <c r="F690" s="3">
        <v>8</v>
      </c>
      <c r="G690" s="3" t="s">
        <v>12099</v>
      </c>
      <c r="H690" s="3"/>
    </row>
    <row r="691" spans="1:8" ht="165" x14ac:dyDescent="0.25">
      <c r="A691" s="3" t="s">
        <v>12097</v>
      </c>
      <c r="B691" s="3" t="s">
        <v>8249</v>
      </c>
      <c r="C691" s="3" t="s">
        <v>8250</v>
      </c>
      <c r="D691" s="3">
        <v>792</v>
      </c>
      <c r="E691" s="3" t="s">
        <v>7179</v>
      </c>
      <c r="F691" s="3">
        <v>5</v>
      </c>
      <c r="G691" s="3" t="s">
        <v>8251</v>
      </c>
      <c r="H691" s="3"/>
    </row>
    <row r="692" spans="1:8" ht="45" x14ac:dyDescent="0.25">
      <c r="A692" s="3" t="s">
        <v>12097</v>
      </c>
      <c r="B692" s="3" t="s">
        <v>8252</v>
      </c>
      <c r="C692" s="3" t="s">
        <v>8253</v>
      </c>
      <c r="D692" s="3">
        <v>793</v>
      </c>
      <c r="E692" s="3" t="s">
        <v>7182</v>
      </c>
      <c r="F692" s="3">
        <v>35</v>
      </c>
      <c r="G692" s="3" t="s">
        <v>12099</v>
      </c>
      <c r="H692" s="3"/>
    </row>
    <row r="693" spans="1:8" ht="90" x14ac:dyDescent="0.25">
      <c r="A693" s="3" t="s">
        <v>12097</v>
      </c>
      <c r="B693" s="3" t="s">
        <v>8254</v>
      </c>
      <c r="C693" s="3" t="s">
        <v>8255</v>
      </c>
      <c r="D693" s="3">
        <v>1245</v>
      </c>
      <c r="E693" s="3" t="s">
        <v>7179</v>
      </c>
      <c r="F693" s="3">
        <v>5</v>
      </c>
      <c r="G693" s="3" t="s">
        <v>8256</v>
      </c>
      <c r="H693" s="3"/>
    </row>
    <row r="694" spans="1:8" ht="75" x14ac:dyDescent="0.25">
      <c r="A694" s="3" t="s">
        <v>12097</v>
      </c>
      <c r="B694" s="3" t="s">
        <v>8257</v>
      </c>
      <c r="C694" s="3" t="s">
        <v>8258</v>
      </c>
      <c r="D694" s="3">
        <v>1234</v>
      </c>
      <c r="E694" s="3" t="s">
        <v>7179</v>
      </c>
      <c r="F694" s="3">
        <v>5</v>
      </c>
      <c r="G694" s="3" t="s">
        <v>7799</v>
      </c>
      <c r="H694" s="3"/>
    </row>
    <row r="695" spans="1:8" ht="409.5" x14ac:dyDescent="0.25">
      <c r="A695" s="3" t="s">
        <v>12097</v>
      </c>
      <c r="B695" s="3" t="s">
        <v>8259</v>
      </c>
      <c r="C695" s="3" t="s">
        <v>8260</v>
      </c>
      <c r="D695" s="3">
        <v>647</v>
      </c>
      <c r="E695" s="3" t="s">
        <v>7179</v>
      </c>
      <c r="F695" s="3">
        <v>5</v>
      </c>
      <c r="G695" s="3" t="s">
        <v>12113</v>
      </c>
      <c r="H695" s="3"/>
    </row>
    <row r="696" spans="1:8" ht="409.5" x14ac:dyDescent="0.25">
      <c r="A696" s="3"/>
      <c r="B696" s="3"/>
      <c r="C696" s="3"/>
      <c r="D696" s="3"/>
      <c r="E696" s="3"/>
      <c r="F696" s="3"/>
      <c r="G696" s="3" t="s">
        <v>10461</v>
      </c>
      <c r="H696" s="3"/>
    </row>
    <row r="697" spans="1:8" ht="240" x14ac:dyDescent="0.25">
      <c r="A697" s="3" t="s">
        <v>12097</v>
      </c>
      <c r="B697" s="3" t="s">
        <v>8261</v>
      </c>
      <c r="C697" s="3" t="s">
        <v>8262</v>
      </c>
      <c r="D697" s="3">
        <v>355</v>
      </c>
      <c r="E697" s="3" t="s">
        <v>7179</v>
      </c>
      <c r="F697" s="3">
        <v>5</v>
      </c>
      <c r="G697" s="3" t="s">
        <v>8263</v>
      </c>
      <c r="H697" s="3"/>
    </row>
    <row r="698" spans="1:8" ht="165" x14ac:dyDescent="0.25">
      <c r="A698" s="3" t="s">
        <v>12097</v>
      </c>
      <c r="B698" s="3" t="s">
        <v>8264</v>
      </c>
      <c r="C698" s="3" t="s">
        <v>8265</v>
      </c>
      <c r="D698" s="3">
        <v>353</v>
      </c>
      <c r="E698" s="3" t="s">
        <v>7179</v>
      </c>
      <c r="F698" s="3">
        <v>5</v>
      </c>
      <c r="G698" s="3" t="s">
        <v>8266</v>
      </c>
      <c r="H698" s="3"/>
    </row>
    <row r="699" spans="1:8" ht="45" x14ac:dyDescent="0.25">
      <c r="A699" s="3" t="s">
        <v>12097</v>
      </c>
      <c r="B699" s="3" t="s">
        <v>8267</v>
      </c>
      <c r="C699" s="3" t="s">
        <v>8268</v>
      </c>
      <c r="D699" s="3">
        <v>1248</v>
      </c>
      <c r="E699" s="3" t="s">
        <v>7182</v>
      </c>
      <c r="F699" s="3">
        <v>80</v>
      </c>
      <c r="G699" s="3" t="s">
        <v>12099</v>
      </c>
      <c r="H699" s="3"/>
    </row>
    <row r="700" spans="1:8" ht="45" x14ac:dyDescent="0.25">
      <c r="A700" s="3" t="s">
        <v>12097</v>
      </c>
      <c r="B700" s="3" t="s">
        <v>8269</v>
      </c>
      <c r="C700" s="3" t="s">
        <v>8270</v>
      </c>
      <c r="D700" s="3">
        <v>1381</v>
      </c>
      <c r="E700" s="3" t="s">
        <v>7182</v>
      </c>
      <c r="F700" s="3">
        <v>50</v>
      </c>
      <c r="G700" s="3" t="s">
        <v>12099</v>
      </c>
      <c r="H700" s="3"/>
    </row>
    <row r="701" spans="1:8" ht="90" x14ac:dyDescent="0.25">
      <c r="A701" s="3" t="s">
        <v>12097</v>
      </c>
      <c r="B701" s="3" t="s">
        <v>8271</v>
      </c>
      <c r="C701" s="3" t="s">
        <v>8272</v>
      </c>
      <c r="D701" s="3">
        <v>1385</v>
      </c>
      <c r="E701" s="3" t="s">
        <v>7182</v>
      </c>
      <c r="F701" s="3">
        <v>50</v>
      </c>
      <c r="G701" s="3" t="s">
        <v>12099</v>
      </c>
      <c r="H701" s="3"/>
    </row>
    <row r="702" spans="1:8" ht="30" x14ac:dyDescent="0.25">
      <c r="A702" s="3" t="s">
        <v>12097</v>
      </c>
      <c r="B702" s="3" t="s">
        <v>8273</v>
      </c>
      <c r="C702" s="3" t="s">
        <v>8274</v>
      </c>
      <c r="D702" s="3">
        <v>1382</v>
      </c>
      <c r="E702" s="3" t="s">
        <v>7182</v>
      </c>
      <c r="F702" s="3">
        <v>50</v>
      </c>
      <c r="G702" s="3" t="s">
        <v>12099</v>
      </c>
      <c r="H702" s="3"/>
    </row>
    <row r="703" spans="1:8" ht="45" x14ac:dyDescent="0.25">
      <c r="A703" s="3" t="s">
        <v>12097</v>
      </c>
      <c r="B703" s="3" t="s">
        <v>8275</v>
      </c>
      <c r="C703" s="3" t="s">
        <v>8276</v>
      </c>
      <c r="D703" s="3">
        <v>1383</v>
      </c>
      <c r="E703" s="3" t="s">
        <v>7182</v>
      </c>
      <c r="F703" s="3">
        <v>50</v>
      </c>
      <c r="G703" s="3" t="s">
        <v>12099</v>
      </c>
      <c r="H703" s="3"/>
    </row>
    <row r="704" spans="1:8" ht="60" x14ac:dyDescent="0.25">
      <c r="A704" s="3" t="s">
        <v>12097</v>
      </c>
      <c r="B704" s="3" t="s">
        <v>8277</v>
      </c>
      <c r="C704" s="3" t="s">
        <v>8278</v>
      </c>
      <c r="D704" s="3">
        <v>1380</v>
      </c>
      <c r="E704" s="3" t="s">
        <v>7182</v>
      </c>
      <c r="F704" s="3">
        <v>50</v>
      </c>
      <c r="G704" s="3" t="s">
        <v>12099</v>
      </c>
      <c r="H704" s="3"/>
    </row>
    <row r="705" spans="1:8" ht="30" x14ac:dyDescent="0.25">
      <c r="A705" s="3" t="s">
        <v>12097</v>
      </c>
      <c r="B705" s="3" t="s">
        <v>8279</v>
      </c>
      <c r="C705" s="3" t="s">
        <v>8280</v>
      </c>
      <c r="D705" s="3">
        <v>1384</v>
      </c>
      <c r="E705" s="3" t="s">
        <v>7182</v>
      </c>
      <c r="F705" s="3">
        <v>50</v>
      </c>
      <c r="G705" s="3" t="s">
        <v>12099</v>
      </c>
      <c r="H705" s="3"/>
    </row>
    <row r="706" spans="1:8" ht="180" x14ac:dyDescent="0.25">
      <c r="A706" s="3" t="s">
        <v>12097</v>
      </c>
      <c r="B706" s="3" t="s">
        <v>8281</v>
      </c>
      <c r="C706" s="3" t="s">
        <v>8282</v>
      </c>
      <c r="D706" s="3">
        <v>1300</v>
      </c>
      <c r="E706" s="3" t="s">
        <v>7179</v>
      </c>
      <c r="F706" s="3">
        <v>5</v>
      </c>
      <c r="G706" s="3" t="s">
        <v>8283</v>
      </c>
      <c r="H706" s="3"/>
    </row>
    <row r="707" spans="1:8" ht="60" x14ac:dyDescent="0.25">
      <c r="A707" s="3" t="s">
        <v>12097</v>
      </c>
      <c r="B707" s="3" t="s">
        <v>8284</v>
      </c>
      <c r="C707" s="3" t="s">
        <v>8285</v>
      </c>
      <c r="D707" s="3">
        <v>1126</v>
      </c>
      <c r="E707" s="3" t="s">
        <v>7182</v>
      </c>
      <c r="F707" s="3">
        <v>30</v>
      </c>
      <c r="G707" s="3" t="s">
        <v>12099</v>
      </c>
      <c r="H707" s="3"/>
    </row>
    <row r="708" spans="1:8" ht="45" x14ac:dyDescent="0.25">
      <c r="A708" s="3" t="s">
        <v>12097</v>
      </c>
      <c r="B708" s="3" t="s">
        <v>8288</v>
      </c>
      <c r="C708" s="3" t="s">
        <v>8289</v>
      </c>
      <c r="D708" s="3">
        <v>404</v>
      </c>
      <c r="E708" s="3" t="s">
        <v>7182</v>
      </c>
      <c r="F708" s="3">
        <v>35</v>
      </c>
      <c r="G708" s="3" t="s">
        <v>12099</v>
      </c>
      <c r="H708" s="3"/>
    </row>
    <row r="709" spans="1:8" ht="60" x14ac:dyDescent="0.25">
      <c r="A709" s="3" t="s">
        <v>12097</v>
      </c>
      <c r="B709" s="3" t="s">
        <v>8290</v>
      </c>
      <c r="C709" s="3" t="s">
        <v>8291</v>
      </c>
      <c r="D709" s="3">
        <v>507</v>
      </c>
      <c r="E709" s="3" t="s">
        <v>7182</v>
      </c>
      <c r="F709" s="3">
        <v>60</v>
      </c>
      <c r="G709" s="3" t="s">
        <v>12099</v>
      </c>
      <c r="H709" s="3"/>
    </row>
    <row r="710" spans="1:8" ht="30" x14ac:dyDescent="0.25">
      <c r="A710" s="3" t="s">
        <v>12097</v>
      </c>
      <c r="B710" s="3" t="s">
        <v>8292</v>
      </c>
      <c r="C710" s="3" t="s">
        <v>8293</v>
      </c>
      <c r="D710" s="3">
        <v>653</v>
      </c>
      <c r="E710" s="3" t="s">
        <v>7182</v>
      </c>
      <c r="F710" s="3">
        <v>45</v>
      </c>
      <c r="G710" s="3" t="s">
        <v>12099</v>
      </c>
      <c r="H710" s="3"/>
    </row>
    <row r="711" spans="1:8" ht="409.5" x14ac:dyDescent="0.25">
      <c r="A711" s="3" t="s">
        <v>12097</v>
      </c>
      <c r="B711" s="3" t="s">
        <v>8294</v>
      </c>
      <c r="C711" s="3" t="s">
        <v>8295</v>
      </c>
      <c r="D711" s="3">
        <v>400</v>
      </c>
      <c r="E711" s="3" t="s">
        <v>7179</v>
      </c>
      <c r="F711" s="3">
        <v>5</v>
      </c>
      <c r="G711" s="3" t="s">
        <v>8296</v>
      </c>
      <c r="H711" s="3"/>
    </row>
    <row r="712" spans="1:8" ht="60" x14ac:dyDescent="0.25">
      <c r="A712" s="3" t="s">
        <v>12097</v>
      </c>
      <c r="B712" s="3" t="s">
        <v>8297</v>
      </c>
      <c r="C712" s="3" t="s">
        <v>8298</v>
      </c>
      <c r="D712" s="3">
        <v>357</v>
      </c>
      <c r="E712" s="3" t="s">
        <v>7182</v>
      </c>
      <c r="F712" s="3">
        <v>60</v>
      </c>
      <c r="G712" s="3" t="s">
        <v>12099</v>
      </c>
      <c r="H712" s="3"/>
    </row>
    <row r="713" spans="1:8" ht="45" x14ac:dyDescent="0.25">
      <c r="A713" s="3" t="s">
        <v>12097</v>
      </c>
      <c r="B713" s="3" t="s">
        <v>8299</v>
      </c>
      <c r="C713" s="3" t="s">
        <v>8300</v>
      </c>
      <c r="D713" s="3">
        <v>356</v>
      </c>
      <c r="E713" s="3" t="s">
        <v>7182</v>
      </c>
      <c r="F713" s="3">
        <v>80</v>
      </c>
      <c r="G713" s="3" t="s">
        <v>12099</v>
      </c>
      <c r="H713" s="3"/>
    </row>
    <row r="714" spans="1:8" ht="30" x14ac:dyDescent="0.25">
      <c r="A714" s="3" t="s">
        <v>12097</v>
      </c>
      <c r="B714" s="3" t="s">
        <v>8301</v>
      </c>
      <c r="C714" s="3" t="s">
        <v>8302</v>
      </c>
      <c r="D714" s="3">
        <v>358</v>
      </c>
      <c r="E714" s="3" t="s">
        <v>7200</v>
      </c>
      <c r="F714" s="3">
        <v>8</v>
      </c>
      <c r="G714" s="3" t="s">
        <v>12099</v>
      </c>
      <c r="H714" s="3"/>
    </row>
    <row r="715" spans="1:8" ht="90" x14ac:dyDescent="0.25">
      <c r="A715" s="3" t="s">
        <v>12097</v>
      </c>
      <c r="B715" s="3" t="s">
        <v>8303</v>
      </c>
      <c r="C715" s="3" t="s">
        <v>8304</v>
      </c>
      <c r="D715" s="3">
        <v>359</v>
      </c>
      <c r="E715" s="3" t="s">
        <v>7179</v>
      </c>
      <c r="F715" s="3">
        <v>5</v>
      </c>
      <c r="G715" s="3" t="s">
        <v>8305</v>
      </c>
      <c r="H715" s="3"/>
    </row>
    <row r="716" spans="1:8" ht="30" x14ac:dyDescent="0.25">
      <c r="A716" s="3" t="s">
        <v>12097</v>
      </c>
      <c r="B716" s="3" t="s">
        <v>8311</v>
      </c>
      <c r="C716" s="3" t="s">
        <v>8312</v>
      </c>
      <c r="D716" s="3">
        <v>1463</v>
      </c>
      <c r="E716" s="3" t="s">
        <v>7220</v>
      </c>
      <c r="F716" s="3">
        <v>5</v>
      </c>
      <c r="G716" s="3" t="s">
        <v>12099</v>
      </c>
      <c r="H716" s="3"/>
    </row>
    <row r="717" spans="1:8" ht="45" x14ac:dyDescent="0.25">
      <c r="A717" s="3" t="s">
        <v>12097</v>
      </c>
      <c r="B717" s="3" t="s">
        <v>8316</v>
      </c>
      <c r="C717" s="3" t="s">
        <v>8317</v>
      </c>
      <c r="D717" s="3">
        <v>1259</v>
      </c>
      <c r="E717" s="3" t="s">
        <v>7182</v>
      </c>
      <c r="F717" s="3">
        <v>30</v>
      </c>
      <c r="G717" s="3" t="s">
        <v>12099</v>
      </c>
      <c r="H717" s="3"/>
    </row>
    <row r="718" spans="1:8" ht="45" x14ac:dyDescent="0.25">
      <c r="A718" s="3" t="s">
        <v>12097</v>
      </c>
      <c r="B718" s="3" t="s">
        <v>8318</v>
      </c>
      <c r="C718" s="3" t="s">
        <v>8319</v>
      </c>
      <c r="D718" s="3">
        <v>1441</v>
      </c>
      <c r="E718" s="3" t="s">
        <v>7200</v>
      </c>
      <c r="F718" s="3">
        <v>8</v>
      </c>
      <c r="G718" s="3" t="s">
        <v>12099</v>
      </c>
      <c r="H718" s="3"/>
    </row>
    <row r="719" spans="1:8" ht="315" x14ac:dyDescent="0.25">
      <c r="A719" s="3" t="s">
        <v>12097</v>
      </c>
      <c r="B719" s="3" t="s">
        <v>8320</v>
      </c>
      <c r="C719" s="3" t="s">
        <v>8321</v>
      </c>
      <c r="D719" s="3">
        <v>1533</v>
      </c>
      <c r="E719" s="3" t="s">
        <v>7179</v>
      </c>
      <c r="F719" s="3">
        <v>5</v>
      </c>
      <c r="G719" s="3" t="s">
        <v>12121</v>
      </c>
      <c r="H719" s="3"/>
    </row>
    <row r="720" spans="1:8" ht="30" x14ac:dyDescent="0.25">
      <c r="A720" s="3" t="s">
        <v>12097</v>
      </c>
      <c r="B720" s="3" t="s">
        <v>8322</v>
      </c>
      <c r="C720" s="3" t="s">
        <v>8323</v>
      </c>
      <c r="D720" s="3">
        <v>1535</v>
      </c>
      <c r="E720" s="3" t="s">
        <v>7182</v>
      </c>
      <c r="F720" s="3">
        <v>50</v>
      </c>
      <c r="G720" s="3" t="s">
        <v>12099</v>
      </c>
      <c r="H720" s="3"/>
    </row>
    <row r="721" spans="1:8" ht="315" x14ac:dyDescent="0.25">
      <c r="A721" s="3" t="s">
        <v>12097</v>
      </c>
      <c r="B721" s="3" t="s">
        <v>8324</v>
      </c>
      <c r="C721" s="3" t="s">
        <v>8325</v>
      </c>
      <c r="D721" s="3">
        <v>902</v>
      </c>
      <c r="E721" s="3" t="s">
        <v>7179</v>
      </c>
      <c r="F721" s="3">
        <v>5</v>
      </c>
      <c r="G721" s="3" t="s">
        <v>12121</v>
      </c>
      <c r="H721" s="3"/>
    </row>
    <row r="722" spans="1:8" ht="180" x14ac:dyDescent="0.25">
      <c r="A722" s="3" t="s">
        <v>12097</v>
      </c>
      <c r="B722" s="3" t="s">
        <v>8326</v>
      </c>
      <c r="C722" s="3" t="s">
        <v>8327</v>
      </c>
      <c r="D722" s="3">
        <v>1537</v>
      </c>
      <c r="E722" s="3" t="s">
        <v>7179</v>
      </c>
      <c r="F722" s="3">
        <v>5</v>
      </c>
      <c r="G722" s="3" t="s">
        <v>12122</v>
      </c>
      <c r="H722" s="3"/>
    </row>
    <row r="723" spans="1:8" ht="180" x14ac:dyDescent="0.25">
      <c r="A723" s="3" t="s">
        <v>12097</v>
      </c>
      <c r="B723" s="3" t="s">
        <v>8328</v>
      </c>
      <c r="C723" s="3" t="s">
        <v>8329</v>
      </c>
      <c r="D723" s="3">
        <v>1538</v>
      </c>
      <c r="E723" s="3" t="s">
        <v>7179</v>
      </c>
      <c r="F723" s="3">
        <v>5</v>
      </c>
      <c r="G723" s="3" t="s">
        <v>8330</v>
      </c>
      <c r="H723" s="3"/>
    </row>
    <row r="724" spans="1:8" ht="30" x14ac:dyDescent="0.25">
      <c r="A724" s="3" t="s">
        <v>12097</v>
      </c>
      <c r="B724" s="3" t="s">
        <v>8331</v>
      </c>
      <c r="C724" s="3" t="s">
        <v>8332</v>
      </c>
      <c r="D724" s="3">
        <v>151</v>
      </c>
      <c r="E724" s="3" t="s">
        <v>7220</v>
      </c>
      <c r="F724" s="3">
        <v>3</v>
      </c>
      <c r="G724" s="3" t="s">
        <v>12099</v>
      </c>
      <c r="H724" s="3"/>
    </row>
    <row r="725" spans="1:8" ht="165" x14ac:dyDescent="0.25">
      <c r="A725" s="3" t="s">
        <v>12097</v>
      </c>
      <c r="B725" s="3" t="s">
        <v>8333</v>
      </c>
      <c r="C725" s="3" t="s">
        <v>8334</v>
      </c>
      <c r="D725" s="3">
        <v>1132</v>
      </c>
      <c r="E725" s="3" t="s">
        <v>7179</v>
      </c>
      <c r="F725" s="3">
        <v>5</v>
      </c>
      <c r="G725" s="3" t="s">
        <v>8335</v>
      </c>
      <c r="H725" s="3"/>
    </row>
    <row r="726" spans="1:8" ht="45" x14ac:dyDescent="0.25">
      <c r="A726" s="3" t="s">
        <v>12097</v>
      </c>
      <c r="B726" s="3" t="s">
        <v>8336</v>
      </c>
      <c r="C726" s="3" t="s">
        <v>8337</v>
      </c>
      <c r="D726" s="3">
        <v>443</v>
      </c>
      <c r="E726" s="3" t="s">
        <v>7200</v>
      </c>
      <c r="F726" s="3">
        <v>8</v>
      </c>
      <c r="G726" s="3" t="s">
        <v>12099</v>
      </c>
      <c r="H726" s="3"/>
    </row>
    <row r="727" spans="1:8" ht="60" x14ac:dyDescent="0.25">
      <c r="A727" s="3" t="s">
        <v>12097</v>
      </c>
      <c r="B727" s="3" t="s">
        <v>8338</v>
      </c>
      <c r="C727" s="3" t="s">
        <v>8339</v>
      </c>
      <c r="D727" s="3">
        <v>442</v>
      </c>
      <c r="E727" s="3" t="s">
        <v>7182</v>
      </c>
      <c r="F727" s="3">
        <v>60</v>
      </c>
      <c r="G727" s="3" t="s">
        <v>12099</v>
      </c>
      <c r="H727" s="3"/>
    </row>
    <row r="728" spans="1:8" ht="45" x14ac:dyDescent="0.25">
      <c r="A728" s="3" t="s">
        <v>12097</v>
      </c>
      <c r="B728" s="3" t="s">
        <v>8340</v>
      </c>
      <c r="C728" s="3" t="s">
        <v>8341</v>
      </c>
      <c r="D728" s="3">
        <v>444</v>
      </c>
      <c r="E728" s="3" t="s">
        <v>7200</v>
      </c>
      <c r="F728" s="3">
        <v>8</v>
      </c>
      <c r="G728" s="3" t="s">
        <v>12099</v>
      </c>
      <c r="H728" s="3"/>
    </row>
    <row r="729" spans="1:8" ht="60" x14ac:dyDescent="0.25">
      <c r="A729" s="3" t="s">
        <v>12097</v>
      </c>
      <c r="B729" s="3" t="s">
        <v>8342</v>
      </c>
      <c r="C729" s="3" t="s">
        <v>8343</v>
      </c>
      <c r="D729" s="3">
        <v>445</v>
      </c>
      <c r="E729" s="3" t="s">
        <v>7182</v>
      </c>
      <c r="F729" s="3">
        <v>60</v>
      </c>
      <c r="G729" s="3" t="s">
        <v>12099</v>
      </c>
      <c r="H729" s="3"/>
    </row>
    <row r="730" spans="1:8" ht="75" x14ac:dyDescent="0.25">
      <c r="A730" s="3" t="s">
        <v>12097</v>
      </c>
      <c r="B730" s="3" t="s">
        <v>8344</v>
      </c>
      <c r="C730" s="3" t="s">
        <v>8345</v>
      </c>
      <c r="D730" s="3">
        <v>1390</v>
      </c>
      <c r="E730" s="3" t="s">
        <v>7182</v>
      </c>
      <c r="F730" s="3">
        <v>50</v>
      </c>
      <c r="G730" s="3" t="s">
        <v>12099</v>
      </c>
      <c r="H730" s="3"/>
    </row>
    <row r="731" spans="1:8" ht="150" x14ac:dyDescent="0.25">
      <c r="A731" s="3" t="s">
        <v>12097</v>
      </c>
      <c r="B731" s="3" t="s">
        <v>8346</v>
      </c>
      <c r="C731" s="3" t="s">
        <v>8347</v>
      </c>
      <c r="D731" s="3">
        <v>1354</v>
      </c>
      <c r="E731" s="3" t="s">
        <v>7179</v>
      </c>
      <c r="F731" s="3">
        <v>5</v>
      </c>
      <c r="G731" s="3" t="s">
        <v>8348</v>
      </c>
      <c r="H731" s="3"/>
    </row>
    <row r="732" spans="1:8" ht="30" x14ac:dyDescent="0.25">
      <c r="A732" s="3" t="s">
        <v>12097</v>
      </c>
      <c r="B732" s="3" t="s">
        <v>8349</v>
      </c>
      <c r="C732" s="3" t="s">
        <v>8350</v>
      </c>
      <c r="D732" s="3">
        <v>1479</v>
      </c>
      <c r="E732" s="3" t="s">
        <v>7182</v>
      </c>
      <c r="F732" s="3">
        <v>80</v>
      </c>
      <c r="G732" s="3" t="s">
        <v>12099</v>
      </c>
      <c r="H732" s="3"/>
    </row>
    <row r="733" spans="1:8" ht="30" x14ac:dyDescent="0.25">
      <c r="A733" s="3" t="s">
        <v>12097</v>
      </c>
      <c r="B733" s="3" t="s">
        <v>8351</v>
      </c>
      <c r="C733" s="3" t="s">
        <v>8352</v>
      </c>
      <c r="D733" s="3">
        <v>1480</v>
      </c>
      <c r="E733" s="3" t="s">
        <v>7220</v>
      </c>
      <c r="F733" s="3">
        <v>5</v>
      </c>
      <c r="G733" s="3" t="s">
        <v>12099</v>
      </c>
      <c r="H733" s="3"/>
    </row>
    <row r="734" spans="1:8" ht="30" x14ac:dyDescent="0.25">
      <c r="A734" s="3" t="s">
        <v>12097</v>
      </c>
      <c r="B734" s="3" t="s">
        <v>8353</v>
      </c>
      <c r="C734" s="3" t="s">
        <v>8354</v>
      </c>
      <c r="D734" s="3">
        <v>1476</v>
      </c>
      <c r="E734" s="3" t="s">
        <v>7182</v>
      </c>
      <c r="F734" s="3">
        <v>80</v>
      </c>
      <c r="G734" s="3" t="s">
        <v>12099</v>
      </c>
      <c r="H734" s="3"/>
    </row>
    <row r="735" spans="1:8" ht="210" x14ac:dyDescent="0.25">
      <c r="A735" s="3" t="s">
        <v>12097</v>
      </c>
      <c r="B735" s="3" t="s">
        <v>8355</v>
      </c>
      <c r="C735" s="3" t="s">
        <v>8356</v>
      </c>
      <c r="D735" s="3">
        <v>557</v>
      </c>
      <c r="E735" s="3" t="s">
        <v>7179</v>
      </c>
      <c r="F735" s="3">
        <v>5</v>
      </c>
      <c r="G735" s="3" t="s">
        <v>8357</v>
      </c>
      <c r="H735" s="3"/>
    </row>
    <row r="736" spans="1:8" ht="270" x14ac:dyDescent="0.25">
      <c r="A736" s="3" t="s">
        <v>12097</v>
      </c>
      <c r="B736" s="3" t="s">
        <v>8358</v>
      </c>
      <c r="C736" s="3" t="s">
        <v>8359</v>
      </c>
      <c r="D736" s="3">
        <v>988</v>
      </c>
      <c r="E736" s="3" t="s">
        <v>7179</v>
      </c>
      <c r="F736" s="3">
        <v>5</v>
      </c>
      <c r="G736" s="3" t="s">
        <v>8360</v>
      </c>
      <c r="H736" s="3"/>
    </row>
    <row r="737" spans="1:8" ht="105" x14ac:dyDescent="0.25">
      <c r="A737" s="3" t="s">
        <v>12097</v>
      </c>
      <c r="B737" s="3" t="s">
        <v>8365</v>
      </c>
      <c r="C737" s="3" t="s">
        <v>8366</v>
      </c>
      <c r="D737" s="3">
        <v>1294</v>
      </c>
      <c r="E737" s="3" t="s">
        <v>7179</v>
      </c>
      <c r="F737" s="3">
        <v>5</v>
      </c>
      <c r="G737" s="3" t="s">
        <v>8367</v>
      </c>
      <c r="H737" s="3"/>
    </row>
    <row r="738" spans="1:8" ht="180" x14ac:dyDescent="0.25">
      <c r="A738" s="3" t="s">
        <v>12097</v>
      </c>
      <c r="B738" s="3" t="s">
        <v>8368</v>
      </c>
      <c r="C738" s="3" t="s">
        <v>8369</v>
      </c>
      <c r="D738" s="3">
        <v>1166</v>
      </c>
      <c r="E738" s="3" t="s">
        <v>7179</v>
      </c>
      <c r="F738" s="3">
        <v>5</v>
      </c>
      <c r="G738" s="3" t="s">
        <v>8370</v>
      </c>
      <c r="H738" s="3"/>
    </row>
    <row r="739" spans="1:8" ht="105" x14ac:dyDescent="0.25">
      <c r="A739" s="3" t="s">
        <v>12097</v>
      </c>
      <c r="B739" s="3" t="s">
        <v>8371</v>
      </c>
      <c r="C739" s="3" t="s">
        <v>8372</v>
      </c>
      <c r="D739" s="3">
        <v>1089</v>
      </c>
      <c r="E739" s="3" t="s">
        <v>7179</v>
      </c>
      <c r="F739" s="3">
        <v>5</v>
      </c>
      <c r="G739" s="3" t="s">
        <v>8373</v>
      </c>
      <c r="H739" s="3"/>
    </row>
    <row r="740" spans="1:8" ht="30" x14ac:dyDescent="0.25">
      <c r="A740" s="3" t="s">
        <v>12097</v>
      </c>
      <c r="B740" s="3" t="s">
        <v>8374</v>
      </c>
      <c r="C740" s="3" t="s">
        <v>8375</v>
      </c>
      <c r="D740" s="3">
        <v>586</v>
      </c>
      <c r="E740" s="3" t="s">
        <v>7179</v>
      </c>
      <c r="F740" s="3">
        <v>5</v>
      </c>
      <c r="G740" s="3" t="s">
        <v>12098</v>
      </c>
      <c r="H740" s="3"/>
    </row>
    <row r="741" spans="1:8" ht="45" x14ac:dyDescent="0.25">
      <c r="A741" s="3" t="s">
        <v>12097</v>
      </c>
      <c r="B741" s="3" t="s">
        <v>8376</v>
      </c>
      <c r="C741" s="3" t="s">
        <v>8377</v>
      </c>
      <c r="D741" s="3">
        <v>157</v>
      </c>
      <c r="E741" s="3" t="s">
        <v>7182</v>
      </c>
      <c r="F741" s="3">
        <v>20</v>
      </c>
      <c r="G741" s="3" t="s">
        <v>12099</v>
      </c>
      <c r="H741" s="3"/>
    </row>
    <row r="742" spans="1:8" ht="45" x14ac:dyDescent="0.25">
      <c r="A742" s="3" t="s">
        <v>12097</v>
      </c>
      <c r="B742" s="3" t="s">
        <v>8378</v>
      </c>
      <c r="C742" s="3" t="s">
        <v>8379</v>
      </c>
      <c r="D742" s="3">
        <v>1505</v>
      </c>
      <c r="E742" s="3" t="s">
        <v>7182</v>
      </c>
      <c r="F742" s="3">
        <v>80</v>
      </c>
      <c r="G742" s="3" t="s">
        <v>12099</v>
      </c>
      <c r="H742" s="3"/>
    </row>
    <row r="743" spans="1:8" ht="30" x14ac:dyDescent="0.25">
      <c r="A743" s="3" t="s">
        <v>12097</v>
      </c>
      <c r="B743" s="3" t="s">
        <v>8380</v>
      </c>
      <c r="C743" s="3" t="s">
        <v>8381</v>
      </c>
      <c r="D743" s="3">
        <v>1496</v>
      </c>
      <c r="E743" s="3" t="s">
        <v>7182</v>
      </c>
      <c r="F743" s="3">
        <v>60</v>
      </c>
      <c r="G743" s="3" t="s">
        <v>12099</v>
      </c>
      <c r="H743" s="3"/>
    </row>
    <row r="744" spans="1:8" ht="150" x14ac:dyDescent="0.25">
      <c r="A744" s="3" t="s">
        <v>12097</v>
      </c>
      <c r="B744" s="3" t="s">
        <v>8382</v>
      </c>
      <c r="C744" s="3" t="s">
        <v>8383</v>
      </c>
      <c r="D744" s="3">
        <v>1495</v>
      </c>
      <c r="E744" s="3" t="s">
        <v>7179</v>
      </c>
      <c r="F744" s="3">
        <v>5</v>
      </c>
      <c r="G744" s="3" t="s">
        <v>8384</v>
      </c>
      <c r="H744" s="3"/>
    </row>
    <row r="745" spans="1:8" ht="30" x14ac:dyDescent="0.25">
      <c r="A745" s="3" t="s">
        <v>12097</v>
      </c>
      <c r="B745" s="3" t="s">
        <v>6920</v>
      </c>
      <c r="C745" s="3" t="s">
        <v>8385</v>
      </c>
      <c r="D745" s="3">
        <v>1735</v>
      </c>
      <c r="E745" s="3" t="s">
        <v>7182</v>
      </c>
      <c r="F745" s="3">
        <v>100</v>
      </c>
      <c r="G745" s="3" t="s">
        <v>12099</v>
      </c>
      <c r="H745" s="3"/>
    </row>
    <row r="746" spans="1:8" ht="30" x14ac:dyDescent="0.25">
      <c r="A746" s="3" t="s">
        <v>12097</v>
      </c>
      <c r="B746" s="3" t="s">
        <v>8386</v>
      </c>
      <c r="C746" s="3" t="s">
        <v>8387</v>
      </c>
      <c r="D746" s="3">
        <v>1504</v>
      </c>
      <c r="E746" s="3" t="s">
        <v>7182</v>
      </c>
      <c r="F746" s="3">
        <v>30</v>
      </c>
      <c r="G746" s="3" t="s">
        <v>12099</v>
      </c>
      <c r="H746" s="3"/>
    </row>
    <row r="747" spans="1:8" ht="30" x14ac:dyDescent="0.25">
      <c r="A747" s="3" t="s">
        <v>12097</v>
      </c>
      <c r="B747" s="3" t="s">
        <v>8388</v>
      </c>
      <c r="C747" s="3" t="s">
        <v>8389</v>
      </c>
      <c r="D747" s="3">
        <v>1499</v>
      </c>
      <c r="E747" s="3" t="s">
        <v>7200</v>
      </c>
      <c r="F747" s="3">
        <v>8</v>
      </c>
      <c r="G747" s="3" t="s">
        <v>12099</v>
      </c>
      <c r="H747" s="3"/>
    </row>
    <row r="748" spans="1:8" ht="90" x14ac:dyDescent="0.25">
      <c r="A748" s="3" t="s">
        <v>12097</v>
      </c>
      <c r="B748" s="3" t="s">
        <v>8391</v>
      </c>
      <c r="C748" s="3" t="s">
        <v>8392</v>
      </c>
      <c r="D748" s="3">
        <v>1036</v>
      </c>
      <c r="E748" s="3" t="s">
        <v>7179</v>
      </c>
      <c r="F748" s="3">
        <v>5</v>
      </c>
      <c r="G748" s="3" t="s">
        <v>8393</v>
      </c>
      <c r="H748" s="3"/>
    </row>
    <row r="749" spans="1:8" ht="45" x14ac:dyDescent="0.25">
      <c r="A749" s="3" t="s">
        <v>12097</v>
      </c>
      <c r="B749" s="3" t="s">
        <v>8395</v>
      </c>
      <c r="C749" s="3" t="s">
        <v>8396</v>
      </c>
      <c r="D749" s="3">
        <v>547</v>
      </c>
      <c r="E749" s="3" t="s">
        <v>7238</v>
      </c>
      <c r="F749" s="3">
        <v>4.2</v>
      </c>
      <c r="G749" s="3" t="s">
        <v>12099</v>
      </c>
      <c r="H749" s="3"/>
    </row>
    <row r="750" spans="1:8" ht="30" x14ac:dyDescent="0.25">
      <c r="A750" s="3" t="s">
        <v>12097</v>
      </c>
      <c r="B750" s="3" t="s">
        <v>8397</v>
      </c>
      <c r="C750" s="3" t="s">
        <v>8398</v>
      </c>
      <c r="D750" s="3">
        <v>551</v>
      </c>
      <c r="E750" s="3" t="s">
        <v>7238</v>
      </c>
      <c r="F750" s="3">
        <v>4.2</v>
      </c>
      <c r="G750" s="3" t="s">
        <v>12099</v>
      </c>
      <c r="H750" s="3"/>
    </row>
    <row r="751" spans="1:8" ht="30" x14ac:dyDescent="0.25">
      <c r="A751" s="3" t="s">
        <v>12097</v>
      </c>
      <c r="B751" s="3" t="s">
        <v>8399</v>
      </c>
      <c r="C751" s="3" t="s">
        <v>8400</v>
      </c>
      <c r="D751" s="3">
        <v>549</v>
      </c>
      <c r="E751" s="3" t="s">
        <v>7200</v>
      </c>
      <c r="F751" s="3">
        <v>8</v>
      </c>
      <c r="G751" s="3" t="s">
        <v>12099</v>
      </c>
      <c r="H751" s="3"/>
    </row>
    <row r="752" spans="1:8" ht="30" x14ac:dyDescent="0.25">
      <c r="A752" s="3" t="s">
        <v>12097</v>
      </c>
      <c r="B752" s="3" t="s">
        <v>8401</v>
      </c>
      <c r="C752" s="3" t="s">
        <v>8402</v>
      </c>
      <c r="D752" s="3">
        <v>550</v>
      </c>
      <c r="E752" s="3" t="s">
        <v>7200</v>
      </c>
      <c r="F752" s="3">
        <v>8</v>
      </c>
      <c r="G752" s="3" t="s">
        <v>12099</v>
      </c>
      <c r="H752" s="3"/>
    </row>
    <row r="753" spans="1:8" ht="60" x14ac:dyDescent="0.25">
      <c r="A753" s="3" t="s">
        <v>12097</v>
      </c>
      <c r="B753" s="3" t="s">
        <v>8403</v>
      </c>
      <c r="C753" s="3" t="s">
        <v>8404</v>
      </c>
      <c r="D753" s="3">
        <v>545</v>
      </c>
      <c r="E753" s="3" t="s">
        <v>7179</v>
      </c>
      <c r="F753" s="3">
        <v>5</v>
      </c>
      <c r="G753" s="3" t="s">
        <v>8405</v>
      </c>
      <c r="H753" s="3"/>
    </row>
    <row r="754" spans="1:8" ht="105" x14ac:dyDescent="0.25">
      <c r="A754" s="3" t="s">
        <v>12097</v>
      </c>
      <c r="B754" s="3" t="s">
        <v>8406</v>
      </c>
      <c r="C754" s="3" t="s">
        <v>8407</v>
      </c>
      <c r="D754" s="3">
        <v>544</v>
      </c>
      <c r="E754" s="3" t="s">
        <v>7179</v>
      </c>
      <c r="F754" s="3">
        <v>5</v>
      </c>
      <c r="G754" s="3" t="s">
        <v>8408</v>
      </c>
      <c r="H754" s="3"/>
    </row>
    <row r="755" spans="1:8" ht="60" x14ac:dyDescent="0.25">
      <c r="A755" s="3" t="s">
        <v>12097</v>
      </c>
      <c r="B755" s="3" t="s">
        <v>8409</v>
      </c>
      <c r="C755" s="3" t="s">
        <v>8410</v>
      </c>
      <c r="D755" s="3">
        <v>725</v>
      </c>
      <c r="E755" s="3" t="s">
        <v>7182</v>
      </c>
      <c r="F755" s="3">
        <v>8</v>
      </c>
      <c r="G755" s="3" t="s">
        <v>12099</v>
      </c>
      <c r="H755" s="3"/>
    </row>
    <row r="756" spans="1:8" ht="30" x14ac:dyDescent="0.25">
      <c r="A756" s="3" t="s">
        <v>12097</v>
      </c>
      <c r="B756" s="3" t="s">
        <v>8411</v>
      </c>
      <c r="C756" s="3" t="s">
        <v>8412</v>
      </c>
      <c r="D756" s="3">
        <v>160</v>
      </c>
      <c r="E756" s="3" t="s">
        <v>7200</v>
      </c>
      <c r="F756" s="3">
        <v>8</v>
      </c>
      <c r="G756" s="3" t="s">
        <v>12099</v>
      </c>
      <c r="H756" s="3"/>
    </row>
    <row r="757" spans="1:8" ht="30" x14ac:dyDescent="0.25">
      <c r="A757" s="3" t="s">
        <v>12097</v>
      </c>
      <c r="B757" s="3" t="s">
        <v>8413</v>
      </c>
      <c r="C757" s="3" t="s">
        <v>8414</v>
      </c>
      <c r="D757" s="3">
        <v>161</v>
      </c>
      <c r="E757" s="3" t="s">
        <v>7182</v>
      </c>
      <c r="F757" s="3">
        <v>80</v>
      </c>
      <c r="G757" s="3" t="s">
        <v>12099</v>
      </c>
      <c r="H757" s="3"/>
    </row>
    <row r="758" spans="1:8" ht="30" x14ac:dyDescent="0.25">
      <c r="A758" s="3" t="s">
        <v>12097</v>
      </c>
      <c r="B758" s="3" t="s">
        <v>8415</v>
      </c>
      <c r="C758" s="3" t="s">
        <v>8416</v>
      </c>
      <c r="D758" s="3">
        <v>162</v>
      </c>
      <c r="E758" s="3" t="s">
        <v>7182</v>
      </c>
      <c r="F758" s="3">
        <v>10</v>
      </c>
      <c r="G758" s="3" t="s">
        <v>12099</v>
      </c>
      <c r="H758" s="3"/>
    </row>
    <row r="759" spans="1:8" ht="30" x14ac:dyDescent="0.25">
      <c r="A759" s="3" t="s">
        <v>12097</v>
      </c>
      <c r="B759" s="3" t="s">
        <v>8417</v>
      </c>
      <c r="C759" s="3" t="s">
        <v>8418</v>
      </c>
      <c r="D759" s="3">
        <v>163</v>
      </c>
      <c r="E759" s="3" t="s">
        <v>7200</v>
      </c>
      <c r="F759" s="3">
        <v>8</v>
      </c>
      <c r="G759" s="3" t="s">
        <v>12099</v>
      </c>
      <c r="H759" s="3"/>
    </row>
    <row r="760" spans="1:8" ht="30" x14ac:dyDescent="0.25">
      <c r="A760" s="3" t="s">
        <v>12097</v>
      </c>
      <c r="B760" s="3" t="s">
        <v>8419</v>
      </c>
      <c r="C760" s="3" t="s">
        <v>8420</v>
      </c>
      <c r="D760" s="3">
        <v>164</v>
      </c>
      <c r="E760" s="3" t="s">
        <v>7182</v>
      </c>
      <c r="F760" s="3">
        <v>45</v>
      </c>
      <c r="G760" s="3" t="s">
        <v>12099</v>
      </c>
      <c r="H760" s="3"/>
    </row>
    <row r="761" spans="1:8" ht="30" x14ac:dyDescent="0.25">
      <c r="A761" s="3" t="s">
        <v>12097</v>
      </c>
      <c r="B761" s="3" t="s">
        <v>8421</v>
      </c>
      <c r="C761" s="3" t="s">
        <v>8422</v>
      </c>
      <c r="D761" s="3">
        <v>165</v>
      </c>
      <c r="E761" s="3" t="s">
        <v>7182</v>
      </c>
      <c r="F761" s="3">
        <v>80</v>
      </c>
      <c r="G761" s="3" t="s">
        <v>12099</v>
      </c>
      <c r="H761" s="3"/>
    </row>
    <row r="762" spans="1:8" ht="30" x14ac:dyDescent="0.25">
      <c r="A762" s="3" t="s">
        <v>12097</v>
      </c>
      <c r="B762" s="3" t="s">
        <v>8423</v>
      </c>
      <c r="C762" s="3" t="s">
        <v>8416</v>
      </c>
      <c r="D762" s="3">
        <v>166</v>
      </c>
      <c r="E762" s="3" t="s">
        <v>7182</v>
      </c>
      <c r="F762" s="3">
        <v>10</v>
      </c>
      <c r="G762" s="3" t="s">
        <v>12099</v>
      </c>
      <c r="H762" s="3"/>
    </row>
    <row r="763" spans="1:8" ht="30" x14ac:dyDescent="0.25">
      <c r="A763" s="3" t="s">
        <v>12097</v>
      </c>
      <c r="B763" s="3" t="s">
        <v>8424</v>
      </c>
      <c r="C763" s="3" t="s">
        <v>8425</v>
      </c>
      <c r="D763" s="3">
        <v>167</v>
      </c>
      <c r="E763" s="3" t="s">
        <v>7182</v>
      </c>
      <c r="F763" s="3">
        <v>45</v>
      </c>
      <c r="G763" s="3" t="s">
        <v>12099</v>
      </c>
      <c r="H763" s="3"/>
    </row>
    <row r="764" spans="1:8" ht="30" x14ac:dyDescent="0.25">
      <c r="A764" s="3" t="s">
        <v>12097</v>
      </c>
      <c r="B764" s="3" t="s">
        <v>8426</v>
      </c>
      <c r="C764" s="3" t="s">
        <v>8427</v>
      </c>
      <c r="D764" s="3">
        <v>168</v>
      </c>
      <c r="E764" s="3" t="s">
        <v>7182</v>
      </c>
      <c r="F764" s="3">
        <v>80</v>
      </c>
      <c r="G764" s="3" t="s">
        <v>12099</v>
      </c>
      <c r="H764" s="3"/>
    </row>
    <row r="765" spans="1:8" ht="30" x14ac:dyDescent="0.25">
      <c r="A765" s="3" t="s">
        <v>12097</v>
      </c>
      <c r="B765" s="3" t="s">
        <v>8428</v>
      </c>
      <c r="C765" s="3" t="s">
        <v>8429</v>
      </c>
      <c r="D765" s="3">
        <v>169</v>
      </c>
      <c r="E765" s="3" t="s">
        <v>7182</v>
      </c>
      <c r="F765" s="3">
        <v>80</v>
      </c>
      <c r="G765" s="3" t="s">
        <v>12099</v>
      </c>
      <c r="H765" s="3"/>
    </row>
    <row r="766" spans="1:8" ht="120" x14ac:dyDescent="0.25">
      <c r="A766" s="3" t="s">
        <v>12097</v>
      </c>
      <c r="B766" s="3" t="s">
        <v>8430</v>
      </c>
      <c r="C766" s="3" t="s">
        <v>8431</v>
      </c>
      <c r="D766" s="3">
        <v>372</v>
      </c>
      <c r="E766" s="3" t="s">
        <v>7179</v>
      </c>
      <c r="F766" s="3">
        <v>5</v>
      </c>
      <c r="G766" s="3" t="s">
        <v>8432</v>
      </c>
      <c r="H766" s="3"/>
    </row>
    <row r="767" spans="1:8" ht="90" x14ac:dyDescent="0.25">
      <c r="A767" s="3" t="s">
        <v>12097</v>
      </c>
      <c r="B767" s="3" t="s">
        <v>8434</v>
      </c>
      <c r="C767" s="3" t="s">
        <v>8435</v>
      </c>
      <c r="D767" s="3">
        <v>1318</v>
      </c>
      <c r="E767" s="3" t="s">
        <v>7182</v>
      </c>
      <c r="F767" s="3">
        <v>30</v>
      </c>
      <c r="G767" s="3" t="s">
        <v>12099</v>
      </c>
      <c r="H767" s="3"/>
    </row>
    <row r="768" spans="1:8" ht="60" x14ac:dyDescent="0.25">
      <c r="A768" s="3" t="s">
        <v>12097</v>
      </c>
      <c r="B768" s="3" t="s">
        <v>8436</v>
      </c>
      <c r="C768" s="3" t="s">
        <v>8437</v>
      </c>
      <c r="D768" s="3">
        <v>610</v>
      </c>
      <c r="E768" s="3" t="s">
        <v>7179</v>
      </c>
      <c r="F768" s="3">
        <v>5</v>
      </c>
      <c r="G768" s="3" t="s">
        <v>8438</v>
      </c>
      <c r="H768" s="3"/>
    </row>
    <row r="769" spans="1:8" ht="45" x14ac:dyDescent="0.25">
      <c r="A769" s="3" t="s">
        <v>12097</v>
      </c>
      <c r="B769" s="3" t="s">
        <v>8441</v>
      </c>
      <c r="C769" s="3" t="s">
        <v>8442</v>
      </c>
      <c r="D769" s="3">
        <v>785</v>
      </c>
      <c r="E769" s="3" t="s">
        <v>7200</v>
      </c>
      <c r="F769" s="3">
        <v>8</v>
      </c>
      <c r="G769" s="3" t="s">
        <v>12099</v>
      </c>
      <c r="H769" s="3"/>
    </row>
    <row r="770" spans="1:8" ht="60" x14ac:dyDescent="0.25">
      <c r="A770" s="3" t="s">
        <v>12097</v>
      </c>
      <c r="B770" s="3" t="s">
        <v>8443</v>
      </c>
      <c r="C770" s="3" t="s">
        <v>8444</v>
      </c>
      <c r="D770" s="3">
        <v>784</v>
      </c>
      <c r="E770" s="3" t="s">
        <v>7182</v>
      </c>
      <c r="F770" s="3">
        <v>35</v>
      </c>
      <c r="G770" s="3" t="s">
        <v>12099</v>
      </c>
      <c r="H770" s="3"/>
    </row>
    <row r="771" spans="1:8" ht="75" x14ac:dyDescent="0.25">
      <c r="A771" s="3" t="s">
        <v>12097</v>
      </c>
      <c r="B771" s="3" t="s">
        <v>8445</v>
      </c>
      <c r="C771" s="3" t="s">
        <v>8446</v>
      </c>
      <c r="D771" s="3">
        <v>783</v>
      </c>
      <c r="E771" s="3" t="s">
        <v>7182</v>
      </c>
      <c r="F771" s="3">
        <v>60</v>
      </c>
      <c r="G771" s="3" t="s">
        <v>12099</v>
      </c>
      <c r="H771" s="3"/>
    </row>
    <row r="772" spans="1:8" ht="60" x14ac:dyDescent="0.25">
      <c r="A772" s="3" t="s">
        <v>12097</v>
      </c>
      <c r="B772" s="3" t="s">
        <v>8447</v>
      </c>
      <c r="C772" s="3" t="s">
        <v>8448</v>
      </c>
      <c r="D772" s="3">
        <v>786</v>
      </c>
      <c r="E772" s="3" t="s">
        <v>7200</v>
      </c>
      <c r="F772" s="3">
        <v>8</v>
      </c>
      <c r="G772" s="3" t="s">
        <v>12099</v>
      </c>
      <c r="H772" s="3"/>
    </row>
    <row r="773" spans="1:8" ht="30" x14ac:dyDescent="0.25">
      <c r="A773" s="3" t="s">
        <v>12097</v>
      </c>
      <c r="B773" s="3" t="s">
        <v>8449</v>
      </c>
      <c r="C773" s="3" t="s">
        <v>8450</v>
      </c>
      <c r="D773" s="3">
        <v>1451</v>
      </c>
      <c r="E773" s="3" t="s">
        <v>7179</v>
      </c>
      <c r="F773" s="3">
        <v>5</v>
      </c>
      <c r="G773" s="3" t="s">
        <v>12098</v>
      </c>
      <c r="H773" s="3"/>
    </row>
    <row r="774" spans="1:8" ht="165" x14ac:dyDescent="0.25">
      <c r="A774" s="3" t="s">
        <v>12097</v>
      </c>
      <c r="B774" s="3" t="s">
        <v>8451</v>
      </c>
      <c r="C774" s="3" t="s">
        <v>8452</v>
      </c>
      <c r="D774" s="3">
        <v>1881</v>
      </c>
      <c r="E774" s="3" t="s">
        <v>7179</v>
      </c>
      <c r="F774" s="3">
        <v>5</v>
      </c>
      <c r="G774" s="3" t="s">
        <v>8453</v>
      </c>
      <c r="H774" s="3"/>
    </row>
    <row r="775" spans="1:8" ht="180" x14ac:dyDescent="0.25">
      <c r="A775" s="3" t="s">
        <v>12097</v>
      </c>
      <c r="B775" s="3" t="s">
        <v>8454</v>
      </c>
      <c r="C775" s="3" t="s">
        <v>8455</v>
      </c>
      <c r="D775" s="3">
        <v>1283</v>
      </c>
      <c r="E775" s="3" t="s">
        <v>7179</v>
      </c>
      <c r="F775" s="3">
        <v>5</v>
      </c>
      <c r="G775" s="3" t="s">
        <v>8456</v>
      </c>
      <c r="H775" s="3"/>
    </row>
    <row r="776" spans="1:8" ht="210" x14ac:dyDescent="0.25">
      <c r="A776" s="3" t="s">
        <v>12097</v>
      </c>
      <c r="B776" s="3" t="s">
        <v>8457</v>
      </c>
      <c r="C776" s="3" t="s">
        <v>8458</v>
      </c>
      <c r="D776" s="3">
        <v>839</v>
      </c>
      <c r="E776" s="3" t="s">
        <v>7179</v>
      </c>
      <c r="F776" s="3">
        <v>5</v>
      </c>
      <c r="G776" s="3" t="s">
        <v>8459</v>
      </c>
      <c r="H776" s="3"/>
    </row>
    <row r="777" spans="1:8" ht="90" x14ac:dyDescent="0.25">
      <c r="A777" s="3" t="s">
        <v>12097</v>
      </c>
      <c r="B777" s="3" t="s">
        <v>8462</v>
      </c>
      <c r="C777" s="3" t="s">
        <v>8463</v>
      </c>
      <c r="D777" s="3">
        <v>175</v>
      </c>
      <c r="E777" s="3" t="s">
        <v>7200</v>
      </c>
      <c r="F777" s="3">
        <v>8</v>
      </c>
      <c r="G777" s="3" t="s">
        <v>12099</v>
      </c>
      <c r="H777" s="3"/>
    </row>
    <row r="778" spans="1:8" ht="60" x14ac:dyDescent="0.25">
      <c r="A778" s="3" t="s">
        <v>12097</v>
      </c>
      <c r="B778" s="3" t="s">
        <v>8464</v>
      </c>
      <c r="C778" s="3" t="s">
        <v>8465</v>
      </c>
      <c r="D778" s="3">
        <v>176</v>
      </c>
      <c r="E778" s="3" t="s">
        <v>7220</v>
      </c>
      <c r="F778" s="3">
        <v>3</v>
      </c>
      <c r="G778" s="3" t="s">
        <v>12099</v>
      </c>
      <c r="H778" s="3"/>
    </row>
    <row r="779" spans="1:8" ht="75" x14ac:dyDescent="0.25">
      <c r="A779" s="3" t="s">
        <v>12097</v>
      </c>
      <c r="B779" s="3" t="s">
        <v>8467</v>
      </c>
      <c r="C779" s="3" t="s">
        <v>8468</v>
      </c>
      <c r="D779" s="3">
        <v>330</v>
      </c>
      <c r="E779" s="3" t="s">
        <v>7179</v>
      </c>
      <c r="F779" s="3">
        <v>5</v>
      </c>
      <c r="G779" s="3" t="s">
        <v>8469</v>
      </c>
      <c r="H779" s="3"/>
    </row>
    <row r="780" spans="1:8" ht="90" x14ac:dyDescent="0.25">
      <c r="A780" s="3" t="s">
        <v>12097</v>
      </c>
      <c r="B780" s="3" t="s">
        <v>8470</v>
      </c>
      <c r="C780" s="3" t="s">
        <v>8471</v>
      </c>
      <c r="D780" s="3">
        <v>860</v>
      </c>
      <c r="E780" s="3" t="s">
        <v>7179</v>
      </c>
      <c r="F780" s="3">
        <v>5</v>
      </c>
      <c r="G780" s="3" t="s">
        <v>8472</v>
      </c>
      <c r="H780" s="3"/>
    </row>
    <row r="781" spans="1:8" ht="30" x14ac:dyDescent="0.25">
      <c r="A781" s="3" t="s">
        <v>12097</v>
      </c>
      <c r="B781" s="3" t="s">
        <v>8473</v>
      </c>
      <c r="C781" s="3" t="s">
        <v>8474</v>
      </c>
      <c r="D781" s="3">
        <v>177</v>
      </c>
      <c r="E781" s="3" t="s">
        <v>7200</v>
      </c>
      <c r="F781" s="3">
        <v>8</v>
      </c>
      <c r="G781" s="3" t="s">
        <v>12099</v>
      </c>
      <c r="H781" s="3"/>
    </row>
    <row r="782" spans="1:8" ht="30" x14ac:dyDescent="0.25">
      <c r="A782" s="3" t="s">
        <v>12097</v>
      </c>
      <c r="B782" s="3" t="s">
        <v>8475</v>
      </c>
      <c r="C782" s="3" t="s">
        <v>8476</v>
      </c>
      <c r="D782" s="3">
        <v>178</v>
      </c>
      <c r="E782" s="3" t="s">
        <v>7200</v>
      </c>
      <c r="F782" s="3">
        <v>8</v>
      </c>
      <c r="G782" s="3" t="s">
        <v>12099</v>
      </c>
      <c r="H782" s="3"/>
    </row>
    <row r="783" spans="1:8" ht="30" x14ac:dyDescent="0.25">
      <c r="A783" s="3" t="s">
        <v>12097</v>
      </c>
      <c r="B783" s="3" t="s">
        <v>8477</v>
      </c>
      <c r="C783" s="3" t="s">
        <v>8478</v>
      </c>
      <c r="D783" s="3">
        <v>1314</v>
      </c>
      <c r="E783" s="3" t="s">
        <v>7182</v>
      </c>
      <c r="F783" s="3">
        <v>45</v>
      </c>
      <c r="G783" s="3" t="s">
        <v>12099</v>
      </c>
      <c r="H783" s="3"/>
    </row>
    <row r="784" spans="1:8" ht="45" x14ac:dyDescent="0.25">
      <c r="A784" s="3" t="s">
        <v>12097</v>
      </c>
      <c r="B784" s="3" t="s">
        <v>8479</v>
      </c>
      <c r="C784" s="3" t="s">
        <v>8480</v>
      </c>
      <c r="D784" s="3">
        <v>546</v>
      </c>
      <c r="E784" s="3" t="s">
        <v>7238</v>
      </c>
      <c r="F784" s="3">
        <v>4.2</v>
      </c>
      <c r="G784" s="3" t="s">
        <v>12099</v>
      </c>
      <c r="H784" s="3"/>
    </row>
    <row r="785" spans="1:8" ht="30" x14ac:dyDescent="0.25">
      <c r="A785" s="3" t="s">
        <v>12097</v>
      </c>
      <c r="B785" s="3" t="s">
        <v>8481</v>
      </c>
      <c r="C785" s="3" t="s">
        <v>7071</v>
      </c>
      <c r="D785" s="3">
        <v>1190</v>
      </c>
      <c r="E785" s="3" t="s">
        <v>7220</v>
      </c>
      <c r="F785" s="3">
        <v>5</v>
      </c>
      <c r="G785" s="3" t="s">
        <v>12099</v>
      </c>
      <c r="H785" s="3"/>
    </row>
    <row r="786" spans="1:8" ht="195" x14ac:dyDescent="0.25">
      <c r="A786" s="3" t="s">
        <v>12097</v>
      </c>
      <c r="B786" s="3" t="s">
        <v>8482</v>
      </c>
      <c r="C786" s="3" t="s">
        <v>8483</v>
      </c>
      <c r="D786" s="3">
        <v>1105</v>
      </c>
      <c r="E786" s="3" t="s">
        <v>7179</v>
      </c>
      <c r="F786" s="3">
        <v>5</v>
      </c>
      <c r="G786" s="3" t="s">
        <v>8484</v>
      </c>
      <c r="H786" s="3"/>
    </row>
    <row r="787" spans="1:8" ht="120" x14ac:dyDescent="0.25">
      <c r="A787" s="3" t="s">
        <v>12097</v>
      </c>
      <c r="B787" s="3" t="s">
        <v>8485</v>
      </c>
      <c r="C787" s="3" t="s">
        <v>8486</v>
      </c>
      <c r="D787" s="3">
        <v>1073</v>
      </c>
      <c r="E787" s="3" t="s">
        <v>7179</v>
      </c>
      <c r="F787" s="3">
        <v>5</v>
      </c>
      <c r="G787" s="3" t="s">
        <v>8487</v>
      </c>
      <c r="H787" s="3"/>
    </row>
    <row r="788" spans="1:8" ht="60" x14ac:dyDescent="0.25">
      <c r="A788" s="3" t="s">
        <v>12097</v>
      </c>
      <c r="B788" s="3" t="s">
        <v>8488</v>
      </c>
      <c r="C788" s="3" t="s">
        <v>8489</v>
      </c>
      <c r="D788" s="3">
        <v>1074</v>
      </c>
      <c r="E788" s="3" t="s">
        <v>7238</v>
      </c>
      <c r="F788" s="3">
        <v>2.2000000000000002</v>
      </c>
      <c r="G788" s="3" t="s">
        <v>12099</v>
      </c>
      <c r="H788" s="3"/>
    </row>
    <row r="789" spans="1:8" ht="105" x14ac:dyDescent="0.25">
      <c r="A789" s="3" t="s">
        <v>12097</v>
      </c>
      <c r="B789" s="3" t="s">
        <v>8490</v>
      </c>
      <c r="C789" s="3" t="s">
        <v>8491</v>
      </c>
      <c r="D789" s="3">
        <v>1069</v>
      </c>
      <c r="E789" s="3" t="s">
        <v>7179</v>
      </c>
      <c r="F789" s="3">
        <v>5</v>
      </c>
      <c r="G789" s="3" t="s">
        <v>8492</v>
      </c>
      <c r="H789" s="3"/>
    </row>
    <row r="790" spans="1:8" ht="105" x14ac:dyDescent="0.25">
      <c r="A790" s="3" t="s">
        <v>12097</v>
      </c>
      <c r="B790" s="3" t="s">
        <v>8493</v>
      </c>
      <c r="C790" s="3" t="s">
        <v>8494</v>
      </c>
      <c r="D790" s="3">
        <v>1106</v>
      </c>
      <c r="E790" s="3" t="s">
        <v>7179</v>
      </c>
      <c r="F790" s="3">
        <v>5</v>
      </c>
      <c r="G790" s="3" t="s">
        <v>8495</v>
      </c>
      <c r="H790" s="3"/>
    </row>
    <row r="791" spans="1:8" ht="45" x14ac:dyDescent="0.25">
      <c r="A791" s="3" t="s">
        <v>12097</v>
      </c>
      <c r="B791" s="3" t="s">
        <v>8496</v>
      </c>
      <c r="C791" s="3" t="s">
        <v>8497</v>
      </c>
      <c r="D791" s="3">
        <v>1104</v>
      </c>
      <c r="E791" s="3" t="s">
        <v>7182</v>
      </c>
      <c r="F791" s="3">
        <v>10</v>
      </c>
      <c r="G791" s="3" t="s">
        <v>12099</v>
      </c>
      <c r="H791" s="3"/>
    </row>
    <row r="792" spans="1:8" ht="45" x14ac:dyDescent="0.25">
      <c r="A792" s="3" t="s">
        <v>12097</v>
      </c>
      <c r="B792" s="3" t="s">
        <v>8498</v>
      </c>
      <c r="C792" s="3" t="s">
        <v>8499</v>
      </c>
      <c r="D792" s="3">
        <v>1103</v>
      </c>
      <c r="E792" s="3" t="s">
        <v>7182</v>
      </c>
      <c r="F792" s="3">
        <v>10</v>
      </c>
      <c r="G792" s="3" t="s">
        <v>12099</v>
      </c>
      <c r="H792" s="3"/>
    </row>
    <row r="793" spans="1:8" ht="75" x14ac:dyDescent="0.25">
      <c r="A793" s="3" t="s">
        <v>12097</v>
      </c>
      <c r="B793" s="3" t="s">
        <v>8500</v>
      </c>
      <c r="C793" s="3" t="s">
        <v>8501</v>
      </c>
      <c r="D793" s="3">
        <v>1070</v>
      </c>
      <c r="E793" s="3" t="s">
        <v>7200</v>
      </c>
      <c r="F793" s="3">
        <v>8</v>
      </c>
      <c r="G793" s="3" t="s">
        <v>7963</v>
      </c>
      <c r="H793" s="3"/>
    </row>
    <row r="794" spans="1:8" ht="210" x14ac:dyDescent="0.25">
      <c r="A794" s="3" t="s">
        <v>12097</v>
      </c>
      <c r="B794" s="3" t="s">
        <v>8502</v>
      </c>
      <c r="C794" s="3" t="s">
        <v>8503</v>
      </c>
      <c r="D794" s="3">
        <v>1072</v>
      </c>
      <c r="E794" s="3" t="s">
        <v>7179</v>
      </c>
      <c r="F794" s="3">
        <v>5</v>
      </c>
      <c r="G794" s="3" t="s">
        <v>8504</v>
      </c>
      <c r="H794" s="3"/>
    </row>
    <row r="795" spans="1:8" ht="90" x14ac:dyDescent="0.25">
      <c r="A795" s="3" t="s">
        <v>12097</v>
      </c>
      <c r="B795" s="3" t="s">
        <v>8505</v>
      </c>
      <c r="C795" s="3" t="s">
        <v>8506</v>
      </c>
      <c r="D795" s="3">
        <v>1071</v>
      </c>
      <c r="E795" s="3" t="s">
        <v>7179</v>
      </c>
      <c r="F795" s="3">
        <v>5</v>
      </c>
      <c r="G795" s="3" t="s">
        <v>8507</v>
      </c>
      <c r="H795" s="3"/>
    </row>
    <row r="796" spans="1:8" ht="255" x14ac:dyDescent="0.25">
      <c r="A796" s="3" t="s">
        <v>12097</v>
      </c>
      <c r="B796" s="3" t="s">
        <v>8508</v>
      </c>
      <c r="C796" s="3" t="s">
        <v>8509</v>
      </c>
      <c r="D796" s="3">
        <v>457</v>
      </c>
      <c r="E796" s="3" t="s">
        <v>7179</v>
      </c>
      <c r="F796" s="3">
        <v>5</v>
      </c>
      <c r="G796" s="3" t="s">
        <v>8510</v>
      </c>
      <c r="H796" s="3"/>
    </row>
    <row r="797" spans="1:8" ht="30" x14ac:dyDescent="0.25">
      <c r="A797" s="3" t="s">
        <v>12097</v>
      </c>
      <c r="B797" s="3" t="s">
        <v>8513</v>
      </c>
      <c r="C797" s="3" t="s">
        <v>8514</v>
      </c>
      <c r="D797" s="3">
        <v>341</v>
      </c>
      <c r="E797" s="3" t="s">
        <v>7200</v>
      </c>
      <c r="F797" s="3">
        <v>8</v>
      </c>
      <c r="G797" s="3" t="s">
        <v>12099</v>
      </c>
      <c r="H797" s="3"/>
    </row>
    <row r="798" spans="1:8" ht="150" x14ac:dyDescent="0.25">
      <c r="A798" s="3" t="s">
        <v>12097</v>
      </c>
      <c r="B798" s="3" t="s">
        <v>8515</v>
      </c>
      <c r="C798" s="3" t="s">
        <v>8516</v>
      </c>
      <c r="D798" s="3">
        <v>755</v>
      </c>
      <c r="E798" s="3" t="s">
        <v>7182</v>
      </c>
      <c r="F798" s="3">
        <v>35</v>
      </c>
      <c r="G798" s="3" t="s">
        <v>12099</v>
      </c>
      <c r="H798" s="3"/>
    </row>
    <row r="799" spans="1:8" ht="75" x14ac:dyDescent="0.25">
      <c r="A799" s="3" t="s">
        <v>12097</v>
      </c>
      <c r="B799" s="3" t="s">
        <v>8517</v>
      </c>
      <c r="C799" s="3" t="s">
        <v>8518</v>
      </c>
      <c r="D799" s="3">
        <v>342</v>
      </c>
      <c r="E799" s="3" t="s">
        <v>7182</v>
      </c>
      <c r="F799" s="3">
        <v>80</v>
      </c>
      <c r="G799" s="3" t="s">
        <v>12099</v>
      </c>
      <c r="H799" s="3"/>
    </row>
    <row r="800" spans="1:8" ht="210" x14ac:dyDescent="0.25">
      <c r="A800" s="3" t="s">
        <v>12097</v>
      </c>
      <c r="B800" s="3" t="s">
        <v>8519</v>
      </c>
      <c r="C800" s="3" t="s">
        <v>8520</v>
      </c>
      <c r="D800" s="3">
        <v>340</v>
      </c>
      <c r="E800" s="3" t="s">
        <v>7179</v>
      </c>
      <c r="F800" s="3">
        <v>5</v>
      </c>
      <c r="G800" s="3" t="s">
        <v>8521</v>
      </c>
      <c r="H800" s="3"/>
    </row>
    <row r="801" spans="1:8" ht="105" x14ac:dyDescent="0.25">
      <c r="A801" s="3" t="s">
        <v>12097</v>
      </c>
      <c r="B801" s="3" t="s">
        <v>8522</v>
      </c>
      <c r="C801" s="3" t="s">
        <v>8523</v>
      </c>
      <c r="D801" s="3">
        <v>758</v>
      </c>
      <c r="E801" s="3" t="s">
        <v>7182</v>
      </c>
      <c r="F801" s="3">
        <v>12</v>
      </c>
      <c r="G801" s="3" t="s">
        <v>12099</v>
      </c>
      <c r="H801" s="3"/>
    </row>
    <row r="802" spans="1:8" ht="75" x14ac:dyDescent="0.25">
      <c r="A802" s="3" t="s">
        <v>12097</v>
      </c>
      <c r="B802" s="3" t="s">
        <v>8524</v>
      </c>
      <c r="C802" s="3" t="s">
        <v>8525</v>
      </c>
      <c r="D802" s="3">
        <v>777</v>
      </c>
      <c r="E802" s="3" t="s">
        <v>7182</v>
      </c>
      <c r="F802" s="3">
        <v>60</v>
      </c>
      <c r="G802" s="3" t="s">
        <v>12099</v>
      </c>
      <c r="H802" s="3"/>
    </row>
    <row r="803" spans="1:8" ht="60" x14ac:dyDescent="0.25">
      <c r="A803" s="3" t="s">
        <v>12097</v>
      </c>
      <c r="B803" s="3" t="s">
        <v>8526</v>
      </c>
      <c r="C803" s="3" t="s">
        <v>8527</v>
      </c>
      <c r="D803" s="3">
        <v>748</v>
      </c>
      <c r="E803" s="3" t="s">
        <v>7182</v>
      </c>
      <c r="F803" s="3">
        <v>80</v>
      </c>
      <c r="G803" s="3" t="s">
        <v>12099</v>
      </c>
      <c r="H803" s="3"/>
    </row>
    <row r="804" spans="1:8" ht="75" x14ac:dyDescent="0.25">
      <c r="A804" s="3" t="s">
        <v>12097</v>
      </c>
      <c r="B804" s="3" t="s">
        <v>8528</v>
      </c>
      <c r="C804" s="3" t="s">
        <v>8529</v>
      </c>
      <c r="D804" s="3">
        <v>350</v>
      </c>
      <c r="E804" s="3" t="s">
        <v>7182</v>
      </c>
      <c r="F804" s="3">
        <v>35</v>
      </c>
      <c r="G804" s="3" t="s">
        <v>12099</v>
      </c>
      <c r="H804" s="3"/>
    </row>
    <row r="805" spans="1:8" ht="45" x14ac:dyDescent="0.25">
      <c r="A805" s="3" t="s">
        <v>12097</v>
      </c>
      <c r="B805" s="3" t="s">
        <v>8530</v>
      </c>
      <c r="C805" s="3" t="s">
        <v>8531</v>
      </c>
      <c r="D805" s="3">
        <v>1370</v>
      </c>
      <c r="E805" s="3" t="s">
        <v>7182</v>
      </c>
      <c r="F805" s="3">
        <v>100</v>
      </c>
      <c r="G805" s="3" t="s">
        <v>12099</v>
      </c>
      <c r="H805" s="3"/>
    </row>
    <row r="806" spans="1:8" ht="30" x14ac:dyDescent="0.25">
      <c r="A806" s="3" t="s">
        <v>12097</v>
      </c>
      <c r="B806" s="3" t="s">
        <v>8532</v>
      </c>
      <c r="C806" s="3" t="s">
        <v>8533</v>
      </c>
      <c r="D806" s="3">
        <v>1368</v>
      </c>
      <c r="E806" s="3" t="s">
        <v>7200</v>
      </c>
      <c r="F806" s="3">
        <v>8</v>
      </c>
      <c r="G806" s="3" t="s">
        <v>12099</v>
      </c>
      <c r="H806" s="3"/>
    </row>
    <row r="807" spans="1:8" ht="45" x14ac:dyDescent="0.25">
      <c r="A807" s="3" t="s">
        <v>12097</v>
      </c>
      <c r="B807" s="3" t="s">
        <v>8534</v>
      </c>
      <c r="C807" s="3" t="s">
        <v>8535</v>
      </c>
      <c r="D807" s="3">
        <v>1373</v>
      </c>
      <c r="E807" s="3" t="s">
        <v>7182</v>
      </c>
      <c r="F807" s="3">
        <v>50</v>
      </c>
      <c r="G807" s="3" t="s">
        <v>12099</v>
      </c>
      <c r="H807" s="3"/>
    </row>
    <row r="808" spans="1:8" ht="30" x14ac:dyDescent="0.25">
      <c r="A808" s="3" t="s">
        <v>12097</v>
      </c>
      <c r="B808" s="3" t="s">
        <v>8536</v>
      </c>
      <c r="C808" s="3" t="s">
        <v>8537</v>
      </c>
      <c r="D808" s="3">
        <v>1372</v>
      </c>
      <c r="E808" s="3" t="s">
        <v>7182</v>
      </c>
      <c r="F808" s="3">
        <v>45</v>
      </c>
      <c r="G808" s="3" t="s">
        <v>12099</v>
      </c>
      <c r="H808" s="3"/>
    </row>
    <row r="809" spans="1:8" ht="30" x14ac:dyDescent="0.25">
      <c r="A809" s="3" t="s">
        <v>12097</v>
      </c>
      <c r="B809" s="3" t="s">
        <v>8538</v>
      </c>
      <c r="C809" s="3" t="s">
        <v>8539</v>
      </c>
      <c r="D809" s="3">
        <v>1474</v>
      </c>
      <c r="E809" s="3" t="s">
        <v>7182</v>
      </c>
      <c r="F809" s="3">
        <v>80</v>
      </c>
      <c r="G809" s="3" t="s">
        <v>12099</v>
      </c>
      <c r="H809" s="3"/>
    </row>
    <row r="810" spans="1:8" ht="30" x14ac:dyDescent="0.25">
      <c r="A810" s="3" t="s">
        <v>12097</v>
      </c>
      <c r="B810" s="3" t="s">
        <v>8540</v>
      </c>
      <c r="C810" s="3" t="s">
        <v>8541</v>
      </c>
      <c r="D810" s="3">
        <v>1369</v>
      </c>
      <c r="E810" s="3" t="s">
        <v>7182</v>
      </c>
      <c r="F810" s="3">
        <v>30</v>
      </c>
      <c r="G810" s="3" t="s">
        <v>12099</v>
      </c>
      <c r="H810" s="3"/>
    </row>
    <row r="811" spans="1:8" ht="180" x14ac:dyDescent="0.25">
      <c r="A811" s="3" t="s">
        <v>12097</v>
      </c>
      <c r="B811" s="3" t="s">
        <v>8542</v>
      </c>
      <c r="C811" s="3" t="s">
        <v>8543</v>
      </c>
      <c r="D811" s="3">
        <v>1374</v>
      </c>
      <c r="E811" s="3" t="s">
        <v>7179</v>
      </c>
      <c r="F811" s="3">
        <v>5</v>
      </c>
      <c r="G811" s="3" t="s">
        <v>8544</v>
      </c>
      <c r="H811" s="3"/>
    </row>
    <row r="812" spans="1:8" ht="150" x14ac:dyDescent="0.25">
      <c r="A812" s="3" t="s">
        <v>12097</v>
      </c>
      <c r="B812" s="3" t="s">
        <v>8545</v>
      </c>
      <c r="C812" s="3" t="s">
        <v>8546</v>
      </c>
      <c r="D812" s="3">
        <v>182</v>
      </c>
      <c r="E812" s="3" t="s">
        <v>7179</v>
      </c>
      <c r="F812" s="3">
        <v>5</v>
      </c>
      <c r="G812" s="3" t="s">
        <v>8547</v>
      </c>
      <c r="H812" s="3"/>
    </row>
    <row r="813" spans="1:8" ht="409.5" x14ac:dyDescent="0.25">
      <c r="A813" s="3" t="s">
        <v>12097</v>
      </c>
      <c r="B813" s="3" t="s">
        <v>8548</v>
      </c>
      <c r="C813" s="3" t="s">
        <v>8549</v>
      </c>
      <c r="D813" s="3">
        <v>183</v>
      </c>
      <c r="E813" s="3" t="s">
        <v>7179</v>
      </c>
      <c r="F813" s="3">
        <v>5</v>
      </c>
      <c r="G813" s="3" t="s">
        <v>12123</v>
      </c>
      <c r="H813" s="3"/>
    </row>
    <row r="814" spans="1:8" ht="409.5" x14ac:dyDescent="0.25">
      <c r="A814" s="3"/>
      <c r="B814" s="3"/>
      <c r="C814" s="3"/>
      <c r="D814" s="3"/>
      <c r="E814" s="3"/>
      <c r="F814" s="3"/>
      <c r="G814" s="3" t="s">
        <v>12124</v>
      </c>
      <c r="H814" s="3"/>
    </row>
    <row r="815" spans="1:8" ht="409.5" x14ac:dyDescent="0.25">
      <c r="A815" s="3"/>
      <c r="B815" s="3"/>
      <c r="C815" s="3"/>
      <c r="D815" s="3"/>
      <c r="E815" s="3"/>
      <c r="F815" s="3"/>
      <c r="G815" s="3" t="s">
        <v>12125</v>
      </c>
      <c r="H815" s="3"/>
    </row>
    <row r="816" spans="1:8" ht="409.5" x14ac:dyDescent="0.25">
      <c r="A816" s="3"/>
      <c r="B816" s="3"/>
      <c r="C816" s="3"/>
      <c r="D816" s="3"/>
      <c r="E816" s="3"/>
      <c r="F816" s="3"/>
      <c r="G816" s="3" t="s">
        <v>12126</v>
      </c>
      <c r="H816" s="3"/>
    </row>
    <row r="817" spans="1:8" ht="409.5" x14ac:dyDescent="0.25">
      <c r="A817" s="3"/>
      <c r="B817" s="3"/>
      <c r="C817" s="3"/>
      <c r="D817" s="3"/>
      <c r="E817" s="3"/>
      <c r="F817" s="3"/>
      <c r="G817" s="3" t="s">
        <v>12127</v>
      </c>
      <c r="H817" s="3"/>
    </row>
    <row r="818" spans="1:8" ht="45" x14ac:dyDescent="0.25">
      <c r="A818" s="3" t="s">
        <v>12097</v>
      </c>
      <c r="B818" s="3" t="s">
        <v>8550</v>
      </c>
      <c r="C818" s="3" t="s">
        <v>8551</v>
      </c>
      <c r="D818" s="3">
        <v>844</v>
      </c>
      <c r="E818" s="3" t="s">
        <v>7182</v>
      </c>
      <c r="F818" s="3">
        <v>1</v>
      </c>
      <c r="G818" s="3" t="s">
        <v>12099</v>
      </c>
      <c r="H818" s="3"/>
    </row>
    <row r="819" spans="1:8" ht="135" x14ac:dyDescent="0.25">
      <c r="A819" s="3" t="s">
        <v>12097</v>
      </c>
      <c r="B819" s="3" t="s">
        <v>8552</v>
      </c>
      <c r="C819" s="3" t="s">
        <v>8553</v>
      </c>
      <c r="D819" s="3">
        <v>592</v>
      </c>
      <c r="E819" s="3" t="s">
        <v>7179</v>
      </c>
      <c r="F819" s="3">
        <v>5</v>
      </c>
      <c r="G819" s="3" t="s">
        <v>8554</v>
      </c>
      <c r="H819" s="3"/>
    </row>
    <row r="820" spans="1:8" ht="135" x14ac:dyDescent="0.25">
      <c r="A820" s="3" t="s">
        <v>12097</v>
      </c>
      <c r="B820" s="3" t="s">
        <v>8555</v>
      </c>
      <c r="C820" s="3" t="s">
        <v>8556</v>
      </c>
      <c r="D820" s="3">
        <v>591</v>
      </c>
      <c r="E820" s="3" t="s">
        <v>7179</v>
      </c>
      <c r="F820" s="3">
        <v>5</v>
      </c>
      <c r="G820" s="3" t="s">
        <v>8557</v>
      </c>
      <c r="H820" s="3"/>
    </row>
    <row r="821" spans="1:8" ht="90" x14ac:dyDescent="0.25">
      <c r="A821" s="3" t="s">
        <v>12097</v>
      </c>
      <c r="B821" s="3" t="s">
        <v>8558</v>
      </c>
      <c r="C821" s="3" t="s">
        <v>8559</v>
      </c>
      <c r="D821" s="3">
        <v>1084</v>
      </c>
      <c r="E821" s="3" t="s">
        <v>7179</v>
      </c>
      <c r="F821" s="3">
        <v>5</v>
      </c>
      <c r="G821" s="3" t="s">
        <v>12098</v>
      </c>
      <c r="H821" s="3"/>
    </row>
    <row r="822" spans="1:8" ht="45" x14ac:dyDescent="0.25">
      <c r="A822" s="3" t="s">
        <v>12097</v>
      </c>
      <c r="B822" s="3" t="s">
        <v>8560</v>
      </c>
      <c r="C822" s="3" t="s">
        <v>8561</v>
      </c>
      <c r="D822" s="3">
        <v>1081</v>
      </c>
      <c r="E822" s="3" t="s">
        <v>7182</v>
      </c>
      <c r="F822" s="3">
        <v>30</v>
      </c>
      <c r="G822" s="3" t="s">
        <v>12099</v>
      </c>
      <c r="H822" s="3"/>
    </row>
    <row r="823" spans="1:8" ht="45" x14ac:dyDescent="0.25">
      <c r="A823" s="3" t="s">
        <v>12097</v>
      </c>
      <c r="B823" s="3" t="s">
        <v>8562</v>
      </c>
      <c r="C823" s="3" t="s">
        <v>8563</v>
      </c>
      <c r="D823" s="3">
        <v>1083</v>
      </c>
      <c r="E823" s="3" t="s">
        <v>7182</v>
      </c>
      <c r="F823" s="3">
        <v>30</v>
      </c>
      <c r="G823" s="3" t="s">
        <v>12099</v>
      </c>
      <c r="H823" s="3"/>
    </row>
    <row r="824" spans="1:8" ht="60" x14ac:dyDescent="0.25">
      <c r="A824" s="3" t="s">
        <v>12097</v>
      </c>
      <c r="B824" s="3" t="s">
        <v>8564</v>
      </c>
      <c r="C824" s="3" t="s">
        <v>8565</v>
      </c>
      <c r="D824" s="3">
        <v>1076</v>
      </c>
      <c r="E824" s="3" t="s">
        <v>7179</v>
      </c>
      <c r="F824" s="3">
        <v>5</v>
      </c>
      <c r="G824" s="3" t="s">
        <v>8566</v>
      </c>
      <c r="H824" s="3"/>
    </row>
    <row r="825" spans="1:8" ht="210" x14ac:dyDescent="0.25">
      <c r="A825" s="3" t="s">
        <v>12097</v>
      </c>
      <c r="B825" s="3" t="s">
        <v>8567</v>
      </c>
      <c r="C825" s="3" t="s">
        <v>8568</v>
      </c>
      <c r="D825" s="3">
        <v>593</v>
      </c>
      <c r="E825" s="3" t="s">
        <v>7200</v>
      </c>
      <c r="F825" s="3">
        <v>8</v>
      </c>
      <c r="G825" s="3" t="s">
        <v>12099</v>
      </c>
      <c r="H825" s="3"/>
    </row>
    <row r="826" spans="1:8" ht="210" x14ac:dyDescent="0.25">
      <c r="A826" s="3" t="s">
        <v>12097</v>
      </c>
      <c r="B826" s="3" t="s">
        <v>8569</v>
      </c>
      <c r="C826" s="3" t="s">
        <v>8570</v>
      </c>
      <c r="D826" s="3">
        <v>596</v>
      </c>
      <c r="E826" s="3" t="s">
        <v>7200</v>
      </c>
      <c r="F826" s="3">
        <v>8</v>
      </c>
      <c r="G826" s="3" t="s">
        <v>12099</v>
      </c>
      <c r="H826" s="3"/>
    </row>
    <row r="827" spans="1:8" ht="45" x14ac:dyDescent="0.25">
      <c r="A827" s="3" t="s">
        <v>12097</v>
      </c>
      <c r="B827" s="3" t="s">
        <v>8571</v>
      </c>
      <c r="C827" s="3" t="s">
        <v>8572</v>
      </c>
      <c r="D827" s="3">
        <v>336</v>
      </c>
      <c r="E827" s="3" t="s">
        <v>7200</v>
      </c>
      <c r="F827" s="3">
        <v>8</v>
      </c>
      <c r="G827" s="3" t="s">
        <v>12099</v>
      </c>
      <c r="H827" s="3"/>
    </row>
    <row r="828" spans="1:8" ht="75" x14ac:dyDescent="0.25">
      <c r="A828" s="3" t="s">
        <v>12097</v>
      </c>
      <c r="B828" s="3" t="s">
        <v>8573</v>
      </c>
      <c r="C828" s="3" t="s">
        <v>8574</v>
      </c>
      <c r="D828" s="3">
        <v>337</v>
      </c>
      <c r="E828" s="3" t="s">
        <v>7179</v>
      </c>
      <c r="F828" s="3">
        <v>5</v>
      </c>
      <c r="G828" s="3" t="s">
        <v>8575</v>
      </c>
      <c r="H828" s="3"/>
    </row>
    <row r="829" spans="1:8" ht="180" x14ac:dyDescent="0.25">
      <c r="A829" s="3" t="s">
        <v>12097</v>
      </c>
      <c r="B829" s="3" t="s">
        <v>8576</v>
      </c>
      <c r="C829" s="3" t="s">
        <v>8577</v>
      </c>
      <c r="D829" s="3">
        <v>334</v>
      </c>
      <c r="E829" s="3" t="s">
        <v>7179</v>
      </c>
      <c r="F829" s="3">
        <v>5</v>
      </c>
      <c r="G829" s="3" t="s">
        <v>8578</v>
      </c>
      <c r="H829" s="3"/>
    </row>
    <row r="830" spans="1:8" ht="30" x14ac:dyDescent="0.25">
      <c r="A830" s="3" t="s">
        <v>12097</v>
      </c>
      <c r="B830" s="3" t="s">
        <v>8579</v>
      </c>
      <c r="C830" s="3" t="s">
        <v>8580</v>
      </c>
      <c r="D830" s="3">
        <v>335</v>
      </c>
      <c r="E830" s="3" t="s">
        <v>7200</v>
      </c>
      <c r="F830" s="3">
        <v>8</v>
      </c>
      <c r="G830" s="3" t="s">
        <v>12099</v>
      </c>
      <c r="H830" s="3"/>
    </row>
    <row r="831" spans="1:8" ht="45" x14ac:dyDescent="0.25">
      <c r="A831" s="3" t="s">
        <v>12097</v>
      </c>
      <c r="B831" s="3" t="s">
        <v>8581</v>
      </c>
      <c r="C831" s="3" t="s">
        <v>8582</v>
      </c>
      <c r="D831" s="3">
        <v>338</v>
      </c>
      <c r="E831" s="3" t="s">
        <v>7200</v>
      </c>
      <c r="F831" s="3">
        <v>8</v>
      </c>
      <c r="G831" s="3" t="s">
        <v>12099</v>
      </c>
      <c r="H831" s="3"/>
    </row>
    <row r="832" spans="1:8" ht="45" x14ac:dyDescent="0.25">
      <c r="A832" s="3" t="s">
        <v>12097</v>
      </c>
      <c r="B832" s="3" t="s">
        <v>8583</v>
      </c>
      <c r="C832" s="3" t="s">
        <v>8584</v>
      </c>
      <c r="D832" s="3">
        <v>713</v>
      </c>
      <c r="E832" s="3" t="s">
        <v>7182</v>
      </c>
      <c r="F832" s="3">
        <v>60</v>
      </c>
      <c r="G832" s="3" t="s">
        <v>12099</v>
      </c>
      <c r="H832" s="3"/>
    </row>
    <row r="833" spans="1:8" ht="120" x14ac:dyDescent="0.25">
      <c r="A833" s="3" t="s">
        <v>12097</v>
      </c>
      <c r="B833" s="3" t="s">
        <v>8585</v>
      </c>
      <c r="C833" s="3" t="s">
        <v>8586</v>
      </c>
      <c r="D833" s="3">
        <v>333</v>
      </c>
      <c r="E833" s="3" t="s">
        <v>7179</v>
      </c>
      <c r="F833" s="3">
        <v>5</v>
      </c>
      <c r="G833" s="3" t="s">
        <v>8587</v>
      </c>
      <c r="H833" s="3"/>
    </row>
    <row r="834" spans="1:8" ht="75" x14ac:dyDescent="0.25">
      <c r="A834" s="3" t="s">
        <v>12097</v>
      </c>
      <c r="B834" s="3" t="s">
        <v>8588</v>
      </c>
      <c r="C834" s="3" t="s">
        <v>8589</v>
      </c>
      <c r="D834" s="3">
        <v>588</v>
      </c>
      <c r="E834" s="3" t="s">
        <v>7179</v>
      </c>
      <c r="F834" s="3">
        <v>5</v>
      </c>
      <c r="G834" s="3" t="s">
        <v>8590</v>
      </c>
      <c r="H834" s="3"/>
    </row>
    <row r="835" spans="1:8" ht="195" x14ac:dyDescent="0.25">
      <c r="A835" s="3" t="s">
        <v>12097</v>
      </c>
      <c r="B835" s="3" t="s">
        <v>8591</v>
      </c>
      <c r="C835" s="3" t="s">
        <v>8592</v>
      </c>
      <c r="D835" s="3">
        <v>812</v>
      </c>
      <c r="E835" s="3" t="s">
        <v>7179</v>
      </c>
      <c r="F835" s="3">
        <v>5</v>
      </c>
      <c r="G835" s="3" t="s">
        <v>8076</v>
      </c>
      <c r="H835" s="3"/>
    </row>
    <row r="836" spans="1:8" ht="60" x14ac:dyDescent="0.25">
      <c r="A836" s="3" t="s">
        <v>12097</v>
      </c>
      <c r="B836" s="3" t="s">
        <v>8593</v>
      </c>
      <c r="C836" s="3" t="s">
        <v>8594</v>
      </c>
      <c r="D836" s="3">
        <v>1256</v>
      </c>
      <c r="E836" s="3" t="s">
        <v>7220</v>
      </c>
      <c r="F836" s="3">
        <v>7</v>
      </c>
      <c r="G836" s="3" t="s">
        <v>12099</v>
      </c>
      <c r="H836" s="3"/>
    </row>
    <row r="837" spans="1:8" ht="60" x14ac:dyDescent="0.25">
      <c r="A837" s="3" t="s">
        <v>12097</v>
      </c>
      <c r="B837" s="3" t="s">
        <v>8598</v>
      </c>
      <c r="C837" s="3" t="s">
        <v>8599</v>
      </c>
      <c r="D837" s="3">
        <v>1531</v>
      </c>
      <c r="E837" s="3" t="s">
        <v>7182</v>
      </c>
      <c r="F837" s="3">
        <v>50</v>
      </c>
      <c r="G837" s="3" t="s">
        <v>12099</v>
      </c>
      <c r="H837" s="3"/>
    </row>
    <row r="838" spans="1:8" ht="30" x14ac:dyDescent="0.25">
      <c r="A838" s="3" t="s">
        <v>12097</v>
      </c>
      <c r="B838" s="3" t="s">
        <v>8600</v>
      </c>
      <c r="C838" s="3" t="s">
        <v>8601</v>
      </c>
      <c r="D838" s="3">
        <v>321</v>
      </c>
      <c r="E838" s="3" t="s">
        <v>7182</v>
      </c>
      <c r="F838" s="3">
        <v>30</v>
      </c>
      <c r="G838" s="3" t="s">
        <v>12099</v>
      </c>
      <c r="H838" s="3"/>
    </row>
    <row r="839" spans="1:8" ht="30" x14ac:dyDescent="0.25">
      <c r="A839" s="3" t="s">
        <v>12097</v>
      </c>
      <c r="B839" s="3" t="s">
        <v>8602</v>
      </c>
      <c r="C839" s="3" t="s">
        <v>8603</v>
      </c>
      <c r="D839" s="3">
        <v>324</v>
      </c>
      <c r="E839" s="3" t="s">
        <v>7182</v>
      </c>
      <c r="F839" s="3">
        <v>30</v>
      </c>
      <c r="G839" s="3" t="s">
        <v>12099</v>
      </c>
      <c r="H839" s="3"/>
    </row>
    <row r="840" spans="1:8" ht="45" x14ac:dyDescent="0.25">
      <c r="A840" s="3" t="s">
        <v>12097</v>
      </c>
      <c r="B840" s="3" t="s">
        <v>8604</v>
      </c>
      <c r="C840" s="3" t="s">
        <v>8605</v>
      </c>
      <c r="D840" s="3">
        <v>329</v>
      </c>
      <c r="E840" s="3" t="s">
        <v>7182</v>
      </c>
      <c r="F840" s="3">
        <v>10</v>
      </c>
      <c r="G840" s="3" t="s">
        <v>12099</v>
      </c>
      <c r="H840" s="3"/>
    </row>
    <row r="841" spans="1:8" ht="60" x14ac:dyDescent="0.25">
      <c r="A841" s="3" t="s">
        <v>12097</v>
      </c>
      <c r="B841" s="3" t="s">
        <v>8606</v>
      </c>
      <c r="C841" s="3" t="s">
        <v>8607</v>
      </c>
      <c r="D841" s="3">
        <v>319</v>
      </c>
      <c r="E841" s="3" t="s">
        <v>7182</v>
      </c>
      <c r="F841" s="3">
        <v>30</v>
      </c>
      <c r="G841" s="3" t="s">
        <v>12099</v>
      </c>
      <c r="H841" s="3"/>
    </row>
    <row r="842" spans="1:8" ht="225" x14ac:dyDescent="0.25">
      <c r="A842" s="3" t="s">
        <v>12097</v>
      </c>
      <c r="B842" s="3" t="s">
        <v>8608</v>
      </c>
      <c r="C842" s="3" t="s">
        <v>8609</v>
      </c>
      <c r="D842" s="3">
        <v>850</v>
      </c>
      <c r="E842" s="3" t="s">
        <v>7182</v>
      </c>
      <c r="F842" s="3">
        <v>60</v>
      </c>
      <c r="G842" s="3" t="s">
        <v>12099</v>
      </c>
      <c r="H842" s="3"/>
    </row>
    <row r="843" spans="1:8" ht="60" x14ac:dyDescent="0.25">
      <c r="A843" s="3" t="s">
        <v>12097</v>
      </c>
      <c r="B843" s="3" t="s">
        <v>8611</v>
      </c>
      <c r="C843" s="3" t="s">
        <v>8612</v>
      </c>
      <c r="D843" s="3">
        <v>577</v>
      </c>
      <c r="E843" s="3" t="s">
        <v>7182</v>
      </c>
      <c r="F843" s="3">
        <v>60</v>
      </c>
      <c r="G843" s="3" t="s">
        <v>12099</v>
      </c>
      <c r="H843" s="3"/>
    </row>
    <row r="844" spans="1:8" ht="60" x14ac:dyDescent="0.25">
      <c r="A844" s="3" t="s">
        <v>12097</v>
      </c>
      <c r="B844" s="3" t="s">
        <v>8613</v>
      </c>
      <c r="C844" s="3" t="s">
        <v>8614</v>
      </c>
      <c r="D844" s="3">
        <v>435</v>
      </c>
      <c r="E844" s="3" t="s">
        <v>7182</v>
      </c>
      <c r="F844" s="3">
        <v>60</v>
      </c>
      <c r="G844" s="3" t="s">
        <v>12099</v>
      </c>
      <c r="H844" s="3"/>
    </row>
    <row r="845" spans="1:8" ht="60" x14ac:dyDescent="0.25">
      <c r="A845" s="3" t="s">
        <v>12097</v>
      </c>
      <c r="B845" s="3" t="s">
        <v>8615</v>
      </c>
      <c r="C845" s="3" t="s">
        <v>8616</v>
      </c>
      <c r="D845" s="3">
        <v>1506</v>
      </c>
      <c r="E845" s="3" t="s">
        <v>7220</v>
      </c>
      <c r="F845" s="3">
        <v>5</v>
      </c>
      <c r="G845" s="3" t="s">
        <v>12099</v>
      </c>
      <c r="H845" s="3"/>
    </row>
    <row r="846" spans="1:8" ht="120" x14ac:dyDescent="0.25">
      <c r="A846" s="3" t="s">
        <v>12097</v>
      </c>
      <c r="B846" s="3" t="s">
        <v>8618</v>
      </c>
      <c r="C846" s="3" t="s">
        <v>8619</v>
      </c>
      <c r="D846" s="3">
        <v>1088</v>
      </c>
      <c r="E846" s="3" t="s">
        <v>7179</v>
      </c>
      <c r="F846" s="3">
        <v>5</v>
      </c>
      <c r="G846" s="3" t="s">
        <v>8620</v>
      </c>
      <c r="H846" s="3"/>
    </row>
    <row r="847" spans="1:8" ht="60" x14ac:dyDescent="0.25">
      <c r="A847" s="3" t="s">
        <v>12097</v>
      </c>
      <c r="B847" s="3" t="s">
        <v>8622</v>
      </c>
      <c r="C847" s="3" t="s">
        <v>8623</v>
      </c>
      <c r="D847" s="3">
        <v>189</v>
      </c>
      <c r="E847" s="3" t="s">
        <v>7182</v>
      </c>
      <c r="F847" s="3">
        <v>20</v>
      </c>
      <c r="G847" s="3" t="s">
        <v>12099</v>
      </c>
      <c r="H847" s="3"/>
    </row>
    <row r="848" spans="1:8" ht="60" x14ac:dyDescent="0.25">
      <c r="A848" s="3" t="s">
        <v>12097</v>
      </c>
      <c r="B848" s="3" t="s">
        <v>8624</v>
      </c>
      <c r="C848" s="3" t="s">
        <v>8625</v>
      </c>
      <c r="D848" s="3">
        <v>1764</v>
      </c>
      <c r="E848" s="3" t="s">
        <v>7179</v>
      </c>
      <c r="F848" s="3">
        <v>5</v>
      </c>
      <c r="G848" s="3" t="s">
        <v>12098</v>
      </c>
      <c r="H848" s="3"/>
    </row>
    <row r="849" spans="1:8" ht="45" x14ac:dyDescent="0.25">
      <c r="A849" s="3" t="s">
        <v>12097</v>
      </c>
      <c r="B849" s="3" t="s">
        <v>8626</v>
      </c>
      <c r="C849" s="3" t="s">
        <v>8627</v>
      </c>
      <c r="D849" s="3">
        <v>687</v>
      </c>
      <c r="E849" s="3" t="s">
        <v>7200</v>
      </c>
      <c r="F849" s="3">
        <v>8</v>
      </c>
      <c r="G849" s="3" t="s">
        <v>12099</v>
      </c>
      <c r="H849" s="3"/>
    </row>
    <row r="850" spans="1:8" ht="75" x14ac:dyDescent="0.25">
      <c r="A850" s="3" t="s">
        <v>12097</v>
      </c>
      <c r="B850" s="3" t="s">
        <v>8628</v>
      </c>
      <c r="C850" s="3" t="s">
        <v>8629</v>
      </c>
      <c r="D850" s="3">
        <v>688</v>
      </c>
      <c r="E850" s="3" t="s">
        <v>7182</v>
      </c>
      <c r="F850" s="3">
        <v>60</v>
      </c>
      <c r="G850" s="3" t="s">
        <v>12099</v>
      </c>
      <c r="H850" s="3"/>
    </row>
    <row r="851" spans="1:8" ht="165" x14ac:dyDescent="0.25">
      <c r="A851" s="3" t="s">
        <v>12097</v>
      </c>
      <c r="B851" s="3" t="s">
        <v>8630</v>
      </c>
      <c r="C851" s="3" t="s">
        <v>8631</v>
      </c>
      <c r="D851" s="3">
        <v>686</v>
      </c>
      <c r="E851" s="3" t="s">
        <v>7179</v>
      </c>
      <c r="F851" s="3">
        <v>5</v>
      </c>
      <c r="G851" s="3" t="s">
        <v>8632</v>
      </c>
      <c r="H851" s="3"/>
    </row>
    <row r="852" spans="1:8" ht="409.5" x14ac:dyDescent="0.25">
      <c r="A852" s="3" t="s">
        <v>12097</v>
      </c>
      <c r="B852" s="3" t="s">
        <v>8633</v>
      </c>
      <c r="C852" s="3" t="s">
        <v>8634</v>
      </c>
      <c r="D852" s="3">
        <v>392</v>
      </c>
      <c r="E852" s="3" t="s">
        <v>7179</v>
      </c>
      <c r="F852" s="3">
        <v>5</v>
      </c>
      <c r="G852" s="3" t="s">
        <v>12128</v>
      </c>
      <c r="H852" s="3"/>
    </row>
    <row r="853" spans="1:8" ht="409.5" x14ac:dyDescent="0.25">
      <c r="A853" s="3"/>
      <c r="B853" s="3"/>
      <c r="C853" s="3"/>
      <c r="D853" s="3"/>
      <c r="E853" s="3"/>
      <c r="F853" s="3"/>
      <c r="G853" s="3" t="s">
        <v>12129</v>
      </c>
      <c r="H853" s="3"/>
    </row>
    <row r="854" spans="1:8" ht="409.5" x14ac:dyDescent="0.25">
      <c r="A854" s="3"/>
      <c r="B854" s="3"/>
      <c r="C854" s="3"/>
      <c r="D854" s="3"/>
      <c r="E854" s="3"/>
      <c r="F854" s="3"/>
      <c r="G854" s="3" t="s">
        <v>12130</v>
      </c>
      <c r="H854" s="3"/>
    </row>
    <row r="855" spans="1:8" ht="409.5" x14ac:dyDescent="0.25">
      <c r="A855" s="3"/>
      <c r="B855" s="3"/>
      <c r="C855" s="3"/>
      <c r="D855" s="3"/>
      <c r="E855" s="3"/>
      <c r="F855" s="3"/>
      <c r="G855" s="3" t="s">
        <v>12131</v>
      </c>
      <c r="H855" s="3"/>
    </row>
    <row r="856" spans="1:8" ht="409.5" x14ac:dyDescent="0.25">
      <c r="A856" s="3"/>
      <c r="B856" s="3"/>
      <c r="C856" s="3"/>
      <c r="D856" s="3"/>
      <c r="E856" s="3"/>
      <c r="F856" s="3"/>
      <c r="G856" s="3" t="s">
        <v>12132</v>
      </c>
      <c r="H856" s="3"/>
    </row>
    <row r="857" spans="1:8" ht="120" x14ac:dyDescent="0.25">
      <c r="A857" s="3" t="s">
        <v>12097</v>
      </c>
      <c r="B857" s="3" t="s">
        <v>8635</v>
      </c>
      <c r="C857" s="3" t="s">
        <v>8636</v>
      </c>
      <c r="D857" s="3">
        <v>797</v>
      </c>
      <c r="E857" s="3" t="s">
        <v>7179</v>
      </c>
      <c r="F857" s="3">
        <v>5</v>
      </c>
      <c r="G857" s="3" t="s">
        <v>8637</v>
      </c>
      <c r="H857" s="3"/>
    </row>
    <row r="858" spans="1:8" ht="315" x14ac:dyDescent="0.25">
      <c r="A858" s="3" t="s">
        <v>12097</v>
      </c>
      <c r="B858" s="3" t="s">
        <v>8638</v>
      </c>
      <c r="C858" s="3" t="s">
        <v>8639</v>
      </c>
      <c r="D858" s="3">
        <v>599</v>
      </c>
      <c r="E858" s="3" t="s">
        <v>7179</v>
      </c>
      <c r="F858" s="3">
        <v>5</v>
      </c>
      <c r="G858" s="3" t="s">
        <v>8640</v>
      </c>
      <c r="H858" s="3"/>
    </row>
    <row r="859" spans="1:8" ht="45" x14ac:dyDescent="0.25">
      <c r="A859" s="3" t="s">
        <v>12097</v>
      </c>
      <c r="B859" s="3" t="s">
        <v>8641</v>
      </c>
      <c r="C859" s="3" t="s">
        <v>8642</v>
      </c>
      <c r="D859" s="3">
        <v>693</v>
      </c>
      <c r="E859" s="3" t="s">
        <v>7200</v>
      </c>
      <c r="F859" s="3">
        <v>8</v>
      </c>
      <c r="G859" s="3" t="s">
        <v>12099</v>
      </c>
      <c r="H859" s="3"/>
    </row>
    <row r="860" spans="1:8" ht="45" x14ac:dyDescent="0.25">
      <c r="A860" s="3" t="s">
        <v>12097</v>
      </c>
      <c r="B860" s="3" t="s">
        <v>8643</v>
      </c>
      <c r="C860" s="3" t="s">
        <v>8644</v>
      </c>
      <c r="D860" s="3">
        <v>690</v>
      </c>
      <c r="E860" s="3" t="s">
        <v>7182</v>
      </c>
      <c r="F860" s="3">
        <v>35</v>
      </c>
      <c r="G860" s="3" t="s">
        <v>12099</v>
      </c>
      <c r="H860" s="3"/>
    </row>
    <row r="861" spans="1:8" ht="45" x14ac:dyDescent="0.25">
      <c r="A861" s="3" t="s">
        <v>12097</v>
      </c>
      <c r="B861" s="3" t="s">
        <v>8645</v>
      </c>
      <c r="C861" s="3" t="s">
        <v>8646</v>
      </c>
      <c r="D861" s="3">
        <v>694</v>
      </c>
      <c r="E861" s="3" t="s">
        <v>7200</v>
      </c>
      <c r="F861" s="3">
        <v>8</v>
      </c>
      <c r="G861" s="3" t="s">
        <v>12099</v>
      </c>
      <c r="H861" s="3"/>
    </row>
    <row r="862" spans="1:8" ht="30" x14ac:dyDescent="0.25">
      <c r="A862" s="3" t="s">
        <v>12097</v>
      </c>
      <c r="B862" s="3" t="s">
        <v>8647</v>
      </c>
      <c r="C862" s="3" t="s">
        <v>8648</v>
      </c>
      <c r="D862" s="3">
        <v>691</v>
      </c>
      <c r="E862" s="3" t="s">
        <v>7182</v>
      </c>
      <c r="F862" s="3">
        <v>60</v>
      </c>
      <c r="G862" s="3" t="s">
        <v>12099</v>
      </c>
      <c r="H862" s="3"/>
    </row>
    <row r="863" spans="1:8" ht="285" x14ac:dyDescent="0.25">
      <c r="A863" s="3" t="s">
        <v>12097</v>
      </c>
      <c r="B863" s="3" t="s">
        <v>8649</v>
      </c>
      <c r="C863" s="3" t="s">
        <v>8650</v>
      </c>
      <c r="D863" s="3">
        <v>689</v>
      </c>
      <c r="E863" s="3" t="s">
        <v>7179</v>
      </c>
      <c r="F863" s="3">
        <v>5</v>
      </c>
      <c r="G863" s="3" t="s">
        <v>8651</v>
      </c>
      <c r="H863" s="3"/>
    </row>
    <row r="864" spans="1:8" ht="409.5" x14ac:dyDescent="0.25">
      <c r="A864" s="3" t="s">
        <v>12097</v>
      </c>
      <c r="B864" s="3" t="s">
        <v>8652</v>
      </c>
      <c r="C864" s="3" t="s">
        <v>8653</v>
      </c>
      <c r="D864" s="3">
        <v>393</v>
      </c>
      <c r="E864" s="3" t="s">
        <v>7182</v>
      </c>
      <c r="F864" s="3">
        <v>60</v>
      </c>
      <c r="G864" s="3" t="s">
        <v>12128</v>
      </c>
      <c r="H864" s="3"/>
    </row>
    <row r="865" spans="1:8" ht="409.5" x14ac:dyDescent="0.25">
      <c r="A865" s="3"/>
      <c r="B865" s="3"/>
      <c r="C865" s="3"/>
      <c r="D865" s="3"/>
      <c r="E865" s="3"/>
      <c r="F865" s="3"/>
      <c r="G865" s="3" t="s">
        <v>12133</v>
      </c>
      <c r="H865" s="3"/>
    </row>
    <row r="866" spans="1:8" ht="409.5" x14ac:dyDescent="0.25">
      <c r="A866" s="3"/>
      <c r="B866" s="3"/>
      <c r="C866" s="3"/>
      <c r="D866" s="3"/>
      <c r="E866" s="3"/>
      <c r="F866" s="3"/>
      <c r="G866" s="3" t="s">
        <v>12134</v>
      </c>
      <c r="H866" s="3"/>
    </row>
    <row r="867" spans="1:8" ht="409.5" x14ac:dyDescent="0.25">
      <c r="A867" s="3"/>
      <c r="B867" s="3"/>
      <c r="C867" s="3"/>
      <c r="D867" s="3"/>
      <c r="E867" s="3"/>
      <c r="F867" s="3"/>
      <c r="G867" s="3" t="s">
        <v>12135</v>
      </c>
      <c r="H867" s="3"/>
    </row>
    <row r="868" spans="1:8" ht="409.5" x14ac:dyDescent="0.25">
      <c r="A868" s="3"/>
      <c r="B868" s="3"/>
      <c r="C868" s="3"/>
      <c r="D868" s="3"/>
      <c r="E868" s="3"/>
      <c r="F868" s="3"/>
      <c r="G868" s="3" t="s">
        <v>12136</v>
      </c>
      <c r="H868" s="3"/>
    </row>
    <row r="869" spans="1:8" ht="390" x14ac:dyDescent="0.25">
      <c r="A869" s="3" t="s">
        <v>12097</v>
      </c>
      <c r="B869" s="3" t="s">
        <v>8654</v>
      </c>
      <c r="C869" s="3" t="s">
        <v>8655</v>
      </c>
      <c r="D869" s="3">
        <v>1025</v>
      </c>
      <c r="E869" s="3" t="s">
        <v>7179</v>
      </c>
      <c r="F869" s="3">
        <v>5</v>
      </c>
      <c r="G869" s="3" t="s">
        <v>12137</v>
      </c>
      <c r="H869" s="3"/>
    </row>
    <row r="870" spans="1:8" ht="90" x14ac:dyDescent="0.25">
      <c r="A870" s="3" t="s">
        <v>12097</v>
      </c>
      <c r="B870" s="3" t="s">
        <v>8656</v>
      </c>
      <c r="C870" s="3" t="s">
        <v>8657</v>
      </c>
      <c r="D870" s="3">
        <v>192</v>
      </c>
      <c r="E870" s="3" t="s">
        <v>7182</v>
      </c>
      <c r="F870" s="3">
        <v>35</v>
      </c>
      <c r="G870" s="3" t="s">
        <v>12099</v>
      </c>
      <c r="H870" s="3"/>
    </row>
    <row r="871" spans="1:8" ht="60" x14ac:dyDescent="0.25">
      <c r="A871" s="3" t="s">
        <v>12097</v>
      </c>
      <c r="B871" s="3" t="s">
        <v>8658</v>
      </c>
      <c r="C871" s="3" t="s">
        <v>8659</v>
      </c>
      <c r="D871" s="3">
        <v>1219</v>
      </c>
      <c r="E871" s="3" t="s">
        <v>7200</v>
      </c>
      <c r="F871" s="3">
        <v>8</v>
      </c>
      <c r="G871" s="3" t="s">
        <v>12099</v>
      </c>
      <c r="H871" s="3"/>
    </row>
    <row r="872" spans="1:8" ht="60" x14ac:dyDescent="0.25">
      <c r="A872" s="3" t="s">
        <v>12097</v>
      </c>
      <c r="B872" s="3" t="s">
        <v>8660</v>
      </c>
      <c r="C872" s="3" t="s">
        <v>8661</v>
      </c>
      <c r="D872" s="3">
        <v>635</v>
      </c>
      <c r="E872" s="3" t="s">
        <v>7238</v>
      </c>
      <c r="F872" s="3">
        <v>3.1</v>
      </c>
      <c r="G872" s="3" t="s">
        <v>12099</v>
      </c>
      <c r="H872" s="3"/>
    </row>
    <row r="873" spans="1:8" ht="60" x14ac:dyDescent="0.25">
      <c r="A873" s="3" t="s">
        <v>12097</v>
      </c>
      <c r="B873" s="3" t="s">
        <v>8662</v>
      </c>
      <c r="C873" s="3" t="s">
        <v>8663</v>
      </c>
      <c r="D873" s="3">
        <v>1144</v>
      </c>
      <c r="E873" s="3" t="s">
        <v>7220</v>
      </c>
      <c r="F873" s="3">
        <v>3</v>
      </c>
      <c r="G873" s="3" t="s">
        <v>12099</v>
      </c>
      <c r="H873" s="3"/>
    </row>
    <row r="874" spans="1:8" ht="30" x14ac:dyDescent="0.25">
      <c r="A874" s="3" t="s">
        <v>12097</v>
      </c>
      <c r="B874" s="3" t="s">
        <v>8664</v>
      </c>
      <c r="C874" s="3" t="s">
        <v>8665</v>
      </c>
      <c r="D874" s="3">
        <v>1145</v>
      </c>
      <c r="E874" s="3" t="s">
        <v>7220</v>
      </c>
      <c r="F874" s="3">
        <v>2</v>
      </c>
      <c r="G874" s="3" t="s">
        <v>12099</v>
      </c>
      <c r="H874" s="3"/>
    </row>
    <row r="875" spans="1:8" ht="45" x14ac:dyDescent="0.25">
      <c r="A875" s="3" t="s">
        <v>12097</v>
      </c>
      <c r="B875" s="3" t="s">
        <v>8666</v>
      </c>
      <c r="C875" s="3" t="s">
        <v>8667</v>
      </c>
      <c r="D875" s="3">
        <v>195</v>
      </c>
      <c r="E875" s="3" t="s">
        <v>7238</v>
      </c>
      <c r="F875" s="3">
        <v>2.1</v>
      </c>
      <c r="G875" s="3" t="s">
        <v>12099</v>
      </c>
      <c r="H875" s="3"/>
    </row>
    <row r="876" spans="1:8" ht="60" x14ac:dyDescent="0.25">
      <c r="A876" s="3" t="s">
        <v>12097</v>
      </c>
      <c r="B876" s="3" t="s">
        <v>8668</v>
      </c>
      <c r="C876" s="3" t="s">
        <v>8669</v>
      </c>
      <c r="D876" s="3">
        <v>707</v>
      </c>
      <c r="E876" s="3" t="s">
        <v>7220</v>
      </c>
      <c r="F876" s="3">
        <v>4</v>
      </c>
      <c r="G876" s="3" t="s">
        <v>12099</v>
      </c>
      <c r="H876" s="3"/>
    </row>
    <row r="877" spans="1:8" ht="60" x14ac:dyDescent="0.25">
      <c r="A877" s="3" t="s">
        <v>12097</v>
      </c>
      <c r="B877" s="3" t="s">
        <v>8670</v>
      </c>
      <c r="C877" s="3" t="s">
        <v>8671</v>
      </c>
      <c r="D877" s="3">
        <v>706</v>
      </c>
      <c r="E877" s="3" t="s">
        <v>7220</v>
      </c>
      <c r="F877" s="3">
        <v>4</v>
      </c>
      <c r="G877" s="3" t="s">
        <v>12099</v>
      </c>
      <c r="H877" s="3"/>
    </row>
    <row r="878" spans="1:8" ht="45" x14ac:dyDescent="0.25">
      <c r="A878" s="3" t="s">
        <v>12097</v>
      </c>
      <c r="B878" s="3" t="s">
        <v>8672</v>
      </c>
      <c r="C878" s="3" t="s">
        <v>8673</v>
      </c>
      <c r="D878" s="3">
        <v>196</v>
      </c>
      <c r="E878" s="3" t="s">
        <v>7220</v>
      </c>
      <c r="F878" s="3">
        <v>3</v>
      </c>
      <c r="G878" s="3" t="s">
        <v>12099</v>
      </c>
      <c r="H878" s="3"/>
    </row>
    <row r="879" spans="1:8" ht="30" x14ac:dyDescent="0.25">
      <c r="A879" s="3" t="s">
        <v>12097</v>
      </c>
      <c r="B879" s="3" t="s">
        <v>8674</v>
      </c>
      <c r="C879" s="3" t="s">
        <v>8675</v>
      </c>
      <c r="D879" s="3">
        <v>197</v>
      </c>
      <c r="E879" s="3" t="s">
        <v>7220</v>
      </c>
      <c r="F879" s="3">
        <v>2</v>
      </c>
      <c r="G879" s="3" t="s">
        <v>12099</v>
      </c>
      <c r="H879" s="3"/>
    </row>
    <row r="880" spans="1:8" ht="60" x14ac:dyDescent="0.25">
      <c r="A880" s="3" t="s">
        <v>12097</v>
      </c>
      <c r="B880" s="3" t="s">
        <v>8676</v>
      </c>
      <c r="C880" s="3" t="s">
        <v>8677</v>
      </c>
      <c r="D880" s="3">
        <v>198</v>
      </c>
      <c r="E880" s="3" t="s">
        <v>7220</v>
      </c>
      <c r="F880" s="3">
        <v>2</v>
      </c>
      <c r="G880" s="3" t="s">
        <v>12099</v>
      </c>
      <c r="H880" s="3"/>
    </row>
    <row r="881" spans="1:8" ht="90" x14ac:dyDescent="0.25">
      <c r="A881" s="3" t="s">
        <v>12097</v>
      </c>
      <c r="B881" s="3" t="s">
        <v>8679</v>
      </c>
      <c r="C881" s="3" t="s">
        <v>8680</v>
      </c>
      <c r="D881" s="3">
        <v>857</v>
      </c>
      <c r="E881" s="3" t="s">
        <v>7220</v>
      </c>
      <c r="F881" s="3">
        <v>3</v>
      </c>
      <c r="G881" s="3" t="s">
        <v>12099</v>
      </c>
      <c r="H881" s="3"/>
    </row>
    <row r="882" spans="1:8" ht="30" x14ac:dyDescent="0.25">
      <c r="A882" s="3" t="s">
        <v>12097</v>
      </c>
      <c r="B882" s="3" t="s">
        <v>8681</v>
      </c>
      <c r="C882" s="3" t="s">
        <v>8682</v>
      </c>
      <c r="D882" s="3">
        <v>639</v>
      </c>
      <c r="E882" s="3" t="s">
        <v>7220</v>
      </c>
      <c r="F882" s="3">
        <v>3</v>
      </c>
      <c r="G882" s="3" t="s">
        <v>12099</v>
      </c>
      <c r="H882" s="3"/>
    </row>
    <row r="883" spans="1:8" ht="30" x14ac:dyDescent="0.25">
      <c r="A883" s="3" t="s">
        <v>12097</v>
      </c>
      <c r="B883" s="3" t="s">
        <v>8684</v>
      </c>
      <c r="C883" s="3" t="s">
        <v>8685</v>
      </c>
      <c r="D883" s="3">
        <v>201</v>
      </c>
      <c r="E883" s="3" t="s">
        <v>7220</v>
      </c>
      <c r="F883" s="3">
        <v>2</v>
      </c>
      <c r="G883" s="3" t="s">
        <v>12099</v>
      </c>
      <c r="H883" s="3"/>
    </row>
    <row r="884" spans="1:8" ht="45" x14ac:dyDescent="0.25">
      <c r="A884" s="3" t="s">
        <v>12097</v>
      </c>
      <c r="B884" s="3" t="s">
        <v>8686</v>
      </c>
      <c r="C884" s="3" t="s">
        <v>8687</v>
      </c>
      <c r="D884" s="3">
        <v>406</v>
      </c>
      <c r="E884" s="3" t="s">
        <v>7220</v>
      </c>
      <c r="F884" s="3">
        <v>3</v>
      </c>
      <c r="G884" s="3" t="s">
        <v>12099</v>
      </c>
      <c r="H884" s="3"/>
    </row>
    <row r="885" spans="1:8" ht="135" x14ac:dyDescent="0.25">
      <c r="A885" s="3" t="s">
        <v>12097</v>
      </c>
      <c r="B885" s="3" t="s">
        <v>8688</v>
      </c>
      <c r="C885" s="3" t="s">
        <v>8689</v>
      </c>
      <c r="D885" s="3">
        <v>1301</v>
      </c>
      <c r="E885" s="3" t="s">
        <v>7179</v>
      </c>
      <c r="F885" s="3">
        <v>5</v>
      </c>
      <c r="G885" s="3" t="s">
        <v>8690</v>
      </c>
      <c r="H885" s="3"/>
    </row>
    <row r="886" spans="1:8" ht="60" x14ac:dyDescent="0.25">
      <c r="A886" s="3" t="s">
        <v>12097</v>
      </c>
      <c r="B886" s="3" t="s">
        <v>8691</v>
      </c>
      <c r="C886" s="3" t="s">
        <v>8692</v>
      </c>
      <c r="D886" s="3">
        <v>454</v>
      </c>
      <c r="E886" s="3" t="s">
        <v>7182</v>
      </c>
      <c r="F886" s="3">
        <v>45</v>
      </c>
      <c r="G886" s="3" t="s">
        <v>12099</v>
      </c>
      <c r="H886" s="3"/>
    </row>
    <row r="887" spans="1:8" ht="60" x14ac:dyDescent="0.25">
      <c r="A887" s="3" t="s">
        <v>12097</v>
      </c>
      <c r="B887" s="3" t="s">
        <v>8693</v>
      </c>
      <c r="C887" s="3" t="s">
        <v>8694</v>
      </c>
      <c r="D887" s="3">
        <v>455</v>
      </c>
      <c r="E887" s="3" t="s">
        <v>7200</v>
      </c>
      <c r="F887" s="3">
        <v>8</v>
      </c>
      <c r="G887" s="3" t="s">
        <v>12099</v>
      </c>
      <c r="H887" s="3"/>
    </row>
    <row r="888" spans="1:8" ht="60" x14ac:dyDescent="0.25">
      <c r="A888" s="3" t="s">
        <v>12097</v>
      </c>
      <c r="B888" s="3" t="s">
        <v>8695</v>
      </c>
      <c r="C888" s="3" t="s">
        <v>8696</v>
      </c>
      <c r="D888" s="3">
        <v>456</v>
      </c>
      <c r="E888" s="3" t="s">
        <v>7200</v>
      </c>
      <c r="F888" s="3">
        <v>8</v>
      </c>
      <c r="G888" s="3" t="s">
        <v>12099</v>
      </c>
      <c r="H888" s="3"/>
    </row>
    <row r="889" spans="1:8" ht="405" x14ac:dyDescent="0.25">
      <c r="A889" s="3" t="s">
        <v>12097</v>
      </c>
      <c r="B889" s="3" t="s">
        <v>8697</v>
      </c>
      <c r="C889" s="3" t="s">
        <v>8698</v>
      </c>
      <c r="D889" s="3">
        <v>1163</v>
      </c>
      <c r="E889" s="3" t="s">
        <v>7179</v>
      </c>
      <c r="F889" s="3">
        <v>5</v>
      </c>
      <c r="G889" s="3" t="s">
        <v>8700</v>
      </c>
      <c r="H889" s="3"/>
    </row>
    <row r="890" spans="1:8" ht="240" x14ac:dyDescent="0.25">
      <c r="A890" s="3" t="s">
        <v>12097</v>
      </c>
      <c r="B890" s="3" t="s">
        <v>8697</v>
      </c>
      <c r="C890" s="3" t="s">
        <v>8698</v>
      </c>
      <c r="D890" s="3">
        <v>1163</v>
      </c>
      <c r="E890" s="3" t="s">
        <v>7179</v>
      </c>
      <c r="F890" s="3">
        <v>5</v>
      </c>
      <c r="G890" s="3" t="s">
        <v>8699</v>
      </c>
      <c r="H890" s="3"/>
    </row>
    <row r="891" spans="1:8" ht="409.5" x14ac:dyDescent="0.25">
      <c r="A891" s="3" t="s">
        <v>12097</v>
      </c>
      <c r="B891" s="3" t="s">
        <v>8701</v>
      </c>
      <c r="C891" s="3" t="s">
        <v>8702</v>
      </c>
      <c r="D891" s="3">
        <v>1158</v>
      </c>
      <c r="E891" s="3" t="s">
        <v>7179</v>
      </c>
      <c r="F891" s="3">
        <v>5</v>
      </c>
      <c r="G891" s="3" t="s">
        <v>8703</v>
      </c>
      <c r="H891" s="3"/>
    </row>
    <row r="892" spans="1:8" ht="105" x14ac:dyDescent="0.25">
      <c r="A892" s="3" t="s">
        <v>12097</v>
      </c>
      <c r="B892" s="3" t="s">
        <v>8705</v>
      </c>
      <c r="C892" s="3" t="s">
        <v>8706</v>
      </c>
      <c r="D892" s="3">
        <v>1165</v>
      </c>
      <c r="E892" s="3" t="s">
        <v>7179</v>
      </c>
      <c r="F892" s="3">
        <v>5</v>
      </c>
      <c r="G892" s="3" t="s">
        <v>8707</v>
      </c>
      <c r="H892" s="3"/>
    </row>
    <row r="893" spans="1:8" ht="30" x14ac:dyDescent="0.25">
      <c r="A893" s="3" t="s">
        <v>12097</v>
      </c>
      <c r="B893" s="3" t="s">
        <v>8708</v>
      </c>
      <c r="C893" s="3" t="s">
        <v>7073</v>
      </c>
      <c r="D893" s="3">
        <v>1191</v>
      </c>
      <c r="E893" s="3" t="s">
        <v>7220</v>
      </c>
      <c r="F893" s="3">
        <v>5</v>
      </c>
      <c r="G893" s="3" t="s">
        <v>12099</v>
      </c>
      <c r="H893" s="3"/>
    </row>
    <row r="894" spans="1:8" ht="195" x14ac:dyDescent="0.25">
      <c r="A894" s="3" t="s">
        <v>12097</v>
      </c>
      <c r="B894" s="3" t="s">
        <v>8709</v>
      </c>
      <c r="C894" s="3" t="s">
        <v>8710</v>
      </c>
      <c r="D894" s="3">
        <v>1125</v>
      </c>
      <c r="E894" s="3" t="s">
        <v>7179</v>
      </c>
      <c r="F894" s="3">
        <v>5</v>
      </c>
      <c r="G894" s="3" t="s">
        <v>8711</v>
      </c>
      <c r="H894" s="3"/>
    </row>
    <row r="895" spans="1:8" ht="60" x14ac:dyDescent="0.25">
      <c r="A895" s="3" t="s">
        <v>12097</v>
      </c>
      <c r="B895" s="3" t="s">
        <v>8712</v>
      </c>
      <c r="C895" s="3" t="s">
        <v>8713</v>
      </c>
      <c r="D895" s="3">
        <v>1124</v>
      </c>
      <c r="E895" s="3" t="s">
        <v>7182</v>
      </c>
      <c r="F895" s="3">
        <v>45</v>
      </c>
      <c r="G895" s="3" t="s">
        <v>12099</v>
      </c>
      <c r="H895" s="3"/>
    </row>
    <row r="896" spans="1:8" ht="75" x14ac:dyDescent="0.25">
      <c r="A896" s="3" t="s">
        <v>12097</v>
      </c>
      <c r="B896" s="3" t="s">
        <v>8714</v>
      </c>
      <c r="C896" s="3" t="s">
        <v>8715</v>
      </c>
      <c r="D896" s="3">
        <v>1576</v>
      </c>
      <c r="E896" s="3" t="s">
        <v>7179</v>
      </c>
      <c r="F896" s="3">
        <v>5</v>
      </c>
      <c r="G896" s="3" t="s">
        <v>8716</v>
      </c>
      <c r="H896" s="3"/>
    </row>
    <row r="897" spans="1:8" ht="45" x14ac:dyDescent="0.25">
      <c r="A897" s="3" t="s">
        <v>12097</v>
      </c>
      <c r="B897" s="3" t="s">
        <v>8717</v>
      </c>
      <c r="C897" s="3" t="s">
        <v>8718</v>
      </c>
      <c r="D897" s="3">
        <v>1527</v>
      </c>
      <c r="E897" s="3" t="s">
        <v>7182</v>
      </c>
      <c r="F897" s="3">
        <v>80</v>
      </c>
      <c r="G897" s="3" t="s">
        <v>12099</v>
      </c>
      <c r="H897" s="3"/>
    </row>
    <row r="898" spans="1:8" ht="45" x14ac:dyDescent="0.25">
      <c r="A898" s="3" t="s">
        <v>12097</v>
      </c>
      <c r="B898" s="3" t="s">
        <v>8719</v>
      </c>
      <c r="C898" s="3" t="s">
        <v>8720</v>
      </c>
      <c r="D898" s="3">
        <v>1879</v>
      </c>
      <c r="E898" s="3" t="s">
        <v>7182</v>
      </c>
      <c r="F898" s="3">
        <v>50</v>
      </c>
      <c r="G898" s="3" t="s">
        <v>12099</v>
      </c>
      <c r="H898" s="3"/>
    </row>
    <row r="899" spans="1:8" ht="165" x14ac:dyDescent="0.25">
      <c r="A899" s="3" t="s">
        <v>12097</v>
      </c>
      <c r="B899" s="3" t="s">
        <v>8722</v>
      </c>
      <c r="C899" s="3" t="s">
        <v>8723</v>
      </c>
      <c r="D899" s="3">
        <v>761</v>
      </c>
      <c r="E899" s="3" t="s">
        <v>7179</v>
      </c>
      <c r="F899" s="3">
        <v>5</v>
      </c>
      <c r="G899" s="3" t="s">
        <v>8724</v>
      </c>
      <c r="H899" s="3"/>
    </row>
    <row r="900" spans="1:8" ht="150" x14ac:dyDescent="0.25">
      <c r="A900" s="3" t="s">
        <v>12097</v>
      </c>
      <c r="B900" s="3" t="s">
        <v>8725</v>
      </c>
      <c r="C900" s="3" t="s">
        <v>8726</v>
      </c>
      <c r="D900" s="3">
        <v>762</v>
      </c>
      <c r="E900" s="3" t="s">
        <v>7179</v>
      </c>
      <c r="F900" s="3">
        <v>5</v>
      </c>
      <c r="G900" s="3" t="s">
        <v>8727</v>
      </c>
      <c r="H900" s="3"/>
    </row>
    <row r="901" spans="1:8" ht="135" x14ac:dyDescent="0.25">
      <c r="A901" s="3" t="s">
        <v>12097</v>
      </c>
      <c r="B901" s="3" t="s">
        <v>8728</v>
      </c>
      <c r="C901" s="3" t="s">
        <v>8729</v>
      </c>
      <c r="D901" s="3">
        <v>760</v>
      </c>
      <c r="E901" s="3" t="s">
        <v>7179</v>
      </c>
      <c r="F901" s="3">
        <v>5</v>
      </c>
      <c r="G901" s="3" t="s">
        <v>8730</v>
      </c>
      <c r="H901" s="3"/>
    </row>
    <row r="902" spans="1:8" ht="105" x14ac:dyDescent="0.25">
      <c r="A902" s="3" t="s">
        <v>12097</v>
      </c>
      <c r="B902" s="3" t="s">
        <v>8731</v>
      </c>
      <c r="C902" s="3" t="s">
        <v>8732</v>
      </c>
      <c r="D902" s="3">
        <v>1227</v>
      </c>
      <c r="E902" s="3" t="s">
        <v>7179</v>
      </c>
      <c r="F902" s="3">
        <v>5</v>
      </c>
      <c r="G902" s="3" t="s">
        <v>8733</v>
      </c>
      <c r="H902" s="3"/>
    </row>
    <row r="903" spans="1:8" ht="45" x14ac:dyDescent="0.25">
      <c r="A903" s="3" t="s">
        <v>12097</v>
      </c>
      <c r="B903" s="3" t="s">
        <v>8734</v>
      </c>
      <c r="C903" s="3" t="s">
        <v>8735</v>
      </c>
      <c r="D903" s="3">
        <v>501</v>
      </c>
      <c r="E903" s="3" t="s">
        <v>7182</v>
      </c>
      <c r="F903" s="3">
        <v>30</v>
      </c>
      <c r="G903" s="3" t="s">
        <v>12099</v>
      </c>
      <c r="H903" s="3"/>
    </row>
    <row r="904" spans="1:8" ht="30" x14ac:dyDescent="0.25">
      <c r="A904" s="3" t="s">
        <v>12097</v>
      </c>
      <c r="B904" s="3" t="s">
        <v>8736</v>
      </c>
      <c r="C904" s="3" t="s">
        <v>8737</v>
      </c>
      <c r="D904" s="3">
        <v>868</v>
      </c>
      <c r="E904" s="3" t="s">
        <v>7179</v>
      </c>
      <c r="F904" s="3">
        <v>5</v>
      </c>
      <c r="G904" s="3" t="s">
        <v>12138</v>
      </c>
      <c r="H904" s="3"/>
    </row>
    <row r="905" spans="1:8" ht="285" x14ac:dyDescent="0.25">
      <c r="A905" s="3" t="s">
        <v>12097</v>
      </c>
      <c r="B905" s="3" t="s">
        <v>8738</v>
      </c>
      <c r="C905" s="3" t="s">
        <v>8739</v>
      </c>
      <c r="D905" s="3">
        <v>1161</v>
      </c>
      <c r="E905" s="3" t="s">
        <v>7179</v>
      </c>
      <c r="F905" s="3">
        <v>5</v>
      </c>
      <c r="G905" s="3" t="s">
        <v>8740</v>
      </c>
      <c r="H905" s="3"/>
    </row>
    <row r="906" spans="1:8" ht="60" x14ac:dyDescent="0.25">
      <c r="A906" s="3" t="s">
        <v>12097</v>
      </c>
      <c r="B906" s="3" t="s">
        <v>8741</v>
      </c>
      <c r="C906" s="3" t="s">
        <v>8742</v>
      </c>
      <c r="D906" s="3">
        <v>1449</v>
      </c>
      <c r="E906" s="3" t="s">
        <v>7179</v>
      </c>
      <c r="F906" s="3">
        <v>5</v>
      </c>
      <c r="G906" s="3" t="s">
        <v>12098</v>
      </c>
      <c r="H906" s="3"/>
    </row>
    <row r="907" spans="1:8" ht="75" x14ac:dyDescent="0.25">
      <c r="A907" s="3" t="s">
        <v>12097</v>
      </c>
      <c r="B907" s="3" t="s">
        <v>8743</v>
      </c>
      <c r="C907" s="3" t="s">
        <v>8744</v>
      </c>
      <c r="D907" s="3">
        <v>203</v>
      </c>
      <c r="E907" s="3" t="s">
        <v>7220</v>
      </c>
      <c r="F907" s="3">
        <v>3</v>
      </c>
      <c r="G907" s="3" t="s">
        <v>12099</v>
      </c>
      <c r="H907" s="3"/>
    </row>
    <row r="908" spans="1:8" ht="75" x14ac:dyDescent="0.25">
      <c r="A908" s="3" t="s">
        <v>12097</v>
      </c>
      <c r="B908" s="3" t="s">
        <v>8745</v>
      </c>
      <c r="C908" s="3" t="s">
        <v>8746</v>
      </c>
      <c r="D908" s="3">
        <v>1312</v>
      </c>
      <c r="E908" s="3" t="s">
        <v>7182</v>
      </c>
      <c r="F908" s="3">
        <v>45</v>
      </c>
      <c r="G908" s="3" t="s">
        <v>12099</v>
      </c>
      <c r="H908" s="3"/>
    </row>
    <row r="909" spans="1:8" ht="75" x14ac:dyDescent="0.25">
      <c r="A909" s="3" t="s">
        <v>12097</v>
      </c>
      <c r="B909" s="3" t="s">
        <v>8747</v>
      </c>
      <c r="C909" s="3" t="s">
        <v>8748</v>
      </c>
      <c r="D909" s="3">
        <v>365</v>
      </c>
      <c r="E909" s="3" t="s">
        <v>7179</v>
      </c>
      <c r="F909" s="3">
        <v>5</v>
      </c>
      <c r="G909" s="3" t="s">
        <v>8749</v>
      </c>
      <c r="H909" s="3"/>
    </row>
    <row r="910" spans="1:8" ht="45" x14ac:dyDescent="0.25">
      <c r="A910" s="3" t="s">
        <v>12097</v>
      </c>
      <c r="B910" s="3" t="s">
        <v>8750</v>
      </c>
      <c r="C910" s="3" t="s">
        <v>8751</v>
      </c>
      <c r="D910" s="3">
        <v>1536</v>
      </c>
      <c r="E910" s="3" t="s">
        <v>7182</v>
      </c>
      <c r="F910" s="3">
        <v>50</v>
      </c>
      <c r="G910" s="3" t="s">
        <v>12099</v>
      </c>
      <c r="H910" s="3"/>
    </row>
    <row r="911" spans="1:8" ht="45" x14ac:dyDescent="0.25">
      <c r="A911" s="3" t="s">
        <v>12097</v>
      </c>
      <c r="B911" s="3" t="s">
        <v>8752</v>
      </c>
      <c r="C911" s="3" t="s">
        <v>8753</v>
      </c>
      <c r="D911" s="3">
        <v>492</v>
      </c>
      <c r="E911" s="3" t="s">
        <v>7182</v>
      </c>
      <c r="F911" s="3">
        <v>60</v>
      </c>
      <c r="G911" s="3" t="s">
        <v>12099</v>
      </c>
      <c r="H911" s="3"/>
    </row>
    <row r="912" spans="1:8" ht="45" x14ac:dyDescent="0.25">
      <c r="A912" s="3" t="s">
        <v>12097</v>
      </c>
      <c r="B912" s="3" t="s">
        <v>8754</v>
      </c>
      <c r="C912" s="3" t="s">
        <v>8755</v>
      </c>
      <c r="D912" s="3">
        <v>494</v>
      </c>
      <c r="E912" s="3" t="s">
        <v>7182</v>
      </c>
      <c r="F912" s="3">
        <v>60</v>
      </c>
      <c r="G912" s="3" t="s">
        <v>12099</v>
      </c>
      <c r="H912" s="3"/>
    </row>
    <row r="913" spans="1:8" ht="45" x14ac:dyDescent="0.25">
      <c r="A913" s="3" t="s">
        <v>12097</v>
      </c>
      <c r="B913" s="3" t="s">
        <v>8756</v>
      </c>
      <c r="C913" s="3" t="s">
        <v>8757</v>
      </c>
      <c r="D913" s="3">
        <v>493</v>
      </c>
      <c r="E913" s="3" t="s">
        <v>7182</v>
      </c>
      <c r="F913" s="3">
        <v>60</v>
      </c>
      <c r="G913" s="3" t="s">
        <v>12099</v>
      </c>
      <c r="H913" s="3"/>
    </row>
    <row r="914" spans="1:8" ht="75" x14ac:dyDescent="0.25">
      <c r="A914" s="3" t="s">
        <v>12097</v>
      </c>
      <c r="B914" s="3" t="s">
        <v>8758</v>
      </c>
      <c r="C914" s="3" t="s">
        <v>8759</v>
      </c>
      <c r="D914" s="3">
        <v>521</v>
      </c>
      <c r="E914" s="3" t="s">
        <v>7238</v>
      </c>
      <c r="F914" s="3">
        <v>6.2</v>
      </c>
      <c r="G914" s="3" t="s">
        <v>12099</v>
      </c>
      <c r="H914" s="3"/>
    </row>
    <row r="915" spans="1:8" ht="285" x14ac:dyDescent="0.25">
      <c r="A915" s="3" t="s">
        <v>12097</v>
      </c>
      <c r="B915" s="3" t="s">
        <v>8760</v>
      </c>
      <c r="C915" s="3" t="s">
        <v>8761</v>
      </c>
      <c r="D915" s="3">
        <v>629</v>
      </c>
      <c r="E915" s="3" t="s">
        <v>7179</v>
      </c>
      <c r="F915" s="3">
        <v>5</v>
      </c>
      <c r="G915" s="3" t="s">
        <v>8113</v>
      </c>
      <c r="H915" s="3"/>
    </row>
    <row r="916" spans="1:8" ht="45" x14ac:dyDescent="0.25">
      <c r="A916" s="3" t="s">
        <v>12097</v>
      </c>
      <c r="B916" s="3" t="s">
        <v>8762</v>
      </c>
      <c r="C916" s="3" t="s">
        <v>8763</v>
      </c>
      <c r="D916" s="3">
        <v>526</v>
      </c>
      <c r="E916" s="3" t="s">
        <v>7182</v>
      </c>
      <c r="F916" s="3">
        <v>45</v>
      </c>
      <c r="G916" s="3" t="s">
        <v>12099</v>
      </c>
      <c r="H916" s="3"/>
    </row>
    <row r="917" spans="1:8" ht="409.5" x14ac:dyDescent="0.25">
      <c r="A917" s="3" t="s">
        <v>12097</v>
      </c>
      <c r="B917" s="3" t="s">
        <v>8764</v>
      </c>
      <c r="C917" s="3" t="s">
        <v>8765</v>
      </c>
      <c r="D917" s="3">
        <v>527</v>
      </c>
      <c r="E917" s="3" t="s">
        <v>7179</v>
      </c>
      <c r="F917" s="3">
        <v>5</v>
      </c>
      <c r="G917" s="3" t="s">
        <v>8766</v>
      </c>
      <c r="H917" s="3"/>
    </row>
    <row r="918" spans="1:8" ht="75" x14ac:dyDescent="0.25">
      <c r="A918" s="3" t="s">
        <v>12097</v>
      </c>
      <c r="B918" s="3" t="s">
        <v>8767</v>
      </c>
      <c r="C918" s="3" t="s">
        <v>8768</v>
      </c>
      <c r="D918" s="3">
        <v>528</v>
      </c>
      <c r="E918" s="3" t="s">
        <v>7179</v>
      </c>
      <c r="F918" s="3">
        <v>5</v>
      </c>
      <c r="G918" s="3" t="s">
        <v>8769</v>
      </c>
      <c r="H918" s="3"/>
    </row>
    <row r="919" spans="1:8" ht="60" x14ac:dyDescent="0.25">
      <c r="A919" s="3" t="s">
        <v>12097</v>
      </c>
      <c r="B919" s="3" t="s">
        <v>8770</v>
      </c>
      <c r="C919" s="3" t="s">
        <v>8771</v>
      </c>
      <c r="D919" s="3">
        <v>832</v>
      </c>
      <c r="E919" s="3" t="s">
        <v>7238</v>
      </c>
      <c r="F919" s="3">
        <v>3.2</v>
      </c>
      <c r="G919" s="3" t="s">
        <v>12099</v>
      </c>
      <c r="H919" s="3"/>
    </row>
    <row r="920" spans="1:8" ht="45" x14ac:dyDescent="0.25">
      <c r="A920" s="3" t="s">
        <v>12097</v>
      </c>
      <c r="B920" s="3" t="s">
        <v>8772</v>
      </c>
      <c r="C920" s="3" t="s">
        <v>8773</v>
      </c>
      <c r="D920" s="3">
        <v>1023</v>
      </c>
      <c r="E920" s="3" t="s">
        <v>7220</v>
      </c>
      <c r="F920" s="3">
        <v>2</v>
      </c>
      <c r="G920" s="3" t="s">
        <v>12099</v>
      </c>
      <c r="H920" s="3"/>
    </row>
    <row r="921" spans="1:8" ht="45" x14ac:dyDescent="0.25">
      <c r="A921" s="3" t="s">
        <v>12097</v>
      </c>
      <c r="B921" s="3" t="s">
        <v>8774</v>
      </c>
      <c r="C921" s="3" t="s">
        <v>8775</v>
      </c>
      <c r="D921" s="3">
        <v>1022</v>
      </c>
      <c r="E921" s="3" t="s">
        <v>7220</v>
      </c>
      <c r="F921" s="3">
        <v>2</v>
      </c>
      <c r="G921" s="3" t="s">
        <v>12099</v>
      </c>
      <c r="H921" s="3"/>
    </row>
    <row r="922" spans="1:8" ht="90" x14ac:dyDescent="0.25">
      <c r="A922" s="3" t="s">
        <v>12097</v>
      </c>
      <c r="B922" s="3" t="s">
        <v>8776</v>
      </c>
      <c r="C922" s="3" t="s">
        <v>8777</v>
      </c>
      <c r="D922" s="3">
        <v>204</v>
      </c>
      <c r="E922" s="3" t="s">
        <v>7238</v>
      </c>
      <c r="F922" s="3">
        <v>3.2</v>
      </c>
      <c r="G922" s="3" t="s">
        <v>12099</v>
      </c>
      <c r="H922" s="3"/>
    </row>
    <row r="923" spans="1:8" ht="45" x14ac:dyDescent="0.25">
      <c r="A923" s="3" t="s">
        <v>12097</v>
      </c>
      <c r="B923" s="3" t="s">
        <v>8778</v>
      </c>
      <c r="C923" s="3" t="s">
        <v>7142</v>
      </c>
      <c r="D923" s="3">
        <v>678</v>
      </c>
      <c r="E923" s="3" t="s">
        <v>7238</v>
      </c>
      <c r="F923" s="3">
        <v>3.2</v>
      </c>
      <c r="G923" s="3" t="s">
        <v>12099</v>
      </c>
      <c r="H923" s="3"/>
    </row>
    <row r="924" spans="1:8" ht="45" x14ac:dyDescent="0.25">
      <c r="A924" s="3" t="s">
        <v>12097</v>
      </c>
      <c r="B924" s="3" t="s">
        <v>8779</v>
      </c>
      <c r="C924" s="3" t="s">
        <v>8780</v>
      </c>
      <c r="D924" s="3">
        <v>205</v>
      </c>
      <c r="E924" s="3" t="s">
        <v>7182</v>
      </c>
      <c r="F924" s="3">
        <v>80</v>
      </c>
      <c r="G924" s="3" t="s">
        <v>12099</v>
      </c>
      <c r="H924" s="3"/>
    </row>
    <row r="925" spans="1:8" ht="45" x14ac:dyDescent="0.25">
      <c r="A925" s="3" t="s">
        <v>12097</v>
      </c>
      <c r="B925" s="3" t="s">
        <v>8781</v>
      </c>
      <c r="C925" s="3" t="s">
        <v>8782</v>
      </c>
      <c r="D925" s="3">
        <v>206</v>
      </c>
      <c r="E925" s="3" t="s">
        <v>7182</v>
      </c>
      <c r="F925" s="3">
        <v>60</v>
      </c>
      <c r="G925" s="3" t="s">
        <v>12099</v>
      </c>
      <c r="H925" s="3"/>
    </row>
    <row r="926" spans="1:8" ht="45" x14ac:dyDescent="0.25">
      <c r="A926" s="3" t="s">
        <v>12097</v>
      </c>
      <c r="B926" s="3" t="s">
        <v>8784</v>
      </c>
      <c r="C926" s="3" t="s">
        <v>8785</v>
      </c>
      <c r="D926" s="3">
        <v>1464</v>
      </c>
      <c r="E926" s="3" t="s">
        <v>7179</v>
      </c>
      <c r="F926" s="3">
        <v>5</v>
      </c>
      <c r="G926" s="3" t="s">
        <v>12098</v>
      </c>
      <c r="H926" s="3"/>
    </row>
    <row r="927" spans="1:8" ht="60" x14ac:dyDescent="0.25">
      <c r="A927" s="3" t="s">
        <v>12097</v>
      </c>
      <c r="B927" s="3" t="s">
        <v>8786</v>
      </c>
      <c r="C927" s="3" t="s">
        <v>8787</v>
      </c>
      <c r="D927" s="3">
        <v>1051</v>
      </c>
      <c r="E927" s="3" t="s">
        <v>7182</v>
      </c>
      <c r="F927" s="3">
        <v>30</v>
      </c>
      <c r="G927" s="3" t="s">
        <v>12099</v>
      </c>
      <c r="H927" s="3"/>
    </row>
    <row r="928" spans="1:8" ht="30" x14ac:dyDescent="0.25">
      <c r="A928" s="3" t="s">
        <v>12097</v>
      </c>
      <c r="B928" s="3" t="s">
        <v>8788</v>
      </c>
      <c r="C928" s="3" t="s">
        <v>8789</v>
      </c>
      <c r="D928" s="3">
        <v>2150</v>
      </c>
      <c r="E928" s="3" t="s">
        <v>7220</v>
      </c>
      <c r="F928" s="3"/>
      <c r="G928" s="3" t="s">
        <v>12099</v>
      </c>
      <c r="H928" s="3"/>
    </row>
    <row r="929" spans="1:8" ht="135" x14ac:dyDescent="0.25">
      <c r="A929" s="3" t="s">
        <v>12097</v>
      </c>
      <c r="B929" s="3" t="s">
        <v>8790</v>
      </c>
      <c r="C929" s="3" t="s">
        <v>8791</v>
      </c>
      <c r="D929" s="3">
        <v>1777</v>
      </c>
      <c r="E929" s="3" t="s">
        <v>7179</v>
      </c>
      <c r="F929" s="3">
        <v>5</v>
      </c>
      <c r="G929" s="3" t="s">
        <v>8792</v>
      </c>
      <c r="H929" s="3"/>
    </row>
    <row r="930" spans="1:8" ht="105" x14ac:dyDescent="0.25">
      <c r="A930" s="3" t="s">
        <v>12097</v>
      </c>
      <c r="B930" s="3" t="s">
        <v>8793</v>
      </c>
      <c r="C930" s="3" t="s">
        <v>8794</v>
      </c>
      <c r="D930" s="3">
        <v>361</v>
      </c>
      <c r="E930" s="3" t="s">
        <v>7182</v>
      </c>
      <c r="F930" s="3">
        <v>35</v>
      </c>
      <c r="G930" s="3" t="s">
        <v>12099</v>
      </c>
      <c r="H930" s="3"/>
    </row>
    <row r="931" spans="1:8" ht="30" x14ac:dyDescent="0.25">
      <c r="A931" s="3" t="s">
        <v>12097</v>
      </c>
      <c r="B931" s="3" t="s">
        <v>8795</v>
      </c>
      <c r="C931" s="3" t="s">
        <v>8796</v>
      </c>
      <c r="D931" s="3">
        <v>1450</v>
      </c>
      <c r="E931" s="3" t="s">
        <v>7179</v>
      </c>
      <c r="F931" s="3">
        <v>5</v>
      </c>
      <c r="G931" s="3" t="s">
        <v>12098</v>
      </c>
      <c r="H931" s="3"/>
    </row>
    <row r="932" spans="1:8" ht="30" x14ac:dyDescent="0.25">
      <c r="A932" s="3" t="s">
        <v>12097</v>
      </c>
      <c r="B932" s="3" t="s">
        <v>8797</v>
      </c>
      <c r="C932" s="3" t="s">
        <v>8798</v>
      </c>
      <c r="D932" s="3">
        <v>1220</v>
      </c>
      <c r="E932" s="3" t="s">
        <v>7200</v>
      </c>
      <c r="F932" s="3">
        <v>8</v>
      </c>
      <c r="G932" s="3" t="s">
        <v>12099</v>
      </c>
      <c r="H932" s="3"/>
    </row>
    <row r="933" spans="1:8" ht="195" x14ac:dyDescent="0.25">
      <c r="A933" s="3" t="s">
        <v>12097</v>
      </c>
      <c r="B933" s="3" t="s">
        <v>8799</v>
      </c>
      <c r="C933" s="3" t="s">
        <v>8800</v>
      </c>
      <c r="D933" s="3">
        <v>1447</v>
      </c>
      <c r="E933" s="3" t="s">
        <v>7179</v>
      </c>
      <c r="F933" s="3">
        <v>5</v>
      </c>
      <c r="G933" s="3" t="s">
        <v>8801</v>
      </c>
      <c r="H933" s="3"/>
    </row>
    <row r="934" spans="1:8" ht="30" x14ac:dyDescent="0.25">
      <c r="A934" s="3" t="s">
        <v>12097</v>
      </c>
      <c r="B934" s="3" t="s">
        <v>8803</v>
      </c>
      <c r="C934" s="3" t="s">
        <v>8804</v>
      </c>
      <c r="D934" s="3">
        <v>1208</v>
      </c>
      <c r="E934" s="3" t="s">
        <v>7179</v>
      </c>
      <c r="F934" s="3">
        <v>5</v>
      </c>
      <c r="G934" s="3" t="s">
        <v>12098</v>
      </c>
      <c r="H934" s="3"/>
    </row>
    <row r="935" spans="1:8" ht="45" x14ac:dyDescent="0.25">
      <c r="A935" s="3" t="s">
        <v>12097</v>
      </c>
      <c r="B935" s="3" t="s">
        <v>8805</v>
      </c>
      <c r="C935" s="3" t="s">
        <v>8806</v>
      </c>
      <c r="D935" s="3">
        <v>1204</v>
      </c>
      <c r="E935" s="3" t="s">
        <v>7238</v>
      </c>
      <c r="F935" s="3">
        <v>3.2</v>
      </c>
      <c r="G935" s="3" t="s">
        <v>12099</v>
      </c>
      <c r="H935" s="3"/>
    </row>
    <row r="936" spans="1:8" ht="75" x14ac:dyDescent="0.25">
      <c r="A936" s="3" t="s">
        <v>12097</v>
      </c>
      <c r="B936" s="3" t="s">
        <v>8807</v>
      </c>
      <c r="C936" s="3" t="s">
        <v>8808</v>
      </c>
      <c r="D936" s="3">
        <v>1205</v>
      </c>
      <c r="E936" s="3" t="s">
        <v>7182</v>
      </c>
      <c r="F936" s="3">
        <v>60</v>
      </c>
      <c r="G936" s="3" t="s">
        <v>12099</v>
      </c>
      <c r="H936" s="3"/>
    </row>
    <row r="937" spans="1:8" ht="45" x14ac:dyDescent="0.25">
      <c r="A937" s="3" t="s">
        <v>12097</v>
      </c>
      <c r="B937" s="3" t="s">
        <v>8809</v>
      </c>
      <c r="C937" s="3" t="s">
        <v>8810</v>
      </c>
      <c r="D937" s="3">
        <v>461</v>
      </c>
      <c r="E937" s="3" t="s">
        <v>7200</v>
      </c>
      <c r="F937" s="3">
        <v>8</v>
      </c>
      <c r="G937" s="3" t="s">
        <v>12099</v>
      </c>
      <c r="H937" s="3"/>
    </row>
    <row r="938" spans="1:8" ht="45" x14ac:dyDescent="0.25">
      <c r="A938" s="3" t="s">
        <v>12097</v>
      </c>
      <c r="B938" s="3" t="s">
        <v>8811</v>
      </c>
      <c r="C938" s="3" t="s">
        <v>8812</v>
      </c>
      <c r="D938" s="3">
        <v>462</v>
      </c>
      <c r="E938" s="3" t="s">
        <v>7182</v>
      </c>
      <c r="F938" s="3">
        <v>60</v>
      </c>
      <c r="G938" s="3" t="s">
        <v>12099</v>
      </c>
      <c r="H938" s="3"/>
    </row>
    <row r="939" spans="1:8" ht="45" x14ac:dyDescent="0.25">
      <c r="A939" s="3" t="s">
        <v>12097</v>
      </c>
      <c r="B939" s="3" t="s">
        <v>8813</v>
      </c>
      <c r="C939" s="3" t="s">
        <v>8814</v>
      </c>
      <c r="D939" s="3">
        <v>483</v>
      </c>
      <c r="E939" s="3" t="s">
        <v>7182</v>
      </c>
      <c r="F939" s="3">
        <v>30</v>
      </c>
      <c r="G939" s="3" t="s">
        <v>12099</v>
      </c>
      <c r="H939" s="3"/>
    </row>
    <row r="940" spans="1:8" ht="90" x14ac:dyDescent="0.25">
      <c r="A940" s="3" t="s">
        <v>12097</v>
      </c>
      <c r="B940" s="3" t="s">
        <v>8815</v>
      </c>
      <c r="C940" s="3" t="s">
        <v>8816</v>
      </c>
      <c r="D940" s="3">
        <v>460</v>
      </c>
      <c r="E940" s="3" t="s">
        <v>7182</v>
      </c>
      <c r="F940" s="3">
        <v>45</v>
      </c>
      <c r="G940" s="3" t="s">
        <v>12099</v>
      </c>
      <c r="H940" s="3"/>
    </row>
    <row r="941" spans="1:8" ht="60" x14ac:dyDescent="0.25">
      <c r="A941" s="3" t="s">
        <v>12097</v>
      </c>
      <c r="B941" s="3" t="s">
        <v>8817</v>
      </c>
      <c r="C941" s="3" t="s">
        <v>8818</v>
      </c>
      <c r="D941" s="3">
        <v>711</v>
      </c>
      <c r="E941" s="3" t="s">
        <v>7182</v>
      </c>
      <c r="F941" s="3">
        <v>60</v>
      </c>
      <c r="G941" s="3" t="s">
        <v>12099</v>
      </c>
      <c r="H941" s="3"/>
    </row>
    <row r="942" spans="1:8" ht="409.5" x14ac:dyDescent="0.25">
      <c r="A942" s="3" t="s">
        <v>12097</v>
      </c>
      <c r="B942" s="3" t="s">
        <v>8819</v>
      </c>
      <c r="C942" s="3" t="s">
        <v>8820</v>
      </c>
      <c r="D942" s="3">
        <v>709</v>
      </c>
      <c r="E942" s="3" t="s">
        <v>7179</v>
      </c>
      <c r="F942" s="3">
        <v>5</v>
      </c>
      <c r="G942" s="3" t="s">
        <v>8821</v>
      </c>
      <c r="H942" s="3"/>
    </row>
    <row r="943" spans="1:8" ht="409.5" x14ac:dyDescent="0.25">
      <c r="A943" s="3" t="s">
        <v>12097</v>
      </c>
      <c r="B943" s="3" t="s">
        <v>8822</v>
      </c>
      <c r="C943" s="3" t="s">
        <v>8823</v>
      </c>
      <c r="D943" s="3">
        <v>373</v>
      </c>
      <c r="E943" s="3" t="s">
        <v>7179</v>
      </c>
      <c r="F943" s="3">
        <v>5</v>
      </c>
      <c r="G943" s="3" t="s">
        <v>8824</v>
      </c>
      <c r="H943" s="3"/>
    </row>
    <row r="944" spans="1:8" ht="60" x14ac:dyDescent="0.25">
      <c r="A944" s="3" t="s">
        <v>12097</v>
      </c>
      <c r="B944" s="3" t="s">
        <v>8825</v>
      </c>
      <c r="C944" s="3" t="s">
        <v>8826</v>
      </c>
      <c r="D944" s="3">
        <v>571</v>
      </c>
      <c r="E944" s="3" t="s">
        <v>7182</v>
      </c>
      <c r="F944" s="3">
        <v>45</v>
      </c>
      <c r="G944" s="3" t="s">
        <v>12099</v>
      </c>
      <c r="H944" s="3"/>
    </row>
    <row r="945" spans="1:8" ht="45" x14ac:dyDescent="0.25">
      <c r="A945" s="3" t="s">
        <v>12097</v>
      </c>
      <c r="B945" s="3" t="s">
        <v>8827</v>
      </c>
      <c r="C945" s="3" t="s">
        <v>8828</v>
      </c>
      <c r="D945" s="3">
        <v>573</v>
      </c>
      <c r="E945" s="3" t="s">
        <v>7182</v>
      </c>
      <c r="F945" s="3">
        <v>30</v>
      </c>
      <c r="G945" s="3" t="s">
        <v>12099</v>
      </c>
      <c r="H945" s="3"/>
    </row>
    <row r="946" spans="1:8" ht="60" x14ac:dyDescent="0.25">
      <c r="A946" s="3" t="s">
        <v>12097</v>
      </c>
      <c r="B946" s="3" t="s">
        <v>8829</v>
      </c>
      <c r="C946" s="3" t="s">
        <v>8830</v>
      </c>
      <c r="D946" s="3">
        <v>574</v>
      </c>
      <c r="E946" s="3" t="s">
        <v>7182</v>
      </c>
      <c r="F946" s="3">
        <v>30</v>
      </c>
      <c r="G946" s="3" t="s">
        <v>12099</v>
      </c>
      <c r="H946" s="3"/>
    </row>
    <row r="947" spans="1:8" ht="60" x14ac:dyDescent="0.25">
      <c r="A947" s="3" t="s">
        <v>12097</v>
      </c>
      <c r="B947" s="3" t="s">
        <v>8831</v>
      </c>
      <c r="C947" s="3" t="s">
        <v>8832</v>
      </c>
      <c r="D947" s="3">
        <v>572</v>
      </c>
      <c r="E947" s="3" t="s">
        <v>7182</v>
      </c>
      <c r="F947" s="3">
        <v>45</v>
      </c>
      <c r="G947" s="3" t="s">
        <v>12099</v>
      </c>
      <c r="H947" s="3"/>
    </row>
    <row r="948" spans="1:8" ht="240" x14ac:dyDescent="0.25">
      <c r="A948" s="3" t="s">
        <v>12097</v>
      </c>
      <c r="B948" s="3" t="s">
        <v>8833</v>
      </c>
      <c r="C948" s="3" t="s">
        <v>8834</v>
      </c>
      <c r="D948" s="3">
        <v>1273</v>
      </c>
      <c r="E948" s="3" t="s">
        <v>7179</v>
      </c>
      <c r="F948" s="3">
        <v>5</v>
      </c>
      <c r="G948" s="3" t="s">
        <v>7568</v>
      </c>
      <c r="H948" s="3"/>
    </row>
    <row r="949" spans="1:8" ht="270" x14ac:dyDescent="0.25">
      <c r="A949" s="3" t="s">
        <v>12097</v>
      </c>
      <c r="B949" s="3" t="s">
        <v>8835</v>
      </c>
      <c r="C949" s="3" t="s">
        <v>8836</v>
      </c>
      <c r="D949" s="3">
        <v>1275</v>
      </c>
      <c r="E949" s="3" t="s">
        <v>7179</v>
      </c>
      <c r="F949" s="3">
        <v>5</v>
      </c>
      <c r="G949" s="3" t="s">
        <v>7859</v>
      </c>
      <c r="H949" s="3"/>
    </row>
    <row r="950" spans="1:8" ht="120" x14ac:dyDescent="0.25">
      <c r="A950" s="3" t="s">
        <v>12097</v>
      </c>
      <c r="B950" s="3" t="s">
        <v>8837</v>
      </c>
      <c r="C950" s="3" t="s">
        <v>8838</v>
      </c>
      <c r="D950" s="3">
        <v>1274</v>
      </c>
      <c r="E950" s="3" t="s">
        <v>7179</v>
      </c>
      <c r="F950" s="3">
        <v>5</v>
      </c>
      <c r="G950" s="3" t="s">
        <v>7899</v>
      </c>
      <c r="H950" s="3"/>
    </row>
    <row r="951" spans="1:8" ht="409.5" x14ac:dyDescent="0.25">
      <c r="A951" s="3" t="s">
        <v>12097</v>
      </c>
      <c r="B951" s="3" t="s">
        <v>8839</v>
      </c>
      <c r="C951" s="3" t="s">
        <v>8840</v>
      </c>
      <c r="D951" s="3">
        <v>466</v>
      </c>
      <c r="E951" s="3" t="s">
        <v>7179</v>
      </c>
      <c r="F951" s="3">
        <v>5</v>
      </c>
      <c r="G951" s="3" t="s">
        <v>8841</v>
      </c>
      <c r="H951" s="3"/>
    </row>
    <row r="952" spans="1:8" ht="30" x14ac:dyDescent="0.25">
      <c r="A952" s="3" t="s">
        <v>12097</v>
      </c>
      <c r="B952" s="3" t="s">
        <v>8842</v>
      </c>
      <c r="C952" s="3" t="s">
        <v>8843</v>
      </c>
      <c r="D952" s="3">
        <v>1412</v>
      </c>
      <c r="E952" s="3" t="s">
        <v>7182</v>
      </c>
      <c r="F952" s="3">
        <v>75</v>
      </c>
      <c r="G952" s="3" t="s">
        <v>12099</v>
      </c>
      <c r="H952" s="3"/>
    </row>
    <row r="953" spans="1:8" ht="45" x14ac:dyDescent="0.25">
      <c r="A953" s="3" t="s">
        <v>12097</v>
      </c>
      <c r="B953" s="3" t="s">
        <v>8844</v>
      </c>
      <c r="C953" s="3" t="s">
        <v>8845</v>
      </c>
      <c r="D953" s="3">
        <v>1405</v>
      </c>
      <c r="E953" s="3" t="s">
        <v>7182</v>
      </c>
      <c r="F953" s="3">
        <v>75</v>
      </c>
      <c r="G953" s="3" t="s">
        <v>12099</v>
      </c>
      <c r="H953" s="3"/>
    </row>
    <row r="954" spans="1:8" ht="75" x14ac:dyDescent="0.25">
      <c r="A954" s="3" t="s">
        <v>12097</v>
      </c>
      <c r="B954" s="3" t="s">
        <v>8846</v>
      </c>
      <c r="C954" s="3" t="s">
        <v>8847</v>
      </c>
      <c r="D954" s="3">
        <v>1407</v>
      </c>
      <c r="E954" s="3" t="s">
        <v>7182</v>
      </c>
      <c r="F954" s="3">
        <v>75</v>
      </c>
      <c r="G954" s="3" t="s">
        <v>12099</v>
      </c>
      <c r="H954" s="3"/>
    </row>
    <row r="955" spans="1:8" ht="45" x14ac:dyDescent="0.25">
      <c r="A955" s="3" t="s">
        <v>12097</v>
      </c>
      <c r="B955" s="3" t="s">
        <v>8848</v>
      </c>
      <c r="C955" s="3" t="s">
        <v>8849</v>
      </c>
      <c r="D955" s="3">
        <v>1410</v>
      </c>
      <c r="E955" s="3" t="s">
        <v>7182</v>
      </c>
      <c r="F955" s="3">
        <v>75</v>
      </c>
      <c r="G955" s="3" t="s">
        <v>12099</v>
      </c>
      <c r="H955" s="3"/>
    </row>
    <row r="956" spans="1:8" ht="60" x14ac:dyDescent="0.25">
      <c r="A956" s="3" t="s">
        <v>12097</v>
      </c>
      <c r="B956" s="3" t="s">
        <v>8850</v>
      </c>
      <c r="C956" s="3" t="s">
        <v>8851</v>
      </c>
      <c r="D956" s="3">
        <v>1404</v>
      </c>
      <c r="E956" s="3" t="s">
        <v>7182</v>
      </c>
      <c r="F956" s="3">
        <v>35</v>
      </c>
      <c r="G956" s="3" t="s">
        <v>12099</v>
      </c>
      <c r="H956" s="3"/>
    </row>
    <row r="957" spans="1:8" ht="105" x14ac:dyDescent="0.25">
      <c r="A957" s="3" t="s">
        <v>12097</v>
      </c>
      <c r="B957" s="3" t="s">
        <v>8852</v>
      </c>
      <c r="C957" s="3" t="s">
        <v>8853</v>
      </c>
      <c r="D957" s="3">
        <v>1408</v>
      </c>
      <c r="E957" s="3" t="s">
        <v>7182</v>
      </c>
      <c r="F957" s="3">
        <v>75</v>
      </c>
      <c r="G957" s="3" t="s">
        <v>12099</v>
      </c>
      <c r="H957" s="3"/>
    </row>
    <row r="958" spans="1:8" ht="60" x14ac:dyDescent="0.25">
      <c r="A958" s="3" t="s">
        <v>12097</v>
      </c>
      <c r="B958" s="3" t="s">
        <v>8854</v>
      </c>
      <c r="C958" s="3" t="s">
        <v>8855</v>
      </c>
      <c r="D958" s="3">
        <v>1409</v>
      </c>
      <c r="E958" s="3" t="s">
        <v>7182</v>
      </c>
      <c r="F958" s="3">
        <v>75</v>
      </c>
      <c r="G958" s="3" t="s">
        <v>12099</v>
      </c>
      <c r="H958" s="3"/>
    </row>
    <row r="959" spans="1:8" ht="45" x14ac:dyDescent="0.25">
      <c r="A959" s="3" t="s">
        <v>12097</v>
      </c>
      <c r="B959" s="3" t="s">
        <v>8856</v>
      </c>
      <c r="C959" s="3" t="s">
        <v>8857</v>
      </c>
      <c r="D959" s="3">
        <v>1406</v>
      </c>
      <c r="E959" s="3" t="s">
        <v>7182</v>
      </c>
      <c r="F959" s="3">
        <v>35</v>
      </c>
      <c r="G959" s="3" t="s">
        <v>12099</v>
      </c>
      <c r="H959" s="3"/>
    </row>
    <row r="960" spans="1:8" ht="30" x14ac:dyDescent="0.25">
      <c r="A960" s="3" t="s">
        <v>12097</v>
      </c>
      <c r="B960" s="3" t="s">
        <v>8858</v>
      </c>
      <c r="C960" s="3" t="s">
        <v>8859</v>
      </c>
      <c r="D960" s="3">
        <v>1411</v>
      </c>
      <c r="E960" s="3" t="s">
        <v>7182</v>
      </c>
      <c r="F960" s="3">
        <v>75</v>
      </c>
      <c r="G960" s="3" t="s">
        <v>12099</v>
      </c>
      <c r="H960" s="3"/>
    </row>
    <row r="961" spans="1:8" ht="30" x14ac:dyDescent="0.25">
      <c r="A961" s="3" t="s">
        <v>12097</v>
      </c>
      <c r="B961" s="3" t="s">
        <v>8860</v>
      </c>
      <c r="C961" s="3" t="s">
        <v>8861</v>
      </c>
      <c r="D961" s="3">
        <v>210</v>
      </c>
      <c r="E961" s="3" t="s">
        <v>7200</v>
      </c>
      <c r="F961" s="3">
        <v>8</v>
      </c>
      <c r="G961" s="3" t="s">
        <v>12099</v>
      </c>
      <c r="H961" s="3"/>
    </row>
    <row r="962" spans="1:8" ht="150" x14ac:dyDescent="0.25">
      <c r="A962" s="3" t="s">
        <v>12097</v>
      </c>
      <c r="B962" s="3" t="s">
        <v>8862</v>
      </c>
      <c r="C962" s="3" t="s">
        <v>8863</v>
      </c>
      <c r="D962" s="3">
        <v>211</v>
      </c>
      <c r="E962" s="3" t="s">
        <v>7179</v>
      </c>
      <c r="F962" s="3">
        <v>5</v>
      </c>
      <c r="G962" s="3" t="s">
        <v>8864</v>
      </c>
      <c r="H962" s="3"/>
    </row>
    <row r="963" spans="1:8" ht="30" x14ac:dyDescent="0.25">
      <c r="A963" s="3" t="s">
        <v>12097</v>
      </c>
      <c r="B963" s="3" t="s">
        <v>8865</v>
      </c>
      <c r="C963" s="3" t="s">
        <v>8866</v>
      </c>
      <c r="D963" s="3">
        <v>212</v>
      </c>
      <c r="E963" s="3" t="s">
        <v>7200</v>
      </c>
      <c r="F963" s="3">
        <v>8</v>
      </c>
      <c r="G963" s="3" t="s">
        <v>12099</v>
      </c>
      <c r="H963" s="3"/>
    </row>
    <row r="964" spans="1:8" ht="285" x14ac:dyDescent="0.25">
      <c r="A964" s="3" t="s">
        <v>12097</v>
      </c>
      <c r="B964" s="3" t="s">
        <v>8867</v>
      </c>
      <c r="C964" s="3" t="s">
        <v>8868</v>
      </c>
      <c r="D964" s="3">
        <v>213</v>
      </c>
      <c r="E964" s="3" t="s">
        <v>7179</v>
      </c>
      <c r="F964" s="3">
        <v>5</v>
      </c>
      <c r="G964" s="3" t="s">
        <v>8869</v>
      </c>
      <c r="H964" s="3"/>
    </row>
    <row r="965" spans="1:8" ht="75" x14ac:dyDescent="0.25">
      <c r="A965" s="3" t="s">
        <v>12097</v>
      </c>
      <c r="B965" s="3" t="s">
        <v>8870</v>
      </c>
      <c r="C965" s="3" t="s">
        <v>8871</v>
      </c>
      <c r="D965" s="3">
        <v>80</v>
      </c>
      <c r="E965" s="3" t="s">
        <v>7179</v>
      </c>
      <c r="F965" s="3">
        <v>5</v>
      </c>
      <c r="G965" s="3" t="s">
        <v>8872</v>
      </c>
      <c r="H965" s="3"/>
    </row>
    <row r="966" spans="1:8" ht="60" x14ac:dyDescent="0.25">
      <c r="A966" s="3" t="s">
        <v>12097</v>
      </c>
      <c r="B966" s="3" t="s">
        <v>8873</v>
      </c>
      <c r="C966" s="3" t="s">
        <v>8874</v>
      </c>
      <c r="D966" s="3">
        <v>859</v>
      </c>
      <c r="E966" s="3" t="s">
        <v>7182</v>
      </c>
      <c r="F966" s="3">
        <v>60</v>
      </c>
      <c r="G966" s="3" t="s">
        <v>12099</v>
      </c>
      <c r="H966" s="3"/>
    </row>
    <row r="967" spans="1:8" ht="75" x14ac:dyDescent="0.25">
      <c r="A967" s="3" t="s">
        <v>12097</v>
      </c>
      <c r="B967" s="3" t="s">
        <v>8875</v>
      </c>
      <c r="C967" s="3" t="s">
        <v>8876</v>
      </c>
      <c r="D967" s="3">
        <v>214</v>
      </c>
      <c r="E967" s="3" t="s">
        <v>7179</v>
      </c>
      <c r="F967" s="3">
        <v>5</v>
      </c>
      <c r="G967" s="3" t="s">
        <v>8877</v>
      </c>
      <c r="H967" s="3"/>
    </row>
    <row r="968" spans="1:8" ht="60" x14ac:dyDescent="0.25">
      <c r="A968" s="3" t="s">
        <v>12097</v>
      </c>
      <c r="B968" s="3" t="s">
        <v>8878</v>
      </c>
      <c r="C968" s="3" t="s">
        <v>8879</v>
      </c>
      <c r="D968" s="3">
        <v>215</v>
      </c>
      <c r="E968" s="3" t="s">
        <v>7182</v>
      </c>
      <c r="F968" s="3">
        <v>60</v>
      </c>
      <c r="G968" s="3" t="s">
        <v>12099</v>
      </c>
      <c r="H968" s="3"/>
    </row>
    <row r="969" spans="1:8" ht="75" x14ac:dyDescent="0.25">
      <c r="A969" s="3" t="s">
        <v>12097</v>
      </c>
      <c r="B969" s="3" t="s">
        <v>8880</v>
      </c>
      <c r="C969" s="3" t="s">
        <v>8881</v>
      </c>
      <c r="D969" s="3">
        <v>216</v>
      </c>
      <c r="E969" s="3" t="s">
        <v>7238</v>
      </c>
      <c r="F969" s="3">
        <v>2.2000000000000002</v>
      </c>
      <c r="G969" s="3" t="s">
        <v>12099</v>
      </c>
      <c r="H969" s="3"/>
    </row>
    <row r="970" spans="1:8" ht="30" x14ac:dyDescent="0.25">
      <c r="A970" s="3" t="s">
        <v>12097</v>
      </c>
      <c r="B970" s="3" t="s">
        <v>8882</v>
      </c>
      <c r="C970" s="3" t="s">
        <v>8883</v>
      </c>
      <c r="D970" s="3">
        <v>1215</v>
      </c>
      <c r="E970" s="3" t="s">
        <v>7200</v>
      </c>
      <c r="F970" s="3">
        <v>8</v>
      </c>
      <c r="G970" s="3" t="s">
        <v>12099</v>
      </c>
      <c r="H970" s="3"/>
    </row>
    <row r="971" spans="1:8" ht="45" x14ac:dyDescent="0.25">
      <c r="A971" s="3" t="s">
        <v>12097</v>
      </c>
      <c r="B971" s="3" t="s">
        <v>8884</v>
      </c>
      <c r="C971" s="3" t="s">
        <v>8885</v>
      </c>
      <c r="D971" s="3">
        <v>1315</v>
      </c>
      <c r="E971" s="3" t="s">
        <v>7182</v>
      </c>
      <c r="F971" s="3">
        <v>45</v>
      </c>
      <c r="G971" s="3" t="s">
        <v>12099</v>
      </c>
      <c r="H971" s="3"/>
    </row>
    <row r="972" spans="1:8" ht="120" x14ac:dyDescent="0.25">
      <c r="A972" s="3" t="s">
        <v>12097</v>
      </c>
      <c r="B972" s="3" t="s">
        <v>8886</v>
      </c>
      <c r="C972" s="3" t="s">
        <v>8887</v>
      </c>
      <c r="D972" s="3">
        <v>794</v>
      </c>
      <c r="E972" s="3" t="s">
        <v>7179</v>
      </c>
      <c r="F972" s="3">
        <v>5</v>
      </c>
      <c r="G972" s="3" t="s">
        <v>8888</v>
      </c>
      <c r="H972" s="3"/>
    </row>
    <row r="973" spans="1:8" ht="30" x14ac:dyDescent="0.25">
      <c r="A973" s="3" t="s">
        <v>12097</v>
      </c>
      <c r="B973" s="3" t="s">
        <v>8889</v>
      </c>
      <c r="C973" s="3" t="s">
        <v>8890</v>
      </c>
      <c r="D973" s="3">
        <v>217</v>
      </c>
      <c r="E973" s="3" t="s">
        <v>7200</v>
      </c>
      <c r="F973" s="3">
        <v>8</v>
      </c>
      <c r="G973" s="3" t="s">
        <v>12099</v>
      </c>
      <c r="H973" s="3"/>
    </row>
    <row r="974" spans="1:8" ht="285" x14ac:dyDescent="0.25">
      <c r="A974" s="3" t="s">
        <v>12097</v>
      </c>
      <c r="B974" s="3" t="s">
        <v>8891</v>
      </c>
      <c r="C974" s="3" t="s">
        <v>8892</v>
      </c>
      <c r="D974" s="3">
        <v>219</v>
      </c>
      <c r="E974" s="3" t="s">
        <v>7238</v>
      </c>
      <c r="F974" s="3">
        <v>1.2</v>
      </c>
      <c r="G974" s="3" t="s">
        <v>8893</v>
      </c>
      <c r="H974" s="3"/>
    </row>
    <row r="975" spans="1:8" ht="30" x14ac:dyDescent="0.25">
      <c r="A975" s="3" t="s">
        <v>12097</v>
      </c>
      <c r="B975" s="3" t="s">
        <v>8894</v>
      </c>
      <c r="C975" s="3" t="s">
        <v>8895</v>
      </c>
      <c r="D975" s="3">
        <v>220</v>
      </c>
      <c r="E975" s="3" t="s">
        <v>7200</v>
      </c>
      <c r="F975" s="3">
        <v>8</v>
      </c>
      <c r="G975" s="3" t="s">
        <v>12099</v>
      </c>
      <c r="H975" s="3"/>
    </row>
    <row r="976" spans="1:8" ht="30" x14ac:dyDescent="0.25">
      <c r="A976" s="3" t="s">
        <v>12097</v>
      </c>
      <c r="B976" s="3" t="s">
        <v>8896</v>
      </c>
      <c r="C976" s="3" t="s">
        <v>8897</v>
      </c>
      <c r="D976" s="3">
        <v>221</v>
      </c>
      <c r="E976" s="3" t="s">
        <v>7200</v>
      </c>
      <c r="F976" s="3">
        <v>8</v>
      </c>
      <c r="G976" s="3" t="s">
        <v>12099</v>
      </c>
      <c r="H976" s="3"/>
    </row>
    <row r="977" spans="1:8" ht="330" x14ac:dyDescent="0.25">
      <c r="A977" s="3" t="s">
        <v>12097</v>
      </c>
      <c r="B977" s="3" t="s">
        <v>8898</v>
      </c>
      <c r="C977" s="3" t="s">
        <v>8899</v>
      </c>
      <c r="D977" s="3">
        <v>222</v>
      </c>
      <c r="E977" s="3" t="s">
        <v>7179</v>
      </c>
      <c r="F977" s="3">
        <v>5</v>
      </c>
      <c r="G977" s="3" t="s">
        <v>8900</v>
      </c>
      <c r="H977" s="3"/>
    </row>
    <row r="978" spans="1:8" ht="30" x14ac:dyDescent="0.25">
      <c r="A978" s="3" t="s">
        <v>12097</v>
      </c>
      <c r="B978" s="3" t="s">
        <v>8901</v>
      </c>
      <c r="C978" s="3" t="s">
        <v>8902</v>
      </c>
      <c r="D978" s="3">
        <v>223</v>
      </c>
      <c r="E978" s="3" t="s">
        <v>7182</v>
      </c>
      <c r="F978" s="3">
        <v>60</v>
      </c>
      <c r="G978" s="3" t="s">
        <v>12099</v>
      </c>
      <c r="H978" s="3"/>
    </row>
    <row r="979" spans="1:8" ht="75" x14ac:dyDescent="0.25">
      <c r="A979" s="3" t="s">
        <v>12097</v>
      </c>
      <c r="B979" s="3" t="s">
        <v>8903</v>
      </c>
      <c r="C979" s="3" t="s">
        <v>8904</v>
      </c>
      <c r="D979" s="3">
        <v>224</v>
      </c>
      <c r="E979" s="3" t="s">
        <v>7238</v>
      </c>
      <c r="F979" s="3">
        <v>7.2</v>
      </c>
      <c r="G979" s="3" t="s">
        <v>12099</v>
      </c>
      <c r="H979" s="3"/>
    </row>
    <row r="980" spans="1:8" ht="45" x14ac:dyDescent="0.25">
      <c r="A980" s="3" t="s">
        <v>12097</v>
      </c>
      <c r="B980" s="3" t="s">
        <v>8905</v>
      </c>
      <c r="C980" s="3" t="s">
        <v>8906</v>
      </c>
      <c r="D980" s="3">
        <v>225</v>
      </c>
      <c r="E980" s="3" t="s">
        <v>7182</v>
      </c>
      <c r="F980" s="3">
        <v>80</v>
      </c>
      <c r="G980" s="3" t="s">
        <v>12099</v>
      </c>
      <c r="H980" s="3"/>
    </row>
    <row r="981" spans="1:8" ht="75" x14ac:dyDescent="0.25">
      <c r="A981" s="3" t="s">
        <v>12097</v>
      </c>
      <c r="B981" s="3" t="s">
        <v>8907</v>
      </c>
      <c r="C981" s="3" t="s">
        <v>8908</v>
      </c>
      <c r="D981" s="3">
        <v>226</v>
      </c>
      <c r="E981" s="3" t="s">
        <v>7238</v>
      </c>
      <c r="F981" s="3">
        <v>3.2</v>
      </c>
      <c r="G981" s="3" t="s">
        <v>12099</v>
      </c>
      <c r="H981" s="3"/>
    </row>
    <row r="982" spans="1:8" ht="45" x14ac:dyDescent="0.25">
      <c r="A982" s="3" t="s">
        <v>12097</v>
      </c>
      <c r="B982" s="3" t="s">
        <v>8909</v>
      </c>
      <c r="C982" s="3" t="s">
        <v>8910</v>
      </c>
      <c r="D982" s="3">
        <v>228</v>
      </c>
      <c r="E982" s="3" t="s">
        <v>7182</v>
      </c>
      <c r="F982" s="3">
        <v>80</v>
      </c>
      <c r="G982" s="3" t="s">
        <v>12099</v>
      </c>
      <c r="H982" s="3"/>
    </row>
    <row r="983" spans="1:8" ht="60" x14ac:dyDescent="0.25">
      <c r="A983" s="3" t="s">
        <v>12097</v>
      </c>
      <c r="B983" s="3" t="s">
        <v>8911</v>
      </c>
      <c r="C983" s="3" t="s">
        <v>8912</v>
      </c>
      <c r="D983" s="3">
        <v>698</v>
      </c>
      <c r="E983" s="3" t="s">
        <v>7179</v>
      </c>
      <c r="F983" s="3">
        <v>5</v>
      </c>
      <c r="G983" s="3" t="s">
        <v>8913</v>
      </c>
      <c r="H983" s="3"/>
    </row>
    <row r="984" spans="1:8" ht="225" x14ac:dyDescent="0.25">
      <c r="A984" s="3" t="s">
        <v>12097</v>
      </c>
      <c r="B984" s="3" t="s">
        <v>8914</v>
      </c>
      <c r="C984" s="3" t="s">
        <v>8915</v>
      </c>
      <c r="D984" s="3">
        <v>795</v>
      </c>
      <c r="E984" s="3" t="s">
        <v>7179</v>
      </c>
      <c r="F984" s="3">
        <v>5</v>
      </c>
      <c r="G984" s="3" t="s">
        <v>8916</v>
      </c>
      <c r="H984" s="3"/>
    </row>
    <row r="985" spans="1:8" ht="30" x14ac:dyDescent="0.25">
      <c r="A985" s="3" t="s">
        <v>12097</v>
      </c>
      <c r="B985" s="3" t="s">
        <v>8917</v>
      </c>
      <c r="C985" s="3" t="s">
        <v>8918</v>
      </c>
      <c r="D985" s="3">
        <v>1221</v>
      </c>
      <c r="E985" s="3" t="s">
        <v>7200</v>
      </c>
      <c r="F985" s="3">
        <v>8</v>
      </c>
      <c r="G985" s="3" t="s">
        <v>12099</v>
      </c>
      <c r="H985" s="3"/>
    </row>
    <row r="986" spans="1:8" ht="45" x14ac:dyDescent="0.25">
      <c r="A986" s="3" t="s">
        <v>12097</v>
      </c>
      <c r="B986" s="3" t="s">
        <v>8919</v>
      </c>
      <c r="C986" s="3" t="s">
        <v>8920</v>
      </c>
      <c r="D986" s="3">
        <v>1217</v>
      </c>
      <c r="E986" s="3" t="s">
        <v>7200</v>
      </c>
      <c r="F986" s="3">
        <v>8</v>
      </c>
      <c r="G986" s="3" t="s">
        <v>12099</v>
      </c>
      <c r="H986" s="3"/>
    </row>
    <row r="987" spans="1:8" ht="30" x14ac:dyDescent="0.25">
      <c r="A987" s="3" t="s">
        <v>12097</v>
      </c>
      <c r="B987" s="3" t="s">
        <v>8921</v>
      </c>
      <c r="C987" s="3" t="s">
        <v>8922</v>
      </c>
      <c r="D987" s="3">
        <v>1218</v>
      </c>
      <c r="E987" s="3" t="s">
        <v>7200</v>
      </c>
      <c r="F987" s="3">
        <v>8</v>
      </c>
      <c r="G987" s="3" t="s">
        <v>12099</v>
      </c>
      <c r="H987" s="3"/>
    </row>
    <row r="988" spans="1:8" ht="90" x14ac:dyDescent="0.25">
      <c r="A988" s="3" t="s">
        <v>12097</v>
      </c>
      <c r="B988" s="3" t="s">
        <v>8923</v>
      </c>
      <c r="C988" s="3" t="s">
        <v>8924</v>
      </c>
      <c r="D988" s="3">
        <v>1244</v>
      </c>
      <c r="E988" s="3" t="s">
        <v>7179</v>
      </c>
      <c r="F988" s="3">
        <v>5</v>
      </c>
      <c r="G988" s="3" t="s">
        <v>8256</v>
      </c>
      <c r="H988" s="3"/>
    </row>
    <row r="989" spans="1:8" ht="90" x14ac:dyDescent="0.25">
      <c r="A989" s="3" t="s">
        <v>12097</v>
      </c>
      <c r="B989" s="3" t="s">
        <v>8925</v>
      </c>
      <c r="C989" s="3" t="s">
        <v>8926</v>
      </c>
      <c r="D989" s="3">
        <v>1429</v>
      </c>
      <c r="E989" s="3" t="s">
        <v>7179</v>
      </c>
      <c r="F989" s="3">
        <v>5</v>
      </c>
      <c r="G989" s="3" t="s">
        <v>8194</v>
      </c>
      <c r="H989" s="3"/>
    </row>
    <row r="990" spans="1:8" ht="90" x14ac:dyDescent="0.25">
      <c r="A990" s="3" t="s">
        <v>12097</v>
      </c>
      <c r="B990" s="3" t="s">
        <v>8927</v>
      </c>
      <c r="C990" s="3" t="s">
        <v>8928</v>
      </c>
      <c r="D990" s="3">
        <v>789</v>
      </c>
      <c r="E990" s="3" t="s">
        <v>7179</v>
      </c>
      <c r="F990" s="3">
        <v>5</v>
      </c>
      <c r="G990" s="3" t="s">
        <v>8929</v>
      </c>
      <c r="H990" s="3"/>
    </row>
    <row r="991" spans="1:8" ht="75" x14ac:dyDescent="0.25">
      <c r="A991" s="3" t="s">
        <v>12097</v>
      </c>
      <c r="B991" s="3" t="s">
        <v>8930</v>
      </c>
      <c r="C991" s="3" t="s">
        <v>8931</v>
      </c>
      <c r="D991" s="3">
        <v>787</v>
      </c>
      <c r="E991" s="3" t="s">
        <v>7182</v>
      </c>
      <c r="F991" s="3">
        <v>35</v>
      </c>
      <c r="G991" s="3" t="s">
        <v>12099</v>
      </c>
      <c r="H991" s="3"/>
    </row>
    <row r="992" spans="1:8" ht="75" x14ac:dyDescent="0.25">
      <c r="A992" s="3" t="s">
        <v>12097</v>
      </c>
      <c r="B992" s="3" t="s">
        <v>8932</v>
      </c>
      <c r="C992" s="3" t="s">
        <v>8933</v>
      </c>
      <c r="D992" s="3">
        <v>788</v>
      </c>
      <c r="E992" s="3" t="s">
        <v>7182</v>
      </c>
      <c r="F992" s="3">
        <v>35</v>
      </c>
      <c r="G992" s="3" t="s">
        <v>12099</v>
      </c>
      <c r="H992" s="3"/>
    </row>
    <row r="993" spans="1:8" ht="60" x14ac:dyDescent="0.25">
      <c r="A993" s="3" t="s">
        <v>12097</v>
      </c>
      <c r="B993" s="3" t="s">
        <v>12139</v>
      </c>
      <c r="C993" s="3" t="s">
        <v>12140</v>
      </c>
      <c r="D993" s="3">
        <v>2204</v>
      </c>
      <c r="E993" s="3" t="s">
        <v>7182</v>
      </c>
      <c r="F993" s="3">
        <v>80</v>
      </c>
      <c r="G993" s="3" t="s">
        <v>12</v>
      </c>
      <c r="H993" s="3"/>
    </row>
    <row r="994" spans="1:8" ht="60" x14ac:dyDescent="0.25">
      <c r="A994" s="3" t="s">
        <v>12097</v>
      </c>
      <c r="B994" s="3" t="s">
        <v>8937</v>
      </c>
      <c r="C994" s="3" t="s">
        <v>8938</v>
      </c>
      <c r="D994" s="3">
        <v>428</v>
      </c>
      <c r="E994" s="3" t="s">
        <v>7182</v>
      </c>
      <c r="F994" s="3">
        <v>60</v>
      </c>
      <c r="G994" s="3" t="s">
        <v>12099</v>
      </c>
      <c r="H994" s="3"/>
    </row>
    <row r="995" spans="1:8" ht="165" x14ac:dyDescent="0.25">
      <c r="A995" s="3" t="s">
        <v>12097</v>
      </c>
      <c r="B995" s="3" t="s">
        <v>8939</v>
      </c>
      <c r="C995" s="3" t="s">
        <v>8940</v>
      </c>
      <c r="D995" s="3">
        <v>427</v>
      </c>
      <c r="E995" s="3" t="s">
        <v>7179</v>
      </c>
      <c r="F995" s="3">
        <v>5</v>
      </c>
      <c r="G995" s="3" t="s">
        <v>8941</v>
      </c>
      <c r="H995" s="3"/>
    </row>
    <row r="996" spans="1:8" ht="30" x14ac:dyDescent="0.25">
      <c r="A996" s="3" t="s">
        <v>12097</v>
      </c>
      <c r="B996" s="3" t="s">
        <v>8942</v>
      </c>
      <c r="C996" s="3" t="s">
        <v>8943</v>
      </c>
      <c r="D996" s="3">
        <v>1110</v>
      </c>
      <c r="E996" s="3" t="s">
        <v>7200</v>
      </c>
      <c r="F996" s="3">
        <v>8</v>
      </c>
      <c r="G996" s="3" t="s">
        <v>12099</v>
      </c>
      <c r="H996" s="3"/>
    </row>
    <row r="997" spans="1:8" ht="120" x14ac:dyDescent="0.25">
      <c r="A997" s="3" t="s">
        <v>12097</v>
      </c>
      <c r="B997" s="3" t="s">
        <v>8944</v>
      </c>
      <c r="C997" s="3" t="s">
        <v>8945</v>
      </c>
      <c r="D997" s="3">
        <v>1156</v>
      </c>
      <c r="E997" s="3" t="s">
        <v>7179</v>
      </c>
      <c r="F997" s="3">
        <v>5</v>
      </c>
      <c r="G997" s="3" t="s">
        <v>8946</v>
      </c>
      <c r="H997" s="3"/>
    </row>
    <row r="998" spans="1:8" ht="180" x14ac:dyDescent="0.25">
      <c r="A998" s="3" t="s">
        <v>12097</v>
      </c>
      <c r="B998" s="3" t="s">
        <v>8947</v>
      </c>
      <c r="C998" s="3" t="s">
        <v>8948</v>
      </c>
      <c r="D998" s="3">
        <v>771</v>
      </c>
      <c r="E998" s="3" t="s">
        <v>7179</v>
      </c>
      <c r="F998" s="3">
        <v>5</v>
      </c>
      <c r="G998" s="3" t="s">
        <v>12098</v>
      </c>
      <c r="H998" s="3"/>
    </row>
    <row r="999" spans="1:8" ht="75" x14ac:dyDescent="0.25">
      <c r="A999" s="3" t="s">
        <v>12097</v>
      </c>
      <c r="B999" s="3" t="s">
        <v>8949</v>
      </c>
      <c r="C999" s="3" t="s">
        <v>8950</v>
      </c>
      <c r="D999" s="3">
        <v>1243</v>
      </c>
      <c r="E999" s="3" t="s">
        <v>7182</v>
      </c>
      <c r="F999" s="3">
        <v>80</v>
      </c>
      <c r="G999" s="3" t="s">
        <v>12099</v>
      </c>
      <c r="H999" s="3"/>
    </row>
    <row r="1000" spans="1:8" ht="30" x14ac:dyDescent="0.25">
      <c r="A1000" s="3" t="s">
        <v>12097</v>
      </c>
      <c r="B1000" s="3" t="s">
        <v>8951</v>
      </c>
      <c r="C1000" s="3" t="s">
        <v>8952</v>
      </c>
      <c r="D1000" s="3">
        <v>2152</v>
      </c>
      <c r="E1000" s="3" t="s">
        <v>7220</v>
      </c>
      <c r="F1000" s="3"/>
      <c r="G1000" s="3" t="s">
        <v>12099</v>
      </c>
      <c r="H1000" s="3"/>
    </row>
    <row r="1001" spans="1:8" ht="30" x14ac:dyDescent="0.25">
      <c r="A1001" s="3" t="s">
        <v>12097</v>
      </c>
      <c r="B1001" s="3" t="s">
        <v>8953</v>
      </c>
      <c r="C1001" s="3" t="s">
        <v>8954</v>
      </c>
      <c r="D1001" s="3">
        <v>2153</v>
      </c>
      <c r="E1001" s="3" t="s">
        <v>7200</v>
      </c>
      <c r="F1001" s="3">
        <v>8</v>
      </c>
      <c r="G1001" s="3" t="s">
        <v>12099</v>
      </c>
      <c r="H1001" s="3"/>
    </row>
    <row r="1002" spans="1:8" ht="30" x14ac:dyDescent="0.25">
      <c r="A1002" s="3" t="s">
        <v>12097</v>
      </c>
      <c r="B1002" s="3" t="s">
        <v>8955</v>
      </c>
      <c r="C1002" s="3" t="s">
        <v>8956</v>
      </c>
      <c r="D1002" s="3">
        <v>2154</v>
      </c>
      <c r="E1002" s="3" t="s">
        <v>7200</v>
      </c>
      <c r="F1002" s="3">
        <v>8</v>
      </c>
      <c r="G1002" s="3" t="s">
        <v>12099</v>
      </c>
      <c r="H1002" s="3"/>
    </row>
    <row r="1003" spans="1:8" ht="165" x14ac:dyDescent="0.25">
      <c r="A1003" s="3" t="s">
        <v>12097</v>
      </c>
      <c r="B1003" s="3" t="s">
        <v>8957</v>
      </c>
      <c r="C1003" s="3" t="s">
        <v>8958</v>
      </c>
      <c r="D1003" s="3">
        <v>849</v>
      </c>
      <c r="E1003" s="3" t="s">
        <v>7179</v>
      </c>
      <c r="F1003" s="3">
        <v>5</v>
      </c>
      <c r="G1003" s="3" t="s">
        <v>8959</v>
      </c>
      <c r="H1003" s="3"/>
    </row>
    <row r="1004" spans="1:8" ht="105" x14ac:dyDescent="0.25">
      <c r="A1004" s="3" t="s">
        <v>12097</v>
      </c>
      <c r="B1004" s="3" t="s">
        <v>8960</v>
      </c>
      <c r="C1004" s="3" t="s">
        <v>8961</v>
      </c>
      <c r="D1004" s="3">
        <v>569</v>
      </c>
      <c r="E1004" s="3" t="s">
        <v>7179</v>
      </c>
      <c r="F1004" s="3">
        <v>5</v>
      </c>
      <c r="G1004" s="3" t="s">
        <v>8962</v>
      </c>
      <c r="H1004" s="3"/>
    </row>
    <row r="1005" spans="1:8" ht="225" x14ac:dyDescent="0.25">
      <c r="A1005" s="3" t="s">
        <v>12097</v>
      </c>
      <c r="B1005" s="3" t="s">
        <v>8963</v>
      </c>
      <c r="C1005" s="3" t="s">
        <v>8964</v>
      </c>
      <c r="D1005" s="3">
        <v>230</v>
      </c>
      <c r="E1005" s="3" t="s">
        <v>7179</v>
      </c>
      <c r="F1005" s="3">
        <v>5</v>
      </c>
      <c r="G1005" s="3" t="s">
        <v>8965</v>
      </c>
      <c r="H1005" s="3"/>
    </row>
    <row r="1006" spans="1:8" ht="30" x14ac:dyDescent="0.25">
      <c r="A1006" s="3" t="s">
        <v>12097</v>
      </c>
      <c r="B1006" s="3" t="s">
        <v>8966</v>
      </c>
      <c r="C1006" s="3" t="s">
        <v>8967</v>
      </c>
      <c r="D1006" s="3">
        <v>1371</v>
      </c>
      <c r="E1006" s="3" t="s">
        <v>7182</v>
      </c>
      <c r="F1006" s="3">
        <v>30</v>
      </c>
      <c r="G1006" s="3" t="s">
        <v>12099</v>
      </c>
      <c r="H1006" s="3"/>
    </row>
    <row r="1007" spans="1:8" ht="195" x14ac:dyDescent="0.25">
      <c r="A1007" s="3" t="s">
        <v>12097</v>
      </c>
      <c r="B1007" s="3" t="s">
        <v>8968</v>
      </c>
      <c r="C1007" s="3" t="s">
        <v>8969</v>
      </c>
      <c r="D1007" s="3">
        <v>654</v>
      </c>
      <c r="E1007" s="3" t="s">
        <v>7179</v>
      </c>
      <c r="F1007" s="3">
        <v>5</v>
      </c>
      <c r="G1007" s="3" t="s">
        <v>8970</v>
      </c>
      <c r="H1007" s="3"/>
    </row>
    <row r="1008" spans="1:8" ht="90" x14ac:dyDescent="0.25">
      <c r="A1008" s="3" t="s">
        <v>12097</v>
      </c>
      <c r="B1008" s="3" t="s">
        <v>8971</v>
      </c>
      <c r="C1008" s="3" t="s">
        <v>8972</v>
      </c>
      <c r="D1008" s="3">
        <v>1237</v>
      </c>
      <c r="E1008" s="3" t="s">
        <v>7179</v>
      </c>
      <c r="F1008" s="3">
        <v>5</v>
      </c>
      <c r="G1008" s="3" t="s">
        <v>8973</v>
      </c>
      <c r="H1008" s="3"/>
    </row>
    <row r="1009" spans="1:8" ht="60" x14ac:dyDescent="0.25">
      <c r="A1009" s="3" t="s">
        <v>12097</v>
      </c>
      <c r="B1009" s="3" t="s">
        <v>8974</v>
      </c>
      <c r="C1009" s="3" t="s">
        <v>8975</v>
      </c>
      <c r="D1009" s="3">
        <v>583</v>
      </c>
      <c r="E1009" s="3" t="s">
        <v>7182</v>
      </c>
      <c r="F1009" s="3">
        <v>60</v>
      </c>
      <c r="G1009" s="3" t="s">
        <v>12099</v>
      </c>
      <c r="H1009" s="3"/>
    </row>
    <row r="1010" spans="1:8" ht="60" x14ac:dyDescent="0.25">
      <c r="A1010" s="3" t="s">
        <v>12097</v>
      </c>
      <c r="B1010" s="3" t="s">
        <v>8976</v>
      </c>
      <c r="C1010" s="3" t="s">
        <v>8977</v>
      </c>
      <c r="D1010" s="3">
        <v>172</v>
      </c>
      <c r="E1010" s="3" t="s">
        <v>7182</v>
      </c>
      <c r="F1010" s="3">
        <v>45</v>
      </c>
      <c r="G1010" s="3" t="s">
        <v>12099</v>
      </c>
      <c r="H1010" s="3"/>
    </row>
    <row r="1011" spans="1:8" ht="90" x14ac:dyDescent="0.25">
      <c r="A1011" s="3" t="s">
        <v>12097</v>
      </c>
      <c r="B1011" s="3" t="s">
        <v>8978</v>
      </c>
      <c r="C1011" s="3" t="s">
        <v>8979</v>
      </c>
      <c r="D1011" s="3">
        <v>582</v>
      </c>
      <c r="E1011" s="3" t="s">
        <v>7179</v>
      </c>
      <c r="F1011" s="3">
        <v>5</v>
      </c>
      <c r="G1011" s="3" t="s">
        <v>8980</v>
      </c>
      <c r="H1011" s="3"/>
    </row>
    <row r="1012" spans="1:8" ht="45" x14ac:dyDescent="0.25">
      <c r="A1012" s="3" t="s">
        <v>12097</v>
      </c>
      <c r="B1012" s="3" t="s">
        <v>8981</v>
      </c>
      <c r="C1012" s="3" t="s">
        <v>8982</v>
      </c>
      <c r="D1012" s="3">
        <v>1214</v>
      </c>
      <c r="E1012" s="3" t="s">
        <v>7200</v>
      </c>
      <c r="F1012" s="3">
        <v>8</v>
      </c>
      <c r="G1012" s="3" t="s">
        <v>12099</v>
      </c>
      <c r="H1012" s="3"/>
    </row>
    <row r="1013" spans="1:8" ht="75" x14ac:dyDescent="0.25">
      <c r="A1013" s="3" t="s">
        <v>12097</v>
      </c>
      <c r="B1013" s="3" t="s">
        <v>8983</v>
      </c>
      <c r="C1013" s="3" t="s">
        <v>8984</v>
      </c>
      <c r="D1013" s="3">
        <v>779</v>
      </c>
      <c r="E1013" s="3" t="s">
        <v>7182</v>
      </c>
      <c r="F1013" s="3">
        <v>35</v>
      </c>
      <c r="G1013" s="3" t="s">
        <v>12099</v>
      </c>
      <c r="H1013" s="3"/>
    </row>
    <row r="1014" spans="1:8" ht="60" x14ac:dyDescent="0.25">
      <c r="A1014" s="3" t="s">
        <v>12097</v>
      </c>
      <c r="B1014" s="3" t="s">
        <v>8985</v>
      </c>
      <c r="C1014" s="3" t="s">
        <v>8986</v>
      </c>
      <c r="D1014" s="3">
        <v>781</v>
      </c>
      <c r="E1014" s="3" t="s">
        <v>7200</v>
      </c>
      <c r="F1014" s="3">
        <v>8</v>
      </c>
      <c r="G1014" s="3" t="s">
        <v>12099</v>
      </c>
      <c r="H1014" s="3"/>
    </row>
    <row r="1015" spans="1:8" ht="30" x14ac:dyDescent="0.25">
      <c r="A1015" s="3" t="s">
        <v>12097</v>
      </c>
      <c r="B1015" s="3" t="s">
        <v>8987</v>
      </c>
      <c r="C1015" s="3" t="s">
        <v>8988</v>
      </c>
      <c r="D1015" s="3">
        <v>782</v>
      </c>
      <c r="E1015" s="3" t="s">
        <v>7182</v>
      </c>
      <c r="F1015" s="3">
        <v>60</v>
      </c>
      <c r="G1015" s="3" t="s">
        <v>12099</v>
      </c>
      <c r="H1015" s="3"/>
    </row>
    <row r="1016" spans="1:8" ht="60" x14ac:dyDescent="0.25">
      <c r="A1016" s="3" t="s">
        <v>12097</v>
      </c>
      <c r="B1016" s="3" t="s">
        <v>8989</v>
      </c>
      <c r="C1016" s="3" t="s">
        <v>8990</v>
      </c>
      <c r="D1016" s="3">
        <v>790</v>
      </c>
      <c r="E1016" s="3" t="s">
        <v>7179</v>
      </c>
      <c r="F1016" s="3">
        <v>5</v>
      </c>
      <c r="G1016" s="3" t="s">
        <v>8991</v>
      </c>
      <c r="H1016" s="3"/>
    </row>
    <row r="1017" spans="1:8" ht="105" x14ac:dyDescent="0.25">
      <c r="A1017" s="3" t="s">
        <v>12097</v>
      </c>
      <c r="B1017" s="3" t="s">
        <v>8992</v>
      </c>
      <c r="C1017" s="3" t="s">
        <v>8993</v>
      </c>
      <c r="D1017" s="3">
        <v>778</v>
      </c>
      <c r="E1017" s="3" t="s">
        <v>7179</v>
      </c>
      <c r="F1017" s="3">
        <v>5</v>
      </c>
      <c r="G1017" s="3" t="s">
        <v>8994</v>
      </c>
      <c r="H1017" s="3"/>
    </row>
    <row r="1018" spans="1:8" ht="75" x14ac:dyDescent="0.25">
      <c r="A1018" s="3" t="s">
        <v>12097</v>
      </c>
      <c r="B1018" s="3" t="s">
        <v>8995</v>
      </c>
      <c r="C1018" s="3" t="s">
        <v>8996</v>
      </c>
      <c r="D1018" s="3">
        <v>232</v>
      </c>
      <c r="E1018" s="3" t="s">
        <v>7182</v>
      </c>
      <c r="F1018" s="3">
        <v>45</v>
      </c>
      <c r="G1018" s="3" t="s">
        <v>12099</v>
      </c>
      <c r="H1018" s="3"/>
    </row>
    <row r="1019" spans="1:8" ht="135" x14ac:dyDescent="0.25">
      <c r="A1019" s="3" t="s">
        <v>12097</v>
      </c>
      <c r="B1019" s="3" t="s">
        <v>8997</v>
      </c>
      <c r="C1019" s="3" t="s">
        <v>8998</v>
      </c>
      <c r="D1019" s="3">
        <v>1282</v>
      </c>
      <c r="E1019" s="3" t="s">
        <v>7179</v>
      </c>
      <c r="F1019" s="3">
        <v>5</v>
      </c>
      <c r="G1019" s="3" t="s">
        <v>8999</v>
      </c>
      <c r="H1019" s="3"/>
    </row>
    <row r="1020" spans="1:8" ht="75" x14ac:dyDescent="0.25">
      <c r="A1020" s="3" t="s">
        <v>12097</v>
      </c>
      <c r="B1020" s="3" t="s">
        <v>9000</v>
      </c>
      <c r="C1020" s="3" t="s">
        <v>9001</v>
      </c>
      <c r="D1020" s="3">
        <v>316</v>
      </c>
      <c r="E1020" s="3" t="s">
        <v>7179</v>
      </c>
      <c r="F1020" s="3">
        <v>5</v>
      </c>
      <c r="G1020" s="3" t="s">
        <v>12098</v>
      </c>
      <c r="H1020" s="3"/>
    </row>
    <row r="1021" spans="1:8" ht="60" x14ac:dyDescent="0.25">
      <c r="A1021" s="3" t="s">
        <v>12097</v>
      </c>
      <c r="B1021" s="3" t="s">
        <v>9002</v>
      </c>
      <c r="C1021" s="3" t="s">
        <v>9003</v>
      </c>
      <c r="D1021" s="3">
        <v>1462</v>
      </c>
      <c r="E1021" s="3" t="s">
        <v>7179</v>
      </c>
      <c r="F1021" s="3">
        <v>5</v>
      </c>
      <c r="G1021" s="3" t="s">
        <v>12098</v>
      </c>
      <c r="H1021" s="3"/>
    </row>
    <row r="1022" spans="1:8" ht="45" x14ac:dyDescent="0.25">
      <c r="A1022" s="3" t="s">
        <v>12097</v>
      </c>
      <c r="B1022" s="3" t="s">
        <v>9004</v>
      </c>
      <c r="C1022" s="3" t="s">
        <v>9005</v>
      </c>
      <c r="D1022" s="3">
        <v>233</v>
      </c>
      <c r="E1022" s="3" t="s">
        <v>7200</v>
      </c>
      <c r="F1022" s="3">
        <v>8</v>
      </c>
      <c r="G1022" s="3" t="s">
        <v>12099</v>
      </c>
      <c r="H1022" s="3"/>
    </row>
    <row r="1023" spans="1:8" ht="30" x14ac:dyDescent="0.25">
      <c r="A1023" s="3" t="s">
        <v>12097</v>
      </c>
      <c r="B1023" s="3" t="s">
        <v>9006</v>
      </c>
      <c r="C1023" s="3" t="s">
        <v>9007</v>
      </c>
      <c r="D1023" s="3">
        <v>234</v>
      </c>
      <c r="E1023" s="3" t="s">
        <v>7182</v>
      </c>
      <c r="F1023" s="3">
        <v>80</v>
      </c>
      <c r="G1023" s="3" t="s">
        <v>12099</v>
      </c>
      <c r="H1023" s="3"/>
    </row>
    <row r="1024" spans="1:8" ht="30" x14ac:dyDescent="0.25">
      <c r="A1024" s="3" t="s">
        <v>12097</v>
      </c>
      <c r="B1024" s="3" t="s">
        <v>9008</v>
      </c>
      <c r="C1024" s="3" t="s">
        <v>9009</v>
      </c>
      <c r="D1024" s="3">
        <v>235</v>
      </c>
      <c r="E1024" s="3" t="s">
        <v>7200</v>
      </c>
      <c r="F1024" s="3">
        <v>8</v>
      </c>
      <c r="G1024" s="3" t="s">
        <v>12099</v>
      </c>
      <c r="H1024" s="3"/>
    </row>
    <row r="1025" spans="1:8" ht="45" x14ac:dyDescent="0.25">
      <c r="A1025" s="3" t="s">
        <v>12097</v>
      </c>
      <c r="B1025" s="3" t="s">
        <v>9010</v>
      </c>
      <c r="C1025" s="3" t="s">
        <v>9011</v>
      </c>
      <c r="D1025" s="3">
        <v>236</v>
      </c>
      <c r="E1025" s="3" t="s">
        <v>7182</v>
      </c>
      <c r="F1025" s="3">
        <v>80</v>
      </c>
      <c r="G1025" s="3" t="s">
        <v>12099</v>
      </c>
      <c r="H1025" s="3"/>
    </row>
    <row r="1026" spans="1:8" ht="135" x14ac:dyDescent="0.25">
      <c r="A1026" s="3" t="s">
        <v>12097</v>
      </c>
      <c r="B1026" s="3" t="s">
        <v>9012</v>
      </c>
      <c r="C1026" s="3" t="s">
        <v>9013</v>
      </c>
      <c r="D1026" s="3">
        <v>237</v>
      </c>
      <c r="E1026" s="3" t="s">
        <v>7179</v>
      </c>
      <c r="F1026" s="3">
        <v>5</v>
      </c>
      <c r="G1026" s="3" t="s">
        <v>9014</v>
      </c>
      <c r="H1026" s="3"/>
    </row>
    <row r="1027" spans="1:8" ht="45" x14ac:dyDescent="0.25">
      <c r="A1027" s="3" t="s">
        <v>12097</v>
      </c>
      <c r="B1027" s="3" t="s">
        <v>9015</v>
      </c>
      <c r="C1027" s="3" t="s">
        <v>9016</v>
      </c>
      <c r="D1027" s="3">
        <v>238</v>
      </c>
      <c r="E1027" s="3" t="s">
        <v>7182</v>
      </c>
      <c r="F1027" s="3">
        <v>45</v>
      </c>
      <c r="G1027" s="3" t="s">
        <v>12099</v>
      </c>
      <c r="H1027" s="3"/>
    </row>
    <row r="1028" spans="1:8" ht="45" x14ac:dyDescent="0.25">
      <c r="A1028" s="3" t="s">
        <v>12097</v>
      </c>
      <c r="B1028" s="3" t="s">
        <v>9017</v>
      </c>
      <c r="C1028" s="3" t="s">
        <v>9018</v>
      </c>
      <c r="D1028" s="3">
        <v>791</v>
      </c>
      <c r="E1028" s="3" t="s">
        <v>7182</v>
      </c>
      <c r="F1028" s="3">
        <v>60</v>
      </c>
      <c r="G1028" s="3" t="s">
        <v>12099</v>
      </c>
      <c r="H1028" s="3"/>
    </row>
    <row r="1029" spans="1:8" ht="90" x14ac:dyDescent="0.25">
      <c r="A1029" s="3" t="s">
        <v>12097</v>
      </c>
      <c r="B1029" s="3" t="s">
        <v>9019</v>
      </c>
      <c r="C1029" s="3" t="s">
        <v>9020</v>
      </c>
      <c r="D1029" s="3">
        <v>1058</v>
      </c>
      <c r="E1029" s="3" t="s">
        <v>7179</v>
      </c>
      <c r="F1029" s="3">
        <v>5</v>
      </c>
      <c r="G1029" s="3" t="s">
        <v>12098</v>
      </c>
      <c r="H1029" s="3"/>
    </row>
    <row r="1030" spans="1:8" ht="60" x14ac:dyDescent="0.25">
      <c r="A1030" s="3" t="s">
        <v>12097</v>
      </c>
      <c r="B1030" s="3" t="s">
        <v>9021</v>
      </c>
      <c r="C1030" s="3" t="s">
        <v>9022</v>
      </c>
      <c r="D1030" s="3">
        <v>522</v>
      </c>
      <c r="E1030" s="3" t="s">
        <v>7182</v>
      </c>
      <c r="F1030" s="3">
        <v>60</v>
      </c>
      <c r="G1030" s="3" t="s">
        <v>12099</v>
      </c>
      <c r="H1030" s="3"/>
    </row>
    <row r="1031" spans="1:8" ht="150" x14ac:dyDescent="0.25">
      <c r="A1031" s="3" t="s">
        <v>12097</v>
      </c>
      <c r="B1031" s="3" t="s">
        <v>9023</v>
      </c>
      <c r="C1031" s="3" t="s">
        <v>9024</v>
      </c>
      <c r="D1031" s="3">
        <v>641</v>
      </c>
      <c r="E1031" s="3" t="s">
        <v>7182</v>
      </c>
      <c r="F1031" s="3">
        <v>5</v>
      </c>
      <c r="G1031" s="3" t="s">
        <v>12099</v>
      </c>
      <c r="H1031" s="3"/>
    </row>
    <row r="1032" spans="1:8" ht="409.5" x14ac:dyDescent="0.25">
      <c r="A1032" s="3" t="s">
        <v>12097</v>
      </c>
      <c r="B1032" s="3" t="s">
        <v>9025</v>
      </c>
      <c r="C1032" s="3" t="s">
        <v>9026</v>
      </c>
      <c r="D1032" s="3">
        <v>240</v>
      </c>
      <c r="E1032" s="3" t="s">
        <v>7179</v>
      </c>
      <c r="F1032" s="3">
        <v>5</v>
      </c>
      <c r="G1032" s="3" t="s">
        <v>9027</v>
      </c>
      <c r="H1032" s="3"/>
    </row>
    <row r="1033" spans="1:8" ht="45" x14ac:dyDescent="0.25">
      <c r="A1033" s="3" t="s">
        <v>12097</v>
      </c>
      <c r="B1033" s="3" t="s">
        <v>9028</v>
      </c>
      <c r="C1033" s="3" t="s">
        <v>9029</v>
      </c>
      <c r="D1033" s="3">
        <v>345</v>
      </c>
      <c r="E1033" s="3" t="s">
        <v>7182</v>
      </c>
      <c r="F1033" s="3">
        <v>35</v>
      </c>
      <c r="G1033" s="3" t="s">
        <v>12099</v>
      </c>
      <c r="H1033" s="3"/>
    </row>
    <row r="1034" spans="1:8" ht="105" x14ac:dyDescent="0.25">
      <c r="A1034" s="3" t="s">
        <v>12097</v>
      </c>
      <c r="B1034" s="3" t="s">
        <v>9030</v>
      </c>
      <c r="C1034" s="3" t="s">
        <v>9031</v>
      </c>
      <c r="D1034" s="3">
        <v>813</v>
      </c>
      <c r="E1034" s="3" t="s">
        <v>7182</v>
      </c>
      <c r="F1034" s="3">
        <v>60</v>
      </c>
      <c r="G1034" s="3" t="s">
        <v>12099</v>
      </c>
      <c r="H1034" s="3"/>
    </row>
    <row r="1035" spans="1:8" ht="30" x14ac:dyDescent="0.25">
      <c r="A1035" s="3" t="s">
        <v>12097</v>
      </c>
      <c r="B1035" s="3" t="s">
        <v>9032</v>
      </c>
      <c r="C1035" s="3" t="s">
        <v>9033</v>
      </c>
      <c r="D1035" s="3">
        <v>241</v>
      </c>
      <c r="E1035" s="3" t="s">
        <v>7200</v>
      </c>
      <c r="F1035" s="3">
        <v>8</v>
      </c>
      <c r="G1035" s="3" t="s">
        <v>12099</v>
      </c>
      <c r="H1035" s="3"/>
    </row>
    <row r="1036" spans="1:8" ht="30" x14ac:dyDescent="0.25">
      <c r="A1036" s="3" t="s">
        <v>12097</v>
      </c>
      <c r="B1036" s="3" t="s">
        <v>9034</v>
      </c>
      <c r="C1036" s="3" t="s">
        <v>9035</v>
      </c>
      <c r="D1036" s="3">
        <v>242</v>
      </c>
      <c r="E1036" s="3" t="s">
        <v>7182</v>
      </c>
      <c r="F1036" s="3">
        <v>45</v>
      </c>
      <c r="G1036" s="3" t="s">
        <v>12099</v>
      </c>
      <c r="H1036" s="3"/>
    </row>
    <row r="1037" spans="1:8" ht="135" x14ac:dyDescent="0.25">
      <c r="A1037" s="3" t="s">
        <v>12097</v>
      </c>
      <c r="B1037" s="3" t="s">
        <v>9036</v>
      </c>
      <c r="C1037" s="3" t="s">
        <v>9037</v>
      </c>
      <c r="D1037" s="3">
        <v>243</v>
      </c>
      <c r="E1037" s="3" t="s">
        <v>7179</v>
      </c>
      <c r="F1037" s="3">
        <v>5</v>
      </c>
      <c r="G1037" s="3" t="s">
        <v>9038</v>
      </c>
      <c r="H1037" s="3"/>
    </row>
    <row r="1038" spans="1:8" ht="75" x14ac:dyDescent="0.25">
      <c r="A1038" s="3" t="s">
        <v>12097</v>
      </c>
      <c r="B1038" s="3" t="s">
        <v>9039</v>
      </c>
      <c r="C1038" s="3" t="s">
        <v>9040</v>
      </c>
      <c r="D1038" s="3">
        <v>1047</v>
      </c>
      <c r="E1038" s="3" t="s">
        <v>7179</v>
      </c>
      <c r="F1038" s="3">
        <v>5</v>
      </c>
      <c r="G1038" s="3" t="s">
        <v>12098</v>
      </c>
      <c r="H1038" s="3"/>
    </row>
    <row r="1039" spans="1:8" ht="150" x14ac:dyDescent="0.25">
      <c r="A1039" s="3" t="s">
        <v>12097</v>
      </c>
      <c r="B1039" s="3" t="s">
        <v>9041</v>
      </c>
      <c r="C1039" s="3" t="s">
        <v>9042</v>
      </c>
      <c r="D1039" s="3">
        <v>718</v>
      </c>
      <c r="E1039" s="3" t="s">
        <v>7182</v>
      </c>
      <c r="F1039" s="3">
        <v>60</v>
      </c>
      <c r="G1039" s="3" t="s">
        <v>12099</v>
      </c>
      <c r="H1039" s="3"/>
    </row>
    <row r="1040" spans="1:8" ht="105" x14ac:dyDescent="0.25">
      <c r="A1040" s="3" t="s">
        <v>12097</v>
      </c>
      <c r="B1040" s="3" t="s">
        <v>9043</v>
      </c>
      <c r="C1040" s="3" t="s">
        <v>9044</v>
      </c>
      <c r="D1040" s="3">
        <v>244</v>
      </c>
      <c r="E1040" s="3" t="s">
        <v>7179</v>
      </c>
      <c r="F1040" s="3">
        <v>5</v>
      </c>
      <c r="G1040" s="3" t="s">
        <v>9045</v>
      </c>
      <c r="H1040" s="3"/>
    </row>
    <row r="1041" spans="1:8" ht="195" x14ac:dyDescent="0.25">
      <c r="A1041" s="3" t="s">
        <v>12097</v>
      </c>
      <c r="B1041" s="3" t="s">
        <v>9046</v>
      </c>
      <c r="C1041" s="3" t="s">
        <v>9047</v>
      </c>
      <c r="D1041" s="3">
        <v>245</v>
      </c>
      <c r="E1041" s="3" t="s">
        <v>7179</v>
      </c>
      <c r="F1041" s="3">
        <v>5</v>
      </c>
      <c r="G1041" s="3" t="s">
        <v>9048</v>
      </c>
      <c r="H1041" s="3"/>
    </row>
    <row r="1042" spans="1:8" ht="30" x14ac:dyDescent="0.25">
      <c r="A1042" s="3" t="s">
        <v>12097</v>
      </c>
      <c r="B1042" s="3" t="s">
        <v>9049</v>
      </c>
      <c r="C1042" s="3" t="s">
        <v>9050</v>
      </c>
      <c r="D1042" s="3">
        <v>1502</v>
      </c>
      <c r="E1042" s="3" t="s">
        <v>7200</v>
      </c>
      <c r="F1042" s="3">
        <v>8</v>
      </c>
      <c r="G1042" s="3" t="s">
        <v>12099</v>
      </c>
      <c r="H1042" s="3"/>
    </row>
    <row r="1043" spans="1:8" ht="60" x14ac:dyDescent="0.25">
      <c r="A1043" s="3" t="s">
        <v>12097</v>
      </c>
      <c r="B1043" s="3" t="s">
        <v>9051</v>
      </c>
      <c r="C1043" s="3" t="s">
        <v>9052</v>
      </c>
      <c r="D1043" s="3">
        <v>989</v>
      </c>
      <c r="E1043" s="3" t="s">
        <v>7200</v>
      </c>
      <c r="F1043" s="3">
        <v>8</v>
      </c>
      <c r="G1043" s="3" t="s">
        <v>12099</v>
      </c>
      <c r="H1043" s="3"/>
    </row>
    <row r="1044" spans="1:8" ht="75" x14ac:dyDescent="0.25">
      <c r="A1044" s="3" t="s">
        <v>12097</v>
      </c>
      <c r="B1044" s="3" t="s">
        <v>9053</v>
      </c>
      <c r="C1044" s="3" t="s">
        <v>9054</v>
      </c>
      <c r="D1044" s="3">
        <v>465</v>
      </c>
      <c r="E1044" s="3" t="s">
        <v>7182</v>
      </c>
      <c r="F1044" s="3">
        <v>35</v>
      </c>
      <c r="G1044" s="3" t="s">
        <v>12099</v>
      </c>
      <c r="H1044" s="3"/>
    </row>
    <row r="1045" spans="1:8" ht="90" x14ac:dyDescent="0.25">
      <c r="A1045" s="3" t="s">
        <v>12097</v>
      </c>
      <c r="B1045" s="3" t="s">
        <v>9055</v>
      </c>
      <c r="C1045" s="3" t="s">
        <v>9056</v>
      </c>
      <c r="D1045" s="3">
        <v>463</v>
      </c>
      <c r="E1045" s="3" t="s">
        <v>7182</v>
      </c>
      <c r="F1045" s="3">
        <v>60</v>
      </c>
      <c r="G1045" s="3" t="s">
        <v>12099</v>
      </c>
      <c r="H1045" s="3"/>
    </row>
    <row r="1046" spans="1:8" ht="45" x14ac:dyDescent="0.25">
      <c r="A1046" s="3" t="s">
        <v>12097</v>
      </c>
      <c r="B1046" s="3" t="s">
        <v>9057</v>
      </c>
      <c r="C1046" s="3" t="s">
        <v>9058</v>
      </c>
      <c r="D1046" s="3">
        <v>464</v>
      </c>
      <c r="E1046" s="3" t="s">
        <v>7182</v>
      </c>
      <c r="F1046" s="3">
        <v>45</v>
      </c>
      <c r="G1046" s="3" t="s">
        <v>12099</v>
      </c>
      <c r="H1046" s="3"/>
    </row>
    <row r="1047" spans="1:8" ht="165" x14ac:dyDescent="0.25">
      <c r="A1047" s="3" t="s">
        <v>12097</v>
      </c>
      <c r="B1047" s="3" t="s">
        <v>9059</v>
      </c>
      <c r="C1047" s="3" t="s">
        <v>9060</v>
      </c>
      <c r="D1047" s="3">
        <v>652</v>
      </c>
      <c r="E1047" s="3" t="s">
        <v>7179</v>
      </c>
      <c r="F1047" s="3">
        <v>5</v>
      </c>
      <c r="G1047" s="3" t="s">
        <v>9061</v>
      </c>
      <c r="H1047" s="3"/>
    </row>
    <row r="1048" spans="1:8" ht="30" x14ac:dyDescent="0.25">
      <c r="A1048" s="3" t="s">
        <v>12097</v>
      </c>
      <c r="B1048" s="3" t="s">
        <v>9062</v>
      </c>
      <c r="C1048" s="3" t="s">
        <v>9063</v>
      </c>
      <c r="D1048" s="3">
        <v>597</v>
      </c>
      <c r="E1048" s="3" t="s">
        <v>7182</v>
      </c>
      <c r="F1048" s="3">
        <v>15</v>
      </c>
      <c r="G1048" s="3" t="s">
        <v>12099</v>
      </c>
      <c r="H1048" s="3"/>
    </row>
    <row r="1049" spans="1:8" ht="75" x14ac:dyDescent="0.25">
      <c r="A1049" s="3" t="s">
        <v>12097</v>
      </c>
      <c r="B1049" s="3" t="s">
        <v>9064</v>
      </c>
      <c r="C1049" s="3" t="s">
        <v>9065</v>
      </c>
      <c r="D1049" s="3">
        <v>1470</v>
      </c>
      <c r="E1049" s="3" t="s">
        <v>7179</v>
      </c>
      <c r="F1049" s="3">
        <v>5</v>
      </c>
      <c r="G1049" s="3" t="s">
        <v>12098</v>
      </c>
      <c r="H1049" s="3"/>
    </row>
    <row r="1050" spans="1:8" ht="60" x14ac:dyDescent="0.25">
      <c r="A1050" s="3" t="s">
        <v>12097</v>
      </c>
      <c r="B1050" s="3" t="s">
        <v>9066</v>
      </c>
      <c r="C1050" s="3" t="s">
        <v>9067</v>
      </c>
      <c r="D1050" s="3">
        <v>578</v>
      </c>
      <c r="E1050" s="3" t="s">
        <v>7182</v>
      </c>
      <c r="F1050" s="3">
        <v>80</v>
      </c>
      <c r="G1050" s="3" t="s">
        <v>12099</v>
      </c>
      <c r="H1050" s="3"/>
    </row>
    <row r="1051" spans="1:8" ht="30" x14ac:dyDescent="0.25">
      <c r="A1051" s="3" t="s">
        <v>12097</v>
      </c>
      <c r="B1051" s="3" t="s">
        <v>9068</v>
      </c>
      <c r="C1051" s="3" t="s">
        <v>9069</v>
      </c>
      <c r="D1051" s="3">
        <v>246</v>
      </c>
      <c r="E1051" s="3" t="s">
        <v>7182</v>
      </c>
      <c r="F1051" s="3">
        <v>35</v>
      </c>
      <c r="G1051" s="3" t="s">
        <v>12099</v>
      </c>
      <c r="H1051" s="3"/>
    </row>
    <row r="1052" spans="1:8" ht="45" x14ac:dyDescent="0.25">
      <c r="A1052" s="3" t="s">
        <v>12097</v>
      </c>
      <c r="B1052" s="3" t="s">
        <v>9070</v>
      </c>
      <c r="C1052" s="3" t="s">
        <v>9071</v>
      </c>
      <c r="D1052" s="3">
        <v>1197</v>
      </c>
      <c r="E1052" s="3" t="s">
        <v>7200</v>
      </c>
      <c r="F1052" s="3">
        <v>8</v>
      </c>
      <c r="G1052" s="3" t="s">
        <v>12099</v>
      </c>
      <c r="H1052" s="3"/>
    </row>
    <row r="1053" spans="1:8" ht="30" x14ac:dyDescent="0.25">
      <c r="A1053" s="3" t="s">
        <v>12097</v>
      </c>
      <c r="B1053" s="3" t="s">
        <v>9072</v>
      </c>
      <c r="C1053" s="3" t="s">
        <v>9073</v>
      </c>
      <c r="D1053" s="3">
        <v>247</v>
      </c>
      <c r="E1053" s="3" t="s">
        <v>7238</v>
      </c>
      <c r="F1053" s="3">
        <v>6.2</v>
      </c>
      <c r="G1053" s="3" t="s">
        <v>12099</v>
      </c>
      <c r="H1053" s="3"/>
    </row>
    <row r="1054" spans="1:8" ht="30" x14ac:dyDescent="0.25">
      <c r="A1054" s="3" t="s">
        <v>12097</v>
      </c>
      <c r="B1054" s="3" t="s">
        <v>9074</v>
      </c>
      <c r="C1054" s="3" t="s">
        <v>9075</v>
      </c>
      <c r="D1054" s="3">
        <v>248</v>
      </c>
      <c r="E1054" s="3" t="s">
        <v>7182</v>
      </c>
      <c r="F1054" s="3">
        <v>60</v>
      </c>
      <c r="G1054" s="3" t="s">
        <v>12099</v>
      </c>
      <c r="H1054" s="3"/>
    </row>
    <row r="1055" spans="1:8" ht="45" x14ac:dyDescent="0.25">
      <c r="A1055" s="3" t="s">
        <v>12097</v>
      </c>
      <c r="B1055" s="3" t="s">
        <v>9076</v>
      </c>
      <c r="C1055" s="3" t="s">
        <v>9077</v>
      </c>
      <c r="D1055" s="3">
        <v>1198</v>
      </c>
      <c r="E1055" s="3" t="s">
        <v>7200</v>
      </c>
      <c r="F1055" s="3">
        <v>8</v>
      </c>
      <c r="G1055" s="3" t="s">
        <v>12099</v>
      </c>
      <c r="H1055" s="3"/>
    </row>
    <row r="1056" spans="1:8" ht="60" x14ac:dyDescent="0.25">
      <c r="A1056" s="3" t="s">
        <v>12097</v>
      </c>
      <c r="B1056" s="3" t="s">
        <v>9078</v>
      </c>
      <c r="C1056" s="3" t="s">
        <v>9079</v>
      </c>
      <c r="D1056" s="3">
        <v>249</v>
      </c>
      <c r="E1056" s="3" t="s">
        <v>7182</v>
      </c>
      <c r="F1056" s="3">
        <v>45</v>
      </c>
      <c r="G1056" s="3" t="s">
        <v>12099</v>
      </c>
      <c r="H1056" s="3"/>
    </row>
    <row r="1057" spans="1:8" ht="180" x14ac:dyDescent="0.25">
      <c r="A1057" s="3" t="s">
        <v>12097</v>
      </c>
      <c r="B1057" s="3" t="s">
        <v>9080</v>
      </c>
      <c r="C1057" s="3" t="s">
        <v>9081</v>
      </c>
      <c r="D1057" s="3">
        <v>250</v>
      </c>
      <c r="E1057" s="3" t="s">
        <v>7179</v>
      </c>
      <c r="F1057" s="3">
        <v>5</v>
      </c>
      <c r="G1057" s="3" t="s">
        <v>9082</v>
      </c>
      <c r="H1057" s="3"/>
    </row>
    <row r="1058" spans="1:8" ht="30" x14ac:dyDescent="0.25">
      <c r="A1058" s="3" t="s">
        <v>12097</v>
      </c>
      <c r="B1058" s="3" t="s">
        <v>9083</v>
      </c>
      <c r="C1058" s="3" t="s">
        <v>9084</v>
      </c>
      <c r="D1058" s="3">
        <v>251</v>
      </c>
      <c r="E1058" s="3" t="s">
        <v>7182</v>
      </c>
      <c r="F1058" s="3">
        <v>60</v>
      </c>
      <c r="G1058" s="3" t="s">
        <v>12099</v>
      </c>
      <c r="H1058" s="3"/>
    </row>
    <row r="1059" spans="1:8" ht="45" x14ac:dyDescent="0.25">
      <c r="A1059" s="3" t="s">
        <v>12097</v>
      </c>
      <c r="B1059" s="3" t="s">
        <v>9085</v>
      </c>
      <c r="C1059" s="3" t="s">
        <v>9086</v>
      </c>
      <c r="D1059" s="3">
        <v>252</v>
      </c>
      <c r="E1059" s="3" t="s">
        <v>7182</v>
      </c>
      <c r="F1059" s="3">
        <v>45</v>
      </c>
      <c r="G1059" s="3" t="s">
        <v>12099</v>
      </c>
      <c r="H1059" s="3"/>
    </row>
    <row r="1060" spans="1:8" ht="45" x14ac:dyDescent="0.25">
      <c r="A1060" s="3" t="s">
        <v>12097</v>
      </c>
      <c r="B1060" s="3" t="s">
        <v>9087</v>
      </c>
      <c r="C1060" s="3" t="s">
        <v>9088</v>
      </c>
      <c r="D1060" s="3">
        <v>253</v>
      </c>
      <c r="E1060" s="3" t="s">
        <v>7182</v>
      </c>
      <c r="F1060" s="3">
        <v>45</v>
      </c>
      <c r="G1060" s="3" t="s">
        <v>12099</v>
      </c>
      <c r="H1060" s="3"/>
    </row>
    <row r="1061" spans="1:8" ht="30" x14ac:dyDescent="0.25">
      <c r="A1061" s="3" t="s">
        <v>12097</v>
      </c>
      <c r="B1061" s="3" t="s">
        <v>9089</v>
      </c>
      <c r="C1061" s="3" t="s">
        <v>9090</v>
      </c>
      <c r="D1061" s="3">
        <v>1196</v>
      </c>
      <c r="E1061" s="3" t="s">
        <v>7182</v>
      </c>
      <c r="F1061" s="3">
        <v>60</v>
      </c>
      <c r="G1061" s="3" t="s">
        <v>12099</v>
      </c>
      <c r="H1061" s="3"/>
    </row>
    <row r="1062" spans="1:8" ht="165" x14ac:dyDescent="0.25">
      <c r="A1062" s="3" t="s">
        <v>12097</v>
      </c>
      <c r="B1062" s="3" t="s">
        <v>9091</v>
      </c>
      <c r="C1062" s="3" t="s">
        <v>9092</v>
      </c>
      <c r="D1062" s="3">
        <v>254</v>
      </c>
      <c r="E1062" s="3" t="s">
        <v>7179</v>
      </c>
      <c r="F1062" s="3">
        <v>5</v>
      </c>
      <c r="G1062" s="3" t="s">
        <v>9093</v>
      </c>
      <c r="H1062" s="3"/>
    </row>
    <row r="1063" spans="1:8" ht="135" x14ac:dyDescent="0.25">
      <c r="A1063" s="3" t="s">
        <v>12097</v>
      </c>
      <c r="B1063" s="3" t="s">
        <v>9094</v>
      </c>
      <c r="C1063" s="3" t="s">
        <v>9095</v>
      </c>
      <c r="D1063" s="3">
        <v>1577</v>
      </c>
      <c r="E1063" s="3" t="s">
        <v>7179</v>
      </c>
      <c r="F1063" s="3">
        <v>5</v>
      </c>
      <c r="G1063" s="3" t="s">
        <v>12141</v>
      </c>
      <c r="H1063" s="3"/>
    </row>
    <row r="1064" spans="1:8" ht="30" x14ac:dyDescent="0.25">
      <c r="A1064" s="3" t="s">
        <v>12097</v>
      </c>
      <c r="B1064" s="3" t="s">
        <v>9096</v>
      </c>
      <c r="C1064" s="3" t="s">
        <v>9097</v>
      </c>
      <c r="D1064" s="3">
        <v>1540</v>
      </c>
      <c r="E1064" s="3" t="s">
        <v>7182</v>
      </c>
      <c r="F1064" s="3">
        <v>80</v>
      </c>
      <c r="G1064" s="3" t="s">
        <v>12099</v>
      </c>
      <c r="H1064" s="3"/>
    </row>
    <row r="1065" spans="1:8" ht="165" x14ac:dyDescent="0.25">
      <c r="A1065" s="3" t="s">
        <v>12097</v>
      </c>
      <c r="B1065" s="3" t="s">
        <v>9098</v>
      </c>
      <c r="C1065" s="3" t="s">
        <v>9099</v>
      </c>
      <c r="D1065" s="3">
        <v>900</v>
      </c>
      <c r="E1065" s="3" t="s">
        <v>7179</v>
      </c>
      <c r="F1065" s="3">
        <v>5</v>
      </c>
      <c r="G1065" s="3" t="s">
        <v>9100</v>
      </c>
      <c r="H1065" s="3"/>
    </row>
    <row r="1066" spans="1:8" ht="105" x14ac:dyDescent="0.25">
      <c r="A1066" s="3" t="s">
        <v>12097</v>
      </c>
      <c r="B1066" s="3" t="s">
        <v>9101</v>
      </c>
      <c r="C1066" s="3" t="s">
        <v>9102</v>
      </c>
      <c r="D1066" s="3">
        <v>751</v>
      </c>
      <c r="E1066" s="3" t="s">
        <v>7182</v>
      </c>
      <c r="F1066" s="3">
        <v>80</v>
      </c>
      <c r="G1066" s="3" t="s">
        <v>12099</v>
      </c>
      <c r="H1066" s="3"/>
    </row>
    <row r="1067" spans="1:8" ht="90" x14ac:dyDescent="0.25">
      <c r="A1067" s="3" t="s">
        <v>12097</v>
      </c>
      <c r="B1067" s="3" t="s">
        <v>9103</v>
      </c>
      <c r="C1067" s="3" t="s">
        <v>9104</v>
      </c>
      <c r="D1067" s="3">
        <v>1148</v>
      </c>
      <c r="E1067" s="3" t="s">
        <v>7182</v>
      </c>
      <c r="F1067" s="3">
        <v>45</v>
      </c>
      <c r="G1067" s="3" t="s">
        <v>12099</v>
      </c>
      <c r="H1067" s="3"/>
    </row>
    <row r="1068" spans="1:8" ht="105" x14ac:dyDescent="0.25">
      <c r="A1068" s="3" t="s">
        <v>12097</v>
      </c>
      <c r="B1068" s="3" t="s">
        <v>9105</v>
      </c>
      <c r="C1068" s="3" t="s">
        <v>9106</v>
      </c>
      <c r="D1068" s="3">
        <v>1098</v>
      </c>
      <c r="E1068" s="3" t="s">
        <v>7179</v>
      </c>
      <c r="F1068" s="3">
        <v>5</v>
      </c>
      <c r="G1068" s="3" t="s">
        <v>9107</v>
      </c>
      <c r="H1068" s="3"/>
    </row>
    <row r="1069" spans="1:8" ht="105" x14ac:dyDescent="0.25">
      <c r="A1069" s="3" t="s">
        <v>12097</v>
      </c>
      <c r="B1069" s="3" t="s">
        <v>9108</v>
      </c>
      <c r="C1069" s="3" t="s">
        <v>9109</v>
      </c>
      <c r="D1069" s="3">
        <v>500</v>
      </c>
      <c r="E1069" s="3" t="s">
        <v>7238</v>
      </c>
      <c r="F1069" s="3">
        <v>6.2</v>
      </c>
      <c r="G1069" s="3" t="s">
        <v>12099</v>
      </c>
      <c r="H1069" s="3"/>
    </row>
    <row r="1070" spans="1:8" ht="60" x14ac:dyDescent="0.25">
      <c r="A1070" s="3" t="s">
        <v>12097</v>
      </c>
      <c r="B1070" s="3" t="s">
        <v>9110</v>
      </c>
      <c r="C1070" s="3" t="s">
        <v>9111</v>
      </c>
      <c r="D1070" s="3">
        <v>1147</v>
      </c>
      <c r="E1070" s="3" t="s">
        <v>7179</v>
      </c>
      <c r="F1070" s="3">
        <v>5</v>
      </c>
      <c r="G1070" s="3" t="s">
        <v>12098</v>
      </c>
      <c r="H1070" s="3"/>
    </row>
    <row r="1071" spans="1:8" ht="30" x14ac:dyDescent="0.25">
      <c r="A1071" s="3" t="s">
        <v>12097</v>
      </c>
      <c r="B1071" s="3" t="s">
        <v>9112</v>
      </c>
      <c r="C1071" s="3" t="s">
        <v>9113</v>
      </c>
      <c r="D1071" s="3">
        <v>1814</v>
      </c>
      <c r="E1071" s="3" t="s">
        <v>7182</v>
      </c>
      <c r="F1071" s="3">
        <v>20</v>
      </c>
      <c r="G1071" s="3" t="s">
        <v>12099</v>
      </c>
      <c r="H1071" s="3"/>
    </row>
    <row r="1072" spans="1:8" ht="30" x14ac:dyDescent="0.25">
      <c r="A1072" s="3" t="s">
        <v>12097</v>
      </c>
      <c r="B1072" s="3" t="s">
        <v>9114</v>
      </c>
      <c r="C1072" s="3" t="s">
        <v>9115</v>
      </c>
      <c r="D1072" s="3">
        <v>1815</v>
      </c>
      <c r="E1072" s="3" t="s">
        <v>7182</v>
      </c>
      <c r="F1072" s="3">
        <v>20</v>
      </c>
      <c r="G1072" s="3" t="s">
        <v>12099</v>
      </c>
      <c r="H1072" s="3"/>
    </row>
    <row r="1073" spans="1:8" ht="30" x14ac:dyDescent="0.25">
      <c r="A1073" s="3" t="s">
        <v>12097</v>
      </c>
      <c r="B1073" s="3" t="s">
        <v>9116</v>
      </c>
      <c r="C1073" s="3" t="s">
        <v>9117</v>
      </c>
      <c r="D1073" s="3">
        <v>1816</v>
      </c>
      <c r="E1073" s="3" t="s">
        <v>7182</v>
      </c>
      <c r="F1073" s="3">
        <v>20</v>
      </c>
      <c r="G1073" s="3" t="s">
        <v>12099</v>
      </c>
      <c r="H1073" s="3"/>
    </row>
    <row r="1074" spans="1:8" ht="75" x14ac:dyDescent="0.25">
      <c r="A1074" s="3" t="s">
        <v>12097</v>
      </c>
      <c r="B1074" s="3" t="s">
        <v>9118</v>
      </c>
      <c r="C1074" s="3" t="s">
        <v>9119</v>
      </c>
      <c r="D1074" s="3">
        <v>481</v>
      </c>
      <c r="E1074" s="3" t="s">
        <v>7182</v>
      </c>
      <c r="F1074" s="3">
        <v>80</v>
      </c>
      <c r="G1074" s="3" t="s">
        <v>12099</v>
      </c>
      <c r="H1074" s="3"/>
    </row>
    <row r="1075" spans="1:8" ht="60" x14ac:dyDescent="0.25">
      <c r="A1075" s="3" t="s">
        <v>12097</v>
      </c>
      <c r="B1075" s="3" t="s">
        <v>9120</v>
      </c>
      <c r="C1075" s="3" t="s">
        <v>9121</v>
      </c>
      <c r="D1075" s="3">
        <v>482</v>
      </c>
      <c r="E1075" s="3" t="s">
        <v>7182</v>
      </c>
      <c r="F1075" s="3">
        <v>80</v>
      </c>
      <c r="G1075" s="3" t="s">
        <v>12099</v>
      </c>
      <c r="H1075" s="3"/>
    </row>
    <row r="1076" spans="1:8" ht="75" x14ac:dyDescent="0.25">
      <c r="A1076" s="3" t="s">
        <v>12097</v>
      </c>
      <c r="B1076" s="3" t="s">
        <v>9122</v>
      </c>
      <c r="C1076" s="3" t="s">
        <v>9123</v>
      </c>
      <c r="D1076" s="3">
        <v>480</v>
      </c>
      <c r="E1076" s="3" t="s">
        <v>7182</v>
      </c>
      <c r="F1076" s="3">
        <v>24</v>
      </c>
      <c r="G1076" s="3" t="s">
        <v>12099</v>
      </c>
      <c r="H1076" s="3"/>
    </row>
    <row r="1077" spans="1:8" ht="45" x14ac:dyDescent="0.25">
      <c r="A1077" s="3" t="s">
        <v>12097</v>
      </c>
      <c r="B1077" s="3" t="s">
        <v>9124</v>
      </c>
      <c r="C1077" s="3" t="s">
        <v>9125</v>
      </c>
      <c r="D1077" s="3">
        <v>961</v>
      </c>
      <c r="E1077" s="3" t="s">
        <v>7182</v>
      </c>
      <c r="F1077" s="3">
        <v>80</v>
      </c>
      <c r="G1077" s="3" t="s">
        <v>12099</v>
      </c>
      <c r="H1077" s="3"/>
    </row>
    <row r="1078" spans="1:8" ht="45" x14ac:dyDescent="0.25">
      <c r="A1078" s="3" t="s">
        <v>12097</v>
      </c>
      <c r="B1078" s="3" t="s">
        <v>9127</v>
      </c>
      <c r="C1078" s="3" t="s">
        <v>9128</v>
      </c>
      <c r="D1078" s="3">
        <v>1134</v>
      </c>
      <c r="E1078" s="3" t="s">
        <v>7182</v>
      </c>
      <c r="F1078" s="3">
        <v>30</v>
      </c>
      <c r="G1078" s="3" t="s">
        <v>12099</v>
      </c>
      <c r="H1078" s="3"/>
    </row>
    <row r="1079" spans="1:8" ht="45" x14ac:dyDescent="0.25">
      <c r="A1079" s="3" t="s">
        <v>12097</v>
      </c>
      <c r="B1079" s="3" t="s">
        <v>9129</v>
      </c>
      <c r="C1079" s="3" t="s">
        <v>9130</v>
      </c>
      <c r="D1079" s="3">
        <v>865</v>
      </c>
      <c r="E1079" s="3" t="s">
        <v>7182</v>
      </c>
      <c r="F1079" s="3">
        <v>60</v>
      </c>
      <c r="G1079" s="3" t="s">
        <v>12099</v>
      </c>
      <c r="H1079" s="3"/>
    </row>
    <row r="1080" spans="1:8" ht="45" x14ac:dyDescent="0.25">
      <c r="A1080" s="3" t="s">
        <v>12097</v>
      </c>
      <c r="B1080" s="3" t="s">
        <v>9131</v>
      </c>
      <c r="C1080" s="3" t="s">
        <v>9132</v>
      </c>
      <c r="D1080" s="3">
        <v>1065</v>
      </c>
      <c r="E1080" s="3" t="s">
        <v>7200</v>
      </c>
      <c r="F1080" s="3">
        <v>8</v>
      </c>
      <c r="G1080" s="3" t="s">
        <v>12099</v>
      </c>
      <c r="H1080" s="3"/>
    </row>
    <row r="1081" spans="1:8" ht="135" x14ac:dyDescent="0.25">
      <c r="A1081" s="3" t="s">
        <v>12097</v>
      </c>
      <c r="B1081" s="3" t="s">
        <v>9133</v>
      </c>
      <c r="C1081" s="3" t="s">
        <v>9134</v>
      </c>
      <c r="D1081" s="3">
        <v>1067</v>
      </c>
      <c r="E1081" s="3" t="s">
        <v>7179</v>
      </c>
      <c r="F1081" s="3">
        <v>5</v>
      </c>
      <c r="G1081" s="3" t="s">
        <v>9135</v>
      </c>
      <c r="H1081" s="3"/>
    </row>
    <row r="1082" spans="1:8" ht="60" x14ac:dyDescent="0.25">
      <c r="A1082" s="3" t="s">
        <v>12097</v>
      </c>
      <c r="B1082" s="3" t="s">
        <v>9136</v>
      </c>
      <c r="C1082" s="3" t="s">
        <v>9137</v>
      </c>
      <c r="D1082" s="3">
        <v>1066</v>
      </c>
      <c r="E1082" s="3" t="s">
        <v>7200</v>
      </c>
      <c r="F1082" s="3">
        <v>8</v>
      </c>
      <c r="G1082" s="3" t="s">
        <v>12099</v>
      </c>
      <c r="H1082" s="3"/>
    </row>
    <row r="1083" spans="1:8" ht="90" x14ac:dyDescent="0.25">
      <c r="A1083" s="3" t="s">
        <v>12097</v>
      </c>
      <c r="B1083" s="3" t="s">
        <v>9138</v>
      </c>
      <c r="C1083" s="3" t="s">
        <v>9139</v>
      </c>
      <c r="D1083" s="3">
        <v>1068</v>
      </c>
      <c r="E1083" s="3" t="s">
        <v>7179</v>
      </c>
      <c r="F1083" s="3">
        <v>5</v>
      </c>
      <c r="G1083" s="3" t="s">
        <v>9140</v>
      </c>
      <c r="H1083" s="3"/>
    </row>
    <row r="1084" spans="1:8" ht="225" x14ac:dyDescent="0.25">
      <c r="A1084" s="3" t="s">
        <v>12097</v>
      </c>
      <c r="B1084" s="3" t="s">
        <v>9141</v>
      </c>
      <c r="C1084" s="3" t="s">
        <v>9142</v>
      </c>
      <c r="D1084" s="3">
        <v>1062</v>
      </c>
      <c r="E1084" s="3" t="s">
        <v>7179</v>
      </c>
      <c r="F1084" s="3">
        <v>5</v>
      </c>
      <c r="G1084" s="3" t="s">
        <v>9143</v>
      </c>
      <c r="H1084" s="3"/>
    </row>
    <row r="1085" spans="1:8" ht="165" x14ac:dyDescent="0.25">
      <c r="A1085" s="3" t="s">
        <v>12097</v>
      </c>
      <c r="B1085" s="3" t="s">
        <v>9144</v>
      </c>
      <c r="C1085" s="3" t="s">
        <v>9145</v>
      </c>
      <c r="D1085" s="3">
        <v>749</v>
      </c>
      <c r="E1085" s="3" t="s">
        <v>7182</v>
      </c>
      <c r="F1085" s="3">
        <v>80</v>
      </c>
      <c r="G1085" s="3" t="s">
        <v>12099</v>
      </c>
      <c r="H1085" s="3"/>
    </row>
    <row r="1086" spans="1:8" ht="105" x14ac:dyDescent="0.25">
      <c r="A1086" s="3" t="s">
        <v>12097</v>
      </c>
      <c r="B1086" s="3" t="s">
        <v>9146</v>
      </c>
      <c r="C1086" s="3" t="s">
        <v>9147</v>
      </c>
      <c r="D1086" s="3">
        <v>255</v>
      </c>
      <c r="E1086" s="3" t="s">
        <v>7179</v>
      </c>
      <c r="F1086" s="3">
        <v>5</v>
      </c>
      <c r="G1086" s="3" t="s">
        <v>9148</v>
      </c>
      <c r="H1086" s="3"/>
    </row>
    <row r="1087" spans="1:8" ht="105" x14ac:dyDescent="0.25">
      <c r="A1087" s="3" t="s">
        <v>12097</v>
      </c>
      <c r="B1087" s="3" t="s">
        <v>9149</v>
      </c>
      <c r="C1087" s="3" t="s">
        <v>9150</v>
      </c>
      <c r="D1087" s="3">
        <v>1302</v>
      </c>
      <c r="E1087" s="3" t="s">
        <v>7179</v>
      </c>
      <c r="F1087" s="3">
        <v>5</v>
      </c>
      <c r="G1087" s="3" t="s">
        <v>9151</v>
      </c>
      <c r="H1087" s="3"/>
    </row>
    <row r="1088" spans="1:8" ht="255" x14ac:dyDescent="0.25">
      <c r="A1088" s="3" t="s">
        <v>12097</v>
      </c>
      <c r="B1088" s="3" t="s">
        <v>9152</v>
      </c>
      <c r="C1088" s="3" t="s">
        <v>9153</v>
      </c>
      <c r="D1088" s="3">
        <v>944</v>
      </c>
      <c r="E1088" s="3" t="s">
        <v>7179</v>
      </c>
      <c r="F1088" s="3">
        <v>5</v>
      </c>
      <c r="G1088" s="3" t="s">
        <v>9154</v>
      </c>
      <c r="H1088" s="3"/>
    </row>
    <row r="1089" spans="1:8" ht="120" x14ac:dyDescent="0.25">
      <c r="A1089" s="3" t="s">
        <v>12097</v>
      </c>
      <c r="B1089" s="3" t="s">
        <v>9155</v>
      </c>
      <c r="C1089" s="3" t="s">
        <v>9156</v>
      </c>
      <c r="D1089" s="3">
        <v>611</v>
      </c>
      <c r="E1089" s="3" t="s">
        <v>7179</v>
      </c>
      <c r="F1089" s="3">
        <v>5</v>
      </c>
      <c r="G1089" s="3" t="s">
        <v>9157</v>
      </c>
      <c r="H1089" s="3"/>
    </row>
    <row r="1090" spans="1:8" ht="120" x14ac:dyDescent="0.25">
      <c r="A1090" s="3" t="s">
        <v>12097</v>
      </c>
      <c r="B1090" s="3" t="s">
        <v>9159</v>
      </c>
      <c r="C1090" s="3" t="s">
        <v>9160</v>
      </c>
      <c r="D1090" s="3">
        <v>559</v>
      </c>
      <c r="E1090" s="3" t="s">
        <v>7179</v>
      </c>
      <c r="F1090" s="3">
        <v>5</v>
      </c>
      <c r="G1090" s="3" t="s">
        <v>9161</v>
      </c>
      <c r="H1090" s="3"/>
    </row>
    <row r="1091" spans="1:8" ht="180" x14ac:dyDescent="0.25">
      <c r="A1091" s="3" t="s">
        <v>12097</v>
      </c>
      <c r="B1091" s="3" t="s">
        <v>9162</v>
      </c>
      <c r="C1091" s="3" t="s">
        <v>9163</v>
      </c>
      <c r="D1091" s="3">
        <v>717</v>
      </c>
      <c r="E1091" s="3" t="s">
        <v>7179</v>
      </c>
      <c r="F1091" s="3">
        <v>5</v>
      </c>
      <c r="G1091" s="3" t="s">
        <v>9164</v>
      </c>
      <c r="H1091" s="3"/>
    </row>
    <row r="1092" spans="1:8" ht="45" x14ac:dyDescent="0.25">
      <c r="A1092" s="3" t="s">
        <v>12097</v>
      </c>
      <c r="B1092" s="3" t="s">
        <v>9165</v>
      </c>
      <c r="C1092" s="3" t="s">
        <v>9166</v>
      </c>
      <c r="D1092" s="3">
        <v>258</v>
      </c>
      <c r="E1092" s="3" t="s">
        <v>7182</v>
      </c>
      <c r="F1092" s="3">
        <v>35</v>
      </c>
      <c r="G1092" s="3" t="s">
        <v>12099</v>
      </c>
      <c r="H1092" s="3"/>
    </row>
    <row r="1093" spans="1:8" ht="45" x14ac:dyDescent="0.25">
      <c r="A1093" s="3" t="s">
        <v>12097</v>
      </c>
      <c r="B1093" s="3" t="s">
        <v>9167</v>
      </c>
      <c r="C1093" s="3" t="s">
        <v>9168</v>
      </c>
      <c r="D1093" s="3">
        <v>1228</v>
      </c>
      <c r="E1093" s="3" t="s">
        <v>7200</v>
      </c>
      <c r="F1093" s="3">
        <v>8</v>
      </c>
      <c r="G1093" s="3" t="s">
        <v>12099</v>
      </c>
      <c r="H1093" s="3"/>
    </row>
    <row r="1094" spans="1:8" ht="60" x14ac:dyDescent="0.25">
      <c r="A1094" s="3" t="s">
        <v>12097</v>
      </c>
      <c r="B1094" s="3" t="s">
        <v>9169</v>
      </c>
      <c r="C1094" s="3" t="s">
        <v>9170</v>
      </c>
      <c r="D1094" s="3">
        <v>1229</v>
      </c>
      <c r="E1094" s="3" t="s">
        <v>7182</v>
      </c>
      <c r="F1094" s="3">
        <v>45</v>
      </c>
      <c r="G1094" s="3" t="s">
        <v>12099</v>
      </c>
      <c r="H1094" s="3"/>
    </row>
    <row r="1095" spans="1:8" ht="270" x14ac:dyDescent="0.25">
      <c r="A1095" s="3" t="s">
        <v>12097</v>
      </c>
      <c r="B1095" s="3" t="s">
        <v>9171</v>
      </c>
      <c r="C1095" s="3" t="s">
        <v>9172</v>
      </c>
      <c r="D1095" s="3">
        <v>1230</v>
      </c>
      <c r="E1095" s="3" t="s">
        <v>7179</v>
      </c>
      <c r="F1095" s="3">
        <v>5</v>
      </c>
      <c r="G1095" s="3" t="s">
        <v>7859</v>
      </c>
      <c r="H1095" s="3"/>
    </row>
    <row r="1096" spans="1:8" ht="30" x14ac:dyDescent="0.25">
      <c r="A1096" s="3" t="s">
        <v>12097</v>
      </c>
      <c r="B1096" s="3" t="s">
        <v>9173</v>
      </c>
      <c r="C1096" s="3" t="s">
        <v>9174</v>
      </c>
      <c r="D1096" s="3">
        <v>1319</v>
      </c>
      <c r="E1096" s="3" t="s">
        <v>7220</v>
      </c>
      <c r="F1096" s="3">
        <v>3</v>
      </c>
      <c r="G1096" s="3" t="s">
        <v>12099</v>
      </c>
      <c r="H1096" s="3"/>
    </row>
    <row r="1097" spans="1:8" ht="240" x14ac:dyDescent="0.25">
      <c r="A1097" s="3" t="s">
        <v>12097</v>
      </c>
      <c r="B1097" s="3" t="s">
        <v>9175</v>
      </c>
      <c r="C1097" s="3" t="s">
        <v>9176</v>
      </c>
      <c r="D1097" s="3">
        <v>773</v>
      </c>
      <c r="E1097" s="3" t="s">
        <v>7179</v>
      </c>
      <c r="F1097" s="3">
        <v>5</v>
      </c>
      <c r="G1097" s="3" t="s">
        <v>9177</v>
      </c>
      <c r="H1097" s="3"/>
    </row>
    <row r="1098" spans="1:8" ht="45" x14ac:dyDescent="0.25">
      <c r="A1098" s="3" t="s">
        <v>12097</v>
      </c>
      <c r="B1098" s="3" t="s">
        <v>9178</v>
      </c>
      <c r="C1098" s="3" t="s">
        <v>9179</v>
      </c>
      <c r="D1098" s="3">
        <v>1465</v>
      </c>
      <c r="E1098" s="3" t="s">
        <v>7179</v>
      </c>
      <c r="F1098" s="3">
        <v>5</v>
      </c>
      <c r="G1098" s="3" t="s">
        <v>12098</v>
      </c>
      <c r="H1098" s="3"/>
    </row>
    <row r="1099" spans="1:8" ht="45" x14ac:dyDescent="0.25">
      <c r="A1099" s="3" t="s">
        <v>12097</v>
      </c>
      <c r="B1099" s="3" t="s">
        <v>9181</v>
      </c>
      <c r="C1099" s="3" t="s">
        <v>9182</v>
      </c>
      <c r="D1099" s="3">
        <v>471</v>
      </c>
      <c r="E1099" s="3" t="s">
        <v>7200</v>
      </c>
      <c r="F1099" s="3">
        <v>8</v>
      </c>
      <c r="G1099" s="3" t="s">
        <v>12099</v>
      </c>
      <c r="H1099" s="3"/>
    </row>
    <row r="1100" spans="1:8" ht="75" x14ac:dyDescent="0.25">
      <c r="A1100" s="3" t="s">
        <v>12097</v>
      </c>
      <c r="B1100" s="3" t="s">
        <v>9183</v>
      </c>
      <c r="C1100" s="3" t="s">
        <v>9184</v>
      </c>
      <c r="D1100" s="3">
        <v>1102</v>
      </c>
      <c r="E1100" s="3" t="s">
        <v>7182</v>
      </c>
      <c r="F1100" s="3">
        <v>30</v>
      </c>
      <c r="G1100" s="3" t="s">
        <v>12099</v>
      </c>
      <c r="H1100" s="3"/>
    </row>
    <row r="1101" spans="1:8" ht="90" x14ac:dyDescent="0.25">
      <c r="A1101" s="3" t="s">
        <v>12097</v>
      </c>
      <c r="B1101" s="3" t="s">
        <v>9185</v>
      </c>
      <c r="C1101" s="3" t="s">
        <v>9186</v>
      </c>
      <c r="D1101" s="3">
        <v>763</v>
      </c>
      <c r="E1101" s="3" t="s">
        <v>7179</v>
      </c>
      <c r="F1101" s="3">
        <v>5</v>
      </c>
      <c r="G1101" s="3" t="s">
        <v>9187</v>
      </c>
      <c r="H1101" s="3"/>
    </row>
    <row r="1102" spans="1:8" ht="45" x14ac:dyDescent="0.25">
      <c r="A1102" s="3" t="s">
        <v>12097</v>
      </c>
      <c r="B1102" s="3" t="s">
        <v>9188</v>
      </c>
      <c r="C1102" s="3" t="s">
        <v>9189</v>
      </c>
      <c r="D1102" s="3">
        <v>1880</v>
      </c>
      <c r="E1102" s="3" t="s">
        <v>7182</v>
      </c>
      <c r="F1102" s="3">
        <v>50</v>
      </c>
      <c r="G1102" s="3" t="s">
        <v>12099</v>
      </c>
      <c r="H1102" s="3"/>
    </row>
    <row r="1103" spans="1:8" ht="120" x14ac:dyDescent="0.25">
      <c r="A1103" s="3" t="s">
        <v>12097</v>
      </c>
      <c r="B1103" s="3" t="s">
        <v>9190</v>
      </c>
      <c r="C1103" s="3" t="s">
        <v>9191</v>
      </c>
      <c r="D1103" s="3">
        <v>1448</v>
      </c>
      <c r="E1103" s="3" t="s">
        <v>7179</v>
      </c>
      <c r="F1103" s="3">
        <v>5</v>
      </c>
      <c r="G1103" s="3" t="s">
        <v>9192</v>
      </c>
      <c r="H1103" s="3"/>
    </row>
    <row r="1104" spans="1:8" ht="45" x14ac:dyDescent="0.25">
      <c r="A1104" s="3" t="s">
        <v>12097</v>
      </c>
      <c r="B1104" s="3" t="s">
        <v>9193</v>
      </c>
      <c r="C1104" s="3" t="s">
        <v>9194</v>
      </c>
      <c r="D1104" s="3">
        <v>811</v>
      </c>
      <c r="E1104" s="3" t="s">
        <v>7182</v>
      </c>
      <c r="F1104" s="3">
        <v>60</v>
      </c>
      <c r="G1104" s="3" t="s">
        <v>12099</v>
      </c>
      <c r="H1104" s="3"/>
    </row>
    <row r="1105" spans="1:8" ht="45" x14ac:dyDescent="0.25">
      <c r="A1105" s="3" t="s">
        <v>12097</v>
      </c>
      <c r="B1105" s="3" t="s">
        <v>9195</v>
      </c>
      <c r="C1105" s="3" t="s">
        <v>9196</v>
      </c>
      <c r="D1105" s="3">
        <v>1238</v>
      </c>
      <c r="E1105" s="3" t="s">
        <v>7200</v>
      </c>
      <c r="F1105" s="3">
        <v>8</v>
      </c>
      <c r="G1105" s="3" t="s">
        <v>12099</v>
      </c>
      <c r="H1105" s="3"/>
    </row>
    <row r="1106" spans="1:8" ht="270" x14ac:dyDescent="0.25">
      <c r="A1106" s="3" t="s">
        <v>12097</v>
      </c>
      <c r="B1106" s="3" t="s">
        <v>9197</v>
      </c>
      <c r="C1106" s="3" t="s">
        <v>9198</v>
      </c>
      <c r="D1106" s="3">
        <v>1239</v>
      </c>
      <c r="E1106" s="3" t="s">
        <v>7179</v>
      </c>
      <c r="F1106" s="3">
        <v>5</v>
      </c>
      <c r="G1106" s="3" t="s">
        <v>7859</v>
      </c>
      <c r="H1106" s="3"/>
    </row>
    <row r="1107" spans="1:8" ht="30" x14ac:dyDescent="0.25">
      <c r="A1107" s="3" t="s">
        <v>12097</v>
      </c>
      <c r="B1107" s="3" t="s">
        <v>9199</v>
      </c>
      <c r="C1107" s="3" t="s">
        <v>9200</v>
      </c>
      <c r="D1107" s="3">
        <v>1242</v>
      </c>
      <c r="E1107" s="3" t="s">
        <v>7200</v>
      </c>
      <c r="F1107" s="3">
        <v>8</v>
      </c>
      <c r="G1107" s="3" t="s">
        <v>12099</v>
      </c>
      <c r="H1107" s="3"/>
    </row>
    <row r="1108" spans="1:8" ht="60" x14ac:dyDescent="0.25">
      <c r="A1108" s="3" t="s">
        <v>12097</v>
      </c>
      <c r="B1108" s="3" t="s">
        <v>9201</v>
      </c>
      <c r="C1108" s="3" t="s">
        <v>9202</v>
      </c>
      <c r="D1108" s="3">
        <v>959</v>
      </c>
      <c r="E1108" s="3" t="s">
        <v>7220</v>
      </c>
      <c r="F1108" s="3">
        <v>4</v>
      </c>
      <c r="G1108" s="3" t="s">
        <v>12099</v>
      </c>
      <c r="H1108" s="3"/>
    </row>
    <row r="1109" spans="1:8" ht="120" x14ac:dyDescent="0.25">
      <c r="A1109" s="3" t="s">
        <v>12097</v>
      </c>
      <c r="B1109" s="3" t="s">
        <v>9203</v>
      </c>
      <c r="C1109" s="3" t="s">
        <v>9204</v>
      </c>
      <c r="D1109" s="3">
        <v>1277</v>
      </c>
      <c r="E1109" s="3" t="s">
        <v>7179</v>
      </c>
      <c r="F1109" s="3">
        <v>5</v>
      </c>
      <c r="G1109" s="3" t="s">
        <v>7899</v>
      </c>
      <c r="H1109" s="3"/>
    </row>
    <row r="1110" spans="1:8" ht="409.5" x14ac:dyDescent="0.25">
      <c r="A1110" s="3" t="s">
        <v>12097</v>
      </c>
      <c r="B1110" s="3" t="s">
        <v>9205</v>
      </c>
      <c r="C1110" s="3" t="s">
        <v>9206</v>
      </c>
      <c r="D1110" s="3">
        <v>307</v>
      </c>
      <c r="E1110" s="3" t="s">
        <v>7179</v>
      </c>
      <c r="F1110" s="3">
        <v>5</v>
      </c>
      <c r="G1110" s="3" t="s">
        <v>9207</v>
      </c>
      <c r="H1110" s="3"/>
    </row>
    <row r="1111" spans="1:8" ht="255" x14ac:dyDescent="0.25">
      <c r="A1111" s="3" t="s">
        <v>12097</v>
      </c>
      <c r="B1111" s="3" t="s">
        <v>9208</v>
      </c>
      <c r="C1111" s="3" t="s">
        <v>9209</v>
      </c>
      <c r="D1111" s="3">
        <v>1167</v>
      </c>
      <c r="E1111" s="3" t="s">
        <v>7179</v>
      </c>
      <c r="F1111" s="3">
        <v>5</v>
      </c>
      <c r="G1111" s="3" t="s">
        <v>9210</v>
      </c>
      <c r="H1111" s="3"/>
    </row>
    <row r="1112" spans="1:8" ht="360" x14ac:dyDescent="0.25">
      <c r="A1112" s="3" t="s">
        <v>12097</v>
      </c>
      <c r="B1112" s="3" t="s">
        <v>9211</v>
      </c>
      <c r="C1112" s="3" t="s">
        <v>9212</v>
      </c>
      <c r="D1112" s="3">
        <v>1260</v>
      </c>
      <c r="E1112" s="3" t="s">
        <v>7179</v>
      </c>
      <c r="F1112" s="3">
        <v>5</v>
      </c>
      <c r="G1112" s="3" t="s">
        <v>7779</v>
      </c>
      <c r="H1112" s="3"/>
    </row>
    <row r="1113" spans="1:8" ht="360" x14ac:dyDescent="0.25">
      <c r="A1113" s="3" t="s">
        <v>12097</v>
      </c>
      <c r="B1113" s="3" t="s">
        <v>9213</v>
      </c>
      <c r="C1113" s="3" t="s">
        <v>9214</v>
      </c>
      <c r="D1113" s="3">
        <v>1262</v>
      </c>
      <c r="E1113" s="3" t="s">
        <v>7179</v>
      </c>
      <c r="F1113" s="3">
        <v>5</v>
      </c>
      <c r="G1113" s="3" t="s">
        <v>7779</v>
      </c>
      <c r="H1113" s="3"/>
    </row>
    <row r="1114" spans="1:8" ht="360" x14ac:dyDescent="0.25">
      <c r="A1114" s="3" t="s">
        <v>12097</v>
      </c>
      <c r="B1114" s="3" t="s">
        <v>9215</v>
      </c>
      <c r="C1114" s="3" t="s">
        <v>9216</v>
      </c>
      <c r="D1114" s="3">
        <v>1261</v>
      </c>
      <c r="E1114" s="3" t="s">
        <v>7179</v>
      </c>
      <c r="F1114" s="3">
        <v>5</v>
      </c>
      <c r="G1114" s="3" t="s">
        <v>7779</v>
      </c>
      <c r="H1114" s="3"/>
    </row>
    <row r="1115" spans="1:8" ht="45" x14ac:dyDescent="0.25">
      <c r="A1115" s="3" t="s">
        <v>12097</v>
      </c>
      <c r="B1115" s="3" t="s">
        <v>9217</v>
      </c>
      <c r="C1115" s="3" t="s">
        <v>9218</v>
      </c>
      <c r="D1115" s="3">
        <v>1395</v>
      </c>
      <c r="E1115" s="3" t="s">
        <v>7182</v>
      </c>
      <c r="F1115" s="3">
        <v>25</v>
      </c>
      <c r="G1115" s="3" t="s">
        <v>12099</v>
      </c>
      <c r="H1115" s="3"/>
    </row>
    <row r="1116" spans="1:8" ht="150" x14ac:dyDescent="0.25">
      <c r="A1116" s="3" t="s">
        <v>12097</v>
      </c>
      <c r="B1116" s="3" t="s">
        <v>9219</v>
      </c>
      <c r="C1116" s="3" t="s">
        <v>9220</v>
      </c>
      <c r="D1116" s="3">
        <v>581</v>
      </c>
      <c r="E1116" s="3" t="s">
        <v>7238</v>
      </c>
      <c r="F1116" s="3">
        <v>6.2</v>
      </c>
      <c r="G1116" s="3" t="s">
        <v>12099</v>
      </c>
      <c r="H1116" s="3"/>
    </row>
    <row r="1117" spans="1:8" ht="105" x14ac:dyDescent="0.25">
      <c r="A1117" s="3" t="s">
        <v>12097</v>
      </c>
      <c r="B1117" s="3" t="s">
        <v>9223</v>
      </c>
      <c r="C1117" s="3" t="s">
        <v>9224</v>
      </c>
      <c r="D1117" s="3">
        <v>1543</v>
      </c>
      <c r="E1117" s="3" t="s">
        <v>7179</v>
      </c>
      <c r="F1117" s="3">
        <v>5</v>
      </c>
      <c r="G1117" s="3" t="s">
        <v>9225</v>
      </c>
      <c r="H1117" s="3"/>
    </row>
    <row r="1118" spans="1:8" ht="105" x14ac:dyDescent="0.25">
      <c r="A1118" s="3" t="s">
        <v>12097</v>
      </c>
      <c r="B1118" s="3" t="s">
        <v>9228</v>
      </c>
      <c r="C1118" s="3" t="s">
        <v>9229</v>
      </c>
      <c r="D1118" s="3">
        <v>1544</v>
      </c>
      <c r="E1118" s="3" t="s">
        <v>7179</v>
      </c>
      <c r="F1118" s="3">
        <v>5</v>
      </c>
      <c r="G1118" s="3" t="s">
        <v>9230</v>
      </c>
      <c r="H1118" s="3"/>
    </row>
    <row r="1119" spans="1:8" ht="105" x14ac:dyDescent="0.25">
      <c r="A1119" s="3" t="s">
        <v>12097</v>
      </c>
      <c r="B1119" s="3" t="s">
        <v>9231</v>
      </c>
      <c r="C1119" s="3" t="s">
        <v>9232</v>
      </c>
      <c r="D1119" s="3">
        <v>1545</v>
      </c>
      <c r="E1119" s="3" t="s">
        <v>7179</v>
      </c>
      <c r="F1119" s="3">
        <v>5</v>
      </c>
      <c r="G1119" s="3" t="s">
        <v>9233</v>
      </c>
      <c r="H1119" s="3"/>
    </row>
    <row r="1120" spans="1:8" ht="60" x14ac:dyDescent="0.25">
      <c r="A1120" s="3" t="s">
        <v>12097</v>
      </c>
      <c r="B1120" s="3" t="s">
        <v>9235</v>
      </c>
      <c r="C1120" s="3" t="s">
        <v>9236</v>
      </c>
      <c r="D1120" s="3">
        <v>1091</v>
      </c>
      <c r="E1120" s="3" t="s">
        <v>7182</v>
      </c>
      <c r="F1120" s="3">
        <v>30</v>
      </c>
      <c r="G1120" s="3" t="s">
        <v>12099</v>
      </c>
      <c r="H1120" s="3"/>
    </row>
    <row r="1121" spans="1:8" ht="345" x14ac:dyDescent="0.25">
      <c r="A1121" s="3" t="s">
        <v>12097</v>
      </c>
      <c r="B1121" s="3" t="s">
        <v>9237</v>
      </c>
      <c r="C1121" s="3" t="s">
        <v>9238</v>
      </c>
      <c r="D1121" s="3">
        <v>1090</v>
      </c>
      <c r="E1121" s="3" t="s">
        <v>7179</v>
      </c>
      <c r="F1121" s="3">
        <v>5</v>
      </c>
      <c r="G1121" s="3" t="s">
        <v>9239</v>
      </c>
      <c r="H1121" s="3"/>
    </row>
    <row r="1122" spans="1:8" ht="255" x14ac:dyDescent="0.25">
      <c r="A1122" s="3" t="s">
        <v>12097</v>
      </c>
      <c r="B1122" s="3" t="s">
        <v>9240</v>
      </c>
      <c r="C1122" s="3" t="s">
        <v>9241</v>
      </c>
      <c r="D1122" s="3">
        <v>1092</v>
      </c>
      <c r="E1122" s="3" t="s">
        <v>7182</v>
      </c>
      <c r="F1122" s="3">
        <v>30</v>
      </c>
      <c r="G1122" s="3" t="s">
        <v>12099</v>
      </c>
      <c r="H1122" s="3"/>
    </row>
    <row r="1123" spans="1:8" ht="60" x14ac:dyDescent="0.25">
      <c r="A1123" s="3" t="s">
        <v>12097</v>
      </c>
      <c r="B1123" s="3" t="s">
        <v>9242</v>
      </c>
      <c r="C1123" s="3" t="s">
        <v>9243</v>
      </c>
      <c r="D1123" s="3">
        <v>575</v>
      </c>
      <c r="E1123" s="3" t="s">
        <v>7182</v>
      </c>
      <c r="F1123" s="3">
        <v>45</v>
      </c>
      <c r="G1123" s="3" t="s">
        <v>12099</v>
      </c>
      <c r="H1123" s="3"/>
    </row>
    <row r="1124" spans="1:8" ht="75" x14ac:dyDescent="0.25">
      <c r="A1124" s="3" t="s">
        <v>12097</v>
      </c>
      <c r="B1124" s="3" t="s">
        <v>9246</v>
      </c>
      <c r="C1124" s="3" t="s">
        <v>9247</v>
      </c>
      <c r="D1124" s="3">
        <v>722</v>
      </c>
      <c r="E1124" s="3" t="s">
        <v>7182</v>
      </c>
      <c r="F1124" s="3">
        <v>60</v>
      </c>
      <c r="G1124" s="3" t="s">
        <v>12099</v>
      </c>
      <c r="H1124" s="3"/>
    </row>
    <row r="1125" spans="1:8" ht="60" x14ac:dyDescent="0.25">
      <c r="A1125" s="3" t="s">
        <v>12097</v>
      </c>
      <c r="B1125" s="3" t="s">
        <v>9248</v>
      </c>
      <c r="C1125" s="3" t="s">
        <v>9249</v>
      </c>
      <c r="D1125" s="3">
        <v>346</v>
      </c>
      <c r="E1125" s="3" t="s">
        <v>7182</v>
      </c>
      <c r="F1125" s="3">
        <v>80</v>
      </c>
      <c r="G1125" s="3" t="s">
        <v>12099</v>
      </c>
      <c r="H1125" s="3"/>
    </row>
    <row r="1126" spans="1:8" ht="315" x14ac:dyDescent="0.25">
      <c r="A1126" s="3" t="s">
        <v>12097</v>
      </c>
      <c r="B1126" s="3" t="s">
        <v>9250</v>
      </c>
      <c r="C1126" s="3" t="s">
        <v>9251</v>
      </c>
      <c r="D1126" s="3">
        <v>810</v>
      </c>
      <c r="E1126" s="3" t="s">
        <v>7182</v>
      </c>
      <c r="F1126" s="3">
        <v>60</v>
      </c>
      <c r="G1126" s="3" t="s">
        <v>12099</v>
      </c>
      <c r="H1126" s="3"/>
    </row>
    <row r="1127" spans="1:8" ht="105" x14ac:dyDescent="0.25">
      <c r="A1127" s="3" t="s">
        <v>12097</v>
      </c>
      <c r="B1127" s="3" t="s">
        <v>9252</v>
      </c>
      <c r="C1127" s="3" t="s">
        <v>9253</v>
      </c>
      <c r="D1127" s="3">
        <v>1546</v>
      </c>
      <c r="E1127" s="3" t="s">
        <v>7179</v>
      </c>
      <c r="F1127" s="3">
        <v>5</v>
      </c>
      <c r="G1127" s="3" t="s">
        <v>9233</v>
      </c>
      <c r="H1127" s="3"/>
    </row>
    <row r="1128" spans="1:8" ht="120" x14ac:dyDescent="0.25">
      <c r="A1128" s="3" t="s">
        <v>12097</v>
      </c>
      <c r="B1128" s="3" t="s">
        <v>9252</v>
      </c>
      <c r="C1128" s="3" t="s">
        <v>9253</v>
      </c>
      <c r="D1128" s="3">
        <v>1546</v>
      </c>
      <c r="E1128" s="3" t="s">
        <v>7179</v>
      </c>
      <c r="F1128" s="3">
        <v>5</v>
      </c>
      <c r="G1128" s="3" t="s">
        <v>9254</v>
      </c>
      <c r="H1128" s="3"/>
    </row>
    <row r="1129" spans="1:8" ht="75" x14ac:dyDescent="0.25">
      <c r="A1129" s="3" t="s">
        <v>12097</v>
      </c>
      <c r="B1129" s="3" t="s">
        <v>9255</v>
      </c>
      <c r="C1129" s="3" t="s">
        <v>9256</v>
      </c>
      <c r="D1129" s="3">
        <v>452</v>
      </c>
      <c r="E1129" s="3" t="s">
        <v>7182</v>
      </c>
      <c r="F1129" s="3">
        <v>60</v>
      </c>
      <c r="G1129" s="3" t="s">
        <v>12099</v>
      </c>
      <c r="H1129" s="3"/>
    </row>
    <row r="1130" spans="1:8" ht="60" x14ac:dyDescent="0.25">
      <c r="A1130" s="3" t="s">
        <v>12097</v>
      </c>
      <c r="B1130" s="3" t="s">
        <v>9257</v>
      </c>
      <c r="C1130" s="3" t="s">
        <v>9258</v>
      </c>
      <c r="D1130" s="3">
        <v>837</v>
      </c>
      <c r="E1130" s="3" t="s">
        <v>7182</v>
      </c>
      <c r="F1130" s="3">
        <v>35</v>
      </c>
      <c r="G1130" s="3" t="s">
        <v>12099</v>
      </c>
      <c r="H1130" s="3"/>
    </row>
    <row r="1131" spans="1:8" ht="90" x14ac:dyDescent="0.25">
      <c r="A1131" s="3" t="s">
        <v>12097</v>
      </c>
      <c r="B1131" s="3" t="s">
        <v>5531</v>
      </c>
      <c r="C1131" s="3" t="s">
        <v>9259</v>
      </c>
      <c r="D1131" s="3">
        <v>1444</v>
      </c>
      <c r="E1131" s="3" t="s">
        <v>7238</v>
      </c>
      <c r="F1131" s="3">
        <v>1.2</v>
      </c>
      <c r="G1131" s="3" t="s">
        <v>12099</v>
      </c>
      <c r="H1131" s="3"/>
    </row>
    <row r="1132" spans="1:8" ht="210" x14ac:dyDescent="0.25">
      <c r="A1132" s="3" t="s">
        <v>12097</v>
      </c>
      <c r="B1132" s="3" t="s">
        <v>9260</v>
      </c>
      <c r="C1132" s="3" t="s">
        <v>9261</v>
      </c>
      <c r="D1132" s="3">
        <v>840</v>
      </c>
      <c r="E1132" s="3" t="s">
        <v>7179</v>
      </c>
      <c r="F1132" s="3">
        <v>5</v>
      </c>
      <c r="G1132" s="3" t="s">
        <v>12098</v>
      </c>
      <c r="H1132" s="3"/>
    </row>
    <row r="1133" spans="1:8" ht="409.5" x14ac:dyDescent="0.25">
      <c r="A1133" s="3" t="s">
        <v>12097</v>
      </c>
      <c r="B1133" s="3" t="s">
        <v>9262</v>
      </c>
      <c r="C1133" s="3" t="s">
        <v>9263</v>
      </c>
      <c r="D1133" s="3">
        <v>1168</v>
      </c>
      <c r="E1133" s="3" t="s">
        <v>7179</v>
      </c>
      <c r="F1133" s="3">
        <v>5</v>
      </c>
      <c r="G1133" s="3" t="s">
        <v>9264</v>
      </c>
      <c r="H1133" s="3"/>
    </row>
    <row r="1134" spans="1:8" ht="45" x14ac:dyDescent="0.25">
      <c r="A1134" s="3" t="s">
        <v>12097</v>
      </c>
      <c r="B1134" s="3" t="s">
        <v>9266</v>
      </c>
      <c r="C1134" s="3" t="s">
        <v>9267</v>
      </c>
      <c r="D1134" s="3">
        <v>512</v>
      </c>
      <c r="E1134" s="3" t="s">
        <v>7182</v>
      </c>
      <c r="F1134" s="3">
        <v>80</v>
      </c>
      <c r="G1134" s="3" t="s">
        <v>12099</v>
      </c>
      <c r="H1134" s="3"/>
    </row>
    <row r="1135" spans="1:8" ht="45" x14ac:dyDescent="0.25">
      <c r="A1135" s="3" t="s">
        <v>12097</v>
      </c>
      <c r="B1135" s="3" t="s">
        <v>9268</v>
      </c>
      <c r="C1135" s="3" t="s">
        <v>9269</v>
      </c>
      <c r="D1135" s="3">
        <v>409</v>
      </c>
      <c r="E1135" s="3" t="s">
        <v>7182</v>
      </c>
      <c r="F1135" s="3">
        <v>35</v>
      </c>
      <c r="G1135" s="3" t="s">
        <v>12099</v>
      </c>
      <c r="H1135" s="3"/>
    </row>
    <row r="1136" spans="1:8" ht="60" x14ac:dyDescent="0.25">
      <c r="A1136" s="3" t="s">
        <v>12097</v>
      </c>
      <c r="B1136" s="3" t="s">
        <v>9270</v>
      </c>
      <c r="C1136" s="3" t="s">
        <v>9271</v>
      </c>
      <c r="D1136" s="3">
        <v>858</v>
      </c>
      <c r="E1136" s="3" t="s">
        <v>7182</v>
      </c>
      <c r="F1136" s="3">
        <v>60</v>
      </c>
      <c r="G1136" s="3" t="s">
        <v>12099</v>
      </c>
      <c r="H1136" s="3"/>
    </row>
    <row r="1137" spans="1:8" ht="30" x14ac:dyDescent="0.25">
      <c r="A1137" s="3" t="s">
        <v>12097</v>
      </c>
      <c r="B1137" s="3" t="s">
        <v>9272</v>
      </c>
      <c r="C1137" s="3" t="s">
        <v>9273</v>
      </c>
      <c r="D1137" s="3">
        <v>1541</v>
      </c>
      <c r="E1137" s="3" t="s">
        <v>7182</v>
      </c>
      <c r="F1137" s="3">
        <v>80</v>
      </c>
      <c r="G1137" s="3" t="s">
        <v>12099</v>
      </c>
      <c r="H1137" s="3"/>
    </row>
    <row r="1138" spans="1:8" ht="180" x14ac:dyDescent="0.25">
      <c r="A1138" s="3" t="s">
        <v>12097</v>
      </c>
      <c r="B1138" s="3" t="s">
        <v>9274</v>
      </c>
      <c r="C1138" s="3" t="s">
        <v>9275</v>
      </c>
      <c r="D1138" s="3">
        <v>1542</v>
      </c>
      <c r="E1138" s="3" t="s">
        <v>7179</v>
      </c>
      <c r="F1138" s="3">
        <v>5</v>
      </c>
      <c r="G1138" s="3" t="s">
        <v>12122</v>
      </c>
      <c r="H1138" s="3"/>
    </row>
    <row r="1139" spans="1:8" ht="60" x14ac:dyDescent="0.25">
      <c r="A1139" s="3" t="s">
        <v>12097</v>
      </c>
      <c r="B1139" s="3" t="s">
        <v>9276</v>
      </c>
      <c r="C1139" s="3" t="s">
        <v>9277</v>
      </c>
      <c r="D1139" s="3">
        <v>1547</v>
      </c>
      <c r="E1139" s="3" t="s">
        <v>7179</v>
      </c>
      <c r="F1139" s="3">
        <v>5</v>
      </c>
      <c r="G1139" s="3" t="s">
        <v>9278</v>
      </c>
      <c r="H1139" s="3"/>
    </row>
    <row r="1140" spans="1:8" ht="165" x14ac:dyDescent="0.25">
      <c r="A1140" s="3" t="s">
        <v>12097</v>
      </c>
      <c r="B1140" s="3" t="s">
        <v>9279</v>
      </c>
      <c r="C1140" s="3" t="s">
        <v>9280</v>
      </c>
      <c r="D1140" s="3">
        <v>190</v>
      </c>
      <c r="E1140" s="3" t="s">
        <v>7179</v>
      </c>
      <c r="F1140" s="3">
        <v>5</v>
      </c>
      <c r="G1140" s="3" t="s">
        <v>9281</v>
      </c>
      <c r="H1140" s="3"/>
    </row>
    <row r="1141" spans="1:8" ht="75" x14ac:dyDescent="0.25">
      <c r="A1141" s="3" t="s">
        <v>12097</v>
      </c>
      <c r="B1141" s="3" t="s">
        <v>9282</v>
      </c>
      <c r="C1141" s="3" t="s">
        <v>9283</v>
      </c>
      <c r="D1141" s="3">
        <v>191</v>
      </c>
      <c r="E1141" s="3" t="s">
        <v>7200</v>
      </c>
      <c r="F1141" s="3">
        <v>4</v>
      </c>
      <c r="G1141" s="3" t="s">
        <v>12099</v>
      </c>
      <c r="H1141" s="3"/>
    </row>
    <row r="1142" spans="1:8" ht="45" x14ac:dyDescent="0.25">
      <c r="A1142" s="3" t="s">
        <v>12097</v>
      </c>
      <c r="B1142" s="3" t="s">
        <v>9284</v>
      </c>
      <c r="C1142" s="3" t="s">
        <v>9285</v>
      </c>
      <c r="D1142" s="3">
        <v>1466</v>
      </c>
      <c r="E1142" s="3" t="s">
        <v>7200</v>
      </c>
      <c r="F1142" s="3">
        <v>8</v>
      </c>
      <c r="G1142" s="3" t="s">
        <v>12099</v>
      </c>
      <c r="H1142" s="3"/>
    </row>
    <row r="1143" spans="1:8" ht="45" x14ac:dyDescent="0.25">
      <c r="A1143" s="3" t="s">
        <v>12097</v>
      </c>
      <c r="B1143" s="3" t="s">
        <v>9286</v>
      </c>
      <c r="C1143" s="3" t="s">
        <v>9287</v>
      </c>
      <c r="D1143" s="3">
        <v>1467</v>
      </c>
      <c r="E1143" s="3" t="s">
        <v>7220</v>
      </c>
      <c r="F1143" s="3">
        <v>5</v>
      </c>
      <c r="G1143" s="3" t="s">
        <v>12099</v>
      </c>
      <c r="H1143" s="3"/>
    </row>
    <row r="1144" spans="1:8" ht="409.5" x14ac:dyDescent="0.25">
      <c r="A1144" s="3" t="s">
        <v>12097</v>
      </c>
      <c r="B1144" s="3" t="s">
        <v>9288</v>
      </c>
      <c r="C1144" s="3" t="s">
        <v>9289</v>
      </c>
      <c r="D1144" s="3">
        <v>268</v>
      </c>
      <c r="E1144" s="3" t="s">
        <v>7179</v>
      </c>
      <c r="F1144" s="3">
        <v>5</v>
      </c>
      <c r="G1144" s="3" t="s">
        <v>9290</v>
      </c>
      <c r="H1144" s="3"/>
    </row>
    <row r="1145" spans="1:8" ht="135" x14ac:dyDescent="0.25">
      <c r="A1145" s="3" t="s">
        <v>12097</v>
      </c>
      <c r="B1145" s="3" t="s">
        <v>9291</v>
      </c>
      <c r="C1145" s="3" t="s">
        <v>9292</v>
      </c>
      <c r="D1145" s="3">
        <v>1281</v>
      </c>
      <c r="E1145" s="3" t="s">
        <v>7179</v>
      </c>
      <c r="F1145" s="3">
        <v>5</v>
      </c>
      <c r="G1145" s="3" t="s">
        <v>9293</v>
      </c>
      <c r="H1145" s="3"/>
    </row>
    <row r="1146" spans="1:8" ht="75" x14ac:dyDescent="0.25">
      <c r="A1146" s="3" t="s">
        <v>12097</v>
      </c>
      <c r="B1146" s="3" t="s">
        <v>9294</v>
      </c>
      <c r="C1146" s="3" t="s">
        <v>9295</v>
      </c>
      <c r="D1146" s="3">
        <v>270</v>
      </c>
      <c r="E1146" s="3" t="s">
        <v>7179</v>
      </c>
      <c r="F1146" s="3">
        <v>5</v>
      </c>
      <c r="G1146" s="3" t="s">
        <v>7444</v>
      </c>
      <c r="H1146" s="3"/>
    </row>
    <row r="1147" spans="1:8" ht="60" x14ac:dyDescent="0.25">
      <c r="A1147" s="3" t="s">
        <v>12097</v>
      </c>
      <c r="B1147" s="3" t="s">
        <v>9294</v>
      </c>
      <c r="C1147" s="3" t="s">
        <v>9295</v>
      </c>
      <c r="D1147" s="3">
        <v>270</v>
      </c>
      <c r="E1147" s="3" t="s">
        <v>7179</v>
      </c>
      <c r="F1147" s="3">
        <v>5</v>
      </c>
      <c r="G1147" s="3" t="s">
        <v>12098</v>
      </c>
      <c r="H1147" s="3"/>
    </row>
    <row r="1148" spans="1:8" ht="105" x14ac:dyDescent="0.25">
      <c r="A1148" s="3" t="s">
        <v>12097</v>
      </c>
      <c r="B1148" s="3" t="s">
        <v>9298</v>
      </c>
      <c r="C1148" s="3" t="s">
        <v>9299</v>
      </c>
      <c r="D1148" s="3">
        <v>720</v>
      </c>
      <c r="E1148" s="3" t="s">
        <v>7179</v>
      </c>
      <c r="F1148" s="3">
        <v>5</v>
      </c>
      <c r="G1148" s="3" t="s">
        <v>9300</v>
      </c>
      <c r="H1148" s="3"/>
    </row>
    <row r="1149" spans="1:8" ht="45" x14ac:dyDescent="0.25">
      <c r="A1149" s="3" t="s">
        <v>12097</v>
      </c>
      <c r="B1149" s="3" t="s">
        <v>9301</v>
      </c>
      <c r="C1149" s="3" t="s">
        <v>9302</v>
      </c>
      <c r="D1149" s="3">
        <v>1136</v>
      </c>
      <c r="E1149" s="3" t="s">
        <v>7182</v>
      </c>
      <c r="F1149" s="3">
        <v>30</v>
      </c>
      <c r="G1149" s="3" t="s">
        <v>12099</v>
      </c>
      <c r="H1149" s="3"/>
    </row>
    <row r="1150" spans="1:8" ht="45" x14ac:dyDescent="0.25">
      <c r="A1150" s="3" t="s">
        <v>12097</v>
      </c>
      <c r="B1150" s="3" t="s">
        <v>9303</v>
      </c>
      <c r="C1150" s="3" t="s">
        <v>9304</v>
      </c>
      <c r="D1150" s="3">
        <v>1133</v>
      </c>
      <c r="E1150" s="3" t="s">
        <v>7182</v>
      </c>
      <c r="F1150" s="3">
        <v>30</v>
      </c>
      <c r="G1150" s="3" t="s">
        <v>12099</v>
      </c>
      <c r="H1150" s="3"/>
    </row>
    <row r="1151" spans="1:8" ht="105" x14ac:dyDescent="0.25">
      <c r="A1151" s="3" t="s">
        <v>12097</v>
      </c>
      <c r="B1151" s="3" t="s">
        <v>9305</v>
      </c>
      <c r="C1151" s="3" t="s">
        <v>9306</v>
      </c>
      <c r="D1151" s="3">
        <v>993</v>
      </c>
      <c r="E1151" s="3" t="s">
        <v>7179</v>
      </c>
      <c r="F1151" s="3">
        <v>5</v>
      </c>
      <c r="G1151" s="3" t="s">
        <v>9307</v>
      </c>
      <c r="H1151" s="3"/>
    </row>
    <row r="1152" spans="1:8" ht="90" x14ac:dyDescent="0.25">
      <c r="A1152" s="3" t="s">
        <v>12097</v>
      </c>
      <c r="B1152" s="3" t="s">
        <v>9308</v>
      </c>
      <c r="C1152" s="3" t="s">
        <v>9309</v>
      </c>
      <c r="D1152" s="3">
        <v>271</v>
      </c>
      <c r="E1152" s="3" t="s">
        <v>7182</v>
      </c>
      <c r="F1152" s="3">
        <v>45</v>
      </c>
      <c r="G1152" s="3" t="s">
        <v>12099</v>
      </c>
      <c r="H1152" s="3"/>
    </row>
    <row r="1153" spans="1:8" ht="45" x14ac:dyDescent="0.25">
      <c r="A1153" s="3" t="s">
        <v>12097</v>
      </c>
      <c r="B1153" s="3" t="s">
        <v>9310</v>
      </c>
      <c r="C1153" s="3" t="s">
        <v>9311</v>
      </c>
      <c r="D1153" s="3">
        <v>1428</v>
      </c>
      <c r="E1153" s="3" t="s">
        <v>7179</v>
      </c>
      <c r="F1153" s="3">
        <v>5</v>
      </c>
      <c r="G1153" s="3" t="s">
        <v>12098</v>
      </c>
      <c r="H1153" s="3"/>
    </row>
    <row r="1154" spans="1:8" ht="30" x14ac:dyDescent="0.25">
      <c r="A1154" s="3" t="s">
        <v>12097</v>
      </c>
      <c r="B1154" s="3" t="s">
        <v>12142</v>
      </c>
      <c r="C1154" s="3" t="s">
        <v>12143</v>
      </c>
      <c r="D1154" s="3">
        <v>2205</v>
      </c>
      <c r="E1154" s="3" t="s">
        <v>7182</v>
      </c>
      <c r="F1154" s="3"/>
      <c r="G1154" s="3" t="s">
        <v>12</v>
      </c>
      <c r="H1154" s="3"/>
    </row>
    <row r="1155" spans="1:8" ht="60" x14ac:dyDescent="0.25">
      <c r="A1155" s="3" t="s">
        <v>12097</v>
      </c>
      <c r="B1155" s="3" t="s">
        <v>9312</v>
      </c>
      <c r="C1155" s="3" t="s">
        <v>9313</v>
      </c>
      <c r="D1155" s="3">
        <v>621</v>
      </c>
      <c r="E1155" s="3" t="s">
        <v>7179</v>
      </c>
      <c r="F1155" s="3">
        <v>5</v>
      </c>
      <c r="G1155" s="3" t="s">
        <v>9314</v>
      </c>
      <c r="H1155" s="3"/>
    </row>
    <row r="1156" spans="1:8" ht="75" x14ac:dyDescent="0.25">
      <c r="A1156" s="3" t="s">
        <v>12097</v>
      </c>
      <c r="B1156" s="3" t="s">
        <v>9315</v>
      </c>
      <c r="C1156" s="3" t="s">
        <v>9316</v>
      </c>
      <c r="D1156" s="3">
        <v>1844</v>
      </c>
      <c r="E1156" s="3" t="s">
        <v>7182</v>
      </c>
      <c r="F1156" s="3">
        <v>30</v>
      </c>
      <c r="G1156" s="3" t="s">
        <v>12099</v>
      </c>
      <c r="H1156" s="3"/>
    </row>
    <row r="1157" spans="1:8" ht="75" x14ac:dyDescent="0.25">
      <c r="A1157" s="3" t="s">
        <v>12097</v>
      </c>
      <c r="B1157" s="3" t="s">
        <v>9317</v>
      </c>
      <c r="C1157" s="3" t="s">
        <v>9318</v>
      </c>
      <c r="D1157" s="3">
        <v>628</v>
      </c>
      <c r="E1157" s="3" t="s">
        <v>7179</v>
      </c>
      <c r="F1157" s="3">
        <v>5</v>
      </c>
      <c r="G1157" s="3" t="s">
        <v>9319</v>
      </c>
      <c r="H1157" s="3"/>
    </row>
    <row r="1158" spans="1:8" ht="45" x14ac:dyDescent="0.25">
      <c r="A1158" s="3" t="s">
        <v>12097</v>
      </c>
      <c r="B1158" s="3" t="s">
        <v>12144</v>
      </c>
      <c r="C1158" s="3" t="s">
        <v>12145</v>
      </c>
      <c r="D1158" s="3">
        <v>2206</v>
      </c>
      <c r="E1158" s="3" t="s">
        <v>7182</v>
      </c>
      <c r="F1158" s="3"/>
      <c r="G1158" s="3" t="s">
        <v>12</v>
      </c>
      <c r="H1158" s="3"/>
    </row>
    <row r="1159" spans="1:8" ht="60" x14ac:dyDescent="0.25">
      <c r="A1159" s="3" t="s">
        <v>12097</v>
      </c>
      <c r="B1159" s="3" t="s">
        <v>9320</v>
      </c>
      <c r="C1159" s="3" t="s">
        <v>9321</v>
      </c>
      <c r="D1159" s="3">
        <v>1846</v>
      </c>
      <c r="E1159" s="3" t="s">
        <v>7182</v>
      </c>
      <c r="F1159" s="3">
        <v>200</v>
      </c>
      <c r="G1159" s="3" t="s">
        <v>12099</v>
      </c>
      <c r="H1159" s="3"/>
    </row>
    <row r="1160" spans="1:8" ht="165" x14ac:dyDescent="0.25">
      <c r="A1160" s="3" t="s">
        <v>12097</v>
      </c>
      <c r="B1160" s="3" t="s">
        <v>9323</v>
      </c>
      <c r="C1160" s="3" t="s">
        <v>9324</v>
      </c>
      <c r="D1160" s="3">
        <v>719</v>
      </c>
      <c r="E1160" s="3" t="s">
        <v>7179</v>
      </c>
      <c r="F1160" s="3">
        <v>5</v>
      </c>
      <c r="G1160" s="3" t="s">
        <v>9325</v>
      </c>
      <c r="H1160" s="3"/>
    </row>
    <row r="1161" spans="1:8" ht="135" x14ac:dyDescent="0.25">
      <c r="A1161" s="3" t="s">
        <v>12097</v>
      </c>
      <c r="B1161" s="3" t="s">
        <v>9326</v>
      </c>
      <c r="C1161" s="3" t="s">
        <v>9327</v>
      </c>
      <c r="D1161" s="3">
        <v>750</v>
      </c>
      <c r="E1161" s="3" t="s">
        <v>7182</v>
      </c>
      <c r="F1161" s="3">
        <v>80</v>
      </c>
      <c r="G1161" s="3" t="s">
        <v>12099</v>
      </c>
      <c r="H1161" s="3"/>
    </row>
    <row r="1162" spans="1:8" ht="75" x14ac:dyDescent="0.25">
      <c r="A1162" s="3" t="s">
        <v>12097</v>
      </c>
      <c r="B1162" s="3" t="s">
        <v>9328</v>
      </c>
      <c r="C1162" s="3" t="s">
        <v>9329</v>
      </c>
      <c r="D1162" s="3">
        <v>486</v>
      </c>
      <c r="E1162" s="3" t="s">
        <v>7179</v>
      </c>
      <c r="F1162" s="3">
        <v>5</v>
      </c>
      <c r="G1162" s="3" t="s">
        <v>9330</v>
      </c>
      <c r="H1162" s="3"/>
    </row>
    <row r="1163" spans="1:8" ht="75" x14ac:dyDescent="0.25">
      <c r="A1163" s="3" t="s">
        <v>12097</v>
      </c>
      <c r="B1163" s="3" t="s">
        <v>9331</v>
      </c>
      <c r="C1163" s="3" t="s">
        <v>9332</v>
      </c>
      <c r="D1163" s="3">
        <v>1303</v>
      </c>
      <c r="E1163" s="3" t="s">
        <v>7179</v>
      </c>
      <c r="F1163" s="3">
        <v>5</v>
      </c>
      <c r="G1163" s="3" t="s">
        <v>9333</v>
      </c>
      <c r="H1163" s="3"/>
    </row>
    <row r="1164" spans="1:8" ht="409.5" x14ac:dyDescent="0.25">
      <c r="A1164" s="3" t="s">
        <v>12097</v>
      </c>
      <c r="B1164" s="3" t="s">
        <v>9334</v>
      </c>
      <c r="C1164" s="3" t="s">
        <v>9335</v>
      </c>
      <c r="D1164" s="3">
        <v>499</v>
      </c>
      <c r="E1164" s="3" t="s">
        <v>7179</v>
      </c>
      <c r="F1164" s="3">
        <v>5</v>
      </c>
      <c r="G1164" s="3" t="s">
        <v>9336</v>
      </c>
      <c r="H1164" s="3"/>
    </row>
    <row r="1165" spans="1:8" ht="30" x14ac:dyDescent="0.25">
      <c r="A1165" s="3" t="s">
        <v>12097</v>
      </c>
      <c r="B1165" s="3" t="s">
        <v>9337</v>
      </c>
      <c r="C1165" s="3" t="s">
        <v>9338</v>
      </c>
      <c r="D1165" s="3">
        <v>1111</v>
      </c>
      <c r="E1165" s="3" t="s">
        <v>7200</v>
      </c>
      <c r="F1165" s="3">
        <v>8</v>
      </c>
      <c r="G1165" s="3" t="s">
        <v>12099</v>
      </c>
      <c r="H1165" s="3"/>
    </row>
    <row r="1166" spans="1:8" ht="240" x14ac:dyDescent="0.25">
      <c r="A1166" s="3" t="s">
        <v>12097</v>
      </c>
      <c r="B1166" s="3" t="s">
        <v>9340</v>
      </c>
      <c r="C1166" s="3" t="s">
        <v>9341</v>
      </c>
      <c r="D1166" s="3">
        <v>1024</v>
      </c>
      <c r="E1166" s="3" t="s">
        <v>7179</v>
      </c>
      <c r="F1166" s="3">
        <v>5</v>
      </c>
      <c r="G1166" s="3" t="s">
        <v>9342</v>
      </c>
      <c r="H1166" s="3"/>
    </row>
    <row r="1167" spans="1:8" ht="180" x14ac:dyDescent="0.25">
      <c r="A1167" s="3" t="s">
        <v>12097</v>
      </c>
      <c r="B1167" s="3" t="s">
        <v>9343</v>
      </c>
      <c r="C1167" s="3" t="s">
        <v>9344</v>
      </c>
      <c r="D1167" s="3">
        <v>278</v>
      </c>
      <c r="E1167" s="3" t="s">
        <v>7179</v>
      </c>
      <c r="F1167" s="3">
        <v>5</v>
      </c>
      <c r="G1167" s="3" t="s">
        <v>9345</v>
      </c>
      <c r="H1167" s="3"/>
    </row>
    <row r="1168" spans="1:8" ht="409.5" x14ac:dyDescent="0.25">
      <c r="A1168" s="3" t="s">
        <v>12097</v>
      </c>
      <c r="B1168" s="3" t="s">
        <v>9346</v>
      </c>
      <c r="C1168" s="3" t="s">
        <v>9347</v>
      </c>
      <c r="D1168" s="3">
        <v>436</v>
      </c>
      <c r="E1168" s="3" t="s">
        <v>7179</v>
      </c>
      <c r="F1168" s="3">
        <v>5</v>
      </c>
      <c r="G1168" s="3" t="s">
        <v>9348</v>
      </c>
      <c r="H1168" s="3"/>
    </row>
    <row r="1169" spans="1:8" ht="409.5" x14ac:dyDescent="0.25">
      <c r="A1169" s="3" t="s">
        <v>12097</v>
      </c>
      <c r="B1169" s="3" t="s">
        <v>9349</v>
      </c>
      <c r="C1169" s="3" t="s">
        <v>9350</v>
      </c>
      <c r="D1169" s="3">
        <v>421</v>
      </c>
      <c r="E1169" s="3" t="s">
        <v>7179</v>
      </c>
      <c r="F1169" s="3">
        <v>5</v>
      </c>
      <c r="G1169" s="3" t="s">
        <v>9348</v>
      </c>
      <c r="H1169" s="3"/>
    </row>
    <row r="1170" spans="1:8" ht="240" x14ac:dyDescent="0.25">
      <c r="A1170" s="3" t="s">
        <v>12097</v>
      </c>
      <c r="B1170" s="3" t="s">
        <v>9351</v>
      </c>
      <c r="C1170" s="3" t="s">
        <v>9352</v>
      </c>
      <c r="D1170" s="3">
        <v>1162</v>
      </c>
      <c r="E1170" s="3" t="s">
        <v>7179</v>
      </c>
      <c r="F1170" s="3">
        <v>5</v>
      </c>
      <c r="G1170" s="3" t="s">
        <v>8699</v>
      </c>
      <c r="H1170" s="3"/>
    </row>
    <row r="1171" spans="1:8" ht="300" x14ac:dyDescent="0.25">
      <c r="A1171" s="3" t="s">
        <v>12097</v>
      </c>
      <c r="B1171" s="3" t="s">
        <v>9353</v>
      </c>
      <c r="C1171" s="3" t="s">
        <v>9354</v>
      </c>
      <c r="D1171" s="3">
        <v>1085</v>
      </c>
      <c r="E1171" s="3" t="s">
        <v>7179</v>
      </c>
      <c r="F1171" s="3">
        <v>5</v>
      </c>
      <c r="G1171" s="3" t="s">
        <v>9355</v>
      </c>
      <c r="H1171" s="3"/>
    </row>
    <row r="1172" spans="1:8" ht="120" x14ac:dyDescent="0.25">
      <c r="A1172" s="3" t="s">
        <v>12097</v>
      </c>
      <c r="B1172" s="3" t="s">
        <v>9356</v>
      </c>
      <c r="C1172" s="3" t="s">
        <v>9357</v>
      </c>
      <c r="D1172" s="3">
        <v>1087</v>
      </c>
      <c r="E1172" s="3" t="s">
        <v>7179</v>
      </c>
      <c r="F1172" s="3">
        <v>5</v>
      </c>
      <c r="G1172" s="3" t="s">
        <v>9358</v>
      </c>
      <c r="H1172" s="3"/>
    </row>
    <row r="1173" spans="1:8" ht="120" x14ac:dyDescent="0.25">
      <c r="A1173" s="3" t="s">
        <v>12097</v>
      </c>
      <c r="B1173" s="3" t="s">
        <v>9359</v>
      </c>
      <c r="C1173" s="3" t="s">
        <v>9360</v>
      </c>
      <c r="D1173" s="3">
        <v>1086</v>
      </c>
      <c r="E1173" s="3" t="s">
        <v>7179</v>
      </c>
      <c r="F1173" s="3">
        <v>5</v>
      </c>
      <c r="G1173" s="3" t="s">
        <v>9361</v>
      </c>
      <c r="H1173" s="3"/>
    </row>
    <row r="1174" spans="1:8" ht="60" x14ac:dyDescent="0.25">
      <c r="A1174" s="3" t="s">
        <v>12097</v>
      </c>
      <c r="B1174" s="3" t="s">
        <v>9362</v>
      </c>
      <c r="C1174" s="3" t="s">
        <v>9363</v>
      </c>
      <c r="D1174" s="3">
        <v>1417</v>
      </c>
      <c r="E1174" s="3" t="s">
        <v>7179</v>
      </c>
      <c r="F1174" s="3">
        <v>5</v>
      </c>
      <c r="G1174" s="3" t="s">
        <v>12098</v>
      </c>
      <c r="H1174" s="3"/>
    </row>
    <row r="1175" spans="1:8" ht="135" x14ac:dyDescent="0.25">
      <c r="A1175" s="3" t="s">
        <v>12097</v>
      </c>
      <c r="B1175" s="3" t="s">
        <v>9365</v>
      </c>
      <c r="C1175" s="3" t="s">
        <v>9366</v>
      </c>
      <c r="D1175" s="3">
        <v>281</v>
      </c>
      <c r="E1175" s="3" t="s">
        <v>7182</v>
      </c>
      <c r="F1175" s="3">
        <v>60</v>
      </c>
      <c r="G1175" s="3" t="s">
        <v>12099</v>
      </c>
      <c r="H1175" s="3"/>
    </row>
    <row r="1176" spans="1:8" ht="30" x14ac:dyDescent="0.25">
      <c r="A1176" s="3" t="s">
        <v>12097</v>
      </c>
      <c r="B1176" s="3" t="s">
        <v>9367</v>
      </c>
      <c r="C1176" s="3" t="s">
        <v>9368</v>
      </c>
      <c r="D1176" s="3">
        <v>472</v>
      </c>
      <c r="E1176" s="3" t="s">
        <v>7200</v>
      </c>
      <c r="F1176" s="3">
        <v>8</v>
      </c>
      <c r="G1176" s="3" t="s">
        <v>12099</v>
      </c>
      <c r="H1176" s="3"/>
    </row>
    <row r="1177" spans="1:8" ht="240" x14ac:dyDescent="0.25">
      <c r="A1177" s="3" t="s">
        <v>12097</v>
      </c>
      <c r="B1177" s="3" t="s">
        <v>9369</v>
      </c>
      <c r="C1177" s="3" t="s">
        <v>9370</v>
      </c>
      <c r="D1177" s="3">
        <v>774</v>
      </c>
      <c r="E1177" s="3" t="s">
        <v>7179</v>
      </c>
      <c r="F1177" s="3">
        <v>5</v>
      </c>
      <c r="G1177" s="3" t="s">
        <v>9177</v>
      </c>
      <c r="H1177" s="3"/>
    </row>
    <row r="1178" spans="1:8" ht="105" x14ac:dyDescent="0.25">
      <c r="A1178" s="3" t="s">
        <v>12097</v>
      </c>
      <c r="B1178" s="3" t="s">
        <v>9371</v>
      </c>
      <c r="C1178" s="3" t="s">
        <v>9372</v>
      </c>
      <c r="D1178" s="3">
        <v>1141</v>
      </c>
      <c r="E1178" s="3" t="s">
        <v>7179</v>
      </c>
      <c r="F1178" s="3">
        <v>5</v>
      </c>
      <c r="G1178" s="3" t="s">
        <v>9373</v>
      </c>
      <c r="H1178" s="3"/>
    </row>
    <row r="1179" spans="1:8" ht="105" x14ac:dyDescent="0.25">
      <c r="A1179" s="3" t="s">
        <v>12097</v>
      </c>
      <c r="B1179" s="3" t="s">
        <v>9374</v>
      </c>
      <c r="C1179" s="3" t="s">
        <v>9375</v>
      </c>
      <c r="D1179" s="3">
        <v>1304</v>
      </c>
      <c r="E1179" s="3" t="s">
        <v>7179</v>
      </c>
      <c r="F1179" s="3">
        <v>5</v>
      </c>
      <c r="G1179" s="3" t="s">
        <v>9376</v>
      </c>
      <c r="H1179" s="3"/>
    </row>
    <row r="1180" spans="1:8" ht="105" x14ac:dyDescent="0.25">
      <c r="A1180" s="3" t="s">
        <v>12097</v>
      </c>
      <c r="B1180" s="3" t="s">
        <v>9377</v>
      </c>
      <c r="C1180" s="3" t="s">
        <v>9378</v>
      </c>
      <c r="D1180" s="3">
        <v>1305</v>
      </c>
      <c r="E1180" s="3" t="s">
        <v>7179</v>
      </c>
      <c r="F1180" s="3">
        <v>5</v>
      </c>
      <c r="G1180" s="3" t="s">
        <v>9379</v>
      </c>
      <c r="H1180" s="3"/>
    </row>
    <row r="1181" spans="1:8" ht="180" x14ac:dyDescent="0.25">
      <c r="A1181" s="3" t="s">
        <v>12097</v>
      </c>
      <c r="B1181" s="3" t="s">
        <v>9380</v>
      </c>
      <c r="C1181" s="3" t="s">
        <v>9381</v>
      </c>
      <c r="D1181" s="3">
        <v>831</v>
      </c>
      <c r="E1181" s="3" t="s">
        <v>7182</v>
      </c>
      <c r="F1181" s="3">
        <v>45</v>
      </c>
      <c r="G1181" s="3" t="s">
        <v>12099</v>
      </c>
      <c r="H1181" s="3"/>
    </row>
    <row r="1182" spans="1:8" ht="300" x14ac:dyDescent="0.25">
      <c r="A1182" s="3" t="s">
        <v>12097</v>
      </c>
      <c r="B1182" s="3" t="s">
        <v>9382</v>
      </c>
      <c r="C1182" s="3" t="s">
        <v>9383</v>
      </c>
      <c r="D1182" s="3">
        <v>1882</v>
      </c>
      <c r="E1182" s="3" t="s">
        <v>7238</v>
      </c>
      <c r="F1182" s="3">
        <v>1.2</v>
      </c>
      <c r="G1182" s="3" t="s">
        <v>12099</v>
      </c>
      <c r="H1182" s="3"/>
    </row>
    <row r="1183" spans="1:8" ht="135" x14ac:dyDescent="0.25">
      <c r="A1183" s="3" t="s">
        <v>12097</v>
      </c>
      <c r="B1183" s="3" t="s">
        <v>9384</v>
      </c>
      <c r="C1183" s="3" t="s">
        <v>9385</v>
      </c>
      <c r="D1183" s="3">
        <v>1883</v>
      </c>
      <c r="E1183" s="3" t="s">
        <v>7238</v>
      </c>
      <c r="F1183" s="3">
        <v>1.2</v>
      </c>
      <c r="G1183" s="3" t="s">
        <v>12099</v>
      </c>
      <c r="H1183" s="3"/>
    </row>
    <row r="1184" spans="1:8" ht="30" x14ac:dyDescent="0.25">
      <c r="A1184" s="3" t="s">
        <v>12097</v>
      </c>
      <c r="B1184" s="3" t="s">
        <v>9386</v>
      </c>
      <c r="C1184" s="3" t="s">
        <v>9387</v>
      </c>
      <c r="D1184" s="3">
        <v>563</v>
      </c>
      <c r="E1184" s="3" t="s">
        <v>7182</v>
      </c>
      <c r="F1184" s="3">
        <v>15</v>
      </c>
      <c r="G1184" s="3" t="s">
        <v>12099</v>
      </c>
      <c r="H1184" s="3"/>
    </row>
    <row r="1185" spans="1:8" ht="60" x14ac:dyDescent="0.25">
      <c r="A1185" s="3" t="s">
        <v>12097</v>
      </c>
      <c r="B1185" s="3" t="s">
        <v>9388</v>
      </c>
      <c r="C1185" s="3" t="s">
        <v>9389</v>
      </c>
      <c r="D1185" s="3">
        <v>562</v>
      </c>
      <c r="E1185" s="3" t="s">
        <v>7179</v>
      </c>
      <c r="F1185" s="3">
        <v>5</v>
      </c>
      <c r="G1185" s="3" t="s">
        <v>9390</v>
      </c>
      <c r="H1185" s="3"/>
    </row>
    <row r="1186" spans="1:8" ht="30" x14ac:dyDescent="0.25">
      <c r="A1186" s="3" t="s">
        <v>12097</v>
      </c>
      <c r="B1186" s="3" t="s">
        <v>9391</v>
      </c>
      <c r="C1186" s="3" t="s">
        <v>9392</v>
      </c>
      <c r="D1186" s="3">
        <v>1457</v>
      </c>
      <c r="E1186" s="3" t="s">
        <v>7182</v>
      </c>
      <c r="F1186" s="3">
        <v>25</v>
      </c>
      <c r="G1186" s="3" t="s">
        <v>12099</v>
      </c>
      <c r="H1186" s="3"/>
    </row>
    <row r="1187" spans="1:8" ht="30" x14ac:dyDescent="0.25">
      <c r="A1187" s="3" t="s">
        <v>12097</v>
      </c>
      <c r="B1187" s="3" t="s">
        <v>9393</v>
      </c>
      <c r="C1187" s="3" t="s">
        <v>9394</v>
      </c>
      <c r="D1187" s="3">
        <v>1458</v>
      </c>
      <c r="E1187" s="3" t="s">
        <v>7182</v>
      </c>
      <c r="F1187" s="3">
        <v>30</v>
      </c>
      <c r="G1187" s="3" t="s">
        <v>12099</v>
      </c>
      <c r="H1187" s="3"/>
    </row>
    <row r="1188" spans="1:8" ht="30" x14ac:dyDescent="0.25">
      <c r="A1188" s="3" t="s">
        <v>12097</v>
      </c>
      <c r="B1188" s="3" t="s">
        <v>9395</v>
      </c>
      <c r="C1188" s="3" t="s">
        <v>9396</v>
      </c>
      <c r="D1188" s="3">
        <v>1459</v>
      </c>
      <c r="E1188" s="3" t="s">
        <v>7182</v>
      </c>
      <c r="F1188" s="3">
        <v>25</v>
      </c>
      <c r="G1188" s="3" t="s">
        <v>12099</v>
      </c>
      <c r="H1188" s="3"/>
    </row>
    <row r="1189" spans="1:8" ht="45" x14ac:dyDescent="0.25">
      <c r="A1189" s="3" t="s">
        <v>12097</v>
      </c>
      <c r="B1189" s="3" t="s">
        <v>9397</v>
      </c>
      <c r="C1189" s="3" t="s">
        <v>9398</v>
      </c>
      <c r="D1189" s="3">
        <v>1399</v>
      </c>
      <c r="E1189" s="3" t="s">
        <v>7179</v>
      </c>
      <c r="F1189" s="3">
        <v>5</v>
      </c>
      <c r="G1189" s="3" t="s">
        <v>12098</v>
      </c>
      <c r="H1189" s="3"/>
    </row>
    <row r="1190" spans="1:8" ht="75" x14ac:dyDescent="0.25">
      <c r="A1190" s="3" t="s">
        <v>12097</v>
      </c>
      <c r="B1190" s="3" t="s">
        <v>9399</v>
      </c>
      <c r="C1190" s="3" t="s">
        <v>9400</v>
      </c>
      <c r="D1190" s="3">
        <v>1865</v>
      </c>
      <c r="E1190" s="3" t="s">
        <v>7220</v>
      </c>
      <c r="F1190" s="3">
        <v>6</v>
      </c>
      <c r="G1190" s="3" t="s">
        <v>12099</v>
      </c>
      <c r="H1190" s="3"/>
    </row>
    <row r="1191" spans="1:8" ht="180" x14ac:dyDescent="0.25">
      <c r="A1191" s="3" t="s">
        <v>12097</v>
      </c>
      <c r="B1191" s="3" t="s">
        <v>9401</v>
      </c>
      <c r="C1191" s="3" t="s">
        <v>9402</v>
      </c>
      <c r="D1191" s="3">
        <v>1421</v>
      </c>
      <c r="E1191" s="3" t="s">
        <v>7179</v>
      </c>
      <c r="F1191" s="3">
        <v>5</v>
      </c>
      <c r="G1191" s="3" t="s">
        <v>9403</v>
      </c>
      <c r="H1191" s="3"/>
    </row>
    <row r="1192" spans="1:8" ht="120" x14ac:dyDescent="0.25">
      <c r="A1192" s="3" t="s">
        <v>12097</v>
      </c>
      <c r="B1192" s="3" t="s">
        <v>9404</v>
      </c>
      <c r="C1192" s="3" t="s">
        <v>9405</v>
      </c>
      <c r="D1192" s="3">
        <v>1306</v>
      </c>
      <c r="E1192" s="3" t="s">
        <v>7179</v>
      </c>
      <c r="F1192" s="3">
        <v>5</v>
      </c>
      <c r="G1192" s="3" t="s">
        <v>9406</v>
      </c>
      <c r="H1192" s="3"/>
    </row>
    <row r="1193" spans="1:8" ht="30" x14ac:dyDescent="0.25">
      <c r="A1193" s="3" t="s">
        <v>12097</v>
      </c>
      <c r="B1193" s="3" t="s">
        <v>9408</v>
      </c>
      <c r="C1193" s="3" t="s">
        <v>9409</v>
      </c>
      <c r="D1193" s="3">
        <v>1011</v>
      </c>
      <c r="E1193" s="3" t="s">
        <v>7238</v>
      </c>
      <c r="F1193" s="3">
        <v>8.1999999999999993</v>
      </c>
      <c r="G1193" s="3" t="s">
        <v>12099</v>
      </c>
      <c r="H1193" s="3"/>
    </row>
    <row r="1194" spans="1:8" ht="45" x14ac:dyDescent="0.25">
      <c r="A1194" s="3" t="s">
        <v>12097</v>
      </c>
      <c r="B1194" s="3" t="s">
        <v>9410</v>
      </c>
      <c r="C1194" s="3" t="s">
        <v>9411</v>
      </c>
      <c r="D1194" s="3">
        <v>1278</v>
      </c>
      <c r="E1194" s="3" t="s">
        <v>7220</v>
      </c>
      <c r="F1194" s="3">
        <v>6</v>
      </c>
      <c r="G1194" s="3" t="s">
        <v>12099</v>
      </c>
      <c r="H1194" s="3"/>
    </row>
    <row r="1195" spans="1:8" ht="60" x14ac:dyDescent="0.25">
      <c r="A1195" s="3" t="s">
        <v>12097</v>
      </c>
      <c r="B1195" s="3" t="s">
        <v>9412</v>
      </c>
      <c r="C1195" s="3" t="s">
        <v>9413</v>
      </c>
      <c r="D1195" s="3">
        <v>627</v>
      </c>
      <c r="E1195" s="3" t="s">
        <v>7238</v>
      </c>
      <c r="F1195" s="3">
        <v>5.2</v>
      </c>
      <c r="G1195" s="3" t="s">
        <v>12099</v>
      </c>
      <c r="H1195" s="3"/>
    </row>
    <row r="1196" spans="1:8" ht="120" x14ac:dyDescent="0.25">
      <c r="A1196" s="3" t="s">
        <v>12097</v>
      </c>
      <c r="B1196" s="3" t="s">
        <v>9414</v>
      </c>
      <c r="C1196" s="3" t="s">
        <v>9415</v>
      </c>
      <c r="D1196" s="3">
        <v>284</v>
      </c>
      <c r="E1196" s="3" t="s">
        <v>7220</v>
      </c>
      <c r="F1196" s="3">
        <v>3</v>
      </c>
      <c r="G1196" s="3" t="s">
        <v>12099</v>
      </c>
      <c r="H1196" s="3"/>
    </row>
    <row r="1197" spans="1:8" ht="60" x14ac:dyDescent="0.25">
      <c r="A1197" s="3" t="s">
        <v>12097</v>
      </c>
      <c r="B1197" s="3" t="s">
        <v>9416</v>
      </c>
      <c r="C1197" s="3" t="s">
        <v>9417</v>
      </c>
      <c r="D1197" s="3">
        <v>724</v>
      </c>
      <c r="E1197" s="3" t="s">
        <v>7182</v>
      </c>
      <c r="F1197" s="3">
        <v>8</v>
      </c>
      <c r="G1197" s="3" t="s">
        <v>12099</v>
      </c>
      <c r="H1197" s="3"/>
    </row>
    <row r="1198" spans="1:8" ht="45" x14ac:dyDescent="0.25">
      <c r="A1198" s="3" t="s">
        <v>12097</v>
      </c>
      <c r="B1198" s="3" t="s">
        <v>9418</v>
      </c>
      <c r="C1198" s="3" t="s">
        <v>9419</v>
      </c>
      <c r="D1198" s="3">
        <v>441</v>
      </c>
      <c r="E1198" s="3" t="s">
        <v>7238</v>
      </c>
      <c r="F1198" s="3">
        <v>2.1</v>
      </c>
      <c r="G1198" s="3" t="s">
        <v>12099</v>
      </c>
      <c r="H1198" s="3"/>
    </row>
    <row r="1199" spans="1:8" ht="30" x14ac:dyDescent="0.25">
      <c r="A1199" s="3" t="s">
        <v>12097</v>
      </c>
      <c r="B1199" s="3" t="s">
        <v>9420</v>
      </c>
      <c r="C1199" s="3" t="s">
        <v>9421</v>
      </c>
      <c r="D1199" s="3">
        <v>286</v>
      </c>
      <c r="E1199" s="3" t="s">
        <v>7182</v>
      </c>
      <c r="F1199" s="3">
        <v>10</v>
      </c>
      <c r="G1199" s="3" t="s">
        <v>12099</v>
      </c>
      <c r="H1199" s="3"/>
    </row>
    <row r="1200" spans="1:8" ht="45" x14ac:dyDescent="0.25">
      <c r="A1200" s="3" t="s">
        <v>12097</v>
      </c>
      <c r="B1200" s="3" t="s">
        <v>9422</v>
      </c>
      <c r="C1200" s="3" t="s">
        <v>9423</v>
      </c>
      <c r="D1200" s="3">
        <v>287</v>
      </c>
      <c r="E1200" s="3" t="s">
        <v>7200</v>
      </c>
      <c r="F1200" s="3">
        <v>8</v>
      </c>
      <c r="G1200" s="3" t="s">
        <v>12099</v>
      </c>
      <c r="H1200" s="3"/>
    </row>
    <row r="1201" spans="1:8" ht="45" x14ac:dyDescent="0.25">
      <c r="A1201" s="3" t="s">
        <v>12097</v>
      </c>
      <c r="B1201" s="3" t="s">
        <v>9424</v>
      </c>
      <c r="C1201" s="3" t="s">
        <v>9425</v>
      </c>
      <c r="D1201" s="3">
        <v>288</v>
      </c>
      <c r="E1201" s="3" t="s">
        <v>7200</v>
      </c>
      <c r="F1201" s="3">
        <v>8</v>
      </c>
      <c r="G1201" s="3" t="s">
        <v>12099</v>
      </c>
      <c r="H1201" s="3"/>
    </row>
    <row r="1202" spans="1:8" ht="60" x14ac:dyDescent="0.25">
      <c r="A1202" s="3" t="s">
        <v>12097</v>
      </c>
      <c r="B1202" s="3" t="s">
        <v>9426</v>
      </c>
      <c r="C1202" s="3" t="s">
        <v>9427</v>
      </c>
      <c r="D1202" s="3">
        <v>841</v>
      </c>
      <c r="E1202" s="3" t="s">
        <v>7179</v>
      </c>
      <c r="F1202" s="3">
        <v>5</v>
      </c>
      <c r="G1202" s="3" t="s">
        <v>9428</v>
      </c>
      <c r="H1202" s="3"/>
    </row>
    <row r="1203" spans="1:8" ht="30" x14ac:dyDescent="0.25">
      <c r="A1203" s="3" t="s">
        <v>12097</v>
      </c>
      <c r="B1203" s="3" t="s">
        <v>9429</v>
      </c>
      <c r="C1203" s="3" t="s">
        <v>9430</v>
      </c>
      <c r="D1203" s="3">
        <v>1194</v>
      </c>
      <c r="E1203" s="3" t="s">
        <v>7179</v>
      </c>
      <c r="F1203" s="3">
        <v>5</v>
      </c>
      <c r="G1203" s="3" t="s">
        <v>12098</v>
      </c>
      <c r="H1203" s="3"/>
    </row>
    <row r="1204" spans="1:8" ht="30" x14ac:dyDescent="0.25">
      <c r="A1204" s="3" t="s">
        <v>12097</v>
      </c>
      <c r="B1204" s="3" t="s">
        <v>9431</v>
      </c>
      <c r="C1204" s="3" t="s">
        <v>9432</v>
      </c>
      <c r="D1204" s="3">
        <v>1249</v>
      </c>
      <c r="E1204" s="3" t="s">
        <v>7200</v>
      </c>
      <c r="F1204" s="3">
        <v>8</v>
      </c>
      <c r="G1204" s="3" t="s">
        <v>12099</v>
      </c>
      <c r="H1204" s="3"/>
    </row>
    <row r="1205" spans="1:8" ht="270" x14ac:dyDescent="0.25">
      <c r="A1205" s="3" t="s">
        <v>12097</v>
      </c>
      <c r="B1205" s="3" t="s">
        <v>9433</v>
      </c>
      <c r="C1205" s="3" t="s">
        <v>9434</v>
      </c>
      <c r="D1205" s="3">
        <v>1250</v>
      </c>
      <c r="E1205" s="3" t="s">
        <v>7179</v>
      </c>
      <c r="F1205" s="3">
        <v>5</v>
      </c>
      <c r="G1205" s="3" t="s">
        <v>7859</v>
      </c>
      <c r="H1205" s="3"/>
    </row>
    <row r="1206" spans="1:8" ht="30" x14ac:dyDescent="0.25">
      <c r="A1206" s="3" t="s">
        <v>12097</v>
      </c>
      <c r="B1206" s="3" t="s">
        <v>9435</v>
      </c>
      <c r="C1206" s="3" t="s">
        <v>9436</v>
      </c>
      <c r="D1206" s="3">
        <v>1251</v>
      </c>
      <c r="E1206" s="3" t="s">
        <v>7182</v>
      </c>
      <c r="F1206" s="3">
        <v>30</v>
      </c>
      <c r="G1206" s="3" t="s">
        <v>12099</v>
      </c>
      <c r="H1206" s="3"/>
    </row>
    <row r="1207" spans="1:8" ht="30" x14ac:dyDescent="0.25">
      <c r="A1207" s="3" t="s">
        <v>12097</v>
      </c>
      <c r="B1207" s="3" t="s">
        <v>9437</v>
      </c>
      <c r="C1207" s="3" t="s">
        <v>9438</v>
      </c>
      <c r="D1207" s="3">
        <v>1252</v>
      </c>
      <c r="E1207" s="3" t="s">
        <v>7182</v>
      </c>
      <c r="F1207" s="3">
        <v>30</v>
      </c>
      <c r="G1207" s="3" t="s">
        <v>12099</v>
      </c>
      <c r="H1207" s="3"/>
    </row>
    <row r="1208" spans="1:8" ht="30" x14ac:dyDescent="0.25">
      <c r="A1208" s="3" t="s">
        <v>12097</v>
      </c>
      <c r="B1208" s="3" t="s">
        <v>9439</v>
      </c>
      <c r="C1208" s="3" t="s">
        <v>9440</v>
      </c>
      <c r="D1208" s="3">
        <v>1253</v>
      </c>
      <c r="E1208" s="3" t="s">
        <v>7200</v>
      </c>
      <c r="F1208" s="3">
        <v>8</v>
      </c>
      <c r="G1208" s="3" t="s">
        <v>12099</v>
      </c>
      <c r="H1208" s="3"/>
    </row>
    <row r="1209" spans="1:8" ht="60" x14ac:dyDescent="0.25">
      <c r="A1209" s="3" t="s">
        <v>12097</v>
      </c>
      <c r="B1209" s="3" t="s">
        <v>9441</v>
      </c>
      <c r="C1209" s="3" t="s">
        <v>9442</v>
      </c>
      <c r="D1209" s="3">
        <v>1254</v>
      </c>
      <c r="E1209" s="3" t="s">
        <v>7182</v>
      </c>
      <c r="F1209" s="3">
        <v>45</v>
      </c>
      <c r="G1209" s="3" t="s">
        <v>12099</v>
      </c>
      <c r="H1209" s="3"/>
    </row>
    <row r="1210" spans="1:8" ht="225" x14ac:dyDescent="0.25">
      <c r="A1210" s="3" t="s">
        <v>12097</v>
      </c>
      <c r="B1210" s="3" t="s">
        <v>9443</v>
      </c>
      <c r="C1210" s="3" t="s">
        <v>9444</v>
      </c>
      <c r="D1210" s="3">
        <v>721</v>
      </c>
      <c r="E1210" s="3" t="s">
        <v>7179</v>
      </c>
      <c r="F1210" s="3">
        <v>5</v>
      </c>
      <c r="G1210" s="3" t="s">
        <v>9445</v>
      </c>
      <c r="H1210" s="3"/>
    </row>
    <row r="1211" spans="1:8" ht="30" x14ac:dyDescent="0.25">
      <c r="A1211" s="3" t="s">
        <v>12097</v>
      </c>
      <c r="B1211" s="3" t="s">
        <v>9446</v>
      </c>
      <c r="C1211" s="3" t="s">
        <v>9447</v>
      </c>
      <c r="D1211" s="3">
        <v>448</v>
      </c>
      <c r="E1211" s="3" t="s">
        <v>7200</v>
      </c>
      <c r="F1211" s="3">
        <v>8</v>
      </c>
      <c r="G1211" s="3" t="s">
        <v>12099</v>
      </c>
      <c r="H1211" s="3"/>
    </row>
    <row r="1212" spans="1:8" ht="30" x14ac:dyDescent="0.25">
      <c r="A1212" s="3" t="s">
        <v>12097</v>
      </c>
      <c r="B1212" s="3" t="s">
        <v>9448</v>
      </c>
      <c r="C1212" s="3" t="s">
        <v>9449</v>
      </c>
      <c r="D1212" s="3">
        <v>449</v>
      </c>
      <c r="E1212" s="3" t="s">
        <v>7200</v>
      </c>
      <c r="F1212" s="3">
        <v>8</v>
      </c>
      <c r="G1212" s="3" t="s">
        <v>12099</v>
      </c>
      <c r="H1212" s="3"/>
    </row>
    <row r="1213" spans="1:8" ht="45" x14ac:dyDescent="0.25">
      <c r="A1213" s="3" t="s">
        <v>12097</v>
      </c>
      <c r="B1213" s="3" t="s">
        <v>9450</v>
      </c>
      <c r="C1213" s="3" t="s">
        <v>9451</v>
      </c>
      <c r="D1213" s="3">
        <v>446</v>
      </c>
      <c r="E1213" s="3" t="s">
        <v>7182</v>
      </c>
      <c r="F1213" s="3">
        <v>45</v>
      </c>
      <c r="G1213" s="3" t="s">
        <v>12099</v>
      </c>
      <c r="H1213" s="3"/>
    </row>
    <row r="1214" spans="1:8" ht="30" x14ac:dyDescent="0.25">
      <c r="A1214" s="3" t="s">
        <v>12097</v>
      </c>
      <c r="B1214" s="3" t="s">
        <v>9452</v>
      </c>
      <c r="C1214" s="3" t="s">
        <v>9453</v>
      </c>
      <c r="D1214" s="3">
        <v>447</v>
      </c>
      <c r="E1214" s="3" t="s">
        <v>7182</v>
      </c>
      <c r="F1214" s="3">
        <v>80</v>
      </c>
      <c r="G1214" s="3" t="s">
        <v>12099</v>
      </c>
      <c r="H1214" s="3"/>
    </row>
    <row r="1215" spans="1:8" ht="45" x14ac:dyDescent="0.25">
      <c r="A1215" s="3" t="s">
        <v>12097</v>
      </c>
      <c r="B1215" s="3" t="s">
        <v>9454</v>
      </c>
      <c r="C1215" s="3" t="s">
        <v>9455</v>
      </c>
      <c r="D1215" s="3">
        <v>290</v>
      </c>
      <c r="E1215" s="3" t="s">
        <v>7182</v>
      </c>
      <c r="F1215" s="3">
        <v>20</v>
      </c>
      <c r="G1215" s="3" t="s">
        <v>12099</v>
      </c>
      <c r="H1215" s="3"/>
    </row>
    <row r="1216" spans="1:8" ht="120" x14ac:dyDescent="0.25">
      <c r="A1216" s="3" t="s">
        <v>12097</v>
      </c>
      <c r="B1216" s="3" t="s">
        <v>9456</v>
      </c>
      <c r="C1216" s="3" t="s">
        <v>9457</v>
      </c>
      <c r="D1216" s="3">
        <v>776</v>
      </c>
      <c r="E1216" s="3" t="s">
        <v>7182</v>
      </c>
      <c r="F1216" s="3">
        <v>35</v>
      </c>
      <c r="G1216" s="3" t="s">
        <v>12099</v>
      </c>
      <c r="H1216" s="3"/>
    </row>
    <row r="1217" spans="1:8" ht="60" x14ac:dyDescent="0.25">
      <c r="A1217" s="3" t="s">
        <v>12097</v>
      </c>
      <c r="B1217" s="3" t="s">
        <v>9458</v>
      </c>
      <c r="C1217" s="3" t="s">
        <v>9459</v>
      </c>
      <c r="D1217" s="3">
        <v>625</v>
      </c>
      <c r="E1217" s="3" t="s">
        <v>7238</v>
      </c>
      <c r="F1217" s="3">
        <v>5.2</v>
      </c>
      <c r="G1217" s="3" t="s">
        <v>12099</v>
      </c>
      <c r="H1217" s="3"/>
    </row>
    <row r="1218" spans="1:8" ht="270" x14ac:dyDescent="0.25">
      <c r="A1218" s="3" t="s">
        <v>12097</v>
      </c>
      <c r="B1218" s="3" t="s">
        <v>9460</v>
      </c>
      <c r="C1218" s="3" t="s">
        <v>9461</v>
      </c>
      <c r="D1218" s="3">
        <v>1116</v>
      </c>
      <c r="E1218" s="3" t="s">
        <v>7179</v>
      </c>
      <c r="F1218" s="3">
        <v>5</v>
      </c>
      <c r="G1218" s="3" t="s">
        <v>9462</v>
      </c>
      <c r="H1218" s="3"/>
    </row>
    <row r="1219" spans="1:8" ht="105" x14ac:dyDescent="0.25">
      <c r="A1219" s="3" t="s">
        <v>12097</v>
      </c>
      <c r="B1219" s="3" t="s">
        <v>9464</v>
      </c>
      <c r="C1219" s="3" t="s">
        <v>9465</v>
      </c>
      <c r="D1219" s="3">
        <v>756</v>
      </c>
      <c r="E1219" s="3" t="s">
        <v>7182</v>
      </c>
      <c r="F1219" s="3">
        <v>35</v>
      </c>
      <c r="G1219" s="3" t="s">
        <v>12099</v>
      </c>
      <c r="H1219" s="3"/>
    </row>
    <row r="1220" spans="1:8" ht="150" x14ac:dyDescent="0.25">
      <c r="A1220" s="3" t="s">
        <v>12097</v>
      </c>
      <c r="B1220" s="3" t="s">
        <v>9466</v>
      </c>
      <c r="C1220" s="3" t="s">
        <v>9467</v>
      </c>
      <c r="D1220" s="3">
        <v>1391</v>
      </c>
      <c r="E1220" s="3" t="s">
        <v>7182</v>
      </c>
      <c r="F1220" s="3">
        <v>50</v>
      </c>
      <c r="G1220" s="3" t="s">
        <v>12099</v>
      </c>
      <c r="H1220" s="3"/>
    </row>
    <row r="1221" spans="1:8" ht="45" x14ac:dyDescent="0.25">
      <c r="A1221" s="3" t="s">
        <v>12097</v>
      </c>
      <c r="B1221" s="3" t="s">
        <v>9468</v>
      </c>
      <c r="C1221" s="3" t="s">
        <v>9469</v>
      </c>
      <c r="D1221" s="3">
        <v>292</v>
      </c>
      <c r="E1221" s="3" t="s">
        <v>7182</v>
      </c>
      <c r="F1221" s="3">
        <v>30</v>
      </c>
      <c r="G1221" s="3" t="s">
        <v>12099</v>
      </c>
      <c r="H1221" s="3"/>
    </row>
    <row r="1222" spans="1:8" ht="45" x14ac:dyDescent="0.25">
      <c r="A1222" s="3" t="s">
        <v>12097</v>
      </c>
      <c r="B1222" s="3" t="s">
        <v>9470</v>
      </c>
      <c r="C1222" s="3" t="s">
        <v>9471</v>
      </c>
      <c r="D1222" s="3">
        <v>484</v>
      </c>
      <c r="E1222" s="3" t="s">
        <v>7182</v>
      </c>
      <c r="F1222" s="3">
        <v>30</v>
      </c>
      <c r="G1222" s="3" t="s">
        <v>12099</v>
      </c>
      <c r="H1222" s="3"/>
    </row>
    <row r="1223" spans="1:8" ht="30" x14ac:dyDescent="0.25">
      <c r="A1223" s="3" t="s">
        <v>12097</v>
      </c>
      <c r="B1223" s="3" t="s">
        <v>9472</v>
      </c>
      <c r="C1223" s="3" t="s">
        <v>9473</v>
      </c>
      <c r="D1223" s="3">
        <v>293</v>
      </c>
      <c r="E1223" s="3" t="s">
        <v>7182</v>
      </c>
      <c r="F1223" s="3">
        <v>10</v>
      </c>
      <c r="G1223" s="3" t="s">
        <v>12099</v>
      </c>
      <c r="H1223" s="3"/>
    </row>
    <row r="1224" spans="1:8" ht="30" x14ac:dyDescent="0.25">
      <c r="A1224" s="3" t="s">
        <v>12097</v>
      </c>
      <c r="B1224" s="3" t="s">
        <v>9474</v>
      </c>
      <c r="C1224" s="3" t="s">
        <v>9475</v>
      </c>
      <c r="D1224" s="3">
        <v>294</v>
      </c>
      <c r="E1224" s="3" t="s">
        <v>7182</v>
      </c>
      <c r="F1224" s="3">
        <v>45</v>
      </c>
      <c r="G1224" s="3" t="s">
        <v>12099</v>
      </c>
      <c r="H1224" s="3"/>
    </row>
    <row r="1225" spans="1:8" ht="345" x14ac:dyDescent="0.25">
      <c r="A1225" s="3" t="s">
        <v>12097</v>
      </c>
      <c r="B1225" s="3" t="s">
        <v>9476</v>
      </c>
      <c r="C1225" s="3" t="s">
        <v>9477</v>
      </c>
      <c r="D1225" s="3">
        <v>497</v>
      </c>
      <c r="E1225" s="3" t="s">
        <v>7179</v>
      </c>
      <c r="F1225" s="3">
        <v>5</v>
      </c>
      <c r="G1225" s="3" t="s">
        <v>9478</v>
      </c>
      <c r="H1225" s="3"/>
    </row>
    <row r="1226" spans="1:8" ht="120" x14ac:dyDescent="0.25">
      <c r="A1226" s="3" t="s">
        <v>12097</v>
      </c>
      <c r="B1226" s="3" t="s">
        <v>9479</v>
      </c>
      <c r="C1226" s="3" t="s">
        <v>9480</v>
      </c>
      <c r="D1226" s="3">
        <v>830</v>
      </c>
      <c r="E1226" s="3" t="s">
        <v>7182</v>
      </c>
      <c r="F1226" s="3">
        <v>45</v>
      </c>
      <c r="G1226" s="3" t="s">
        <v>12099</v>
      </c>
      <c r="H1226" s="3"/>
    </row>
    <row r="1227" spans="1:8" ht="30" x14ac:dyDescent="0.25">
      <c r="A1227" s="3" t="s">
        <v>12097</v>
      </c>
      <c r="B1227" s="3" t="s">
        <v>9481</v>
      </c>
      <c r="C1227" s="3" t="s">
        <v>9482</v>
      </c>
      <c r="D1227" s="3">
        <v>1435</v>
      </c>
      <c r="E1227" s="3" t="s">
        <v>7179</v>
      </c>
      <c r="F1227" s="3">
        <v>5</v>
      </c>
      <c r="G1227" s="3" t="s">
        <v>12098</v>
      </c>
      <c r="H1227" s="3"/>
    </row>
    <row r="1228" spans="1:8" ht="75" x14ac:dyDescent="0.25">
      <c r="A1228" s="3" t="s">
        <v>12097</v>
      </c>
      <c r="B1228" s="3" t="s">
        <v>9483</v>
      </c>
      <c r="C1228" s="3" t="s">
        <v>9484</v>
      </c>
      <c r="D1228" s="3">
        <v>1153</v>
      </c>
      <c r="E1228" s="3" t="s">
        <v>7179</v>
      </c>
      <c r="F1228" s="3">
        <v>5</v>
      </c>
      <c r="G1228" s="3" t="s">
        <v>12098</v>
      </c>
      <c r="H1228" s="3"/>
    </row>
    <row r="1229" spans="1:8" ht="75" x14ac:dyDescent="0.25">
      <c r="A1229" s="3" t="s">
        <v>12097</v>
      </c>
      <c r="B1229" s="3" t="s">
        <v>9485</v>
      </c>
      <c r="C1229" s="3" t="s">
        <v>9486</v>
      </c>
      <c r="D1229" s="3">
        <v>1154</v>
      </c>
      <c r="E1229" s="3" t="s">
        <v>7179</v>
      </c>
      <c r="F1229" s="3">
        <v>5</v>
      </c>
      <c r="G1229" s="3" t="s">
        <v>12098</v>
      </c>
      <c r="H1229" s="3"/>
    </row>
    <row r="1230" spans="1:8" ht="60" x14ac:dyDescent="0.25">
      <c r="A1230" s="3" t="s">
        <v>12097</v>
      </c>
      <c r="B1230" s="3" t="s">
        <v>9487</v>
      </c>
      <c r="C1230" s="3" t="s">
        <v>9488</v>
      </c>
      <c r="D1230" s="3">
        <v>295</v>
      </c>
      <c r="E1230" s="3" t="s">
        <v>7182</v>
      </c>
      <c r="F1230" s="3">
        <v>60</v>
      </c>
      <c r="G1230" s="3" t="s">
        <v>12099</v>
      </c>
      <c r="H1230" s="3"/>
    </row>
    <row r="1231" spans="1:8" ht="60" x14ac:dyDescent="0.25">
      <c r="A1231" s="3" t="s">
        <v>12097</v>
      </c>
      <c r="B1231" s="3" t="s">
        <v>9489</v>
      </c>
      <c r="C1231" s="3" t="s">
        <v>9490</v>
      </c>
      <c r="D1231" s="3">
        <v>296</v>
      </c>
      <c r="E1231" s="3" t="s">
        <v>7182</v>
      </c>
      <c r="F1231" s="3">
        <v>60</v>
      </c>
      <c r="G1231" s="3" t="s">
        <v>12099</v>
      </c>
      <c r="H1231" s="3"/>
    </row>
    <row r="1232" spans="1:8" ht="90" x14ac:dyDescent="0.25">
      <c r="A1232" s="3" t="s">
        <v>12097</v>
      </c>
      <c r="B1232" s="3" t="s">
        <v>9494</v>
      </c>
      <c r="C1232" s="3" t="s">
        <v>9495</v>
      </c>
      <c r="D1232" s="3">
        <v>1307</v>
      </c>
      <c r="E1232" s="3" t="s">
        <v>7179</v>
      </c>
      <c r="F1232" s="3">
        <v>5</v>
      </c>
      <c r="G1232" s="3" t="s">
        <v>9496</v>
      </c>
      <c r="H1232" s="3"/>
    </row>
    <row r="1233" spans="1:8" ht="30" x14ac:dyDescent="0.25">
      <c r="A1233" s="3" t="s">
        <v>12097</v>
      </c>
      <c r="B1233" s="3" t="s">
        <v>9497</v>
      </c>
      <c r="C1233" s="3" t="s">
        <v>9498</v>
      </c>
      <c r="D1233" s="3">
        <v>1320</v>
      </c>
      <c r="E1233" s="3" t="s">
        <v>7182</v>
      </c>
      <c r="F1233" s="3">
        <v>45</v>
      </c>
      <c r="G1233" s="3" t="s">
        <v>12099</v>
      </c>
      <c r="H1233" s="3"/>
    </row>
    <row r="1234" spans="1:8" ht="45" x14ac:dyDescent="0.25">
      <c r="A1234" s="3" t="s">
        <v>12097</v>
      </c>
      <c r="B1234" s="3" t="s">
        <v>9499</v>
      </c>
      <c r="C1234" s="3" t="s">
        <v>9500</v>
      </c>
      <c r="D1234" s="3">
        <v>488</v>
      </c>
      <c r="E1234" s="3" t="s">
        <v>7200</v>
      </c>
      <c r="F1234" s="3">
        <v>8</v>
      </c>
      <c r="G1234" s="3" t="s">
        <v>12099</v>
      </c>
      <c r="H1234" s="3"/>
    </row>
    <row r="1235" spans="1:8" ht="120" x14ac:dyDescent="0.25">
      <c r="A1235" s="3" t="s">
        <v>12097</v>
      </c>
      <c r="B1235" s="3" t="s">
        <v>9501</v>
      </c>
      <c r="C1235" s="3" t="s">
        <v>9502</v>
      </c>
      <c r="D1235" s="3">
        <v>487</v>
      </c>
      <c r="E1235" s="3" t="s">
        <v>7179</v>
      </c>
      <c r="F1235" s="3">
        <v>5</v>
      </c>
      <c r="G1235" s="3" t="s">
        <v>9503</v>
      </c>
      <c r="H1235" s="3"/>
    </row>
    <row r="1236" spans="1:8" ht="30" x14ac:dyDescent="0.25">
      <c r="A1236" s="3" t="s">
        <v>12097</v>
      </c>
      <c r="B1236" s="3" t="s">
        <v>9504</v>
      </c>
      <c r="C1236" s="3" t="s">
        <v>9505</v>
      </c>
      <c r="D1236" s="3">
        <v>1321</v>
      </c>
      <c r="E1236" s="3" t="s">
        <v>7182</v>
      </c>
      <c r="F1236" s="3">
        <v>45</v>
      </c>
      <c r="G1236" s="3" t="s">
        <v>12099</v>
      </c>
      <c r="H1236" s="3"/>
    </row>
    <row r="1237" spans="1:8" ht="90" x14ac:dyDescent="0.25">
      <c r="A1237" s="3" t="s">
        <v>12097</v>
      </c>
      <c r="B1237" s="3" t="s">
        <v>9506</v>
      </c>
      <c r="C1237" s="3" t="s">
        <v>9507</v>
      </c>
      <c r="D1237" s="3">
        <v>1317</v>
      </c>
      <c r="E1237" s="3" t="s">
        <v>7182</v>
      </c>
      <c r="F1237" s="3">
        <v>30</v>
      </c>
      <c r="G1237" s="3" t="s">
        <v>12099</v>
      </c>
      <c r="H1237" s="3"/>
    </row>
    <row r="1238" spans="1:8" ht="30" x14ac:dyDescent="0.25">
      <c r="A1238" s="3" t="s">
        <v>12097</v>
      </c>
      <c r="B1238" s="3" t="s">
        <v>9508</v>
      </c>
      <c r="C1238" s="3" t="s">
        <v>9509</v>
      </c>
      <c r="D1238" s="3">
        <v>1323</v>
      </c>
      <c r="E1238" s="3" t="s">
        <v>7200</v>
      </c>
      <c r="F1238" s="3">
        <v>8</v>
      </c>
      <c r="G1238" s="3" t="s">
        <v>12099</v>
      </c>
      <c r="H1238" s="3"/>
    </row>
    <row r="1239" spans="1:8" ht="30" x14ac:dyDescent="0.25">
      <c r="A1239" s="3" t="s">
        <v>12097</v>
      </c>
      <c r="B1239" s="3" t="s">
        <v>9510</v>
      </c>
      <c r="C1239" s="3" t="s">
        <v>9511</v>
      </c>
      <c r="D1239" s="3">
        <v>1322</v>
      </c>
      <c r="E1239" s="3" t="s">
        <v>7200</v>
      </c>
      <c r="F1239" s="3">
        <v>4</v>
      </c>
      <c r="G1239" s="3" t="s">
        <v>12099</v>
      </c>
      <c r="H1239" s="3"/>
    </row>
    <row r="1240" spans="1:8" ht="30" x14ac:dyDescent="0.25">
      <c r="A1240" s="3" t="s">
        <v>12097</v>
      </c>
      <c r="B1240" s="3" t="s">
        <v>9512</v>
      </c>
      <c r="C1240" s="3" t="s">
        <v>9513</v>
      </c>
      <c r="D1240" s="3">
        <v>1316</v>
      </c>
      <c r="E1240" s="3" t="s">
        <v>7182</v>
      </c>
      <c r="F1240" s="3">
        <v>30</v>
      </c>
      <c r="G1240" s="3" t="s">
        <v>12099</v>
      </c>
      <c r="H1240" s="3"/>
    </row>
    <row r="1241" spans="1:8" ht="60" x14ac:dyDescent="0.25">
      <c r="A1241" s="3" t="s">
        <v>12097</v>
      </c>
      <c r="B1241" s="3" t="s">
        <v>9514</v>
      </c>
      <c r="C1241" s="3" t="s">
        <v>9515</v>
      </c>
      <c r="D1241" s="3">
        <v>1115</v>
      </c>
      <c r="E1241" s="3" t="s">
        <v>7182</v>
      </c>
      <c r="F1241" s="3">
        <v>30</v>
      </c>
      <c r="G1241" s="3" t="s">
        <v>12099</v>
      </c>
      <c r="H1241" s="3"/>
    </row>
    <row r="1242" spans="1:8" ht="45" x14ac:dyDescent="0.25">
      <c r="A1242" s="3" t="s">
        <v>12097</v>
      </c>
      <c r="B1242" s="3" t="s">
        <v>9517</v>
      </c>
      <c r="C1242" s="3" t="s">
        <v>9518</v>
      </c>
      <c r="D1242" s="3">
        <v>515</v>
      </c>
      <c r="E1242" s="3" t="s">
        <v>7238</v>
      </c>
      <c r="F1242" s="3">
        <v>3.2</v>
      </c>
      <c r="G1242" s="3" t="s">
        <v>12099</v>
      </c>
      <c r="H1242" s="3"/>
    </row>
    <row r="1243" spans="1:8" ht="60" x14ac:dyDescent="0.25">
      <c r="A1243" s="3" t="s">
        <v>12097</v>
      </c>
      <c r="B1243" s="3" t="s">
        <v>9519</v>
      </c>
      <c r="C1243" s="3" t="s">
        <v>9520</v>
      </c>
      <c r="D1243" s="3">
        <v>1053</v>
      </c>
      <c r="E1243" s="3" t="s">
        <v>7182</v>
      </c>
      <c r="F1243" s="3">
        <v>30</v>
      </c>
      <c r="G1243" s="3" t="s">
        <v>12099</v>
      </c>
      <c r="H1243" s="3"/>
    </row>
    <row r="1244" spans="1:8" ht="60" x14ac:dyDescent="0.25">
      <c r="A1244" s="3" t="s">
        <v>12097</v>
      </c>
      <c r="B1244" s="3" t="s">
        <v>9521</v>
      </c>
      <c r="C1244" s="3" t="s">
        <v>9522</v>
      </c>
      <c r="D1244" s="3">
        <v>1152</v>
      </c>
      <c r="E1244" s="3" t="s">
        <v>7179</v>
      </c>
      <c r="F1244" s="3">
        <v>5</v>
      </c>
      <c r="G1244" s="3" t="s">
        <v>12098</v>
      </c>
      <c r="H1244" s="3"/>
    </row>
    <row r="1245" spans="1:8" ht="210" x14ac:dyDescent="0.25">
      <c r="A1245" s="3" t="s">
        <v>12097</v>
      </c>
      <c r="B1245" s="3" t="s">
        <v>9523</v>
      </c>
      <c r="C1245" s="3" t="s">
        <v>9524</v>
      </c>
      <c r="D1245" s="3">
        <v>1286</v>
      </c>
      <c r="E1245" s="3" t="s">
        <v>7179</v>
      </c>
      <c r="F1245" s="3">
        <v>5</v>
      </c>
      <c r="G1245" s="3" t="s">
        <v>9525</v>
      </c>
      <c r="H1245" s="3"/>
    </row>
    <row r="1246" spans="1:8" ht="105" x14ac:dyDescent="0.25">
      <c r="A1246" s="3" t="s">
        <v>12097</v>
      </c>
      <c r="B1246" s="3" t="s">
        <v>9526</v>
      </c>
      <c r="C1246" s="3" t="s">
        <v>9527</v>
      </c>
      <c r="D1246" s="3">
        <v>297</v>
      </c>
      <c r="E1246" s="3" t="s">
        <v>7179</v>
      </c>
      <c r="F1246" s="3">
        <v>5</v>
      </c>
      <c r="G1246" s="3" t="s">
        <v>12098</v>
      </c>
      <c r="H1246" s="3"/>
    </row>
    <row r="1247" spans="1:8" ht="75" x14ac:dyDescent="0.25">
      <c r="A1247" s="3" t="s">
        <v>12097</v>
      </c>
      <c r="B1247" s="3" t="s">
        <v>9528</v>
      </c>
      <c r="C1247" s="3" t="s">
        <v>9529</v>
      </c>
      <c r="D1247" s="3">
        <v>714</v>
      </c>
      <c r="E1247" s="3" t="s">
        <v>7179</v>
      </c>
      <c r="F1247" s="3">
        <v>5</v>
      </c>
      <c r="G1247" s="3" t="s">
        <v>9530</v>
      </c>
      <c r="H1247" s="3"/>
    </row>
    <row r="1248" spans="1:8" ht="30" x14ac:dyDescent="0.25">
      <c r="A1248" s="3" t="s">
        <v>12097</v>
      </c>
      <c r="B1248" s="3" t="s">
        <v>9531</v>
      </c>
      <c r="C1248" s="3" t="s">
        <v>9532</v>
      </c>
      <c r="D1248" s="3">
        <v>298</v>
      </c>
      <c r="E1248" s="3" t="s">
        <v>7200</v>
      </c>
      <c r="F1248" s="3">
        <v>8</v>
      </c>
      <c r="G1248" s="3" t="s">
        <v>12099</v>
      </c>
      <c r="H1248" s="3"/>
    </row>
    <row r="1249" spans="1:8" ht="30" x14ac:dyDescent="0.25">
      <c r="A1249" s="3" t="s">
        <v>12097</v>
      </c>
      <c r="B1249" s="3" t="s">
        <v>9533</v>
      </c>
      <c r="C1249" s="3" t="s">
        <v>9534</v>
      </c>
      <c r="D1249" s="3">
        <v>299</v>
      </c>
      <c r="E1249" s="3" t="s">
        <v>7182</v>
      </c>
      <c r="F1249" s="3">
        <v>80</v>
      </c>
      <c r="G1249" s="3" t="s">
        <v>12099</v>
      </c>
      <c r="H1249" s="3"/>
    </row>
    <row r="1250" spans="1:8" ht="30" x14ac:dyDescent="0.25">
      <c r="A1250" s="3" t="s">
        <v>12097</v>
      </c>
      <c r="B1250" s="3" t="s">
        <v>9535</v>
      </c>
      <c r="C1250" s="3" t="s">
        <v>9536</v>
      </c>
      <c r="D1250" s="3">
        <v>300</v>
      </c>
      <c r="E1250" s="3" t="s">
        <v>7200</v>
      </c>
      <c r="F1250" s="3">
        <v>8</v>
      </c>
      <c r="G1250" s="3" t="s">
        <v>12099</v>
      </c>
      <c r="H1250" s="3"/>
    </row>
    <row r="1251" spans="1:8" ht="60" x14ac:dyDescent="0.25">
      <c r="A1251" s="3" t="s">
        <v>12097</v>
      </c>
      <c r="B1251" s="3" t="s">
        <v>9537</v>
      </c>
      <c r="C1251" s="3" t="s">
        <v>9538</v>
      </c>
      <c r="D1251" s="3">
        <v>301</v>
      </c>
      <c r="E1251" s="3" t="s">
        <v>7182</v>
      </c>
      <c r="F1251" s="3">
        <v>45</v>
      </c>
      <c r="G1251" s="3" t="s">
        <v>12099</v>
      </c>
      <c r="H1251" s="3"/>
    </row>
    <row r="1252" spans="1:8" ht="30" x14ac:dyDescent="0.25">
      <c r="A1252" s="3" t="s">
        <v>12097</v>
      </c>
      <c r="B1252" s="3" t="s">
        <v>9539</v>
      </c>
      <c r="C1252" s="3" t="s">
        <v>9540</v>
      </c>
      <c r="D1252" s="3">
        <v>302</v>
      </c>
      <c r="E1252" s="3" t="s">
        <v>7200</v>
      </c>
      <c r="F1252" s="3">
        <v>8</v>
      </c>
      <c r="G1252" s="3" t="s">
        <v>12099</v>
      </c>
      <c r="H1252" s="3"/>
    </row>
    <row r="1253" spans="1:8" ht="30" x14ac:dyDescent="0.25">
      <c r="A1253" s="3" t="s">
        <v>12097</v>
      </c>
      <c r="B1253" s="3" t="s">
        <v>9541</v>
      </c>
      <c r="C1253" s="3" t="s">
        <v>9542</v>
      </c>
      <c r="D1253" s="3">
        <v>303</v>
      </c>
      <c r="E1253" s="3" t="s">
        <v>7182</v>
      </c>
      <c r="F1253" s="3">
        <v>80</v>
      </c>
      <c r="G1253" s="3" t="s">
        <v>12099</v>
      </c>
      <c r="H1253" s="3"/>
    </row>
    <row r="1254" spans="1:8" ht="150" x14ac:dyDescent="0.25">
      <c r="A1254" s="3" t="s">
        <v>12097</v>
      </c>
      <c r="B1254" s="3" t="s">
        <v>9543</v>
      </c>
      <c r="C1254" s="3" t="s">
        <v>9544</v>
      </c>
      <c r="D1254" s="3">
        <v>1131</v>
      </c>
      <c r="E1254" s="3" t="s">
        <v>7179</v>
      </c>
      <c r="F1254" s="3">
        <v>5</v>
      </c>
      <c r="G1254" s="3" t="s">
        <v>9545</v>
      </c>
      <c r="H1254" s="3"/>
    </row>
    <row r="1255" spans="1:8" ht="30" x14ac:dyDescent="0.25">
      <c r="A1255" s="3" t="s">
        <v>12097</v>
      </c>
      <c r="B1255" s="3" t="s">
        <v>9546</v>
      </c>
      <c r="C1255" s="3" t="s">
        <v>9547</v>
      </c>
      <c r="D1255" s="3">
        <v>1137</v>
      </c>
      <c r="E1255" s="3" t="s">
        <v>7179</v>
      </c>
      <c r="F1255" s="3">
        <v>5</v>
      </c>
      <c r="G1255" s="3" t="s">
        <v>12098</v>
      </c>
      <c r="H1255" s="3"/>
    </row>
    <row r="1256" spans="1:8" ht="75" x14ac:dyDescent="0.25">
      <c r="A1256" s="3" t="s">
        <v>12097</v>
      </c>
      <c r="B1256" s="3" t="s">
        <v>9548</v>
      </c>
      <c r="C1256" s="3" t="s">
        <v>9549</v>
      </c>
      <c r="D1256" s="3">
        <v>367</v>
      </c>
      <c r="E1256" s="3" t="s">
        <v>7200</v>
      </c>
      <c r="F1256" s="3">
        <v>8</v>
      </c>
      <c r="G1256" s="3" t="s">
        <v>12099</v>
      </c>
      <c r="H1256" s="3"/>
    </row>
    <row r="1257" spans="1:8" ht="60" x14ac:dyDescent="0.25">
      <c r="A1257" s="3" t="s">
        <v>12097</v>
      </c>
      <c r="B1257" s="3" t="s">
        <v>9550</v>
      </c>
      <c r="C1257" s="3" t="s">
        <v>9551</v>
      </c>
      <c r="D1257" s="3">
        <v>1582</v>
      </c>
      <c r="E1257" s="3" t="s">
        <v>7182</v>
      </c>
      <c r="F1257" s="3">
        <v>30</v>
      </c>
      <c r="G1257" s="3" t="s">
        <v>12099</v>
      </c>
      <c r="H1257" s="3"/>
    </row>
    <row r="1258" spans="1:8" ht="45" x14ac:dyDescent="0.25">
      <c r="A1258" s="3" t="s">
        <v>12097</v>
      </c>
      <c r="B1258" s="3" t="s">
        <v>9552</v>
      </c>
      <c r="C1258" s="3" t="s">
        <v>9553</v>
      </c>
      <c r="D1258" s="3">
        <v>360</v>
      </c>
      <c r="E1258" s="3" t="s">
        <v>7182</v>
      </c>
      <c r="F1258" s="3">
        <v>35</v>
      </c>
      <c r="G1258" s="3" t="s">
        <v>12099</v>
      </c>
      <c r="H1258" s="3"/>
    </row>
    <row r="1259" spans="1:8" ht="45" x14ac:dyDescent="0.25">
      <c r="A1259" s="3" t="s">
        <v>12097</v>
      </c>
      <c r="B1259" s="3" t="s">
        <v>9554</v>
      </c>
      <c r="C1259" s="3" t="s">
        <v>9555</v>
      </c>
      <c r="D1259" s="3">
        <v>697</v>
      </c>
      <c r="E1259" s="3" t="s">
        <v>7182</v>
      </c>
      <c r="F1259" s="3">
        <v>45</v>
      </c>
      <c r="G1259" s="3" t="s">
        <v>12099</v>
      </c>
      <c r="H1259" s="3"/>
    </row>
    <row r="1260" spans="1:8" ht="75" x14ac:dyDescent="0.25">
      <c r="A1260" s="3" t="s">
        <v>12097</v>
      </c>
      <c r="B1260" s="3" t="s">
        <v>9556</v>
      </c>
      <c r="C1260" s="3" t="s">
        <v>9557</v>
      </c>
      <c r="D1260" s="3">
        <v>700</v>
      </c>
      <c r="E1260" s="3" t="s">
        <v>7179</v>
      </c>
      <c r="F1260" s="3">
        <v>5</v>
      </c>
      <c r="G1260" s="3" t="s">
        <v>9558</v>
      </c>
      <c r="H1260" s="3"/>
    </row>
    <row r="1261" spans="1:8" ht="75" x14ac:dyDescent="0.25">
      <c r="A1261" s="3" t="s">
        <v>12097</v>
      </c>
      <c r="B1261" s="3" t="s">
        <v>9559</v>
      </c>
      <c r="C1261" s="3" t="s">
        <v>9560</v>
      </c>
      <c r="D1261" s="3">
        <v>699</v>
      </c>
      <c r="E1261" s="3" t="s">
        <v>7179</v>
      </c>
      <c r="F1261" s="3">
        <v>5</v>
      </c>
      <c r="G1261" s="3" t="s">
        <v>9561</v>
      </c>
      <c r="H1261" s="3"/>
    </row>
    <row r="1262" spans="1:8" ht="30" x14ac:dyDescent="0.25">
      <c r="A1262" s="3" t="s">
        <v>12097</v>
      </c>
      <c r="B1262" s="3" t="s">
        <v>9562</v>
      </c>
      <c r="C1262" s="3" t="s">
        <v>9563</v>
      </c>
      <c r="D1262" s="3">
        <v>994</v>
      </c>
      <c r="E1262" s="3" t="s">
        <v>7200</v>
      </c>
      <c r="F1262" s="3">
        <v>8</v>
      </c>
      <c r="G1262" s="3" t="s">
        <v>12099</v>
      </c>
      <c r="H1262" s="3"/>
    </row>
    <row r="1263" spans="1:8" ht="45" x14ac:dyDescent="0.25">
      <c r="A1263" s="3" t="s">
        <v>12097</v>
      </c>
      <c r="B1263" s="3" t="s">
        <v>9564</v>
      </c>
      <c r="C1263" s="3" t="s">
        <v>9565</v>
      </c>
      <c r="D1263" s="3">
        <v>991</v>
      </c>
      <c r="E1263" s="3" t="s">
        <v>7200</v>
      </c>
      <c r="F1263" s="3">
        <v>8</v>
      </c>
      <c r="G1263" s="3" t="s">
        <v>12099</v>
      </c>
      <c r="H1263" s="3"/>
    </row>
    <row r="1264" spans="1:8" ht="75" x14ac:dyDescent="0.25">
      <c r="A1264" s="3" t="s">
        <v>12097</v>
      </c>
      <c r="B1264" s="3" t="s">
        <v>9566</v>
      </c>
      <c r="C1264" s="3" t="s">
        <v>12146</v>
      </c>
      <c r="D1264" s="3">
        <v>990</v>
      </c>
      <c r="E1264" s="3" t="s">
        <v>7179</v>
      </c>
      <c r="F1264" s="3">
        <v>5</v>
      </c>
      <c r="G1264" s="3" t="s">
        <v>9567</v>
      </c>
      <c r="H1264" s="3"/>
    </row>
    <row r="1265" spans="1:8" ht="30" x14ac:dyDescent="0.25">
      <c r="A1265" s="3" t="s">
        <v>12097</v>
      </c>
      <c r="B1265" s="3" t="s">
        <v>9568</v>
      </c>
      <c r="C1265" s="3" t="s">
        <v>9569</v>
      </c>
      <c r="D1265" s="3">
        <v>992</v>
      </c>
      <c r="E1265" s="3" t="s">
        <v>7182</v>
      </c>
      <c r="F1265" s="3">
        <v>6</v>
      </c>
      <c r="G1265" s="3" t="s">
        <v>12099</v>
      </c>
      <c r="H1265" s="3"/>
    </row>
    <row r="1266" spans="1:8" ht="75" x14ac:dyDescent="0.25">
      <c r="A1266" s="3" t="s">
        <v>12097</v>
      </c>
      <c r="B1266" s="3" t="s">
        <v>9570</v>
      </c>
      <c r="C1266" s="3" t="s">
        <v>9571</v>
      </c>
      <c r="D1266" s="3">
        <v>362</v>
      </c>
      <c r="E1266" s="3" t="s">
        <v>7179</v>
      </c>
      <c r="F1266" s="3">
        <v>5</v>
      </c>
      <c r="G1266" s="3" t="s">
        <v>7444</v>
      </c>
      <c r="H1266" s="3"/>
    </row>
    <row r="1267" spans="1:8" ht="45" x14ac:dyDescent="0.25">
      <c r="A1267" s="3" t="s">
        <v>12097</v>
      </c>
      <c r="B1267" s="3" t="s">
        <v>9572</v>
      </c>
      <c r="C1267" s="3" t="s">
        <v>9573</v>
      </c>
      <c r="D1267" s="3">
        <v>363</v>
      </c>
      <c r="E1267" s="3" t="s">
        <v>7200</v>
      </c>
      <c r="F1267" s="3">
        <v>8</v>
      </c>
      <c r="G1267" s="3" t="s">
        <v>12099</v>
      </c>
      <c r="H1267" s="3"/>
    </row>
    <row r="1268" spans="1:8" ht="409.5" x14ac:dyDescent="0.25">
      <c r="A1268" s="3" t="s">
        <v>12097</v>
      </c>
      <c r="B1268" s="3" t="s">
        <v>9574</v>
      </c>
      <c r="C1268" s="3" t="s">
        <v>9575</v>
      </c>
      <c r="D1268" s="3">
        <v>2155</v>
      </c>
      <c r="E1268" s="3" t="s">
        <v>7179</v>
      </c>
      <c r="F1268" s="3">
        <v>5</v>
      </c>
      <c r="G1268" s="3" t="s">
        <v>9576</v>
      </c>
      <c r="H1268" s="3"/>
    </row>
    <row r="1269" spans="1:8" ht="60" x14ac:dyDescent="0.25">
      <c r="A1269" s="3" t="s">
        <v>12097</v>
      </c>
      <c r="B1269" s="3" t="s">
        <v>9578</v>
      </c>
      <c r="C1269" s="3" t="s">
        <v>9579</v>
      </c>
      <c r="D1269" s="3">
        <v>453</v>
      </c>
      <c r="E1269" s="3" t="s">
        <v>7238</v>
      </c>
      <c r="F1269" s="3">
        <v>2.2000000000000002</v>
      </c>
      <c r="G1269" s="3" t="s">
        <v>12099</v>
      </c>
      <c r="H1269" s="3"/>
    </row>
    <row r="1270" spans="1:8" ht="60" x14ac:dyDescent="0.25">
      <c r="A1270" s="3" t="s">
        <v>12097</v>
      </c>
      <c r="B1270" s="3" t="s">
        <v>9580</v>
      </c>
      <c r="C1270" s="3" t="s">
        <v>9581</v>
      </c>
      <c r="D1270" s="3">
        <v>439</v>
      </c>
      <c r="E1270" s="3" t="s">
        <v>7238</v>
      </c>
      <c r="F1270" s="3">
        <v>2.1</v>
      </c>
      <c r="G1270" s="3" t="s">
        <v>12099</v>
      </c>
      <c r="H1270" s="3"/>
    </row>
    <row r="1271" spans="1:8" ht="120" x14ac:dyDescent="0.25">
      <c r="A1271" s="3" t="s">
        <v>12097</v>
      </c>
      <c r="B1271" s="3" t="s">
        <v>9582</v>
      </c>
      <c r="C1271" s="3" t="s">
        <v>9583</v>
      </c>
      <c r="D1271" s="3">
        <v>440</v>
      </c>
      <c r="E1271" s="3" t="s">
        <v>7238</v>
      </c>
      <c r="F1271" s="3">
        <v>2.1</v>
      </c>
      <c r="G1271" s="3" t="s">
        <v>12099</v>
      </c>
      <c r="H1271" s="3"/>
    </row>
    <row r="1272" spans="1:8" ht="75" x14ac:dyDescent="0.25">
      <c r="A1272" s="3" t="s">
        <v>12097</v>
      </c>
      <c r="B1272" s="3" t="s">
        <v>9584</v>
      </c>
      <c r="C1272" s="3" t="s">
        <v>9585</v>
      </c>
      <c r="D1272" s="3">
        <v>1149</v>
      </c>
      <c r="E1272" s="3" t="s">
        <v>7238</v>
      </c>
      <c r="F1272" s="3">
        <v>2.1</v>
      </c>
      <c r="G1272" s="3" t="s">
        <v>12099</v>
      </c>
      <c r="H1272" s="3"/>
    </row>
    <row r="1273" spans="1:8" ht="90" x14ac:dyDescent="0.25">
      <c r="A1273" s="3" t="s">
        <v>12097</v>
      </c>
      <c r="B1273" s="3" t="s">
        <v>9586</v>
      </c>
      <c r="C1273" s="3" t="s">
        <v>9587</v>
      </c>
      <c r="D1273" s="3">
        <v>306</v>
      </c>
      <c r="E1273" s="3" t="s">
        <v>7182</v>
      </c>
      <c r="F1273" s="3">
        <v>15</v>
      </c>
      <c r="G1273" s="3" t="s">
        <v>12099</v>
      </c>
      <c r="H1273" s="3"/>
    </row>
    <row r="1274" spans="1:8" ht="135" x14ac:dyDescent="0.25">
      <c r="A1274" s="3" t="s">
        <v>9588</v>
      </c>
      <c r="B1274" s="3" t="s">
        <v>9589</v>
      </c>
      <c r="C1274" s="3" t="s">
        <v>9590</v>
      </c>
      <c r="D1274" s="3"/>
      <c r="E1274" s="3" t="s">
        <v>9591</v>
      </c>
      <c r="F1274" s="3"/>
      <c r="G1274" s="3" t="s">
        <v>9592</v>
      </c>
      <c r="H1274" s="3"/>
    </row>
    <row r="1275" spans="1:8" ht="409.5" x14ac:dyDescent="0.25">
      <c r="A1275" s="3" t="s">
        <v>9588</v>
      </c>
      <c r="B1275" s="3" t="s">
        <v>9593</v>
      </c>
      <c r="C1275" s="3" t="s">
        <v>9594</v>
      </c>
      <c r="D1275" s="3"/>
      <c r="E1275" s="3" t="s">
        <v>9591</v>
      </c>
      <c r="F1275" s="3"/>
      <c r="G1275" s="3" t="s">
        <v>9595</v>
      </c>
      <c r="H1275" s="3"/>
    </row>
    <row r="1276" spans="1:8" ht="75" x14ac:dyDescent="0.25">
      <c r="A1276" s="3" t="s">
        <v>9588</v>
      </c>
      <c r="B1276" s="3" t="s">
        <v>9596</v>
      </c>
      <c r="C1276" s="3" t="s">
        <v>9597</v>
      </c>
      <c r="D1276" s="3"/>
      <c r="E1276" s="3" t="s">
        <v>9591</v>
      </c>
      <c r="F1276" s="3"/>
      <c r="G1276" s="3" t="s">
        <v>9598</v>
      </c>
      <c r="H1276" s="3"/>
    </row>
    <row r="1277" spans="1:8" ht="30" x14ac:dyDescent="0.25">
      <c r="A1277" s="3" t="s">
        <v>9588</v>
      </c>
      <c r="B1277" s="3" t="s">
        <v>9599</v>
      </c>
      <c r="C1277" s="3" t="s">
        <v>9600</v>
      </c>
      <c r="D1277" s="3"/>
      <c r="E1277" s="3" t="s">
        <v>9591</v>
      </c>
      <c r="F1277" s="3">
        <v>60</v>
      </c>
      <c r="G1277" s="3" t="s">
        <v>12</v>
      </c>
      <c r="H1277" s="3"/>
    </row>
    <row r="1278" spans="1:8" ht="210" x14ac:dyDescent="0.25">
      <c r="A1278" s="3" t="s">
        <v>9588</v>
      </c>
      <c r="B1278" s="3" t="s">
        <v>12147</v>
      </c>
      <c r="C1278" s="3" t="s">
        <v>12148</v>
      </c>
      <c r="D1278" s="3"/>
      <c r="E1278" s="3" t="s">
        <v>9591</v>
      </c>
      <c r="F1278" s="3"/>
      <c r="G1278" s="3" t="s">
        <v>12149</v>
      </c>
      <c r="H1278" s="3"/>
    </row>
    <row r="1279" spans="1:8" ht="45" x14ac:dyDescent="0.25">
      <c r="A1279" s="3" t="s">
        <v>9588</v>
      </c>
      <c r="B1279" s="3" t="s">
        <v>9601</v>
      </c>
      <c r="C1279" s="3" t="s">
        <v>9602</v>
      </c>
      <c r="D1279" s="3"/>
      <c r="E1279" s="3" t="s">
        <v>9591</v>
      </c>
      <c r="F1279" s="3">
        <v>60</v>
      </c>
      <c r="G1279" s="3" t="s">
        <v>12</v>
      </c>
      <c r="H1279" s="3"/>
    </row>
    <row r="1280" spans="1:8" ht="60" x14ac:dyDescent="0.25">
      <c r="A1280" s="3" t="s">
        <v>9588</v>
      </c>
      <c r="B1280" s="3" t="s">
        <v>9603</v>
      </c>
      <c r="C1280" s="3" t="s">
        <v>9604</v>
      </c>
      <c r="D1280" s="3"/>
      <c r="E1280" s="3" t="s">
        <v>9605</v>
      </c>
      <c r="F1280" s="3"/>
      <c r="G1280" s="3" t="s">
        <v>12</v>
      </c>
      <c r="H1280" s="3"/>
    </row>
    <row r="1281" spans="1:8" ht="120" x14ac:dyDescent="0.25">
      <c r="A1281" s="3" t="s">
        <v>9588</v>
      </c>
      <c r="B1281" s="3" t="s">
        <v>9606</v>
      </c>
      <c r="C1281" s="3" t="s">
        <v>9607</v>
      </c>
      <c r="D1281" s="3"/>
      <c r="E1281" s="3" t="s">
        <v>9591</v>
      </c>
      <c r="F1281" s="3"/>
      <c r="G1281" s="3" t="s">
        <v>9608</v>
      </c>
      <c r="H1281" s="3"/>
    </row>
    <row r="1282" spans="1:8" ht="120" x14ac:dyDescent="0.25">
      <c r="A1282" s="3" t="s">
        <v>9588</v>
      </c>
      <c r="B1282" s="3" t="s">
        <v>9609</v>
      </c>
      <c r="C1282" s="3" t="s">
        <v>9610</v>
      </c>
      <c r="D1282" s="3"/>
      <c r="E1282" s="3" t="s">
        <v>9591</v>
      </c>
      <c r="F1282" s="3"/>
      <c r="G1282" s="3" t="s">
        <v>9611</v>
      </c>
      <c r="H1282" s="3"/>
    </row>
    <row r="1283" spans="1:8" ht="60" x14ac:dyDescent="0.25">
      <c r="A1283" s="3" t="s">
        <v>9588</v>
      </c>
      <c r="B1283" s="3" t="s">
        <v>9612</v>
      </c>
      <c r="C1283" s="3" t="s">
        <v>9613</v>
      </c>
      <c r="D1283" s="3"/>
      <c r="E1283" s="3" t="s">
        <v>9591</v>
      </c>
      <c r="F1283" s="3"/>
      <c r="G1283" s="3" t="s">
        <v>9614</v>
      </c>
      <c r="H1283" s="3"/>
    </row>
    <row r="1284" spans="1:8" ht="409.5" x14ac:dyDescent="0.25">
      <c r="A1284" s="3" t="s">
        <v>9588</v>
      </c>
      <c r="B1284" s="3" t="s">
        <v>9615</v>
      </c>
      <c r="C1284" s="3" t="s">
        <v>9616</v>
      </c>
      <c r="D1284" s="3"/>
      <c r="E1284" s="3" t="s">
        <v>9591</v>
      </c>
      <c r="F1284" s="3"/>
      <c r="G1284" s="3" t="s">
        <v>9617</v>
      </c>
      <c r="H1284" s="3"/>
    </row>
    <row r="1285" spans="1:8" x14ac:dyDescent="0.25">
      <c r="A1285" s="3" t="s">
        <v>9588</v>
      </c>
      <c r="B1285" s="3" t="s">
        <v>9618</v>
      </c>
      <c r="C1285" s="3" t="s">
        <v>9619</v>
      </c>
      <c r="D1285" s="3"/>
      <c r="E1285" s="3" t="s">
        <v>9591</v>
      </c>
      <c r="F1285" s="3">
        <v>80</v>
      </c>
      <c r="G1285" s="3" t="s">
        <v>12</v>
      </c>
      <c r="H1285" s="3"/>
    </row>
    <row r="1286" spans="1:8" ht="30" x14ac:dyDescent="0.25">
      <c r="A1286" s="3" t="s">
        <v>9588</v>
      </c>
      <c r="B1286" s="3" t="s">
        <v>9620</v>
      </c>
      <c r="C1286" s="3" t="s">
        <v>9621</v>
      </c>
      <c r="D1286" s="3"/>
      <c r="E1286" s="3" t="s">
        <v>9622</v>
      </c>
      <c r="F1286" s="3"/>
      <c r="G1286" s="3" t="s">
        <v>12</v>
      </c>
      <c r="H1286" s="3"/>
    </row>
    <row r="1287" spans="1:8" ht="30" x14ac:dyDescent="0.25">
      <c r="A1287" s="3" t="s">
        <v>9588</v>
      </c>
      <c r="B1287" s="3" t="s">
        <v>9623</v>
      </c>
      <c r="C1287" s="3" t="s">
        <v>9624</v>
      </c>
      <c r="D1287" s="3"/>
      <c r="E1287" s="3" t="s">
        <v>9625</v>
      </c>
      <c r="F1287" s="3"/>
      <c r="G1287" s="3" t="s">
        <v>12</v>
      </c>
      <c r="H1287" s="3"/>
    </row>
    <row r="1288" spans="1:8" ht="135" x14ac:dyDescent="0.25">
      <c r="A1288" s="3" t="s">
        <v>9588</v>
      </c>
      <c r="B1288" s="3" t="s">
        <v>9626</v>
      </c>
      <c r="C1288" s="3" t="s">
        <v>9627</v>
      </c>
      <c r="D1288" s="3"/>
      <c r="E1288" s="3" t="s">
        <v>9591</v>
      </c>
      <c r="F1288" s="3"/>
      <c r="G1288" s="3" t="s">
        <v>9628</v>
      </c>
      <c r="H1288" s="3"/>
    </row>
    <row r="1289" spans="1:8" ht="30" x14ac:dyDescent="0.25">
      <c r="A1289" s="3" t="s">
        <v>9588</v>
      </c>
      <c r="B1289" s="3" t="s">
        <v>112</v>
      </c>
      <c r="C1289" s="3" t="s">
        <v>9629</v>
      </c>
      <c r="D1289" s="3"/>
      <c r="E1289" s="3" t="s">
        <v>9591</v>
      </c>
      <c r="F1289" s="3">
        <v>60</v>
      </c>
      <c r="G1289" s="3" t="s">
        <v>12</v>
      </c>
      <c r="H1289" s="3"/>
    </row>
    <row r="1290" spans="1:8" ht="90" x14ac:dyDescent="0.25">
      <c r="A1290" s="3" t="s">
        <v>9588</v>
      </c>
      <c r="B1290" s="3" t="s">
        <v>9630</v>
      </c>
      <c r="C1290" s="3" t="s">
        <v>9631</v>
      </c>
      <c r="D1290" s="3"/>
      <c r="E1290" s="3" t="s">
        <v>9591</v>
      </c>
      <c r="F1290" s="3"/>
      <c r="G1290" s="3" t="s">
        <v>9632</v>
      </c>
      <c r="H1290" s="3"/>
    </row>
    <row r="1291" spans="1:8" ht="30" x14ac:dyDescent="0.25">
      <c r="A1291" s="3" t="s">
        <v>9588</v>
      </c>
      <c r="B1291" s="3" t="s">
        <v>9633</v>
      </c>
      <c r="C1291" s="3" t="s">
        <v>9634</v>
      </c>
      <c r="D1291" s="3"/>
      <c r="E1291" s="3" t="s">
        <v>9591</v>
      </c>
      <c r="F1291" s="3">
        <v>60</v>
      </c>
      <c r="G1291" s="3" t="s">
        <v>12</v>
      </c>
      <c r="H1291" s="3"/>
    </row>
    <row r="1292" spans="1:8" ht="30" x14ac:dyDescent="0.25">
      <c r="A1292" s="3" t="s">
        <v>9588</v>
      </c>
      <c r="B1292" s="3" t="s">
        <v>9635</v>
      </c>
      <c r="C1292" s="3" t="s">
        <v>9636</v>
      </c>
      <c r="D1292" s="3"/>
      <c r="E1292" s="3" t="s">
        <v>9637</v>
      </c>
      <c r="F1292" s="3"/>
      <c r="G1292" s="3" t="s">
        <v>12</v>
      </c>
      <c r="H1292" s="3"/>
    </row>
    <row r="1293" spans="1:8" ht="60" x14ac:dyDescent="0.25">
      <c r="A1293" s="3" t="s">
        <v>9588</v>
      </c>
      <c r="B1293" s="3" t="s">
        <v>9638</v>
      </c>
      <c r="C1293" s="3" t="s">
        <v>9639</v>
      </c>
      <c r="D1293" s="3"/>
      <c r="E1293" s="3" t="s">
        <v>9591</v>
      </c>
      <c r="F1293" s="3"/>
      <c r="G1293" s="3" t="s">
        <v>9598</v>
      </c>
      <c r="H1293" s="3"/>
    </row>
    <row r="1294" spans="1:8" ht="135" x14ac:dyDescent="0.25">
      <c r="A1294" s="3" t="s">
        <v>9588</v>
      </c>
      <c r="B1294" s="3" t="s">
        <v>9640</v>
      </c>
      <c r="C1294" s="3" t="s">
        <v>9641</v>
      </c>
      <c r="D1294" s="3"/>
      <c r="E1294" s="3" t="s">
        <v>9591</v>
      </c>
      <c r="F1294" s="3"/>
      <c r="G1294" s="3" t="s">
        <v>12150</v>
      </c>
      <c r="H1294" s="3"/>
    </row>
    <row r="1295" spans="1:8" x14ac:dyDescent="0.25">
      <c r="A1295" s="3" t="s">
        <v>9588</v>
      </c>
      <c r="B1295" s="3" t="s">
        <v>9642</v>
      </c>
      <c r="C1295" s="3" t="s">
        <v>9643</v>
      </c>
      <c r="D1295" s="3"/>
      <c r="E1295" s="3" t="s">
        <v>9591</v>
      </c>
      <c r="F1295" s="3">
        <v>20</v>
      </c>
      <c r="G1295" s="3" t="s">
        <v>12</v>
      </c>
      <c r="H1295" s="3"/>
    </row>
    <row r="1296" spans="1:8" ht="30" x14ac:dyDescent="0.25">
      <c r="A1296" s="3" t="s">
        <v>9588</v>
      </c>
      <c r="B1296" s="3" t="s">
        <v>9644</v>
      </c>
      <c r="C1296" s="3" t="s">
        <v>9645</v>
      </c>
      <c r="D1296" s="3"/>
      <c r="E1296" s="3" t="s">
        <v>9591</v>
      </c>
      <c r="F1296" s="3"/>
      <c r="G1296" s="3" t="s">
        <v>12</v>
      </c>
      <c r="H1296" s="3"/>
    </row>
    <row r="1297" spans="1:8" ht="60" x14ac:dyDescent="0.25">
      <c r="A1297" s="3" t="s">
        <v>9588</v>
      </c>
      <c r="B1297" s="3" t="s">
        <v>9646</v>
      </c>
      <c r="C1297" s="3" t="s">
        <v>9647</v>
      </c>
      <c r="D1297" s="3"/>
      <c r="E1297" s="3" t="s">
        <v>9591</v>
      </c>
      <c r="F1297" s="3"/>
      <c r="G1297" s="3" t="s">
        <v>9648</v>
      </c>
      <c r="H1297" s="3"/>
    </row>
    <row r="1298" spans="1:8" ht="45" x14ac:dyDescent="0.25">
      <c r="A1298" s="3" t="s">
        <v>9588</v>
      </c>
      <c r="B1298" s="3" t="s">
        <v>9649</v>
      </c>
      <c r="C1298" s="3" t="s">
        <v>9650</v>
      </c>
      <c r="D1298" s="3"/>
      <c r="E1298" s="3" t="s">
        <v>9591</v>
      </c>
      <c r="F1298" s="3"/>
      <c r="G1298" s="3" t="s">
        <v>12</v>
      </c>
      <c r="H1298" s="3"/>
    </row>
    <row r="1299" spans="1:8" ht="30" x14ac:dyDescent="0.25">
      <c r="A1299" s="3" t="s">
        <v>9588</v>
      </c>
      <c r="B1299" s="3" t="s">
        <v>9651</v>
      </c>
      <c r="C1299" s="3" t="s">
        <v>9652</v>
      </c>
      <c r="D1299" s="3"/>
      <c r="E1299" s="3" t="s">
        <v>9653</v>
      </c>
      <c r="F1299" s="3"/>
      <c r="G1299" s="3" t="s">
        <v>12</v>
      </c>
      <c r="H1299" s="3"/>
    </row>
    <row r="1300" spans="1:8" ht="45" x14ac:dyDescent="0.25">
      <c r="A1300" s="3" t="s">
        <v>9588</v>
      </c>
      <c r="B1300" s="3" t="s">
        <v>9654</v>
      </c>
      <c r="C1300" s="3" t="s">
        <v>9655</v>
      </c>
      <c r="D1300" s="3"/>
      <c r="E1300" s="3" t="s">
        <v>9605</v>
      </c>
      <c r="F1300" s="3"/>
      <c r="G1300" s="3" t="s">
        <v>12</v>
      </c>
      <c r="H1300" s="3"/>
    </row>
    <row r="1301" spans="1:8" ht="315" x14ac:dyDescent="0.25">
      <c r="A1301" s="3" t="s">
        <v>9588</v>
      </c>
      <c r="B1301" s="3" t="s">
        <v>9656</v>
      </c>
      <c r="C1301" s="3" t="s">
        <v>9657</v>
      </c>
      <c r="D1301" s="3"/>
      <c r="E1301" s="3" t="s">
        <v>9591</v>
      </c>
      <c r="F1301" s="3"/>
      <c r="G1301" s="3" t="s">
        <v>9658</v>
      </c>
      <c r="H1301" s="3"/>
    </row>
    <row r="1302" spans="1:8" ht="30" x14ac:dyDescent="0.25">
      <c r="A1302" s="3" t="s">
        <v>9588</v>
      </c>
      <c r="B1302" s="3" t="s">
        <v>9659</v>
      </c>
      <c r="C1302" s="3" t="s">
        <v>9660</v>
      </c>
      <c r="D1302" s="3"/>
      <c r="E1302" s="3" t="s">
        <v>9591</v>
      </c>
      <c r="F1302" s="3">
        <v>500</v>
      </c>
      <c r="G1302" s="3" t="s">
        <v>12</v>
      </c>
      <c r="H1302" s="3"/>
    </row>
    <row r="1303" spans="1:8" ht="60" x14ac:dyDescent="0.25">
      <c r="A1303" s="3" t="s">
        <v>9588</v>
      </c>
      <c r="B1303" s="3" t="s">
        <v>9661</v>
      </c>
      <c r="C1303" s="3" t="s">
        <v>9662</v>
      </c>
      <c r="D1303" s="3"/>
      <c r="E1303" s="3" t="s">
        <v>9591</v>
      </c>
      <c r="F1303" s="3"/>
      <c r="G1303" s="3" t="s">
        <v>9598</v>
      </c>
      <c r="H1303" s="3"/>
    </row>
    <row r="1304" spans="1:8" ht="60" x14ac:dyDescent="0.25">
      <c r="A1304" s="3" t="s">
        <v>9588</v>
      </c>
      <c r="B1304" s="3" t="s">
        <v>9663</v>
      </c>
      <c r="C1304" s="3" t="s">
        <v>9664</v>
      </c>
      <c r="D1304" s="3"/>
      <c r="E1304" s="3" t="s">
        <v>9591</v>
      </c>
      <c r="F1304" s="3"/>
      <c r="G1304" s="3" t="s">
        <v>9665</v>
      </c>
      <c r="H1304" s="3"/>
    </row>
    <row r="1305" spans="1:8" ht="45" x14ac:dyDescent="0.25">
      <c r="A1305" s="3" t="s">
        <v>9588</v>
      </c>
      <c r="B1305" s="3" t="s">
        <v>9666</v>
      </c>
      <c r="C1305" s="3" t="s">
        <v>9667</v>
      </c>
      <c r="D1305" s="3"/>
      <c r="E1305" s="3" t="s">
        <v>9637</v>
      </c>
      <c r="F1305" s="3"/>
      <c r="G1305" s="3" t="s">
        <v>12</v>
      </c>
      <c r="H1305" s="3"/>
    </row>
    <row r="1306" spans="1:8" ht="60" x14ac:dyDescent="0.25">
      <c r="A1306" s="3" t="s">
        <v>9588</v>
      </c>
      <c r="B1306" s="3" t="s">
        <v>9668</v>
      </c>
      <c r="C1306" s="3" t="s">
        <v>9669</v>
      </c>
      <c r="D1306" s="3"/>
      <c r="E1306" s="3" t="s">
        <v>9591</v>
      </c>
      <c r="F1306" s="3">
        <v>6</v>
      </c>
      <c r="G1306" s="3" t="s">
        <v>12</v>
      </c>
      <c r="H1306" s="3"/>
    </row>
    <row r="1307" spans="1:8" ht="90" x14ac:dyDescent="0.25">
      <c r="A1307" s="3" t="s">
        <v>9588</v>
      </c>
      <c r="B1307" s="3" t="s">
        <v>9670</v>
      </c>
      <c r="C1307" s="3" t="s">
        <v>9671</v>
      </c>
      <c r="D1307" s="3"/>
      <c r="E1307" s="3" t="s">
        <v>9591</v>
      </c>
      <c r="F1307" s="3"/>
      <c r="G1307" s="3" t="s">
        <v>9672</v>
      </c>
      <c r="H1307" s="3"/>
    </row>
    <row r="1308" spans="1:8" ht="45" x14ac:dyDescent="0.25">
      <c r="A1308" s="3" t="s">
        <v>9588</v>
      </c>
      <c r="B1308" s="3" t="s">
        <v>9673</v>
      </c>
      <c r="C1308" s="3" t="s">
        <v>9674</v>
      </c>
      <c r="D1308" s="3"/>
      <c r="E1308" s="3" t="s">
        <v>9591</v>
      </c>
      <c r="F1308" s="3">
        <v>45</v>
      </c>
      <c r="G1308" s="3" t="s">
        <v>12</v>
      </c>
      <c r="H1308" s="3"/>
    </row>
    <row r="1309" spans="1:8" ht="30" x14ac:dyDescent="0.25">
      <c r="A1309" s="3" t="s">
        <v>9588</v>
      </c>
      <c r="B1309" s="3" t="s">
        <v>9675</v>
      </c>
      <c r="C1309" s="3" t="s">
        <v>9676</v>
      </c>
      <c r="D1309" s="3"/>
      <c r="E1309" s="3" t="s">
        <v>9637</v>
      </c>
      <c r="F1309" s="3"/>
      <c r="G1309" s="3" t="s">
        <v>12</v>
      </c>
      <c r="H1309" s="3"/>
    </row>
    <row r="1310" spans="1:8" ht="45" x14ac:dyDescent="0.25">
      <c r="A1310" s="3" t="s">
        <v>9588</v>
      </c>
      <c r="B1310" s="3" t="s">
        <v>9677</v>
      </c>
      <c r="C1310" s="3" t="s">
        <v>9678</v>
      </c>
      <c r="D1310" s="3"/>
      <c r="E1310" s="3" t="s">
        <v>9591</v>
      </c>
      <c r="F1310" s="3">
        <v>60</v>
      </c>
      <c r="G1310" s="3" t="s">
        <v>12</v>
      </c>
      <c r="H1310" s="3"/>
    </row>
    <row r="1311" spans="1:8" ht="105" x14ac:dyDescent="0.25">
      <c r="A1311" s="3" t="s">
        <v>9588</v>
      </c>
      <c r="B1311" s="3" t="s">
        <v>9679</v>
      </c>
      <c r="C1311" s="3" t="s">
        <v>9680</v>
      </c>
      <c r="D1311" s="3"/>
      <c r="E1311" s="3" t="s">
        <v>9591</v>
      </c>
      <c r="F1311" s="3"/>
      <c r="G1311" s="3" t="s">
        <v>9681</v>
      </c>
      <c r="H1311" s="3"/>
    </row>
    <row r="1312" spans="1:8" ht="30" x14ac:dyDescent="0.25">
      <c r="A1312" s="3" t="s">
        <v>9588</v>
      </c>
      <c r="B1312" s="3" t="s">
        <v>9682</v>
      </c>
      <c r="C1312" s="3" t="s">
        <v>9683</v>
      </c>
      <c r="D1312" s="3"/>
      <c r="E1312" s="3" t="s">
        <v>9625</v>
      </c>
      <c r="F1312" s="3"/>
      <c r="G1312" s="3" t="s">
        <v>12</v>
      </c>
      <c r="H1312" s="3"/>
    </row>
    <row r="1313" spans="1:8" ht="105" x14ac:dyDescent="0.25">
      <c r="A1313" s="3" t="s">
        <v>9588</v>
      </c>
      <c r="B1313" s="3" t="s">
        <v>9684</v>
      </c>
      <c r="C1313" s="3" t="s">
        <v>9685</v>
      </c>
      <c r="D1313" s="3"/>
      <c r="E1313" s="3" t="s">
        <v>9591</v>
      </c>
      <c r="F1313" s="3"/>
      <c r="G1313" s="3" t="s">
        <v>9686</v>
      </c>
      <c r="H1313" s="3"/>
    </row>
    <row r="1314" spans="1:8" x14ac:dyDescent="0.25">
      <c r="A1314" s="3" t="s">
        <v>9588</v>
      </c>
      <c r="B1314" s="3" t="s">
        <v>9687</v>
      </c>
      <c r="C1314" s="3" t="s">
        <v>9688</v>
      </c>
      <c r="D1314" s="3"/>
      <c r="E1314" s="3" t="s">
        <v>9591</v>
      </c>
      <c r="F1314" s="3">
        <v>40</v>
      </c>
      <c r="G1314" s="3" t="s">
        <v>12</v>
      </c>
      <c r="H1314" s="3"/>
    </row>
    <row r="1315" spans="1:8" ht="30" x14ac:dyDescent="0.25">
      <c r="A1315" s="3" t="s">
        <v>9588</v>
      </c>
      <c r="B1315" s="3" t="s">
        <v>9689</v>
      </c>
      <c r="C1315" s="3" t="s">
        <v>9690</v>
      </c>
      <c r="D1315" s="3"/>
      <c r="E1315" s="3" t="s">
        <v>9591</v>
      </c>
      <c r="F1315" s="3">
        <v>4</v>
      </c>
      <c r="G1315" s="3" t="s">
        <v>12</v>
      </c>
      <c r="H1315" s="3"/>
    </row>
    <row r="1316" spans="1:8" ht="60" x14ac:dyDescent="0.25">
      <c r="A1316" s="3" t="s">
        <v>9588</v>
      </c>
      <c r="B1316" s="3" t="s">
        <v>9691</v>
      </c>
      <c r="C1316" s="3" t="s">
        <v>9692</v>
      </c>
      <c r="D1316" s="3"/>
      <c r="E1316" s="3" t="s">
        <v>9591</v>
      </c>
      <c r="F1316" s="3">
        <v>12</v>
      </c>
      <c r="G1316" s="3" t="s">
        <v>12</v>
      </c>
      <c r="H1316" s="3"/>
    </row>
    <row r="1317" spans="1:8" ht="60" x14ac:dyDescent="0.25">
      <c r="A1317" s="3" t="s">
        <v>9588</v>
      </c>
      <c r="B1317" s="3" t="s">
        <v>9693</v>
      </c>
      <c r="C1317" s="3" t="s">
        <v>9694</v>
      </c>
      <c r="D1317" s="3"/>
      <c r="E1317" s="3" t="s">
        <v>9591</v>
      </c>
      <c r="F1317" s="3">
        <v>6</v>
      </c>
      <c r="G1317" s="3" t="s">
        <v>12</v>
      </c>
      <c r="H1317" s="3"/>
    </row>
    <row r="1318" spans="1:8" ht="30" x14ac:dyDescent="0.25">
      <c r="A1318" s="3" t="s">
        <v>9588</v>
      </c>
      <c r="B1318" s="3" t="s">
        <v>9695</v>
      </c>
      <c r="C1318" s="3" t="s">
        <v>9696</v>
      </c>
      <c r="D1318" s="3"/>
      <c r="E1318" s="3" t="s">
        <v>9637</v>
      </c>
      <c r="F1318" s="3"/>
      <c r="G1318" s="3" t="s">
        <v>12</v>
      </c>
      <c r="H1318" s="3"/>
    </row>
    <row r="1319" spans="1:8" ht="45" x14ac:dyDescent="0.25">
      <c r="A1319" s="3" t="s">
        <v>9588</v>
      </c>
      <c r="B1319" s="3" t="s">
        <v>9697</v>
      </c>
      <c r="C1319" s="3" t="s">
        <v>9698</v>
      </c>
      <c r="D1319" s="3"/>
      <c r="E1319" s="3" t="s">
        <v>9591</v>
      </c>
      <c r="F1319" s="3">
        <v>11</v>
      </c>
      <c r="G1319" s="3" t="s">
        <v>12</v>
      </c>
      <c r="H1319" s="3"/>
    </row>
    <row r="1320" spans="1:8" ht="30" x14ac:dyDescent="0.25">
      <c r="A1320" s="3" t="s">
        <v>9588</v>
      </c>
      <c r="B1320" s="3" t="s">
        <v>9699</v>
      </c>
      <c r="C1320" s="3" t="s">
        <v>9700</v>
      </c>
      <c r="D1320" s="3"/>
      <c r="E1320" s="3" t="s">
        <v>9637</v>
      </c>
      <c r="F1320" s="3"/>
      <c r="G1320" s="3" t="s">
        <v>12</v>
      </c>
      <c r="H1320" s="3"/>
    </row>
    <row r="1321" spans="1:8" ht="60" x14ac:dyDescent="0.25">
      <c r="A1321" s="3" t="s">
        <v>9588</v>
      </c>
      <c r="B1321" s="3" t="s">
        <v>9701</v>
      </c>
      <c r="C1321" s="3" t="s">
        <v>9702</v>
      </c>
      <c r="D1321" s="3"/>
      <c r="E1321" s="3" t="s">
        <v>9591</v>
      </c>
      <c r="F1321" s="3">
        <v>60</v>
      </c>
      <c r="G1321" s="3" t="s">
        <v>12</v>
      </c>
      <c r="H1321" s="3"/>
    </row>
    <row r="1322" spans="1:8" ht="45" x14ac:dyDescent="0.25">
      <c r="A1322" s="3" t="s">
        <v>9588</v>
      </c>
      <c r="B1322" s="3" t="s">
        <v>9703</v>
      </c>
      <c r="C1322" s="3" t="s">
        <v>9704</v>
      </c>
      <c r="D1322" s="3"/>
      <c r="E1322" s="3" t="s">
        <v>9591</v>
      </c>
      <c r="F1322" s="3">
        <v>20</v>
      </c>
      <c r="G1322" s="3" t="s">
        <v>12</v>
      </c>
      <c r="H1322" s="3"/>
    </row>
    <row r="1323" spans="1:8" ht="45" x14ac:dyDescent="0.25">
      <c r="A1323" s="3" t="s">
        <v>9588</v>
      </c>
      <c r="B1323" s="3" t="s">
        <v>9705</v>
      </c>
      <c r="C1323" s="3" t="s">
        <v>9706</v>
      </c>
      <c r="D1323" s="3"/>
      <c r="E1323" s="3" t="s">
        <v>9591</v>
      </c>
      <c r="F1323" s="3">
        <v>80</v>
      </c>
      <c r="G1323" s="3" t="s">
        <v>12</v>
      </c>
      <c r="H1323" s="3"/>
    </row>
    <row r="1324" spans="1:8" ht="409.5" x14ac:dyDescent="0.25">
      <c r="A1324" s="3" t="s">
        <v>9588</v>
      </c>
      <c r="B1324" s="3" t="s">
        <v>9707</v>
      </c>
      <c r="C1324" s="3" t="s">
        <v>9708</v>
      </c>
      <c r="D1324" s="3"/>
      <c r="E1324" s="3" t="s">
        <v>9591</v>
      </c>
      <c r="F1324" s="3"/>
      <c r="G1324" s="3" t="s">
        <v>12151</v>
      </c>
      <c r="H1324" s="3"/>
    </row>
    <row r="1325" spans="1:8" ht="409.5" x14ac:dyDescent="0.25">
      <c r="A1325" s="3"/>
      <c r="B1325" s="3"/>
      <c r="C1325" s="3"/>
      <c r="D1325" s="3"/>
      <c r="E1325" s="3"/>
      <c r="F1325" s="3"/>
      <c r="G1325" s="3" t="s">
        <v>12152</v>
      </c>
      <c r="H1325" s="3"/>
    </row>
    <row r="1326" spans="1:8" ht="330" x14ac:dyDescent="0.25">
      <c r="A1326" s="3" t="s">
        <v>9588</v>
      </c>
      <c r="B1326" s="3" t="s">
        <v>9709</v>
      </c>
      <c r="C1326" s="3" t="s">
        <v>9710</v>
      </c>
      <c r="D1326" s="3"/>
      <c r="E1326" s="3" t="s">
        <v>9591</v>
      </c>
      <c r="F1326" s="3"/>
      <c r="G1326" s="3" t="s">
        <v>9711</v>
      </c>
      <c r="H1326" s="3"/>
    </row>
    <row r="1327" spans="1:8" ht="30" x14ac:dyDescent="0.25">
      <c r="A1327" s="3" t="s">
        <v>9588</v>
      </c>
      <c r="B1327" s="3" t="s">
        <v>9712</v>
      </c>
      <c r="C1327" s="3" t="s">
        <v>9713</v>
      </c>
      <c r="D1327" s="3"/>
      <c r="E1327" s="3" t="s">
        <v>9591</v>
      </c>
      <c r="F1327" s="3"/>
      <c r="G1327" s="3" t="s">
        <v>12</v>
      </c>
      <c r="H1327" s="3"/>
    </row>
    <row r="1328" spans="1:8" x14ac:dyDescent="0.25">
      <c r="A1328" s="3" t="s">
        <v>9588</v>
      </c>
      <c r="B1328" s="3" t="s">
        <v>9714</v>
      </c>
      <c r="C1328" s="3" t="s">
        <v>9715</v>
      </c>
      <c r="D1328" s="3"/>
      <c r="E1328" s="3" t="s">
        <v>9637</v>
      </c>
      <c r="F1328" s="3"/>
      <c r="G1328" s="3" t="s">
        <v>12</v>
      </c>
      <c r="H1328" s="3"/>
    </row>
    <row r="1329" spans="1:8" ht="30" x14ac:dyDescent="0.25">
      <c r="A1329" s="3" t="s">
        <v>9588</v>
      </c>
      <c r="B1329" s="3" t="s">
        <v>9716</v>
      </c>
      <c r="C1329" s="3" t="s">
        <v>9717</v>
      </c>
      <c r="D1329" s="3"/>
      <c r="E1329" s="3" t="s">
        <v>9591</v>
      </c>
      <c r="F1329" s="3">
        <v>60</v>
      </c>
      <c r="G1329" s="3" t="s">
        <v>12</v>
      </c>
      <c r="H1329" s="3"/>
    </row>
    <row r="1330" spans="1:8" ht="105" x14ac:dyDescent="0.25">
      <c r="A1330" s="3" t="s">
        <v>9588</v>
      </c>
      <c r="B1330" s="3" t="s">
        <v>9718</v>
      </c>
      <c r="C1330" s="3" t="s">
        <v>9719</v>
      </c>
      <c r="D1330" s="3"/>
      <c r="E1330" s="3" t="s">
        <v>9591</v>
      </c>
      <c r="F1330" s="3"/>
      <c r="G1330" s="3" t="s">
        <v>9720</v>
      </c>
      <c r="H1330" s="3"/>
    </row>
    <row r="1331" spans="1:8" x14ac:dyDescent="0.25">
      <c r="A1331" s="3" t="s">
        <v>9588</v>
      </c>
      <c r="B1331" s="3" t="s">
        <v>9721</v>
      </c>
      <c r="C1331" s="3" t="s">
        <v>9722</v>
      </c>
      <c r="D1331" s="3"/>
      <c r="E1331" s="3" t="s">
        <v>9591</v>
      </c>
      <c r="F1331" s="3">
        <v>60</v>
      </c>
      <c r="G1331" s="3" t="s">
        <v>12</v>
      </c>
      <c r="H1331" s="3"/>
    </row>
    <row r="1332" spans="1:8" ht="285" x14ac:dyDescent="0.25">
      <c r="A1332" s="3" t="s">
        <v>9588</v>
      </c>
      <c r="B1332" s="3" t="s">
        <v>1911</v>
      </c>
      <c r="C1332" s="3" t="s">
        <v>1909</v>
      </c>
      <c r="D1332" s="3"/>
      <c r="E1332" s="3" t="s">
        <v>9591</v>
      </c>
      <c r="F1332" s="3"/>
      <c r="G1332" s="3" t="s">
        <v>12153</v>
      </c>
      <c r="H1332" s="3"/>
    </row>
    <row r="1333" spans="1:8" ht="30" x14ac:dyDescent="0.25">
      <c r="A1333" s="3" t="s">
        <v>9588</v>
      </c>
      <c r="B1333" s="3" t="s">
        <v>9723</v>
      </c>
      <c r="C1333" s="3" t="s">
        <v>9724</v>
      </c>
      <c r="D1333" s="3"/>
      <c r="E1333" s="3" t="s">
        <v>9591</v>
      </c>
      <c r="F1333" s="3">
        <v>10</v>
      </c>
      <c r="G1333" s="3" t="s">
        <v>12</v>
      </c>
      <c r="H1333" s="3"/>
    </row>
    <row r="1334" spans="1:8" ht="45" x14ac:dyDescent="0.25">
      <c r="A1334" s="3" t="s">
        <v>9588</v>
      </c>
      <c r="B1334" s="3" t="s">
        <v>9725</v>
      </c>
      <c r="C1334" s="3" t="s">
        <v>1904</v>
      </c>
      <c r="D1334" s="3"/>
      <c r="E1334" s="3" t="s">
        <v>9591</v>
      </c>
      <c r="F1334" s="3">
        <v>3</v>
      </c>
      <c r="G1334" s="3" t="s">
        <v>12</v>
      </c>
      <c r="H1334" s="3"/>
    </row>
    <row r="1335" spans="1:8" ht="270" x14ac:dyDescent="0.25">
      <c r="A1335" s="3" t="s">
        <v>9588</v>
      </c>
      <c r="B1335" s="3" t="s">
        <v>9726</v>
      </c>
      <c r="C1335" s="3" t="s">
        <v>9727</v>
      </c>
      <c r="D1335" s="3"/>
      <c r="E1335" s="3" t="s">
        <v>9591</v>
      </c>
      <c r="F1335" s="3"/>
      <c r="G1335" s="3" t="s">
        <v>9728</v>
      </c>
      <c r="H1335" s="3"/>
    </row>
    <row r="1336" spans="1:8" ht="90" x14ac:dyDescent="0.25">
      <c r="A1336" s="3" t="s">
        <v>9588</v>
      </c>
      <c r="B1336" s="3" t="s">
        <v>9729</v>
      </c>
      <c r="C1336" s="3" t="s">
        <v>9730</v>
      </c>
      <c r="D1336" s="3"/>
      <c r="E1336" s="3" t="s">
        <v>9591</v>
      </c>
      <c r="F1336" s="3"/>
      <c r="G1336" s="3" t="s">
        <v>9731</v>
      </c>
      <c r="H1336" s="3"/>
    </row>
    <row r="1337" spans="1:8" ht="315" x14ac:dyDescent="0.25">
      <c r="A1337" s="3" t="s">
        <v>9588</v>
      </c>
      <c r="B1337" s="3" t="s">
        <v>9732</v>
      </c>
      <c r="C1337" s="3" t="s">
        <v>1938</v>
      </c>
      <c r="D1337" s="3"/>
      <c r="E1337" s="3" t="s">
        <v>9591</v>
      </c>
      <c r="F1337" s="3"/>
      <c r="G1337" s="3" t="s">
        <v>12154</v>
      </c>
      <c r="H1337" s="3"/>
    </row>
    <row r="1338" spans="1:8" ht="330" x14ac:dyDescent="0.25">
      <c r="A1338" s="3" t="s">
        <v>9588</v>
      </c>
      <c r="B1338" s="3" t="s">
        <v>9733</v>
      </c>
      <c r="C1338" s="3" t="s">
        <v>1942</v>
      </c>
      <c r="D1338" s="3"/>
      <c r="E1338" s="3" t="s">
        <v>9591</v>
      </c>
      <c r="F1338" s="3"/>
      <c r="G1338" s="3" t="s">
        <v>12155</v>
      </c>
      <c r="H1338" s="3"/>
    </row>
    <row r="1339" spans="1:8" ht="345" x14ac:dyDescent="0.25">
      <c r="A1339" s="3" t="s">
        <v>9588</v>
      </c>
      <c r="B1339" s="3" t="s">
        <v>9734</v>
      </c>
      <c r="C1339" s="3" t="s">
        <v>9735</v>
      </c>
      <c r="D1339" s="3"/>
      <c r="E1339" s="3" t="s">
        <v>9591</v>
      </c>
      <c r="F1339" s="3"/>
      <c r="G1339" s="3" t="s">
        <v>12156</v>
      </c>
      <c r="H1339" s="3"/>
    </row>
    <row r="1340" spans="1:8" ht="60" x14ac:dyDescent="0.25">
      <c r="A1340" s="3" t="s">
        <v>9588</v>
      </c>
      <c r="B1340" s="3" t="s">
        <v>9736</v>
      </c>
      <c r="C1340" s="3" t="s">
        <v>9737</v>
      </c>
      <c r="D1340" s="3"/>
      <c r="E1340" s="3" t="s">
        <v>9591</v>
      </c>
      <c r="F1340" s="3"/>
      <c r="G1340" s="3" t="s">
        <v>9614</v>
      </c>
      <c r="H1340" s="3"/>
    </row>
    <row r="1341" spans="1:8" ht="120" x14ac:dyDescent="0.25">
      <c r="A1341" s="3" t="s">
        <v>9588</v>
      </c>
      <c r="B1341" s="3" t="s">
        <v>9738</v>
      </c>
      <c r="C1341" s="3" t="s">
        <v>9739</v>
      </c>
      <c r="D1341" s="3"/>
      <c r="E1341" s="3" t="s">
        <v>9591</v>
      </c>
      <c r="F1341" s="3"/>
      <c r="G1341" s="3" t="s">
        <v>9740</v>
      </c>
      <c r="H1341" s="3"/>
    </row>
    <row r="1342" spans="1:8" ht="165" x14ac:dyDescent="0.25">
      <c r="A1342" s="3" t="s">
        <v>9588</v>
      </c>
      <c r="B1342" s="3" t="s">
        <v>9741</v>
      </c>
      <c r="C1342" s="3" t="s">
        <v>1946</v>
      </c>
      <c r="D1342" s="3"/>
      <c r="E1342" s="3" t="s">
        <v>9591</v>
      </c>
      <c r="F1342" s="3"/>
      <c r="G1342" s="3" t="s">
        <v>9742</v>
      </c>
      <c r="H1342" s="3"/>
    </row>
    <row r="1343" spans="1:8" ht="60" x14ac:dyDescent="0.25">
      <c r="A1343" s="3" t="s">
        <v>9588</v>
      </c>
      <c r="B1343" s="3" t="s">
        <v>9743</v>
      </c>
      <c r="C1343" s="3" t="s">
        <v>9744</v>
      </c>
      <c r="D1343" s="3"/>
      <c r="E1343" s="3" t="s">
        <v>9591</v>
      </c>
      <c r="F1343" s="3"/>
      <c r="G1343" s="3" t="s">
        <v>9665</v>
      </c>
      <c r="H1343" s="3"/>
    </row>
    <row r="1344" spans="1:8" ht="30" x14ac:dyDescent="0.25">
      <c r="A1344" s="3" t="s">
        <v>9588</v>
      </c>
      <c r="B1344" s="3" t="s">
        <v>9745</v>
      </c>
      <c r="C1344" s="3" t="s">
        <v>9746</v>
      </c>
      <c r="D1344" s="3"/>
      <c r="E1344" s="3" t="s">
        <v>9605</v>
      </c>
      <c r="F1344" s="3"/>
      <c r="G1344" s="3" t="s">
        <v>12</v>
      </c>
      <c r="H1344" s="3"/>
    </row>
    <row r="1345" spans="1:8" ht="409.5" x14ac:dyDescent="0.25">
      <c r="A1345" s="3" t="s">
        <v>9588</v>
      </c>
      <c r="B1345" s="3" t="s">
        <v>9747</v>
      </c>
      <c r="C1345" s="3" t="s">
        <v>9748</v>
      </c>
      <c r="D1345" s="3"/>
      <c r="E1345" s="3" t="s">
        <v>9591</v>
      </c>
      <c r="F1345" s="3"/>
      <c r="G1345" s="3" t="s">
        <v>9749</v>
      </c>
      <c r="H1345" s="3"/>
    </row>
    <row r="1346" spans="1:8" ht="409.5" x14ac:dyDescent="0.25">
      <c r="A1346" s="3" t="s">
        <v>9588</v>
      </c>
      <c r="B1346" s="3" t="s">
        <v>9750</v>
      </c>
      <c r="C1346" s="3" t="s">
        <v>9751</v>
      </c>
      <c r="D1346" s="3"/>
      <c r="E1346" s="3" t="s">
        <v>9591</v>
      </c>
      <c r="F1346" s="3"/>
      <c r="G1346" s="3" t="s">
        <v>9752</v>
      </c>
      <c r="H1346" s="3"/>
    </row>
    <row r="1347" spans="1:8" ht="60" x14ac:dyDescent="0.25">
      <c r="A1347" s="3" t="s">
        <v>9588</v>
      </c>
      <c r="B1347" s="3" t="s">
        <v>9753</v>
      </c>
      <c r="C1347" s="3" t="s">
        <v>9754</v>
      </c>
      <c r="D1347" s="3"/>
      <c r="E1347" s="3" t="s">
        <v>9591</v>
      </c>
      <c r="F1347" s="3"/>
      <c r="G1347" s="3" t="s">
        <v>9755</v>
      </c>
      <c r="H1347" s="3"/>
    </row>
    <row r="1348" spans="1:8" ht="60" x14ac:dyDescent="0.25">
      <c r="A1348" s="3" t="s">
        <v>9588</v>
      </c>
      <c r="B1348" s="3" t="s">
        <v>9756</v>
      </c>
      <c r="C1348" s="3" t="s">
        <v>9757</v>
      </c>
      <c r="D1348" s="3"/>
      <c r="E1348" s="3" t="s">
        <v>9591</v>
      </c>
      <c r="F1348" s="3"/>
      <c r="G1348" s="3" t="s">
        <v>9758</v>
      </c>
      <c r="H1348" s="3"/>
    </row>
    <row r="1349" spans="1:8" ht="30" x14ac:dyDescent="0.25">
      <c r="A1349" s="3" t="s">
        <v>9588</v>
      </c>
      <c r="B1349" s="3" t="s">
        <v>9759</v>
      </c>
      <c r="C1349" s="3" t="s">
        <v>9760</v>
      </c>
      <c r="D1349" s="3"/>
      <c r="E1349" s="3" t="s">
        <v>9637</v>
      </c>
      <c r="F1349" s="3"/>
      <c r="G1349" s="3" t="s">
        <v>12</v>
      </c>
      <c r="H1349" s="3"/>
    </row>
    <row r="1350" spans="1:8" ht="45" x14ac:dyDescent="0.25">
      <c r="A1350" s="3" t="s">
        <v>9588</v>
      </c>
      <c r="B1350" s="3" t="s">
        <v>9761</v>
      </c>
      <c r="C1350" s="3" t="s">
        <v>9762</v>
      </c>
      <c r="D1350" s="3"/>
      <c r="E1350" s="3" t="s">
        <v>9591</v>
      </c>
      <c r="F1350" s="3">
        <v>20</v>
      </c>
      <c r="G1350" s="3" t="s">
        <v>12</v>
      </c>
      <c r="H1350" s="3"/>
    </row>
    <row r="1351" spans="1:8" ht="90" x14ac:dyDescent="0.25">
      <c r="A1351" s="3" t="s">
        <v>9588</v>
      </c>
      <c r="B1351" s="3" t="s">
        <v>9763</v>
      </c>
      <c r="C1351" s="3" t="s">
        <v>9764</v>
      </c>
      <c r="D1351" s="3"/>
      <c r="E1351" s="3" t="s">
        <v>9591</v>
      </c>
      <c r="F1351" s="3"/>
      <c r="G1351" s="3" t="s">
        <v>9765</v>
      </c>
      <c r="H1351" s="3"/>
    </row>
    <row r="1352" spans="1:8" ht="360" x14ac:dyDescent="0.25">
      <c r="A1352" s="3" t="s">
        <v>9588</v>
      </c>
      <c r="B1352" s="3" t="s">
        <v>9766</v>
      </c>
      <c r="C1352" s="3" t="s">
        <v>9767</v>
      </c>
      <c r="D1352" s="3"/>
      <c r="E1352" s="3" t="s">
        <v>9591</v>
      </c>
      <c r="F1352" s="3"/>
      <c r="G1352" s="3" t="s">
        <v>9768</v>
      </c>
      <c r="H1352" s="3"/>
    </row>
    <row r="1353" spans="1:8" x14ac:dyDescent="0.25">
      <c r="A1353" s="3" t="s">
        <v>9588</v>
      </c>
      <c r="B1353" s="3" t="s">
        <v>9769</v>
      </c>
      <c r="C1353" s="3" t="s">
        <v>9770</v>
      </c>
      <c r="D1353" s="3"/>
      <c r="E1353" s="3" t="s">
        <v>9591</v>
      </c>
      <c r="F1353" s="3">
        <v>40</v>
      </c>
      <c r="G1353" s="3" t="s">
        <v>12</v>
      </c>
      <c r="H1353" s="3"/>
    </row>
    <row r="1354" spans="1:8" ht="30" x14ac:dyDescent="0.25">
      <c r="A1354" s="3" t="s">
        <v>9588</v>
      </c>
      <c r="B1354" s="3" t="s">
        <v>9771</v>
      </c>
      <c r="C1354" s="3" t="s">
        <v>9772</v>
      </c>
      <c r="D1354" s="3"/>
      <c r="E1354" s="3" t="s">
        <v>9637</v>
      </c>
      <c r="F1354" s="3"/>
      <c r="G1354" s="3" t="s">
        <v>12</v>
      </c>
      <c r="H1354" s="3"/>
    </row>
    <row r="1355" spans="1:8" ht="30" x14ac:dyDescent="0.25">
      <c r="A1355" s="3" t="s">
        <v>9588</v>
      </c>
      <c r="B1355" s="3" t="s">
        <v>2630</v>
      </c>
      <c r="C1355" s="3" t="s">
        <v>9773</v>
      </c>
      <c r="D1355" s="3"/>
      <c r="E1355" s="3" t="s">
        <v>9637</v>
      </c>
      <c r="F1355" s="3"/>
      <c r="G1355" s="3" t="s">
        <v>12</v>
      </c>
      <c r="H1355" s="3"/>
    </row>
    <row r="1356" spans="1:8" x14ac:dyDescent="0.25">
      <c r="A1356" s="3" t="s">
        <v>9588</v>
      </c>
      <c r="B1356" s="3" t="s">
        <v>2635</v>
      </c>
      <c r="C1356" s="3" t="s">
        <v>9774</v>
      </c>
      <c r="D1356" s="3"/>
      <c r="E1356" s="3" t="s">
        <v>9591</v>
      </c>
      <c r="F1356" s="3">
        <v>40</v>
      </c>
      <c r="G1356" s="3" t="s">
        <v>12</v>
      </c>
      <c r="H1356" s="3"/>
    </row>
    <row r="1357" spans="1:8" ht="30" x14ac:dyDescent="0.25">
      <c r="A1357" s="3" t="s">
        <v>9588</v>
      </c>
      <c r="B1357" s="3" t="s">
        <v>9775</v>
      </c>
      <c r="C1357" s="3" t="s">
        <v>9776</v>
      </c>
      <c r="D1357" s="3"/>
      <c r="E1357" s="3" t="s">
        <v>9605</v>
      </c>
      <c r="F1357" s="3"/>
      <c r="G1357" s="3" t="s">
        <v>12</v>
      </c>
      <c r="H1357" s="3"/>
    </row>
    <row r="1358" spans="1:8" ht="30" x14ac:dyDescent="0.25">
      <c r="A1358" s="3" t="s">
        <v>9588</v>
      </c>
      <c r="B1358" s="3" t="s">
        <v>9777</v>
      </c>
      <c r="C1358" s="3" t="s">
        <v>9778</v>
      </c>
      <c r="D1358" s="3"/>
      <c r="E1358" s="3" t="s">
        <v>9637</v>
      </c>
      <c r="F1358" s="3"/>
      <c r="G1358" s="3" t="s">
        <v>12</v>
      </c>
      <c r="H1358" s="3"/>
    </row>
    <row r="1359" spans="1:8" ht="30" x14ac:dyDescent="0.25">
      <c r="A1359" s="3" t="s">
        <v>9588</v>
      </c>
      <c r="B1359" s="3" t="s">
        <v>9779</v>
      </c>
      <c r="C1359" s="3" t="s">
        <v>9780</v>
      </c>
      <c r="D1359" s="3"/>
      <c r="E1359" s="3" t="s">
        <v>9781</v>
      </c>
      <c r="F1359" s="3"/>
      <c r="G1359" s="3" t="s">
        <v>12</v>
      </c>
      <c r="H1359" s="3"/>
    </row>
    <row r="1360" spans="1:8" ht="409.5" x14ac:dyDescent="0.25">
      <c r="A1360" s="3" t="s">
        <v>9588</v>
      </c>
      <c r="B1360" s="3" t="s">
        <v>9782</v>
      </c>
      <c r="C1360" s="3" t="s">
        <v>9783</v>
      </c>
      <c r="D1360" s="3"/>
      <c r="E1360" s="3" t="s">
        <v>9591</v>
      </c>
      <c r="F1360" s="3">
        <v>3</v>
      </c>
      <c r="G1360" s="3" t="s">
        <v>10462</v>
      </c>
      <c r="H1360" s="3"/>
    </row>
    <row r="1361" spans="1:8" ht="45" x14ac:dyDescent="0.25">
      <c r="A1361" s="3" t="s">
        <v>9588</v>
      </c>
      <c r="B1361" s="3" t="s">
        <v>9784</v>
      </c>
      <c r="C1361" s="3" t="s">
        <v>9785</v>
      </c>
      <c r="D1361" s="3"/>
      <c r="E1361" s="3" t="s">
        <v>9591</v>
      </c>
      <c r="F1361" s="3"/>
      <c r="G1361" s="3" t="s">
        <v>12</v>
      </c>
      <c r="H1361" s="3"/>
    </row>
    <row r="1362" spans="1:8" ht="195" x14ac:dyDescent="0.25">
      <c r="A1362" s="3" t="s">
        <v>9588</v>
      </c>
      <c r="B1362" s="3" t="s">
        <v>9786</v>
      </c>
      <c r="C1362" s="3" t="s">
        <v>9787</v>
      </c>
      <c r="D1362" s="3"/>
      <c r="E1362" s="3" t="s">
        <v>9591</v>
      </c>
      <c r="F1362" s="3"/>
      <c r="G1362" s="3" t="s">
        <v>9788</v>
      </c>
      <c r="H1362" s="3"/>
    </row>
    <row r="1363" spans="1:8" ht="45" x14ac:dyDescent="0.25">
      <c r="A1363" s="3" t="s">
        <v>9588</v>
      </c>
      <c r="B1363" s="3" t="s">
        <v>9789</v>
      </c>
      <c r="C1363" s="3" t="s">
        <v>9790</v>
      </c>
      <c r="D1363" s="3"/>
      <c r="E1363" s="3" t="s">
        <v>9637</v>
      </c>
      <c r="F1363" s="3"/>
      <c r="G1363" s="3" t="s">
        <v>12</v>
      </c>
      <c r="H1363" s="3"/>
    </row>
    <row r="1364" spans="1:8" ht="30" x14ac:dyDescent="0.25">
      <c r="A1364" s="3" t="s">
        <v>9588</v>
      </c>
      <c r="B1364" s="3" t="s">
        <v>9791</v>
      </c>
      <c r="C1364" s="3" t="s">
        <v>9792</v>
      </c>
      <c r="D1364" s="3"/>
      <c r="E1364" s="3" t="s">
        <v>9637</v>
      </c>
      <c r="F1364" s="3"/>
      <c r="G1364" s="3" t="s">
        <v>12</v>
      </c>
      <c r="H1364" s="3"/>
    </row>
    <row r="1365" spans="1:8" ht="30" x14ac:dyDescent="0.25">
      <c r="A1365" s="3" t="s">
        <v>9588</v>
      </c>
      <c r="B1365" s="3" t="s">
        <v>9793</v>
      </c>
      <c r="C1365" s="3" t="s">
        <v>9794</v>
      </c>
      <c r="D1365" s="3"/>
      <c r="E1365" s="3" t="s">
        <v>9637</v>
      </c>
      <c r="F1365" s="3"/>
      <c r="G1365" s="3" t="s">
        <v>12</v>
      </c>
      <c r="H1365" s="3"/>
    </row>
    <row r="1366" spans="1:8" ht="60" x14ac:dyDescent="0.25">
      <c r="A1366" s="3" t="s">
        <v>9588</v>
      </c>
      <c r="B1366" s="3" t="s">
        <v>9795</v>
      </c>
      <c r="C1366" s="3" t="s">
        <v>9796</v>
      </c>
      <c r="D1366" s="3"/>
      <c r="E1366" s="3" t="s">
        <v>9591</v>
      </c>
      <c r="F1366" s="3"/>
      <c r="G1366" s="3" t="s">
        <v>9614</v>
      </c>
      <c r="H1366" s="3"/>
    </row>
    <row r="1367" spans="1:8" ht="45" x14ac:dyDescent="0.25">
      <c r="A1367" s="3" t="s">
        <v>9588</v>
      </c>
      <c r="B1367" s="3" t="s">
        <v>9797</v>
      </c>
      <c r="C1367" s="3" t="s">
        <v>9798</v>
      </c>
      <c r="D1367" s="3"/>
      <c r="E1367" s="3" t="s">
        <v>9605</v>
      </c>
      <c r="F1367" s="3"/>
      <c r="G1367" s="3" t="s">
        <v>12</v>
      </c>
      <c r="H1367" s="3"/>
    </row>
    <row r="1368" spans="1:8" ht="165" x14ac:dyDescent="0.25">
      <c r="A1368" s="3" t="s">
        <v>9588</v>
      </c>
      <c r="B1368" s="3" t="s">
        <v>9799</v>
      </c>
      <c r="C1368" s="3" t="s">
        <v>9800</v>
      </c>
      <c r="D1368" s="3"/>
      <c r="E1368" s="3" t="s">
        <v>9591</v>
      </c>
      <c r="F1368" s="3"/>
      <c r="G1368" s="3" t="s">
        <v>9801</v>
      </c>
      <c r="H1368" s="3"/>
    </row>
    <row r="1369" spans="1:8" ht="409.5" x14ac:dyDescent="0.25">
      <c r="A1369" s="3" t="s">
        <v>9588</v>
      </c>
      <c r="B1369" s="3" t="s">
        <v>9802</v>
      </c>
      <c r="C1369" s="3" t="s">
        <v>9803</v>
      </c>
      <c r="D1369" s="3"/>
      <c r="E1369" s="3" t="s">
        <v>9591</v>
      </c>
      <c r="F1369" s="3"/>
      <c r="G1369" s="3" t="s">
        <v>12151</v>
      </c>
      <c r="H1369" s="3"/>
    </row>
    <row r="1370" spans="1:8" ht="409.5" x14ac:dyDescent="0.25">
      <c r="A1370" s="3"/>
      <c r="B1370" s="3"/>
      <c r="C1370" s="3"/>
      <c r="D1370" s="3"/>
      <c r="E1370" s="3"/>
      <c r="F1370" s="3"/>
      <c r="G1370" s="3" t="s">
        <v>12152</v>
      </c>
      <c r="H1370" s="3"/>
    </row>
    <row r="1371" spans="1:8" x14ac:dyDescent="0.25">
      <c r="A1371" s="3" t="s">
        <v>9588</v>
      </c>
      <c r="B1371" s="3" t="s">
        <v>9804</v>
      </c>
      <c r="C1371" s="3" t="s">
        <v>9805</v>
      </c>
      <c r="D1371" s="3"/>
      <c r="E1371" s="3" t="s">
        <v>9591</v>
      </c>
      <c r="F1371" s="3">
        <v>60</v>
      </c>
      <c r="G1371" s="3" t="s">
        <v>12</v>
      </c>
      <c r="H1371" s="3"/>
    </row>
    <row r="1372" spans="1:8" ht="45" x14ac:dyDescent="0.25">
      <c r="A1372" s="3" t="s">
        <v>9588</v>
      </c>
      <c r="B1372" s="3" t="s">
        <v>9806</v>
      </c>
      <c r="C1372" s="3" t="s">
        <v>9807</v>
      </c>
      <c r="D1372" s="3"/>
      <c r="E1372" s="3" t="s">
        <v>9653</v>
      </c>
      <c r="F1372" s="3"/>
      <c r="G1372" s="3" t="s">
        <v>12</v>
      </c>
      <c r="H1372" s="3"/>
    </row>
    <row r="1373" spans="1:8" ht="45" x14ac:dyDescent="0.25">
      <c r="A1373" s="3" t="s">
        <v>9588</v>
      </c>
      <c r="B1373" s="3" t="s">
        <v>9808</v>
      </c>
      <c r="C1373" s="3" t="s">
        <v>9809</v>
      </c>
      <c r="D1373" s="3"/>
      <c r="E1373" s="3" t="s">
        <v>9653</v>
      </c>
      <c r="F1373" s="3"/>
      <c r="G1373" s="3" t="s">
        <v>12</v>
      </c>
      <c r="H1373" s="3"/>
    </row>
    <row r="1374" spans="1:8" ht="105" x14ac:dyDescent="0.25">
      <c r="A1374" s="3" t="s">
        <v>9588</v>
      </c>
      <c r="B1374" s="3" t="s">
        <v>9810</v>
      </c>
      <c r="C1374" s="3" t="s">
        <v>9811</v>
      </c>
      <c r="D1374" s="3"/>
      <c r="E1374" s="3" t="s">
        <v>9591</v>
      </c>
      <c r="F1374" s="3"/>
      <c r="G1374" s="3" t="s">
        <v>9812</v>
      </c>
      <c r="H1374" s="3"/>
    </row>
    <row r="1375" spans="1:8" ht="90" x14ac:dyDescent="0.25">
      <c r="A1375" s="3" t="s">
        <v>9588</v>
      </c>
      <c r="B1375" s="3" t="s">
        <v>9813</v>
      </c>
      <c r="C1375" s="3" t="s">
        <v>9814</v>
      </c>
      <c r="D1375" s="3"/>
      <c r="E1375" s="3" t="s">
        <v>9637</v>
      </c>
      <c r="F1375" s="3"/>
      <c r="G1375" s="3" t="s">
        <v>12</v>
      </c>
      <c r="H1375" s="3"/>
    </row>
    <row r="1376" spans="1:8" ht="30" x14ac:dyDescent="0.25">
      <c r="A1376" s="3" t="s">
        <v>9588</v>
      </c>
      <c r="B1376" s="3" t="s">
        <v>9815</v>
      </c>
      <c r="C1376" s="3" t="s">
        <v>9816</v>
      </c>
      <c r="D1376" s="3"/>
      <c r="E1376" s="3" t="s">
        <v>9591</v>
      </c>
      <c r="F1376" s="3">
        <v>500</v>
      </c>
      <c r="G1376" s="3" t="s">
        <v>12</v>
      </c>
      <c r="H1376" s="3"/>
    </row>
    <row r="1377" spans="1:8" ht="75" x14ac:dyDescent="0.25">
      <c r="A1377" s="3" t="s">
        <v>9588</v>
      </c>
      <c r="B1377" s="3" t="s">
        <v>9817</v>
      </c>
      <c r="C1377" s="3" t="s">
        <v>9818</v>
      </c>
      <c r="D1377" s="3"/>
      <c r="E1377" s="3" t="s">
        <v>9591</v>
      </c>
      <c r="F1377" s="3"/>
      <c r="G1377" s="3" t="s">
        <v>9819</v>
      </c>
      <c r="H1377" s="3"/>
    </row>
    <row r="1378" spans="1:8" ht="75" x14ac:dyDescent="0.25">
      <c r="A1378" s="3" t="s">
        <v>9588</v>
      </c>
      <c r="B1378" s="3" t="s">
        <v>9820</v>
      </c>
      <c r="C1378" s="3" t="s">
        <v>9821</v>
      </c>
      <c r="D1378" s="3"/>
      <c r="E1378" s="3" t="s">
        <v>9591</v>
      </c>
      <c r="F1378" s="3"/>
      <c r="G1378" s="3" t="s">
        <v>9822</v>
      </c>
      <c r="H1378" s="3"/>
    </row>
    <row r="1379" spans="1:8" ht="90" x14ac:dyDescent="0.25">
      <c r="A1379" s="3" t="s">
        <v>9588</v>
      </c>
      <c r="B1379" s="3" t="s">
        <v>9823</v>
      </c>
      <c r="C1379" s="3" t="s">
        <v>9824</v>
      </c>
      <c r="D1379" s="3"/>
      <c r="E1379" s="3" t="s">
        <v>9591</v>
      </c>
      <c r="F1379" s="3"/>
      <c r="G1379" s="3" t="s">
        <v>9825</v>
      </c>
      <c r="H1379" s="3"/>
    </row>
    <row r="1380" spans="1:8" ht="30" x14ac:dyDescent="0.25">
      <c r="A1380" s="3" t="s">
        <v>9588</v>
      </c>
      <c r="B1380" s="3" t="s">
        <v>9826</v>
      </c>
      <c r="C1380" s="3" t="s">
        <v>9827</v>
      </c>
      <c r="D1380" s="3"/>
      <c r="E1380" s="3" t="s">
        <v>9591</v>
      </c>
      <c r="F1380" s="3">
        <v>30</v>
      </c>
      <c r="G1380" s="3" t="s">
        <v>12</v>
      </c>
      <c r="H1380" s="3"/>
    </row>
    <row r="1381" spans="1:8" ht="30" x14ac:dyDescent="0.25">
      <c r="A1381" s="3" t="s">
        <v>9588</v>
      </c>
      <c r="B1381" s="3" t="s">
        <v>9828</v>
      </c>
      <c r="C1381" s="3" t="s">
        <v>9829</v>
      </c>
      <c r="D1381" s="3"/>
      <c r="E1381" s="3" t="s">
        <v>9637</v>
      </c>
      <c r="F1381" s="3"/>
      <c r="G1381" s="3" t="s">
        <v>12</v>
      </c>
      <c r="H1381" s="3"/>
    </row>
    <row r="1382" spans="1:8" ht="105" x14ac:dyDescent="0.25">
      <c r="A1382" s="3" t="s">
        <v>9588</v>
      </c>
      <c r="B1382" s="3" t="s">
        <v>9830</v>
      </c>
      <c r="C1382" s="3" t="s">
        <v>9831</v>
      </c>
      <c r="D1382" s="3"/>
      <c r="E1382" s="3" t="s">
        <v>9637</v>
      </c>
      <c r="F1382" s="3"/>
      <c r="G1382" s="3" t="s">
        <v>12</v>
      </c>
      <c r="H1382" s="3"/>
    </row>
    <row r="1383" spans="1:8" ht="409.5" x14ac:dyDescent="0.25">
      <c r="A1383" s="3" t="s">
        <v>9588</v>
      </c>
      <c r="B1383" s="3" t="s">
        <v>9832</v>
      </c>
      <c r="C1383" s="3" t="s">
        <v>9833</v>
      </c>
      <c r="D1383" s="3"/>
      <c r="E1383" s="3" t="s">
        <v>9591</v>
      </c>
      <c r="F1383" s="3">
        <v>3</v>
      </c>
      <c r="G1383" s="3" t="s">
        <v>12157</v>
      </c>
      <c r="H1383" s="3"/>
    </row>
    <row r="1384" spans="1:8" ht="409.5" x14ac:dyDescent="0.25">
      <c r="A1384" s="3"/>
      <c r="B1384" s="3"/>
      <c r="C1384" s="3"/>
      <c r="D1384" s="3"/>
      <c r="E1384" s="3"/>
      <c r="F1384" s="3"/>
      <c r="G1384" s="3" t="s">
        <v>12158</v>
      </c>
      <c r="H1384" s="3"/>
    </row>
    <row r="1385" spans="1:8" ht="60" x14ac:dyDescent="0.25">
      <c r="A1385" s="3" t="s">
        <v>9588</v>
      </c>
      <c r="B1385" s="3" t="s">
        <v>9834</v>
      </c>
      <c r="C1385" s="3" t="s">
        <v>9835</v>
      </c>
      <c r="D1385" s="3"/>
      <c r="E1385" s="3" t="s">
        <v>9591</v>
      </c>
      <c r="F1385" s="3"/>
      <c r="G1385" s="3" t="s">
        <v>9598</v>
      </c>
      <c r="H1385" s="3"/>
    </row>
    <row r="1386" spans="1:8" ht="60" x14ac:dyDescent="0.25">
      <c r="A1386" s="3" t="s">
        <v>9588</v>
      </c>
      <c r="B1386" s="3" t="s">
        <v>9836</v>
      </c>
      <c r="C1386" s="3" t="s">
        <v>9837</v>
      </c>
      <c r="D1386" s="3"/>
      <c r="E1386" s="3" t="s">
        <v>9591</v>
      </c>
      <c r="F1386" s="3">
        <v>20</v>
      </c>
      <c r="G1386" s="3" t="s">
        <v>12</v>
      </c>
      <c r="H1386" s="3"/>
    </row>
    <row r="1387" spans="1:8" ht="225" x14ac:dyDescent="0.25">
      <c r="A1387" s="3" t="s">
        <v>9588</v>
      </c>
      <c r="B1387" s="3" t="s">
        <v>9838</v>
      </c>
      <c r="C1387" s="3" t="s">
        <v>9839</v>
      </c>
      <c r="D1387" s="3"/>
      <c r="E1387" s="3" t="s">
        <v>9591</v>
      </c>
      <c r="F1387" s="3"/>
      <c r="G1387" s="3" t="s">
        <v>9840</v>
      </c>
      <c r="H1387" s="3"/>
    </row>
    <row r="1388" spans="1:8" ht="409.5" x14ac:dyDescent="0.25">
      <c r="A1388" s="3" t="s">
        <v>9588</v>
      </c>
      <c r="B1388" s="3" t="s">
        <v>9841</v>
      </c>
      <c r="C1388" s="3" t="s">
        <v>9842</v>
      </c>
      <c r="D1388" s="3"/>
      <c r="E1388" s="3" t="s">
        <v>9591</v>
      </c>
      <c r="F1388" s="3"/>
      <c r="G1388" s="3" t="s">
        <v>9843</v>
      </c>
      <c r="H1388" s="3"/>
    </row>
    <row r="1389" spans="1:8" ht="30" x14ac:dyDescent="0.25">
      <c r="A1389" s="3" t="s">
        <v>9588</v>
      </c>
      <c r="B1389" s="3" t="s">
        <v>9844</v>
      </c>
      <c r="C1389" s="3" t="s">
        <v>9845</v>
      </c>
      <c r="D1389" s="3"/>
      <c r="E1389" s="3" t="s">
        <v>9637</v>
      </c>
      <c r="F1389" s="3"/>
      <c r="G1389" s="3" t="s">
        <v>12</v>
      </c>
      <c r="H1389" s="3"/>
    </row>
    <row r="1390" spans="1:8" ht="30" x14ac:dyDescent="0.25">
      <c r="A1390" s="3" t="s">
        <v>9588</v>
      </c>
      <c r="B1390" s="3" t="s">
        <v>9846</v>
      </c>
      <c r="C1390" s="3" t="s">
        <v>9847</v>
      </c>
      <c r="D1390" s="3"/>
      <c r="E1390" s="3" t="s">
        <v>9591</v>
      </c>
      <c r="F1390" s="3">
        <v>128</v>
      </c>
      <c r="G1390" s="3" t="s">
        <v>12</v>
      </c>
      <c r="H1390" s="3"/>
    </row>
    <row r="1391" spans="1:8" ht="60" x14ac:dyDescent="0.25">
      <c r="A1391" s="3" t="s">
        <v>9588</v>
      </c>
      <c r="B1391" s="3" t="s">
        <v>9848</v>
      </c>
      <c r="C1391" s="3" t="s">
        <v>9849</v>
      </c>
      <c r="D1391" s="3"/>
      <c r="E1391" s="3" t="s">
        <v>9591</v>
      </c>
      <c r="F1391" s="3">
        <v>60</v>
      </c>
      <c r="G1391" s="3" t="s">
        <v>12</v>
      </c>
      <c r="H1391" s="3"/>
    </row>
    <row r="1392" spans="1:8" ht="75" x14ac:dyDescent="0.25">
      <c r="A1392" s="3" t="s">
        <v>9588</v>
      </c>
      <c r="B1392" s="3" t="s">
        <v>9850</v>
      </c>
      <c r="C1392" s="3" t="s">
        <v>9851</v>
      </c>
      <c r="D1392" s="3"/>
      <c r="E1392" s="3" t="s">
        <v>9591</v>
      </c>
      <c r="F1392" s="3"/>
      <c r="G1392" s="3" t="s">
        <v>9852</v>
      </c>
      <c r="H1392" s="3"/>
    </row>
    <row r="1393" spans="1:8" ht="210" x14ac:dyDescent="0.25">
      <c r="A1393" s="3" t="s">
        <v>9588</v>
      </c>
      <c r="B1393" s="3" t="s">
        <v>9853</v>
      </c>
      <c r="C1393" s="3" t="s">
        <v>9854</v>
      </c>
      <c r="D1393" s="3"/>
      <c r="E1393" s="3" t="s">
        <v>9591</v>
      </c>
      <c r="F1393" s="3"/>
      <c r="G1393" s="3" t="s">
        <v>9855</v>
      </c>
      <c r="H1393" s="3"/>
    </row>
    <row r="1394" spans="1:8" ht="45" x14ac:dyDescent="0.25">
      <c r="A1394" s="3" t="s">
        <v>9588</v>
      </c>
      <c r="B1394" s="3" t="s">
        <v>9856</v>
      </c>
      <c r="C1394" s="3" t="s">
        <v>9857</v>
      </c>
      <c r="D1394" s="3"/>
      <c r="E1394" s="3" t="s">
        <v>9637</v>
      </c>
      <c r="F1394" s="3"/>
      <c r="G1394" s="3" t="s">
        <v>12</v>
      </c>
      <c r="H1394" s="3"/>
    </row>
    <row r="1395" spans="1:8" ht="409.5" x14ac:dyDescent="0.25">
      <c r="A1395" s="3" t="s">
        <v>9588</v>
      </c>
      <c r="B1395" s="3" t="s">
        <v>9858</v>
      </c>
      <c r="C1395" s="3" t="s">
        <v>9859</v>
      </c>
      <c r="D1395" s="3"/>
      <c r="E1395" s="3" t="s">
        <v>9591</v>
      </c>
      <c r="F1395" s="3">
        <v>2</v>
      </c>
      <c r="G1395" s="3" t="s">
        <v>12159</v>
      </c>
      <c r="H1395" s="3"/>
    </row>
    <row r="1396" spans="1:8" ht="409.5" x14ac:dyDescent="0.25">
      <c r="A1396" s="3"/>
      <c r="B1396" s="3"/>
      <c r="C1396" s="3"/>
      <c r="D1396" s="3"/>
      <c r="E1396" s="3"/>
      <c r="F1396" s="3"/>
      <c r="G1396" s="3" t="s">
        <v>12160</v>
      </c>
      <c r="H1396" s="3"/>
    </row>
    <row r="1397" spans="1:8" x14ac:dyDescent="0.25">
      <c r="A1397" s="3" t="s">
        <v>9588</v>
      </c>
      <c r="B1397" s="3" t="s">
        <v>9860</v>
      </c>
      <c r="C1397" s="3" t="s">
        <v>9861</v>
      </c>
      <c r="D1397" s="3"/>
      <c r="E1397" s="3" t="s">
        <v>9591</v>
      </c>
      <c r="F1397" s="3">
        <v>80</v>
      </c>
      <c r="G1397" s="3" t="s">
        <v>12</v>
      </c>
      <c r="H1397" s="3"/>
    </row>
    <row r="1398" spans="1:8" ht="195" x14ac:dyDescent="0.25">
      <c r="A1398" s="3" t="s">
        <v>9588</v>
      </c>
      <c r="B1398" s="3" t="s">
        <v>9862</v>
      </c>
      <c r="C1398" s="3" t="s">
        <v>9863</v>
      </c>
      <c r="D1398" s="3"/>
      <c r="E1398" s="3" t="s">
        <v>9591</v>
      </c>
      <c r="F1398" s="3"/>
      <c r="G1398" s="3" t="s">
        <v>9864</v>
      </c>
      <c r="H1398" s="3"/>
    </row>
    <row r="1399" spans="1:8" ht="180" x14ac:dyDescent="0.25">
      <c r="A1399" s="3" t="s">
        <v>9588</v>
      </c>
      <c r="B1399" s="3" t="s">
        <v>9865</v>
      </c>
      <c r="C1399" s="3" t="s">
        <v>12161</v>
      </c>
      <c r="D1399" s="3"/>
      <c r="E1399" s="3" t="s">
        <v>9591</v>
      </c>
      <c r="F1399" s="3"/>
      <c r="G1399" s="3" t="s">
        <v>12162</v>
      </c>
      <c r="H1399" s="3"/>
    </row>
    <row r="1400" spans="1:8" ht="45" x14ac:dyDescent="0.25">
      <c r="A1400" s="3" t="s">
        <v>9588</v>
      </c>
      <c r="B1400" s="3" t="s">
        <v>9866</v>
      </c>
      <c r="C1400" s="3" t="s">
        <v>9867</v>
      </c>
      <c r="D1400" s="3"/>
      <c r="E1400" s="3" t="s">
        <v>9637</v>
      </c>
      <c r="F1400" s="3"/>
      <c r="G1400" s="3" t="s">
        <v>12</v>
      </c>
      <c r="H1400" s="3"/>
    </row>
    <row r="1401" spans="1:8" ht="60" x14ac:dyDescent="0.25">
      <c r="A1401" s="3" t="s">
        <v>9588</v>
      </c>
      <c r="B1401" s="3" t="s">
        <v>9868</v>
      </c>
      <c r="C1401" s="3" t="s">
        <v>9869</v>
      </c>
      <c r="D1401" s="3"/>
      <c r="E1401" s="3" t="s">
        <v>9591</v>
      </c>
      <c r="F1401" s="3">
        <v>40</v>
      </c>
      <c r="G1401" s="3" t="s">
        <v>12</v>
      </c>
      <c r="H1401" s="3"/>
    </row>
    <row r="1402" spans="1:8" ht="60" x14ac:dyDescent="0.25">
      <c r="A1402" s="3" t="s">
        <v>9588</v>
      </c>
      <c r="B1402" s="3" t="s">
        <v>9870</v>
      </c>
      <c r="C1402" s="3" t="s">
        <v>9871</v>
      </c>
      <c r="D1402" s="3"/>
      <c r="E1402" s="3" t="s">
        <v>9591</v>
      </c>
      <c r="F1402" s="3"/>
      <c r="G1402" s="3" t="s">
        <v>9872</v>
      </c>
      <c r="H1402" s="3"/>
    </row>
    <row r="1403" spans="1:8" ht="30" x14ac:dyDescent="0.25">
      <c r="A1403" s="3" t="s">
        <v>9588</v>
      </c>
      <c r="B1403" s="3" t="s">
        <v>9873</v>
      </c>
      <c r="C1403" s="3" t="s">
        <v>9874</v>
      </c>
      <c r="D1403" s="3"/>
      <c r="E1403" s="3" t="s">
        <v>9591</v>
      </c>
      <c r="F1403" s="3">
        <v>80</v>
      </c>
      <c r="G1403" s="3" t="s">
        <v>12</v>
      </c>
      <c r="H1403" s="3"/>
    </row>
    <row r="1404" spans="1:8" ht="105" x14ac:dyDescent="0.25">
      <c r="A1404" s="3" t="s">
        <v>9588</v>
      </c>
      <c r="B1404" s="3" t="s">
        <v>9875</v>
      </c>
      <c r="C1404" s="3" t="s">
        <v>9876</v>
      </c>
      <c r="D1404" s="3"/>
      <c r="E1404" s="3" t="s">
        <v>9591</v>
      </c>
      <c r="F1404" s="3"/>
      <c r="G1404" s="3" t="s">
        <v>9877</v>
      </c>
      <c r="H1404" s="3"/>
    </row>
    <row r="1405" spans="1:8" ht="105" x14ac:dyDescent="0.25">
      <c r="A1405" s="3" t="s">
        <v>9588</v>
      </c>
      <c r="B1405" s="3" t="s">
        <v>9878</v>
      </c>
      <c r="C1405" s="3" t="s">
        <v>9879</v>
      </c>
      <c r="D1405" s="3"/>
      <c r="E1405" s="3" t="s">
        <v>9591</v>
      </c>
      <c r="F1405" s="3"/>
      <c r="G1405" s="3" t="s">
        <v>9877</v>
      </c>
      <c r="H1405" s="3"/>
    </row>
    <row r="1406" spans="1:8" ht="60" x14ac:dyDescent="0.25">
      <c r="A1406" s="3" t="s">
        <v>9588</v>
      </c>
      <c r="B1406" s="3" t="s">
        <v>9880</v>
      </c>
      <c r="C1406" s="3" t="s">
        <v>9881</v>
      </c>
      <c r="D1406" s="3"/>
      <c r="E1406" s="3" t="s">
        <v>9591</v>
      </c>
      <c r="F1406" s="3"/>
      <c r="G1406" s="3" t="s">
        <v>9882</v>
      </c>
      <c r="H1406" s="3"/>
    </row>
    <row r="1407" spans="1:8" ht="165" x14ac:dyDescent="0.25">
      <c r="A1407" s="3" t="s">
        <v>9588</v>
      </c>
      <c r="B1407" s="3" t="s">
        <v>9883</v>
      </c>
      <c r="C1407" s="3" t="s">
        <v>9884</v>
      </c>
      <c r="D1407" s="3"/>
      <c r="E1407" s="3" t="s">
        <v>9591</v>
      </c>
      <c r="F1407" s="3"/>
      <c r="G1407" s="3" t="s">
        <v>9885</v>
      </c>
      <c r="H1407" s="3"/>
    </row>
    <row r="1408" spans="1:8" ht="195" x14ac:dyDescent="0.25">
      <c r="A1408" s="3" t="s">
        <v>9588</v>
      </c>
      <c r="B1408" s="3" t="s">
        <v>9886</v>
      </c>
      <c r="C1408" s="3" t="s">
        <v>9887</v>
      </c>
      <c r="D1408" s="3"/>
      <c r="E1408" s="3" t="s">
        <v>9591</v>
      </c>
      <c r="F1408" s="3"/>
      <c r="G1408" s="3" t="s">
        <v>9888</v>
      </c>
      <c r="H1408" s="3"/>
    </row>
    <row r="1409" spans="1:8" ht="45" x14ac:dyDescent="0.25">
      <c r="A1409" s="3" t="s">
        <v>9588</v>
      </c>
      <c r="B1409" s="3" t="s">
        <v>9889</v>
      </c>
      <c r="C1409" s="3" t="s">
        <v>9890</v>
      </c>
      <c r="D1409" s="3"/>
      <c r="E1409" s="3" t="s">
        <v>9591</v>
      </c>
      <c r="F1409" s="3"/>
      <c r="G1409" s="3" t="s">
        <v>12</v>
      </c>
      <c r="H1409" s="3"/>
    </row>
    <row r="1410" spans="1:8" ht="60" x14ac:dyDescent="0.25">
      <c r="A1410" s="3" t="s">
        <v>9588</v>
      </c>
      <c r="B1410" s="3" t="s">
        <v>9891</v>
      </c>
      <c r="C1410" s="3" t="s">
        <v>9892</v>
      </c>
      <c r="D1410" s="3"/>
      <c r="E1410" s="3" t="s">
        <v>9591</v>
      </c>
      <c r="F1410" s="3">
        <v>80</v>
      </c>
      <c r="G1410" s="3" t="s">
        <v>12</v>
      </c>
      <c r="H1410" s="3"/>
    </row>
    <row r="1411" spans="1:8" ht="45" x14ac:dyDescent="0.25">
      <c r="A1411" s="3" t="s">
        <v>9588</v>
      </c>
      <c r="B1411" s="3" t="s">
        <v>9893</v>
      </c>
      <c r="C1411" s="3" t="s">
        <v>9894</v>
      </c>
      <c r="D1411" s="3"/>
      <c r="E1411" s="3" t="s">
        <v>9637</v>
      </c>
      <c r="F1411" s="3"/>
      <c r="G1411" s="3" t="s">
        <v>12</v>
      </c>
      <c r="H1411" s="3"/>
    </row>
    <row r="1412" spans="1:8" ht="30" x14ac:dyDescent="0.25">
      <c r="A1412" s="3" t="s">
        <v>9588</v>
      </c>
      <c r="B1412" s="3" t="s">
        <v>9895</v>
      </c>
      <c r="C1412" s="3" t="s">
        <v>9896</v>
      </c>
      <c r="D1412" s="3"/>
      <c r="E1412" s="3" t="s">
        <v>9591</v>
      </c>
      <c r="F1412" s="3">
        <v>40</v>
      </c>
      <c r="G1412" s="3" t="s">
        <v>12</v>
      </c>
      <c r="H1412" s="3"/>
    </row>
    <row r="1413" spans="1:8" ht="45" x14ac:dyDescent="0.25">
      <c r="A1413" s="3" t="s">
        <v>9588</v>
      </c>
      <c r="B1413" s="3" t="s">
        <v>9897</v>
      </c>
      <c r="C1413" s="3" t="s">
        <v>9898</v>
      </c>
      <c r="D1413" s="3"/>
      <c r="E1413" s="3" t="s">
        <v>9637</v>
      </c>
      <c r="F1413" s="3"/>
      <c r="G1413" s="3" t="s">
        <v>12</v>
      </c>
      <c r="H1413" s="3"/>
    </row>
    <row r="1414" spans="1:8" ht="30" x14ac:dyDescent="0.25">
      <c r="A1414" s="3" t="s">
        <v>9588</v>
      </c>
      <c r="B1414" s="3" t="s">
        <v>9899</v>
      </c>
      <c r="C1414" s="3" t="s">
        <v>9900</v>
      </c>
      <c r="D1414" s="3"/>
      <c r="E1414" s="3" t="s">
        <v>9591</v>
      </c>
      <c r="F1414" s="3">
        <v>40</v>
      </c>
      <c r="G1414" s="3" t="s">
        <v>12</v>
      </c>
      <c r="H1414" s="3"/>
    </row>
    <row r="1415" spans="1:8" ht="405" x14ac:dyDescent="0.25">
      <c r="A1415" s="3" t="s">
        <v>9588</v>
      </c>
      <c r="B1415" s="3" t="s">
        <v>9901</v>
      </c>
      <c r="C1415" s="3" t="s">
        <v>9902</v>
      </c>
      <c r="D1415" s="3"/>
      <c r="E1415" s="3" t="s">
        <v>9591</v>
      </c>
      <c r="F1415" s="3"/>
      <c r="G1415" s="3" t="s">
        <v>9903</v>
      </c>
      <c r="H1415" s="3"/>
    </row>
    <row r="1416" spans="1:8" ht="45" x14ac:dyDescent="0.25">
      <c r="A1416" s="3" t="s">
        <v>9588</v>
      </c>
      <c r="B1416" s="3" t="s">
        <v>9904</v>
      </c>
      <c r="C1416" s="3" t="s">
        <v>9905</v>
      </c>
      <c r="D1416" s="3"/>
      <c r="E1416" s="3" t="s">
        <v>9591</v>
      </c>
      <c r="F1416" s="3"/>
      <c r="G1416" s="3" t="s">
        <v>12</v>
      </c>
      <c r="H1416" s="3"/>
    </row>
    <row r="1417" spans="1:8" ht="150" x14ac:dyDescent="0.25">
      <c r="A1417" s="3" t="s">
        <v>9588</v>
      </c>
      <c r="B1417" s="3" t="s">
        <v>9906</v>
      </c>
      <c r="C1417" s="3" t="s">
        <v>9907</v>
      </c>
      <c r="D1417" s="3"/>
      <c r="E1417" s="3" t="s">
        <v>9591</v>
      </c>
      <c r="F1417" s="3"/>
      <c r="G1417" s="3" t="s">
        <v>9908</v>
      </c>
      <c r="H1417" s="3"/>
    </row>
    <row r="1418" spans="1:8" ht="30" x14ac:dyDescent="0.25">
      <c r="A1418" s="3" t="s">
        <v>9588</v>
      </c>
      <c r="B1418" s="3" t="s">
        <v>9909</v>
      </c>
      <c r="C1418" s="3" t="s">
        <v>9910</v>
      </c>
      <c r="D1418" s="3"/>
      <c r="E1418" s="3" t="s">
        <v>9591</v>
      </c>
      <c r="F1418" s="3">
        <v>40</v>
      </c>
      <c r="G1418" s="3" t="s">
        <v>12</v>
      </c>
      <c r="H1418" s="3"/>
    </row>
    <row r="1419" spans="1:8" ht="30" x14ac:dyDescent="0.25">
      <c r="A1419" s="3" t="s">
        <v>9588</v>
      </c>
      <c r="B1419" s="3" t="s">
        <v>9911</v>
      </c>
      <c r="C1419" s="3" t="s">
        <v>9912</v>
      </c>
      <c r="D1419" s="3"/>
      <c r="E1419" s="3" t="s">
        <v>9591</v>
      </c>
      <c r="F1419" s="3">
        <v>20</v>
      </c>
      <c r="G1419" s="3" t="s">
        <v>12</v>
      </c>
      <c r="H1419" s="3"/>
    </row>
    <row r="1420" spans="1:8" ht="30" x14ac:dyDescent="0.25">
      <c r="A1420" s="3" t="s">
        <v>9588</v>
      </c>
      <c r="B1420" s="3" t="s">
        <v>9913</v>
      </c>
      <c r="C1420" s="3" t="s">
        <v>9914</v>
      </c>
      <c r="D1420" s="3"/>
      <c r="E1420" s="3" t="s">
        <v>9637</v>
      </c>
      <c r="F1420" s="3"/>
      <c r="G1420" s="3" t="s">
        <v>12</v>
      </c>
      <c r="H1420" s="3"/>
    </row>
    <row r="1421" spans="1:8" ht="60" x14ac:dyDescent="0.25">
      <c r="A1421" s="3" t="s">
        <v>9588</v>
      </c>
      <c r="B1421" s="3" t="s">
        <v>9915</v>
      </c>
      <c r="C1421" s="3" t="s">
        <v>9916</v>
      </c>
      <c r="D1421" s="3"/>
      <c r="E1421" s="3" t="s">
        <v>9591</v>
      </c>
      <c r="F1421" s="3">
        <v>20</v>
      </c>
      <c r="G1421" s="3" t="s">
        <v>12</v>
      </c>
      <c r="H1421" s="3"/>
    </row>
    <row r="1422" spans="1:8" ht="409.5" x14ac:dyDescent="0.25">
      <c r="A1422" s="3" t="s">
        <v>9588</v>
      </c>
      <c r="B1422" s="3" t="s">
        <v>9917</v>
      </c>
      <c r="C1422" s="3" t="s">
        <v>9918</v>
      </c>
      <c r="D1422" s="3"/>
      <c r="E1422" s="3" t="s">
        <v>9591</v>
      </c>
      <c r="F1422" s="3">
        <v>20</v>
      </c>
      <c r="G1422" s="3" t="s">
        <v>9919</v>
      </c>
      <c r="H1422" s="3"/>
    </row>
    <row r="1423" spans="1:8" x14ac:dyDescent="0.25">
      <c r="A1423" s="3" t="s">
        <v>9588</v>
      </c>
      <c r="B1423" s="3" t="s">
        <v>9920</v>
      </c>
      <c r="C1423" s="3" t="s">
        <v>9921</v>
      </c>
      <c r="D1423" s="3"/>
      <c r="E1423" s="3" t="s">
        <v>9591</v>
      </c>
      <c r="F1423" s="3">
        <v>30</v>
      </c>
      <c r="G1423" s="3" t="s">
        <v>12</v>
      </c>
      <c r="H1423" s="3"/>
    </row>
    <row r="1424" spans="1:8" ht="30" x14ac:dyDescent="0.25">
      <c r="A1424" s="3" t="s">
        <v>9588</v>
      </c>
      <c r="B1424" s="3" t="s">
        <v>9922</v>
      </c>
      <c r="C1424" s="3" t="s">
        <v>9923</v>
      </c>
      <c r="D1424" s="3"/>
      <c r="E1424" s="3" t="s">
        <v>9591</v>
      </c>
      <c r="F1424" s="3">
        <v>30</v>
      </c>
      <c r="G1424" s="3" t="s">
        <v>12</v>
      </c>
      <c r="H1424" s="3"/>
    </row>
    <row r="1425" spans="1:8" ht="60" x14ac:dyDescent="0.25">
      <c r="A1425" s="3" t="s">
        <v>9588</v>
      </c>
      <c r="B1425" s="3" t="s">
        <v>9924</v>
      </c>
      <c r="C1425" s="3" t="s">
        <v>9925</v>
      </c>
      <c r="D1425" s="3"/>
      <c r="E1425" s="3" t="s">
        <v>9591</v>
      </c>
      <c r="F1425" s="3"/>
      <c r="G1425" s="3" t="s">
        <v>9665</v>
      </c>
      <c r="H1425" s="3"/>
    </row>
    <row r="1426" spans="1:8" ht="60" x14ac:dyDescent="0.25">
      <c r="A1426" s="3" t="s">
        <v>9588</v>
      </c>
      <c r="B1426" s="3" t="s">
        <v>9926</v>
      </c>
      <c r="C1426" s="3" t="s">
        <v>9927</v>
      </c>
      <c r="D1426" s="3"/>
      <c r="E1426" s="3" t="s">
        <v>9591</v>
      </c>
      <c r="F1426" s="3"/>
      <c r="G1426" s="3" t="s">
        <v>9614</v>
      </c>
      <c r="H1426" s="3"/>
    </row>
    <row r="1427" spans="1:8" ht="120" x14ac:dyDescent="0.25">
      <c r="A1427" s="3" t="s">
        <v>9588</v>
      </c>
      <c r="B1427" s="3" t="s">
        <v>9928</v>
      </c>
      <c r="C1427" s="3" t="s">
        <v>9929</v>
      </c>
      <c r="D1427" s="3"/>
      <c r="E1427" s="3" t="s">
        <v>9591</v>
      </c>
      <c r="F1427" s="3"/>
      <c r="G1427" s="3" t="s">
        <v>9740</v>
      </c>
      <c r="H1427" s="3"/>
    </row>
    <row r="1428" spans="1:8" ht="45" x14ac:dyDescent="0.25">
      <c r="A1428" s="3" t="s">
        <v>9588</v>
      </c>
      <c r="B1428" s="3" t="s">
        <v>9930</v>
      </c>
      <c r="C1428" s="3" t="s">
        <v>9931</v>
      </c>
      <c r="D1428" s="3"/>
      <c r="E1428" s="3" t="s">
        <v>9591</v>
      </c>
      <c r="F1428" s="3">
        <v>60</v>
      </c>
      <c r="G1428" s="3" t="s">
        <v>12</v>
      </c>
      <c r="H1428" s="3"/>
    </row>
    <row r="1429" spans="1:8" ht="45" x14ac:dyDescent="0.25">
      <c r="A1429" s="3" t="s">
        <v>9588</v>
      </c>
      <c r="B1429" s="3" t="s">
        <v>9932</v>
      </c>
      <c r="C1429" s="3" t="s">
        <v>9933</v>
      </c>
      <c r="D1429" s="3"/>
      <c r="E1429" s="3" t="s">
        <v>9591</v>
      </c>
      <c r="F1429" s="3">
        <v>60</v>
      </c>
      <c r="G1429" s="3" t="s">
        <v>12</v>
      </c>
      <c r="H1429" s="3"/>
    </row>
    <row r="1430" spans="1:8" ht="409.5" x14ac:dyDescent="0.25">
      <c r="A1430" s="3" t="s">
        <v>9588</v>
      </c>
      <c r="B1430" s="3" t="s">
        <v>9934</v>
      </c>
      <c r="C1430" s="3" t="s">
        <v>9935</v>
      </c>
      <c r="D1430" s="3"/>
      <c r="E1430" s="3" t="s">
        <v>9591</v>
      </c>
      <c r="F1430" s="3"/>
      <c r="G1430" s="3" t="s">
        <v>9843</v>
      </c>
      <c r="H1430" s="3"/>
    </row>
    <row r="1431" spans="1:8" ht="30" x14ac:dyDescent="0.25">
      <c r="A1431" s="3" t="s">
        <v>9588</v>
      </c>
      <c r="B1431" s="3" t="s">
        <v>9936</v>
      </c>
      <c r="C1431" s="3" t="s">
        <v>9937</v>
      </c>
      <c r="D1431" s="3"/>
      <c r="E1431" s="3" t="s">
        <v>9591</v>
      </c>
      <c r="F1431" s="3">
        <v>40</v>
      </c>
      <c r="G1431" s="3" t="s">
        <v>12</v>
      </c>
      <c r="H1431" s="3"/>
    </row>
    <row r="1432" spans="1:8" ht="210" x14ac:dyDescent="0.25">
      <c r="A1432" s="3" t="s">
        <v>9588</v>
      </c>
      <c r="B1432" s="3" t="s">
        <v>9938</v>
      </c>
      <c r="C1432" s="3" t="s">
        <v>9939</v>
      </c>
      <c r="D1432" s="3"/>
      <c r="E1432" s="3" t="s">
        <v>9591</v>
      </c>
      <c r="F1432" s="3"/>
      <c r="G1432" s="3" t="s">
        <v>9940</v>
      </c>
      <c r="H1432" s="3"/>
    </row>
    <row r="1433" spans="1:8" ht="60" x14ac:dyDescent="0.25">
      <c r="A1433" s="3" t="s">
        <v>9588</v>
      </c>
      <c r="B1433" s="3" t="s">
        <v>9941</v>
      </c>
      <c r="C1433" s="3" t="s">
        <v>9942</v>
      </c>
      <c r="D1433" s="3"/>
      <c r="E1433" s="3" t="s">
        <v>9591</v>
      </c>
      <c r="F1433" s="3"/>
      <c r="G1433" s="3" t="s">
        <v>9943</v>
      </c>
      <c r="H1433" s="3"/>
    </row>
    <row r="1434" spans="1:8" ht="30" x14ac:dyDescent="0.25">
      <c r="A1434" s="3" t="s">
        <v>9588</v>
      </c>
      <c r="B1434" s="3" t="s">
        <v>9944</v>
      </c>
      <c r="C1434" s="3" t="s">
        <v>9945</v>
      </c>
      <c r="D1434" s="3"/>
      <c r="E1434" s="3" t="s">
        <v>9591</v>
      </c>
      <c r="F1434" s="3">
        <v>25</v>
      </c>
      <c r="G1434" s="3" t="s">
        <v>12</v>
      </c>
      <c r="H1434" s="3"/>
    </row>
    <row r="1435" spans="1:8" ht="180" x14ac:dyDescent="0.25">
      <c r="A1435" s="3" t="s">
        <v>9588</v>
      </c>
      <c r="B1435" s="3" t="s">
        <v>9946</v>
      </c>
      <c r="C1435" s="3" t="s">
        <v>9947</v>
      </c>
      <c r="D1435" s="3"/>
      <c r="E1435" s="3" t="s">
        <v>9591</v>
      </c>
      <c r="F1435" s="3"/>
      <c r="G1435" s="3" t="s">
        <v>9948</v>
      </c>
      <c r="H1435" s="3"/>
    </row>
    <row r="1436" spans="1:8" ht="30" x14ac:dyDescent="0.25">
      <c r="A1436" s="3" t="s">
        <v>9588</v>
      </c>
      <c r="B1436" s="3" t="s">
        <v>9949</v>
      </c>
      <c r="C1436" s="3" t="s">
        <v>9950</v>
      </c>
      <c r="D1436" s="3"/>
      <c r="E1436" s="3" t="s">
        <v>9591</v>
      </c>
      <c r="F1436" s="3"/>
      <c r="G1436" s="3" t="s">
        <v>12</v>
      </c>
      <c r="H1436" s="3"/>
    </row>
    <row r="1437" spans="1:8" ht="210" x14ac:dyDescent="0.25">
      <c r="A1437" s="3" t="s">
        <v>9588</v>
      </c>
      <c r="B1437" s="3" t="s">
        <v>9951</v>
      </c>
      <c r="C1437" s="3" t="s">
        <v>9952</v>
      </c>
      <c r="D1437" s="3"/>
      <c r="E1437" s="3" t="s">
        <v>9591</v>
      </c>
      <c r="F1437" s="3"/>
      <c r="G1437" s="3" t="s">
        <v>9953</v>
      </c>
      <c r="H1437" s="3"/>
    </row>
    <row r="1438" spans="1:8" x14ac:dyDescent="0.25">
      <c r="A1438" s="3" t="s">
        <v>9588</v>
      </c>
      <c r="B1438" s="3" t="s">
        <v>4622</v>
      </c>
      <c r="C1438" s="3" t="s">
        <v>9954</v>
      </c>
      <c r="D1438" s="3"/>
      <c r="E1438" s="3" t="s">
        <v>9591</v>
      </c>
      <c r="F1438" s="3">
        <v>26</v>
      </c>
      <c r="G1438" s="3" t="s">
        <v>12</v>
      </c>
      <c r="H1438" s="3"/>
    </row>
    <row r="1439" spans="1:8" ht="120" x14ac:dyDescent="0.25">
      <c r="A1439" s="3" t="s">
        <v>9588</v>
      </c>
      <c r="B1439" s="3" t="s">
        <v>9955</v>
      </c>
      <c r="C1439" s="3" t="s">
        <v>9956</v>
      </c>
      <c r="D1439" s="3"/>
      <c r="E1439" s="3" t="s">
        <v>9591</v>
      </c>
      <c r="F1439" s="3"/>
      <c r="G1439" s="3" t="s">
        <v>9957</v>
      </c>
      <c r="H1439" s="3"/>
    </row>
    <row r="1440" spans="1:8" ht="75" x14ac:dyDescent="0.25">
      <c r="A1440" s="3" t="s">
        <v>9588</v>
      </c>
      <c r="B1440" s="3" t="s">
        <v>9958</v>
      </c>
      <c r="C1440" s="3" t="s">
        <v>9959</v>
      </c>
      <c r="D1440" s="3"/>
      <c r="E1440" s="3" t="s">
        <v>9637</v>
      </c>
      <c r="F1440" s="3"/>
      <c r="G1440" s="3" t="s">
        <v>12</v>
      </c>
      <c r="H1440" s="3"/>
    </row>
    <row r="1441" spans="1:8" ht="270" x14ac:dyDescent="0.25">
      <c r="A1441" s="3" t="s">
        <v>9588</v>
      </c>
      <c r="B1441" s="3" t="s">
        <v>9960</v>
      </c>
      <c r="C1441" s="3" t="s">
        <v>9961</v>
      </c>
      <c r="D1441" s="3"/>
      <c r="E1441" s="3" t="s">
        <v>9591</v>
      </c>
      <c r="F1441" s="3"/>
      <c r="G1441" s="3" t="s">
        <v>9962</v>
      </c>
      <c r="H1441" s="3"/>
    </row>
    <row r="1442" spans="1:8" ht="60" x14ac:dyDescent="0.25">
      <c r="A1442" s="3" t="s">
        <v>9588</v>
      </c>
      <c r="B1442" s="3" t="s">
        <v>9963</v>
      </c>
      <c r="C1442" s="3" t="s">
        <v>9964</v>
      </c>
      <c r="D1442" s="3"/>
      <c r="E1442" s="3" t="s">
        <v>9591</v>
      </c>
      <c r="F1442" s="3">
        <v>20</v>
      </c>
      <c r="G1442" s="3" t="s">
        <v>12</v>
      </c>
      <c r="H1442" s="3"/>
    </row>
    <row r="1443" spans="1:8" ht="135" x14ac:dyDescent="0.25">
      <c r="A1443" s="3" t="s">
        <v>9588</v>
      </c>
      <c r="B1443" s="3" t="s">
        <v>9965</v>
      </c>
      <c r="C1443" s="3" t="s">
        <v>9966</v>
      </c>
      <c r="D1443" s="3"/>
      <c r="E1443" s="3" t="s">
        <v>9591</v>
      </c>
      <c r="F1443" s="3"/>
      <c r="G1443" s="3" t="s">
        <v>9967</v>
      </c>
      <c r="H1443" s="3"/>
    </row>
    <row r="1444" spans="1:8" ht="30" x14ac:dyDescent="0.25">
      <c r="A1444" s="3" t="s">
        <v>9588</v>
      </c>
      <c r="B1444" s="3" t="s">
        <v>9968</v>
      </c>
      <c r="C1444" s="3" t="s">
        <v>9969</v>
      </c>
      <c r="D1444" s="3"/>
      <c r="E1444" s="3" t="s">
        <v>9591</v>
      </c>
      <c r="F1444" s="3">
        <v>30</v>
      </c>
      <c r="G1444" s="3" t="s">
        <v>12</v>
      </c>
      <c r="H1444" s="3"/>
    </row>
    <row r="1445" spans="1:8" ht="30" x14ac:dyDescent="0.25">
      <c r="A1445" s="3" t="s">
        <v>9588</v>
      </c>
      <c r="B1445" s="3" t="s">
        <v>9970</v>
      </c>
      <c r="C1445" s="3" t="s">
        <v>9971</v>
      </c>
      <c r="D1445" s="3"/>
      <c r="E1445" s="3" t="s">
        <v>9637</v>
      </c>
      <c r="F1445" s="3"/>
      <c r="G1445" s="3" t="s">
        <v>12</v>
      </c>
      <c r="H1445" s="3"/>
    </row>
    <row r="1446" spans="1:8" ht="409.5" x14ac:dyDescent="0.25">
      <c r="A1446" s="3" t="s">
        <v>9588</v>
      </c>
      <c r="B1446" s="3" t="s">
        <v>9972</v>
      </c>
      <c r="C1446" s="3" t="s">
        <v>9973</v>
      </c>
      <c r="D1446" s="3"/>
      <c r="E1446" s="3" t="s">
        <v>9591</v>
      </c>
      <c r="F1446" s="3"/>
      <c r="G1446" s="3" t="s">
        <v>9843</v>
      </c>
      <c r="H1446" s="3"/>
    </row>
    <row r="1447" spans="1:8" ht="60" x14ac:dyDescent="0.25">
      <c r="A1447" s="3" t="s">
        <v>9588</v>
      </c>
      <c r="B1447" s="3" t="s">
        <v>9974</v>
      </c>
      <c r="C1447" s="3" t="s">
        <v>9975</v>
      </c>
      <c r="D1447" s="3"/>
      <c r="E1447" s="3" t="s">
        <v>9591</v>
      </c>
      <c r="F1447" s="3">
        <v>8</v>
      </c>
      <c r="G1447" s="3" t="s">
        <v>12</v>
      </c>
      <c r="H1447" s="3"/>
    </row>
    <row r="1448" spans="1:8" ht="45" x14ac:dyDescent="0.25">
      <c r="A1448" s="3" t="s">
        <v>9588</v>
      </c>
      <c r="B1448" s="3" t="s">
        <v>9976</v>
      </c>
      <c r="C1448" s="3" t="s">
        <v>9977</v>
      </c>
      <c r="D1448" s="3"/>
      <c r="E1448" s="3" t="s">
        <v>9591</v>
      </c>
      <c r="F1448" s="3">
        <v>8</v>
      </c>
      <c r="G1448" s="3" t="s">
        <v>12</v>
      </c>
      <c r="H1448" s="3"/>
    </row>
    <row r="1449" spans="1:8" ht="30" x14ac:dyDescent="0.25">
      <c r="A1449" s="3" t="s">
        <v>9588</v>
      </c>
      <c r="B1449" s="3" t="s">
        <v>9978</v>
      </c>
      <c r="C1449" s="3" t="s">
        <v>9979</v>
      </c>
      <c r="D1449" s="3"/>
      <c r="E1449" s="3" t="s">
        <v>9591</v>
      </c>
      <c r="F1449" s="3">
        <v>30</v>
      </c>
      <c r="G1449" s="3" t="s">
        <v>12</v>
      </c>
      <c r="H1449" s="3"/>
    </row>
    <row r="1450" spans="1:8" ht="30" x14ac:dyDescent="0.25">
      <c r="A1450" s="3" t="s">
        <v>9588</v>
      </c>
      <c r="B1450" s="3" t="s">
        <v>9980</v>
      </c>
      <c r="C1450" s="3" t="s">
        <v>9981</v>
      </c>
      <c r="D1450" s="3"/>
      <c r="E1450" s="3" t="s">
        <v>9591</v>
      </c>
      <c r="F1450" s="3">
        <v>30</v>
      </c>
      <c r="G1450" s="3" t="s">
        <v>12</v>
      </c>
      <c r="H1450" s="3"/>
    </row>
    <row r="1451" spans="1:8" ht="30" x14ac:dyDescent="0.25">
      <c r="A1451" s="3" t="s">
        <v>9588</v>
      </c>
      <c r="B1451" s="3" t="s">
        <v>9982</v>
      </c>
      <c r="C1451" s="3" t="s">
        <v>9983</v>
      </c>
      <c r="D1451" s="3"/>
      <c r="E1451" s="3" t="s">
        <v>9591</v>
      </c>
      <c r="F1451" s="3">
        <v>30</v>
      </c>
      <c r="G1451" s="3" t="s">
        <v>12</v>
      </c>
      <c r="H1451" s="3"/>
    </row>
    <row r="1452" spans="1:8" ht="409.5" x14ac:dyDescent="0.25">
      <c r="A1452" s="3" t="s">
        <v>9588</v>
      </c>
      <c r="B1452" s="3" t="s">
        <v>9984</v>
      </c>
      <c r="C1452" s="3" t="s">
        <v>9985</v>
      </c>
      <c r="D1452" s="3"/>
      <c r="E1452" s="3" t="s">
        <v>9591</v>
      </c>
      <c r="F1452" s="3"/>
      <c r="G1452" s="3" t="s">
        <v>9843</v>
      </c>
      <c r="H1452" s="3"/>
    </row>
    <row r="1453" spans="1:8" ht="330" x14ac:dyDescent="0.25">
      <c r="A1453" s="3" t="s">
        <v>9588</v>
      </c>
      <c r="B1453" s="3" t="s">
        <v>9986</v>
      </c>
      <c r="C1453" s="3" t="s">
        <v>9987</v>
      </c>
      <c r="D1453" s="3"/>
      <c r="E1453" s="3" t="s">
        <v>9591</v>
      </c>
      <c r="F1453" s="3"/>
      <c r="G1453" s="3" t="s">
        <v>9988</v>
      </c>
      <c r="H1453" s="3"/>
    </row>
    <row r="1454" spans="1:8" ht="120" x14ac:dyDescent="0.25">
      <c r="A1454" s="3" t="s">
        <v>9588</v>
      </c>
      <c r="B1454" s="3" t="s">
        <v>9989</v>
      </c>
      <c r="C1454" s="3" t="s">
        <v>9990</v>
      </c>
      <c r="D1454" s="3"/>
      <c r="E1454" s="3" t="s">
        <v>9591</v>
      </c>
      <c r="F1454" s="3"/>
      <c r="G1454" s="3" t="s">
        <v>9991</v>
      </c>
      <c r="H1454" s="3"/>
    </row>
    <row r="1455" spans="1:8" ht="45" x14ac:dyDescent="0.25">
      <c r="A1455" s="3" t="s">
        <v>9588</v>
      </c>
      <c r="B1455" s="3" t="s">
        <v>9992</v>
      </c>
      <c r="C1455" s="3" t="s">
        <v>9993</v>
      </c>
      <c r="D1455" s="3"/>
      <c r="E1455" s="3" t="s">
        <v>9591</v>
      </c>
      <c r="F1455" s="3">
        <v>15</v>
      </c>
      <c r="G1455" s="3" t="s">
        <v>12</v>
      </c>
      <c r="H1455" s="3"/>
    </row>
    <row r="1456" spans="1:8" ht="60" x14ac:dyDescent="0.25">
      <c r="A1456" s="3" t="s">
        <v>9588</v>
      </c>
      <c r="B1456" s="3" t="s">
        <v>9994</v>
      </c>
      <c r="C1456" s="3" t="s">
        <v>9995</v>
      </c>
      <c r="D1456" s="3"/>
      <c r="E1456" s="3" t="s">
        <v>9591</v>
      </c>
      <c r="F1456" s="3"/>
      <c r="G1456" s="3" t="s">
        <v>9996</v>
      </c>
      <c r="H1456" s="3"/>
    </row>
    <row r="1457" spans="1:8" ht="45" x14ac:dyDescent="0.25">
      <c r="A1457" s="3" t="s">
        <v>9588</v>
      </c>
      <c r="B1457" s="3" t="s">
        <v>9997</v>
      </c>
      <c r="C1457" s="3" t="s">
        <v>9650</v>
      </c>
      <c r="D1457" s="3"/>
      <c r="E1457" s="3" t="s">
        <v>9591</v>
      </c>
      <c r="F1457" s="3"/>
      <c r="G1457" s="3" t="s">
        <v>12</v>
      </c>
      <c r="H1457" s="3"/>
    </row>
    <row r="1458" spans="1:8" ht="30" x14ac:dyDescent="0.25">
      <c r="A1458" s="3" t="s">
        <v>9588</v>
      </c>
      <c r="B1458" s="3" t="s">
        <v>9998</v>
      </c>
      <c r="C1458" s="3" t="s">
        <v>9999</v>
      </c>
      <c r="D1458" s="3"/>
      <c r="E1458" s="3" t="s">
        <v>9591</v>
      </c>
      <c r="F1458" s="3">
        <v>30</v>
      </c>
      <c r="G1458" s="3" t="s">
        <v>12</v>
      </c>
      <c r="H1458" s="3"/>
    </row>
    <row r="1459" spans="1:8" x14ac:dyDescent="0.25">
      <c r="A1459" s="3" t="s">
        <v>9588</v>
      </c>
      <c r="B1459" s="3" t="s">
        <v>10000</v>
      </c>
      <c r="C1459" s="3" t="s">
        <v>10001</v>
      </c>
      <c r="D1459" s="3"/>
      <c r="E1459" s="3" t="s">
        <v>9591</v>
      </c>
      <c r="F1459" s="3">
        <v>3</v>
      </c>
      <c r="G1459" s="3" t="s">
        <v>12</v>
      </c>
      <c r="H1459" s="3"/>
    </row>
    <row r="1460" spans="1:8" x14ac:dyDescent="0.25">
      <c r="A1460" s="3" t="s">
        <v>9588</v>
      </c>
      <c r="B1460" s="3" t="s">
        <v>10002</v>
      </c>
      <c r="C1460" s="3" t="s">
        <v>10003</v>
      </c>
      <c r="D1460" s="3"/>
      <c r="E1460" s="3" t="s">
        <v>9591</v>
      </c>
      <c r="F1460" s="3">
        <v>60</v>
      </c>
      <c r="G1460" s="3" t="s">
        <v>12</v>
      </c>
      <c r="H1460" s="3"/>
    </row>
    <row r="1461" spans="1:8" x14ac:dyDescent="0.25">
      <c r="A1461" s="3" t="s">
        <v>9588</v>
      </c>
      <c r="B1461" s="3" t="s">
        <v>10004</v>
      </c>
      <c r="C1461" s="3" t="s">
        <v>10005</v>
      </c>
      <c r="D1461" s="3"/>
      <c r="E1461" s="3" t="s">
        <v>9591</v>
      </c>
      <c r="F1461" s="3">
        <v>60</v>
      </c>
      <c r="G1461" s="3" t="s">
        <v>12</v>
      </c>
      <c r="H1461" s="3"/>
    </row>
    <row r="1462" spans="1:8" ht="45" x14ac:dyDescent="0.25">
      <c r="A1462" s="3" t="s">
        <v>9588</v>
      </c>
      <c r="B1462" s="3" t="s">
        <v>10006</v>
      </c>
      <c r="C1462" s="3" t="s">
        <v>10007</v>
      </c>
      <c r="D1462" s="3"/>
      <c r="E1462" s="3" t="s">
        <v>9591</v>
      </c>
      <c r="F1462" s="3">
        <v>26</v>
      </c>
      <c r="G1462" s="3" t="s">
        <v>12</v>
      </c>
      <c r="H1462" s="3"/>
    </row>
    <row r="1463" spans="1:8" ht="409.5" x14ac:dyDescent="0.25">
      <c r="A1463" s="3" t="s">
        <v>9588</v>
      </c>
      <c r="B1463" s="3" t="s">
        <v>10008</v>
      </c>
      <c r="C1463" s="3" t="s">
        <v>10009</v>
      </c>
      <c r="D1463" s="3"/>
      <c r="E1463" s="3" t="s">
        <v>9591</v>
      </c>
      <c r="F1463" s="3"/>
      <c r="G1463" s="3" t="s">
        <v>10010</v>
      </c>
      <c r="H1463" s="3"/>
    </row>
    <row r="1464" spans="1:8" ht="45" x14ac:dyDescent="0.25">
      <c r="A1464" s="3" t="s">
        <v>9588</v>
      </c>
      <c r="B1464" s="3" t="s">
        <v>10011</v>
      </c>
      <c r="C1464" s="3" t="s">
        <v>10012</v>
      </c>
      <c r="D1464" s="3"/>
      <c r="E1464" s="3" t="s">
        <v>9637</v>
      </c>
      <c r="F1464" s="3"/>
      <c r="G1464" s="3" t="s">
        <v>12</v>
      </c>
      <c r="H1464" s="3"/>
    </row>
    <row r="1465" spans="1:8" ht="150" x14ac:dyDescent="0.25">
      <c r="A1465" s="3" t="s">
        <v>9588</v>
      </c>
      <c r="B1465" s="3" t="s">
        <v>10013</v>
      </c>
      <c r="C1465" s="3" t="s">
        <v>10014</v>
      </c>
      <c r="D1465" s="3"/>
      <c r="E1465" s="3" t="s">
        <v>9591</v>
      </c>
      <c r="F1465" s="3"/>
      <c r="G1465" s="3" t="s">
        <v>10015</v>
      </c>
      <c r="H1465" s="3"/>
    </row>
    <row r="1466" spans="1:8" ht="90" x14ac:dyDescent="0.25">
      <c r="A1466" s="3" t="s">
        <v>9588</v>
      </c>
      <c r="B1466" s="3" t="s">
        <v>10016</v>
      </c>
      <c r="C1466" s="3" t="s">
        <v>10017</v>
      </c>
      <c r="D1466" s="3"/>
      <c r="E1466" s="3" t="s">
        <v>9591</v>
      </c>
      <c r="F1466" s="3"/>
      <c r="G1466" s="3" t="s">
        <v>10018</v>
      </c>
      <c r="H1466" s="3"/>
    </row>
    <row r="1467" spans="1:8" ht="45" x14ac:dyDescent="0.25">
      <c r="A1467" s="3" t="s">
        <v>9588</v>
      </c>
      <c r="B1467" s="3" t="s">
        <v>10019</v>
      </c>
      <c r="C1467" s="3" t="s">
        <v>10020</v>
      </c>
      <c r="D1467" s="3"/>
      <c r="E1467" s="3" t="s">
        <v>10021</v>
      </c>
      <c r="F1467" s="3"/>
      <c r="G1467" s="3" t="s">
        <v>12</v>
      </c>
      <c r="H1467" s="3"/>
    </row>
    <row r="1468" spans="1:8" ht="45" x14ac:dyDescent="0.25">
      <c r="A1468" s="3" t="s">
        <v>9588</v>
      </c>
      <c r="B1468" s="3" t="s">
        <v>10022</v>
      </c>
      <c r="C1468" s="3" t="s">
        <v>10023</v>
      </c>
      <c r="D1468" s="3"/>
      <c r="E1468" s="3" t="s">
        <v>10021</v>
      </c>
      <c r="F1468" s="3"/>
      <c r="G1468" s="3" t="s">
        <v>12</v>
      </c>
      <c r="H1468" s="3"/>
    </row>
    <row r="1469" spans="1:8" ht="30" x14ac:dyDescent="0.25">
      <c r="A1469" s="3" t="s">
        <v>9588</v>
      </c>
      <c r="B1469" s="3" t="s">
        <v>10024</v>
      </c>
      <c r="C1469" s="3" t="s">
        <v>10025</v>
      </c>
      <c r="D1469" s="3"/>
      <c r="E1469" s="3" t="s">
        <v>9591</v>
      </c>
      <c r="F1469" s="3">
        <v>60</v>
      </c>
      <c r="G1469" s="3" t="s">
        <v>12</v>
      </c>
      <c r="H1469" s="3"/>
    </row>
    <row r="1470" spans="1:8" ht="135" x14ac:dyDescent="0.25">
      <c r="A1470" s="3" t="s">
        <v>9588</v>
      </c>
      <c r="B1470" s="3" t="s">
        <v>10026</v>
      </c>
      <c r="C1470" s="3" t="s">
        <v>10027</v>
      </c>
      <c r="D1470" s="3"/>
      <c r="E1470" s="3" t="s">
        <v>9591</v>
      </c>
      <c r="F1470" s="3"/>
      <c r="G1470" s="3" t="s">
        <v>10028</v>
      </c>
      <c r="H1470" s="3"/>
    </row>
    <row r="1471" spans="1:8" ht="60" x14ac:dyDescent="0.25">
      <c r="A1471" s="3" t="s">
        <v>9588</v>
      </c>
      <c r="B1471" s="3" t="s">
        <v>10029</v>
      </c>
      <c r="C1471" s="3" t="s">
        <v>10030</v>
      </c>
      <c r="D1471" s="3"/>
      <c r="E1471" s="3" t="s">
        <v>9591</v>
      </c>
      <c r="F1471" s="3"/>
      <c r="G1471" s="3" t="s">
        <v>12</v>
      </c>
      <c r="H1471" s="3"/>
    </row>
    <row r="1472" spans="1:8" ht="60" x14ac:dyDescent="0.25">
      <c r="A1472" s="3" t="s">
        <v>9588</v>
      </c>
      <c r="B1472" s="3" t="s">
        <v>10031</v>
      </c>
      <c r="C1472" s="3" t="s">
        <v>10032</v>
      </c>
      <c r="D1472" s="3"/>
      <c r="E1472" s="3" t="s">
        <v>9591</v>
      </c>
      <c r="F1472" s="3"/>
      <c r="G1472" s="3" t="s">
        <v>12</v>
      </c>
      <c r="H1472" s="3"/>
    </row>
    <row r="1473" spans="1:8" ht="30" x14ac:dyDescent="0.25">
      <c r="A1473" s="3" t="s">
        <v>9588</v>
      </c>
      <c r="B1473" s="3" t="s">
        <v>10033</v>
      </c>
      <c r="C1473" s="3" t="s">
        <v>10034</v>
      </c>
      <c r="D1473" s="3"/>
      <c r="E1473" s="3" t="s">
        <v>9591</v>
      </c>
      <c r="F1473" s="3"/>
      <c r="G1473" s="3" t="s">
        <v>12</v>
      </c>
      <c r="H1473" s="3"/>
    </row>
    <row r="1474" spans="1:8" ht="120" x14ac:dyDescent="0.25">
      <c r="A1474" s="3" t="s">
        <v>9588</v>
      </c>
      <c r="B1474" s="3" t="s">
        <v>10035</v>
      </c>
      <c r="C1474" s="3" t="s">
        <v>10036</v>
      </c>
      <c r="D1474" s="3"/>
      <c r="E1474" s="3" t="s">
        <v>9591</v>
      </c>
      <c r="F1474" s="3"/>
      <c r="G1474" s="3" t="s">
        <v>10037</v>
      </c>
      <c r="H1474" s="3"/>
    </row>
    <row r="1475" spans="1:8" ht="60" x14ac:dyDescent="0.25">
      <c r="A1475" s="3" t="s">
        <v>9588</v>
      </c>
      <c r="B1475" s="3" t="s">
        <v>10038</v>
      </c>
      <c r="C1475" s="3" t="s">
        <v>10039</v>
      </c>
      <c r="D1475" s="3"/>
      <c r="E1475" s="3" t="s">
        <v>9591</v>
      </c>
      <c r="F1475" s="3"/>
      <c r="G1475" s="3" t="s">
        <v>9598</v>
      </c>
      <c r="H1475" s="3"/>
    </row>
    <row r="1476" spans="1:8" ht="30" x14ac:dyDescent="0.25">
      <c r="A1476" s="3" t="s">
        <v>9588</v>
      </c>
      <c r="B1476" s="3" t="s">
        <v>10040</v>
      </c>
      <c r="C1476" s="3" t="s">
        <v>10041</v>
      </c>
      <c r="D1476" s="3"/>
      <c r="E1476" s="3" t="s">
        <v>9591</v>
      </c>
      <c r="F1476" s="3"/>
      <c r="G1476" s="3" t="s">
        <v>12</v>
      </c>
      <c r="H1476" s="3"/>
    </row>
    <row r="1477" spans="1:8" ht="210" x14ac:dyDescent="0.25">
      <c r="A1477" s="3" t="s">
        <v>9588</v>
      </c>
      <c r="B1477" s="3" t="s">
        <v>10042</v>
      </c>
      <c r="C1477" s="3" t="s">
        <v>10043</v>
      </c>
      <c r="D1477" s="3"/>
      <c r="E1477" s="3" t="s">
        <v>9591</v>
      </c>
      <c r="F1477" s="3"/>
      <c r="G1477" s="3" t="s">
        <v>10044</v>
      </c>
      <c r="H1477" s="3"/>
    </row>
    <row r="1478" spans="1:8" ht="30" x14ac:dyDescent="0.25">
      <c r="A1478" s="3" t="s">
        <v>9588</v>
      </c>
      <c r="B1478" s="3" t="s">
        <v>10045</v>
      </c>
      <c r="C1478" s="3" t="s">
        <v>10046</v>
      </c>
      <c r="D1478" s="3"/>
      <c r="E1478" s="3" t="s">
        <v>9591</v>
      </c>
      <c r="F1478" s="3">
        <v>60</v>
      </c>
      <c r="G1478" s="3" t="s">
        <v>12</v>
      </c>
      <c r="H1478" s="3"/>
    </row>
    <row r="1479" spans="1:8" ht="30" x14ac:dyDescent="0.25">
      <c r="A1479" s="3" t="s">
        <v>9588</v>
      </c>
      <c r="B1479" s="3" t="s">
        <v>10047</v>
      </c>
      <c r="C1479" s="3" t="s">
        <v>10048</v>
      </c>
      <c r="D1479" s="3"/>
      <c r="E1479" s="3" t="s">
        <v>9781</v>
      </c>
      <c r="F1479" s="3"/>
      <c r="G1479" s="3" t="s">
        <v>12</v>
      </c>
      <c r="H1479" s="3"/>
    </row>
    <row r="1480" spans="1:8" ht="45" x14ac:dyDescent="0.25">
      <c r="A1480" s="3" t="s">
        <v>9588</v>
      </c>
      <c r="B1480" s="3" t="s">
        <v>10049</v>
      </c>
      <c r="C1480" s="3" t="s">
        <v>10050</v>
      </c>
      <c r="D1480" s="3"/>
      <c r="E1480" s="3" t="s">
        <v>9591</v>
      </c>
      <c r="F1480" s="3">
        <v>20</v>
      </c>
      <c r="G1480" s="3" t="s">
        <v>12</v>
      </c>
      <c r="H1480" s="3"/>
    </row>
    <row r="1481" spans="1:8" ht="75" x14ac:dyDescent="0.25">
      <c r="A1481" s="3" t="s">
        <v>9588</v>
      </c>
      <c r="B1481" s="3" t="s">
        <v>10051</v>
      </c>
      <c r="C1481" s="3" t="s">
        <v>10052</v>
      </c>
      <c r="D1481" s="3"/>
      <c r="E1481" s="3" t="s">
        <v>9591</v>
      </c>
      <c r="F1481" s="3"/>
      <c r="G1481" s="3" t="s">
        <v>12</v>
      </c>
      <c r="H1481" s="3"/>
    </row>
    <row r="1482" spans="1:8" ht="409.5" x14ac:dyDescent="0.25">
      <c r="A1482" s="3" t="s">
        <v>9588</v>
      </c>
      <c r="B1482" s="3" t="s">
        <v>10053</v>
      </c>
      <c r="C1482" s="3" t="s">
        <v>10054</v>
      </c>
      <c r="D1482" s="3"/>
      <c r="E1482" s="3" t="s">
        <v>9591</v>
      </c>
      <c r="F1482" s="3"/>
      <c r="G1482" s="3" t="s">
        <v>10055</v>
      </c>
      <c r="H1482" s="3"/>
    </row>
    <row r="1483" spans="1:8" ht="120" x14ac:dyDescent="0.25">
      <c r="A1483" s="3" t="s">
        <v>9588</v>
      </c>
      <c r="B1483" s="3" t="s">
        <v>10056</v>
      </c>
      <c r="C1483" s="3" t="s">
        <v>10057</v>
      </c>
      <c r="D1483" s="3"/>
      <c r="E1483" s="3" t="s">
        <v>9591</v>
      </c>
      <c r="F1483" s="3"/>
      <c r="G1483" s="3" t="s">
        <v>10058</v>
      </c>
      <c r="H1483" s="3"/>
    </row>
    <row r="1484" spans="1:8" ht="30" x14ac:dyDescent="0.25">
      <c r="A1484" s="3" t="s">
        <v>9588</v>
      </c>
      <c r="B1484" s="3" t="s">
        <v>10059</v>
      </c>
      <c r="C1484" s="3" t="s">
        <v>10060</v>
      </c>
      <c r="D1484" s="3"/>
      <c r="E1484" s="3" t="s">
        <v>9591</v>
      </c>
      <c r="F1484" s="3">
        <v>80</v>
      </c>
      <c r="G1484" s="3" t="s">
        <v>12</v>
      </c>
      <c r="H1484" s="3"/>
    </row>
    <row r="1485" spans="1:8" ht="60" x14ac:dyDescent="0.25">
      <c r="A1485" s="3" t="s">
        <v>9588</v>
      </c>
      <c r="B1485" s="3" t="s">
        <v>10061</v>
      </c>
      <c r="C1485" s="3" t="s">
        <v>10062</v>
      </c>
      <c r="D1485" s="3"/>
      <c r="E1485" s="3" t="s">
        <v>9591</v>
      </c>
      <c r="F1485" s="3"/>
      <c r="G1485" s="3" t="s">
        <v>10063</v>
      </c>
      <c r="H1485" s="3"/>
    </row>
    <row r="1486" spans="1:8" ht="45" x14ac:dyDescent="0.25">
      <c r="A1486" s="3" t="s">
        <v>9588</v>
      </c>
      <c r="B1486" s="3" t="s">
        <v>10064</v>
      </c>
      <c r="C1486" s="3" t="s">
        <v>10065</v>
      </c>
      <c r="D1486" s="3"/>
      <c r="E1486" s="3" t="s">
        <v>9591</v>
      </c>
      <c r="F1486" s="3">
        <v>40</v>
      </c>
      <c r="G1486" s="3" t="s">
        <v>12</v>
      </c>
      <c r="H1486" s="3"/>
    </row>
    <row r="1487" spans="1:8" ht="60" x14ac:dyDescent="0.25">
      <c r="A1487" s="3" t="s">
        <v>9588</v>
      </c>
      <c r="B1487" s="3" t="s">
        <v>10066</v>
      </c>
      <c r="C1487" s="3" t="s">
        <v>10067</v>
      </c>
      <c r="D1487" s="3"/>
      <c r="E1487" s="3" t="s">
        <v>9591</v>
      </c>
      <c r="F1487" s="3">
        <v>50</v>
      </c>
      <c r="G1487" s="3" t="s">
        <v>12</v>
      </c>
      <c r="H1487" s="3"/>
    </row>
    <row r="1488" spans="1:8" ht="30" x14ac:dyDescent="0.25">
      <c r="A1488" s="3" t="s">
        <v>9588</v>
      </c>
      <c r="B1488" s="3" t="s">
        <v>10068</v>
      </c>
      <c r="C1488" s="3" t="s">
        <v>10069</v>
      </c>
      <c r="D1488" s="3"/>
      <c r="E1488" s="3" t="s">
        <v>9637</v>
      </c>
      <c r="F1488" s="3"/>
      <c r="G1488" s="3" t="s">
        <v>12</v>
      </c>
      <c r="H1488" s="3"/>
    </row>
    <row r="1489" spans="1:8" ht="409.5" x14ac:dyDescent="0.25">
      <c r="A1489" s="3" t="s">
        <v>9588</v>
      </c>
      <c r="B1489" s="3" t="s">
        <v>10070</v>
      </c>
      <c r="C1489" s="3" t="s">
        <v>10071</v>
      </c>
      <c r="D1489" s="3"/>
      <c r="E1489" s="3" t="s">
        <v>9591</v>
      </c>
      <c r="F1489" s="3">
        <v>3</v>
      </c>
      <c r="G1489" s="3" t="s">
        <v>12163</v>
      </c>
      <c r="H1489" s="3"/>
    </row>
    <row r="1490" spans="1:8" ht="409.5" x14ac:dyDescent="0.25">
      <c r="A1490" s="3"/>
      <c r="B1490" s="3"/>
      <c r="C1490" s="3"/>
      <c r="D1490" s="3"/>
      <c r="E1490" s="3"/>
      <c r="F1490" s="3"/>
      <c r="G1490" s="3" t="s">
        <v>12164</v>
      </c>
      <c r="H1490" s="3"/>
    </row>
    <row r="1491" spans="1:8" ht="60" x14ac:dyDescent="0.25">
      <c r="A1491" s="3" t="s">
        <v>9588</v>
      </c>
      <c r="B1491" s="3" t="s">
        <v>10072</v>
      </c>
      <c r="C1491" s="3" t="s">
        <v>10073</v>
      </c>
      <c r="D1491" s="3"/>
      <c r="E1491" s="3" t="s">
        <v>9591</v>
      </c>
      <c r="F1491" s="3"/>
      <c r="G1491" s="3" t="s">
        <v>10074</v>
      </c>
      <c r="H1491" s="3"/>
    </row>
    <row r="1492" spans="1:8" ht="45" x14ac:dyDescent="0.25">
      <c r="A1492" s="3" t="s">
        <v>9588</v>
      </c>
      <c r="B1492" s="3" t="s">
        <v>10075</v>
      </c>
      <c r="C1492" s="3" t="s">
        <v>10076</v>
      </c>
      <c r="D1492" s="3"/>
      <c r="E1492" s="3" t="s">
        <v>9591</v>
      </c>
      <c r="F1492" s="3">
        <v>40</v>
      </c>
      <c r="G1492" s="3" t="s">
        <v>12</v>
      </c>
      <c r="H1492" s="3"/>
    </row>
    <row r="1493" spans="1:8" ht="30" x14ac:dyDescent="0.25">
      <c r="A1493" s="3" t="s">
        <v>9588</v>
      </c>
      <c r="B1493" s="3" t="s">
        <v>10077</v>
      </c>
      <c r="C1493" s="3" t="s">
        <v>10078</v>
      </c>
      <c r="D1493" s="3"/>
      <c r="E1493" s="3" t="s">
        <v>9591</v>
      </c>
      <c r="F1493" s="3">
        <v>40</v>
      </c>
      <c r="G1493" s="3" t="s">
        <v>12</v>
      </c>
      <c r="H1493" s="3"/>
    </row>
    <row r="1494" spans="1:8" ht="45" x14ac:dyDescent="0.25">
      <c r="A1494" s="3" t="s">
        <v>9588</v>
      </c>
      <c r="B1494" s="3" t="s">
        <v>10079</v>
      </c>
      <c r="C1494" s="3" t="s">
        <v>10080</v>
      </c>
      <c r="D1494" s="3"/>
      <c r="E1494" s="3" t="s">
        <v>9605</v>
      </c>
      <c r="F1494" s="3"/>
      <c r="G1494" s="3" t="s">
        <v>12</v>
      </c>
      <c r="H1494" s="3"/>
    </row>
    <row r="1495" spans="1:8" ht="30" x14ac:dyDescent="0.25">
      <c r="A1495" s="3" t="s">
        <v>9588</v>
      </c>
      <c r="B1495" s="3" t="s">
        <v>10081</v>
      </c>
      <c r="C1495" s="3" t="s">
        <v>10082</v>
      </c>
      <c r="D1495" s="3"/>
      <c r="E1495" s="3" t="s">
        <v>9605</v>
      </c>
      <c r="F1495" s="3"/>
      <c r="G1495" s="3" t="s">
        <v>12</v>
      </c>
      <c r="H1495" s="3"/>
    </row>
    <row r="1496" spans="1:8" ht="30" x14ac:dyDescent="0.25">
      <c r="A1496" s="3" t="s">
        <v>9588</v>
      </c>
      <c r="B1496" s="3" t="s">
        <v>10083</v>
      </c>
      <c r="C1496" s="3" t="s">
        <v>10084</v>
      </c>
      <c r="D1496" s="3"/>
      <c r="E1496" s="3" t="s">
        <v>9605</v>
      </c>
      <c r="F1496" s="3"/>
      <c r="G1496" s="3" t="s">
        <v>12</v>
      </c>
      <c r="H1496" s="3"/>
    </row>
    <row r="1497" spans="1:8" ht="30" x14ac:dyDescent="0.25">
      <c r="A1497" s="3" t="s">
        <v>10085</v>
      </c>
      <c r="B1497" s="3" t="s">
        <v>10086</v>
      </c>
      <c r="C1497" s="3" t="s">
        <v>10087</v>
      </c>
      <c r="D1497" s="3"/>
      <c r="E1497" s="3" t="s">
        <v>10088</v>
      </c>
      <c r="F1497" s="3"/>
      <c r="G1497" s="3" t="s">
        <v>12</v>
      </c>
      <c r="H1497" s="3" t="str">
        <f>HYPERLINK(_xlfn.ENCODEURL("http://specification.sifassociation.org/Implementation/NA/3.2/html/Assessment/Assessment_assessmentAssetType.html#Link173"),"Link")</f>
        <v>Link</v>
      </c>
    </row>
    <row r="1498" spans="1:8" ht="30" x14ac:dyDescent="0.25">
      <c r="A1498" s="3" t="s">
        <v>10085</v>
      </c>
      <c r="B1498" s="3" t="s">
        <v>10089</v>
      </c>
      <c r="C1498" s="3"/>
      <c r="D1498" s="3"/>
      <c r="E1498" s="3" t="s">
        <v>10090</v>
      </c>
      <c r="F1498" s="3"/>
      <c r="G1498" s="3" t="s">
        <v>12</v>
      </c>
      <c r="H1498" s="3" t="str">
        <f>HYPERLINK(_xlfn.ENCODEURL("http://specification.sifassociation.org/Implementation/NA/3.2/html/Assessment/Assessment_assessmentAssetType.html#Link16D"),"Link")</f>
        <v>Link</v>
      </c>
    </row>
    <row r="1499" spans="1:8" ht="30" x14ac:dyDescent="0.25">
      <c r="A1499" s="3" t="s">
        <v>10085</v>
      </c>
      <c r="B1499" s="3" t="s">
        <v>10091</v>
      </c>
      <c r="C1499" s="3"/>
      <c r="D1499" s="3"/>
      <c r="E1499" s="3" t="s">
        <v>10092</v>
      </c>
      <c r="F1499" s="3"/>
      <c r="G1499" s="3" t="s">
        <v>12</v>
      </c>
      <c r="H1499" s="3" t="str">
        <f>HYPERLINK(_xlfn.ENCODEURL("http://specification.sifassociation.org/Implementation/NA/3.2/html/Assessment/Assessment_assessmentFormType.html#Link17A"),"Link")</f>
        <v>Link</v>
      </c>
    </row>
    <row r="1500" spans="1:8" ht="30" x14ac:dyDescent="0.25">
      <c r="A1500" s="3" t="s">
        <v>10085</v>
      </c>
      <c r="B1500" s="3" t="s">
        <v>10093</v>
      </c>
      <c r="C1500" s="3" t="s">
        <v>10087</v>
      </c>
      <c r="D1500" s="3"/>
      <c r="E1500" s="3" t="s">
        <v>10088</v>
      </c>
      <c r="F1500" s="3"/>
      <c r="G1500" s="3" t="s">
        <v>12</v>
      </c>
      <c r="H1500" s="3" t="str">
        <f>HYPERLINK(_xlfn.ENCODEURL("http://specification.sifassociation.org/Implementation/NA/3.2/html/Assessment/Assessment_assessmentFormType.html#Link17E"),"Link")</f>
        <v>Link</v>
      </c>
    </row>
    <row r="1501" spans="1:8" x14ac:dyDescent="0.25">
      <c r="A1501" s="3" t="s">
        <v>10085</v>
      </c>
      <c r="B1501" s="3" t="s">
        <v>10094</v>
      </c>
      <c r="C1501" s="3" t="s">
        <v>10095</v>
      </c>
      <c r="D1501" s="3"/>
      <c r="E1501" s="3" t="s">
        <v>10096</v>
      </c>
      <c r="F1501" s="3"/>
      <c r="G1501" s="3" t="s">
        <v>12</v>
      </c>
      <c r="H1501" s="3" t="str">
        <f>HYPERLINK(_xlfn.ENCODEURL("http://specification.sifassociation.org/Implementation/NA/3.2/html/Assessment/Assessment_assessmentFormType.html#LinkEE"),"Link")</f>
        <v>Link</v>
      </c>
    </row>
    <row r="1502" spans="1:8" ht="105" x14ac:dyDescent="0.25">
      <c r="A1502" s="3" t="s">
        <v>10085</v>
      </c>
      <c r="B1502" s="3" t="s">
        <v>10097</v>
      </c>
      <c r="C1502" s="3" t="s">
        <v>10098</v>
      </c>
      <c r="D1502" s="3"/>
      <c r="E1502" s="3" t="s">
        <v>10096</v>
      </c>
      <c r="F1502" s="3"/>
      <c r="G1502" s="3" t="s">
        <v>12</v>
      </c>
      <c r="H1502" s="3" t="str">
        <f>HYPERLINK(_xlfn.ENCODEURL("http://specification.sifassociation.org/Implementation/NA/3.2/html/Assessment/Assessment_assessmentItemAssociationType.html#Link111"),"Link")</f>
        <v>Link</v>
      </c>
    </row>
    <row r="1503" spans="1:8" ht="30" x14ac:dyDescent="0.25">
      <c r="A1503" s="3" t="s">
        <v>10085</v>
      </c>
      <c r="B1503" s="3" t="s">
        <v>10099</v>
      </c>
      <c r="C1503" s="3" t="s">
        <v>10100</v>
      </c>
      <c r="D1503" s="3"/>
      <c r="E1503" s="3" t="s">
        <v>10096</v>
      </c>
      <c r="F1503" s="3"/>
      <c r="G1503" s="3" t="s">
        <v>12</v>
      </c>
      <c r="H1503" s="3" t="str">
        <f>HYPERLINK(_xlfn.ENCODEURL("http://specification.sifassociation.org/Implementation/NA/3.2/html/Assessment/Assessment_assessmentItemType.html#Link10E"),"Link")</f>
        <v>Link</v>
      </c>
    </row>
    <row r="1504" spans="1:8" ht="60" x14ac:dyDescent="0.25">
      <c r="A1504" s="3" t="s">
        <v>10085</v>
      </c>
      <c r="B1504" s="3" t="s">
        <v>10101</v>
      </c>
      <c r="C1504" s="3" t="s">
        <v>10102</v>
      </c>
      <c r="D1504" s="3"/>
      <c r="E1504" s="3" t="s">
        <v>10103</v>
      </c>
      <c r="F1504" s="3"/>
      <c r="G1504" s="3" t="s">
        <v>12</v>
      </c>
      <c r="H1504" s="3" t="str">
        <f>HYPERLINK(_xlfn.ENCODEURL("http://specification.sifassociation.org/Implementation/NA/3.2/html/Assessment/Assessment_assessmentItemType.html#Link109"),"Link")</f>
        <v>Link</v>
      </c>
    </row>
    <row r="1505" spans="1:8" ht="75" x14ac:dyDescent="0.25">
      <c r="A1505" s="3" t="s">
        <v>10085</v>
      </c>
      <c r="B1505" s="3" t="s">
        <v>10104</v>
      </c>
      <c r="C1505" s="3" t="s">
        <v>10105</v>
      </c>
      <c r="D1505" s="3"/>
      <c r="E1505" s="3" t="s">
        <v>10106</v>
      </c>
      <c r="F1505" s="3"/>
      <c r="G1505" s="3" t="s">
        <v>12</v>
      </c>
      <c r="H1505" s="3" t="str">
        <f>HYPERLINK(_xlfn.ENCODEURL("http://specification.sifassociation.org/Implementation/NA/3.2/html/Assessment/Assessment_assessmentItemType.html#LinkFE"),"Link")</f>
        <v>Link</v>
      </c>
    </row>
    <row r="1506" spans="1:8" ht="105" x14ac:dyDescent="0.25">
      <c r="A1506" s="3" t="s">
        <v>10085</v>
      </c>
      <c r="B1506" s="3" t="s">
        <v>10107</v>
      </c>
      <c r="C1506" s="3" t="s">
        <v>10108</v>
      </c>
      <c r="D1506" s="3"/>
      <c r="E1506" s="3" t="s">
        <v>10096</v>
      </c>
      <c r="F1506" s="3"/>
      <c r="G1506" s="3" t="s">
        <v>12</v>
      </c>
      <c r="H1506" s="3" t="str">
        <f>HYPERLINK(_xlfn.ENCODEURL("http://specification.sifassociation.org/Implementation/NA/3.2/html/Assessment/Assessment_assessmentItemType.html#LinkFD"),"Link")</f>
        <v>Link</v>
      </c>
    </row>
    <row r="1507" spans="1:8" ht="60" x14ac:dyDescent="0.25">
      <c r="A1507" s="3" t="s">
        <v>10085</v>
      </c>
      <c r="B1507" s="3" t="s">
        <v>10109</v>
      </c>
      <c r="C1507" s="3" t="s">
        <v>10110</v>
      </c>
      <c r="D1507" s="3"/>
      <c r="E1507" s="3" t="s">
        <v>10088</v>
      </c>
      <c r="F1507" s="3"/>
      <c r="G1507" s="3" t="s">
        <v>12</v>
      </c>
      <c r="H1507" s="3" t="str">
        <f>HYPERLINK(_xlfn.ENCODEURL("http://specification.sifassociation.org/Implementation/NA/3.2/html/Assessment/Assessment_assessmentRegistrationType.html#Link11A"),"Link")</f>
        <v>Link</v>
      </c>
    </row>
    <row r="1508" spans="1:8" ht="60" x14ac:dyDescent="0.25">
      <c r="A1508" s="3" t="s">
        <v>10085</v>
      </c>
      <c r="B1508" s="3" t="s">
        <v>10111</v>
      </c>
      <c r="C1508" s="3" t="s">
        <v>10112</v>
      </c>
      <c r="D1508" s="3"/>
      <c r="E1508" s="3" t="s">
        <v>10096</v>
      </c>
      <c r="F1508" s="3"/>
      <c r="G1508" s="3" t="s">
        <v>12</v>
      </c>
      <c r="H1508" s="3" t="str">
        <f>HYPERLINK(_xlfn.ENCODEURL("http://specification.sifassociation.org/Implementation/NA/3.2/html/Assessment/Assessment_assessmentRegistrationType.html#Link11A"),"Link")</f>
        <v>Link</v>
      </c>
    </row>
    <row r="1509" spans="1:8" ht="30" x14ac:dyDescent="0.25">
      <c r="A1509" s="3" t="s">
        <v>10085</v>
      </c>
      <c r="B1509" s="3" t="s">
        <v>10113</v>
      </c>
      <c r="C1509" s="3" t="s">
        <v>10114</v>
      </c>
      <c r="D1509" s="3"/>
      <c r="E1509" s="3" t="s">
        <v>10115</v>
      </c>
      <c r="F1509" s="3"/>
      <c r="G1509" s="3" t="s">
        <v>12</v>
      </c>
      <c r="H1509" s="3" t="str">
        <f>HYPERLINK(_xlfn.ENCODEURL("http://specification.sifassociation.org/Implementation/NA/3.2/html/Assessment/Assessment_assessmentRegistrationType.html#Link1A5"),"Link")</f>
        <v>Link</v>
      </c>
    </row>
    <row r="1510" spans="1:8" ht="30" x14ac:dyDescent="0.25">
      <c r="A1510" s="3" t="s">
        <v>10085</v>
      </c>
      <c r="B1510" s="3" t="s">
        <v>10116</v>
      </c>
      <c r="C1510" s="3"/>
      <c r="D1510" s="3"/>
      <c r="E1510" s="3" t="s">
        <v>10117</v>
      </c>
      <c r="F1510" s="3"/>
      <c r="G1510" s="3" t="s">
        <v>12</v>
      </c>
      <c r="H1510" s="3" t="str">
        <f>HYPERLINK(_xlfn.ENCODEURL("http://specification.sifassociation.org/Implementation/NA/3.2/html/Assessment/Assessment_assessmentRegistrationType.html#Link1B1"),"Link")</f>
        <v>Link</v>
      </c>
    </row>
    <row r="1511" spans="1:8" ht="45" x14ac:dyDescent="0.25">
      <c r="A1511" s="3" t="s">
        <v>10085</v>
      </c>
      <c r="B1511" s="3" t="s">
        <v>10118</v>
      </c>
      <c r="C1511" s="3" t="s">
        <v>10119</v>
      </c>
      <c r="D1511" s="3"/>
      <c r="E1511" s="3" t="s">
        <v>10120</v>
      </c>
      <c r="F1511" s="3"/>
      <c r="G1511" s="3" t="s">
        <v>12</v>
      </c>
      <c r="H1511" s="3" t="str">
        <f>HYPERLINK(_xlfn.ENCODEURL("http://specification.sifassociation.org/Implementation/NA/3.2/html/Assessment/Assessment_assessmentRegistrationType.html#Link1A6"),"Link")</f>
        <v>Link</v>
      </c>
    </row>
    <row r="1512" spans="1:8" ht="45" x14ac:dyDescent="0.25">
      <c r="A1512" s="3" t="s">
        <v>10085</v>
      </c>
      <c r="B1512" s="3" t="s">
        <v>10121</v>
      </c>
      <c r="C1512" s="3" t="s">
        <v>10122</v>
      </c>
      <c r="D1512" s="3"/>
      <c r="E1512" s="3" t="s">
        <v>10096</v>
      </c>
      <c r="F1512" s="3"/>
      <c r="G1512" s="3" t="s">
        <v>12</v>
      </c>
      <c r="H1512" s="3" t="str">
        <f>HYPERLINK(_xlfn.ENCODEURL("http://specification.sifassociation.org/Implementation/NA/3.2/html/Assessment/Assessment_assessmentRegistrationType.html#Link199"),"Link")</f>
        <v>Link</v>
      </c>
    </row>
    <row r="1513" spans="1:8" ht="60" x14ac:dyDescent="0.25">
      <c r="A1513" s="3" t="s">
        <v>10085</v>
      </c>
      <c r="B1513" s="3" t="s">
        <v>10123</v>
      </c>
      <c r="C1513" s="3" t="s">
        <v>10124</v>
      </c>
      <c r="D1513" s="3"/>
      <c r="E1513" s="3" t="s">
        <v>10096</v>
      </c>
      <c r="F1513" s="3"/>
      <c r="G1513" s="3" t="s">
        <v>12</v>
      </c>
      <c r="H1513" s="3" t="str">
        <f>HYPERLINK(_xlfn.ENCODEURL("http://specification.sifassociation.org/Implementation/NA/3.2/html/Assessment/Assessment_assessmentResponseSetType.html#Link1E0"),"Link")</f>
        <v>Link</v>
      </c>
    </row>
    <row r="1514" spans="1:8" ht="45" x14ac:dyDescent="0.25">
      <c r="A1514" s="3" t="s">
        <v>10085</v>
      </c>
      <c r="B1514" s="3" t="s">
        <v>10125</v>
      </c>
      <c r="C1514" s="3" t="s">
        <v>10126</v>
      </c>
      <c r="D1514" s="3"/>
      <c r="E1514" s="3" t="s">
        <v>10103</v>
      </c>
      <c r="F1514" s="3"/>
      <c r="G1514" s="3" t="s">
        <v>12</v>
      </c>
      <c r="H1514" s="3" t="str">
        <f>HYPERLINK(_xlfn.ENCODEURL("http://specification.sifassociation.org/Implementation/NA/3.2/html/Assessment/Assessment_assessmentResponseSetType.html#Link1E1"),"Link")</f>
        <v>Link</v>
      </c>
    </row>
    <row r="1515" spans="1:8" ht="90" x14ac:dyDescent="0.25">
      <c r="A1515" s="3" t="s">
        <v>10085</v>
      </c>
      <c r="B1515" s="3" t="s">
        <v>10127</v>
      </c>
      <c r="C1515" s="3" t="s">
        <v>10128</v>
      </c>
      <c r="D1515" s="3"/>
      <c r="E1515" s="3" t="s">
        <v>10096</v>
      </c>
      <c r="F1515" s="3"/>
      <c r="G1515" s="3" t="s">
        <v>12</v>
      </c>
      <c r="H1515" s="3" t="str">
        <f>HYPERLINK(_xlfn.ENCODEURL("http://specification.sifassociation.org/Implementation/NA/3.2/html/Assessment/Assessment_assessmentResponseSetType.html#Link1E7"),"Link")</f>
        <v>Link</v>
      </c>
    </row>
    <row r="1516" spans="1:8" ht="90" x14ac:dyDescent="0.25">
      <c r="A1516" s="3" t="s">
        <v>10085</v>
      </c>
      <c r="B1516" s="3" t="s">
        <v>10129</v>
      </c>
      <c r="C1516" s="3" t="s">
        <v>10130</v>
      </c>
      <c r="D1516" s="3"/>
      <c r="E1516" s="3" t="s">
        <v>10096</v>
      </c>
      <c r="F1516" s="3"/>
      <c r="G1516" s="3" t="s">
        <v>12</v>
      </c>
      <c r="H1516" s="3" t="str">
        <f>HYPERLINK(_xlfn.ENCODEURL("http://specification.sifassociation.org/Implementation/NA/3.2/html/Assessment/Assessment_assessmentResponseSetType.html#Link1EA"),"Link")</f>
        <v>Link</v>
      </c>
    </row>
    <row r="1517" spans="1:8" ht="90" x14ac:dyDescent="0.25">
      <c r="A1517" s="3" t="s">
        <v>10085</v>
      </c>
      <c r="B1517" s="3" t="s">
        <v>10131</v>
      </c>
      <c r="C1517" s="3" t="s">
        <v>10132</v>
      </c>
      <c r="D1517" s="3"/>
      <c r="E1517" s="3" t="s">
        <v>10096</v>
      </c>
      <c r="F1517" s="3"/>
      <c r="G1517" s="3" t="s">
        <v>12</v>
      </c>
      <c r="H1517" s="3" t="str">
        <f>HYPERLINK(_xlfn.ENCODEURL("http://specification.sifassociation.org/Implementation/NA/3.2/html/Assessment/Assessment_assessmentResponseSetType.html#Link1DA"),"Link")</f>
        <v>Link</v>
      </c>
    </row>
    <row r="1518" spans="1:8" ht="105" x14ac:dyDescent="0.25">
      <c r="A1518" s="3" t="s">
        <v>10085</v>
      </c>
      <c r="B1518" s="3" t="s">
        <v>10133</v>
      </c>
      <c r="C1518" s="3" t="s">
        <v>10134</v>
      </c>
      <c r="D1518" s="3"/>
      <c r="E1518" s="3" t="s">
        <v>10115</v>
      </c>
      <c r="F1518" s="3"/>
      <c r="G1518" s="3" t="s">
        <v>12</v>
      </c>
      <c r="H1518" s="3" t="str">
        <f>HYPERLINK(_xlfn.ENCODEURL("http://specification.sifassociation.org/Implementation/NA/3.2/html/Assessment/Assessment_assessmentResponseSetType.html#Link1D4"),"Link")</f>
        <v>Link</v>
      </c>
    </row>
    <row r="1519" spans="1:8" ht="45" x14ac:dyDescent="0.25">
      <c r="A1519" s="3" t="s">
        <v>10085</v>
      </c>
      <c r="B1519" s="3" t="s">
        <v>10135</v>
      </c>
      <c r="C1519" s="3" t="s">
        <v>10136</v>
      </c>
      <c r="D1519" s="3"/>
      <c r="E1519" s="3" t="s">
        <v>10137</v>
      </c>
      <c r="F1519" s="3"/>
      <c r="G1519" s="3" t="s">
        <v>12</v>
      </c>
      <c r="H1519" s="3" t="str">
        <f>HYPERLINK(_xlfn.ENCODEURL("http://specification.sifassociation.org/Implementation/NA/3.2/html/Assessment/Assessment_assessmentResponseSetType.html#Link1D0"),"Link")</f>
        <v>Link</v>
      </c>
    </row>
    <row r="1520" spans="1:8" ht="45" x14ac:dyDescent="0.25">
      <c r="A1520" s="3" t="s">
        <v>10085</v>
      </c>
      <c r="B1520" s="3" t="s">
        <v>10138</v>
      </c>
      <c r="C1520" s="3" t="s">
        <v>10139</v>
      </c>
      <c r="D1520" s="3"/>
      <c r="E1520" s="3" t="s">
        <v>10096</v>
      </c>
      <c r="F1520" s="3"/>
      <c r="G1520" s="3" t="s">
        <v>12</v>
      </c>
      <c r="H1520" s="3" t="str">
        <f>HYPERLINK(_xlfn.ENCODEURL("http://specification.sifassociation.org/Implementation/NA/3.2/html/Assessment/Assessment_assessmentResponseSetType.html#Link1E5"),"Link")</f>
        <v>Link</v>
      </c>
    </row>
    <row r="1521" spans="1:8" ht="75" x14ac:dyDescent="0.25">
      <c r="A1521" s="3" t="s">
        <v>10085</v>
      </c>
      <c r="B1521" s="3" t="s">
        <v>10140</v>
      </c>
      <c r="C1521" s="3" t="s">
        <v>10141</v>
      </c>
      <c r="D1521" s="3"/>
      <c r="E1521" s="3" t="s">
        <v>10096</v>
      </c>
      <c r="F1521" s="3"/>
      <c r="G1521" s="3" t="s">
        <v>12</v>
      </c>
      <c r="H1521" s="3" t="str">
        <f>HYPERLINK(_xlfn.ENCODEURL("http://specification.sifassociation.org/Implementation/NA/3.2/html/Assessment/Assessment_assessmentResponseSetType.html#Link1E3"),"Link")</f>
        <v>Link</v>
      </c>
    </row>
    <row r="1522" spans="1:8" ht="45" x14ac:dyDescent="0.25">
      <c r="A1522" s="3" t="s">
        <v>10085</v>
      </c>
      <c r="B1522" s="3" t="s">
        <v>10142</v>
      </c>
      <c r="C1522" s="3" t="s">
        <v>10143</v>
      </c>
      <c r="D1522" s="3"/>
      <c r="E1522" s="3" t="s">
        <v>10144</v>
      </c>
      <c r="F1522" s="3"/>
      <c r="G1522" s="3" t="s">
        <v>12</v>
      </c>
      <c r="H1522" s="3" t="str">
        <f>HYPERLINK(_xlfn.ENCODEURL("http://specification.sifassociation.org/Implementation/NA/3.2/html/Assessment/Assessment_assessmentResponseSetType.html#Link1E4"),"Link")</f>
        <v>Link</v>
      </c>
    </row>
    <row r="1523" spans="1:8" ht="75" x14ac:dyDescent="0.25">
      <c r="A1523" s="3" t="s">
        <v>10085</v>
      </c>
      <c r="B1523" s="3" t="s">
        <v>10145</v>
      </c>
      <c r="C1523" s="3" t="s">
        <v>10146</v>
      </c>
      <c r="D1523" s="3"/>
      <c r="E1523" s="3" t="s">
        <v>10106</v>
      </c>
      <c r="F1523" s="3"/>
      <c r="G1523" s="3" t="s">
        <v>12</v>
      </c>
      <c r="H1523" s="3" t="str">
        <f>HYPERLINK(_xlfn.ENCODEURL("http://specification.sifassociation.org/Implementation/NA/3.2/html/Assessment/Assessment_assessmentRubricType.html#Link12D"),"Link")</f>
        <v>Link</v>
      </c>
    </row>
    <row r="1524" spans="1:8" ht="105" x14ac:dyDescent="0.25">
      <c r="A1524" s="3" t="s">
        <v>10085</v>
      </c>
      <c r="B1524" s="3" t="s">
        <v>10147</v>
      </c>
      <c r="C1524" s="3" t="s">
        <v>10148</v>
      </c>
      <c r="D1524" s="3"/>
      <c r="E1524" s="3" t="s">
        <v>10096</v>
      </c>
      <c r="F1524" s="3"/>
      <c r="G1524" s="3" t="s">
        <v>12</v>
      </c>
      <c r="H1524" s="3" t="str">
        <f>HYPERLINK(_xlfn.ENCODEURL("http://specification.sifassociation.org/Implementation/NA/3.2/html/Assessment/Assessment_assessmentRubricType.html#Link12C"),"Link")</f>
        <v>Link</v>
      </c>
    </row>
    <row r="1525" spans="1:8" ht="75" x14ac:dyDescent="0.25">
      <c r="A1525" s="3" t="s">
        <v>10085</v>
      </c>
      <c r="B1525" s="3" t="s">
        <v>10149</v>
      </c>
      <c r="C1525" s="3" t="s">
        <v>10150</v>
      </c>
      <c r="D1525" s="3"/>
      <c r="E1525" s="3" t="s">
        <v>10096</v>
      </c>
      <c r="F1525" s="3"/>
      <c r="G1525" s="3" t="s">
        <v>12</v>
      </c>
      <c r="H1525" s="3" t="str">
        <f>HYPERLINK(_xlfn.ENCODEURL("http://specification.sifassociation.org/Implementation/NA/3.2/html/Assessment/Assessment_assessmentRubricType.html#Link1EF"),"Link")</f>
        <v>Link</v>
      </c>
    </row>
    <row r="1526" spans="1:8" ht="60" x14ac:dyDescent="0.25">
      <c r="A1526" s="3" t="s">
        <v>10085</v>
      </c>
      <c r="B1526" s="3" t="s">
        <v>10151</v>
      </c>
      <c r="C1526" s="3" t="s">
        <v>10152</v>
      </c>
      <c r="D1526" s="3"/>
      <c r="E1526" s="3" t="s">
        <v>10103</v>
      </c>
      <c r="F1526" s="3"/>
      <c r="G1526" s="3" t="s">
        <v>12</v>
      </c>
      <c r="H1526" s="3" t="str">
        <f>HYPERLINK(_xlfn.ENCODEURL("http://specification.sifassociation.org/Implementation/NA/3.2/html/Assessment/Assessment_assessmentRubricType.html#Link1F0"),"Link")</f>
        <v>Link</v>
      </c>
    </row>
    <row r="1527" spans="1:8" ht="60" x14ac:dyDescent="0.25">
      <c r="A1527" s="3" t="s">
        <v>10085</v>
      </c>
      <c r="B1527" s="3" t="s">
        <v>10153</v>
      </c>
      <c r="C1527" s="3" t="s">
        <v>10154</v>
      </c>
      <c r="D1527" s="3"/>
      <c r="E1527" s="3" t="s">
        <v>10103</v>
      </c>
      <c r="F1527" s="3"/>
      <c r="G1527" s="3" t="s">
        <v>12</v>
      </c>
      <c r="H1527" s="3" t="str">
        <f>HYPERLINK(_xlfn.ENCODEURL("http://specification.sifassociation.org/Implementation/NA/3.2/html/Assessment/Assessment_assessmentRubricType.html#Link1F7"),"Link")</f>
        <v>Link</v>
      </c>
    </row>
    <row r="1528" spans="1:8" ht="45" x14ac:dyDescent="0.25">
      <c r="A1528" s="3" t="s">
        <v>10085</v>
      </c>
      <c r="B1528" s="3" t="s">
        <v>10155</v>
      </c>
      <c r="C1528" s="3" t="s">
        <v>10156</v>
      </c>
      <c r="D1528" s="3"/>
      <c r="E1528" s="3" t="s">
        <v>10096</v>
      </c>
      <c r="F1528" s="3"/>
      <c r="G1528" s="3" t="s">
        <v>12</v>
      </c>
      <c r="H1528" s="3" t="str">
        <f>HYPERLINK(_xlfn.ENCODEURL("http://specification.sifassociation.org/Implementation/NA/3.2/html/Assessment/Assessment_assessmentRubricType.html#Link1F6"),"Link")</f>
        <v>Link</v>
      </c>
    </row>
    <row r="1529" spans="1:8" ht="90" x14ac:dyDescent="0.25">
      <c r="A1529" s="3" t="s">
        <v>10085</v>
      </c>
      <c r="B1529" s="3" t="s">
        <v>10157</v>
      </c>
      <c r="C1529" s="3" t="s">
        <v>10130</v>
      </c>
      <c r="D1529" s="3"/>
      <c r="E1529" s="3" t="s">
        <v>10096</v>
      </c>
      <c r="F1529" s="3"/>
      <c r="G1529" s="3" t="s">
        <v>12</v>
      </c>
      <c r="H1529" s="3" t="str">
        <f>HYPERLINK(_xlfn.ENCODEURL("http://specification.sifassociation.org/Implementation/NA/3.2/html/Assessment/Assessment_assessmentScoreSetType.html#Link201"),"Link")</f>
        <v>Link</v>
      </c>
    </row>
    <row r="1530" spans="1:8" ht="105" x14ac:dyDescent="0.25">
      <c r="A1530" s="3" t="s">
        <v>10085</v>
      </c>
      <c r="B1530" s="3" t="s">
        <v>10158</v>
      </c>
      <c r="C1530" s="3" t="s">
        <v>10159</v>
      </c>
      <c r="D1530" s="3"/>
      <c r="E1530" s="3" t="s">
        <v>10115</v>
      </c>
      <c r="F1530" s="3"/>
      <c r="G1530" s="3" t="s">
        <v>12</v>
      </c>
      <c r="H1530" s="3" t="str">
        <f>HYPERLINK(_xlfn.ENCODEURL("http://specification.sifassociation.org/Implementation/NA/3.2/html/Assessment/Assessment_assessmentScoreSetType.html#Link1FD"),"Link")</f>
        <v>Link</v>
      </c>
    </row>
    <row r="1531" spans="1:8" ht="45" x14ac:dyDescent="0.25">
      <c r="A1531" s="3" t="s">
        <v>10085</v>
      </c>
      <c r="B1531" s="3" t="s">
        <v>10160</v>
      </c>
      <c r="C1531" s="3" t="s">
        <v>10161</v>
      </c>
      <c r="D1531" s="3"/>
      <c r="E1531" s="3" t="s">
        <v>10117</v>
      </c>
      <c r="F1531" s="3"/>
      <c r="G1531" s="3" t="s">
        <v>12</v>
      </c>
      <c r="H1531" s="3" t="str">
        <f>HYPERLINK(_xlfn.ENCODEURL("http://specification.sifassociation.org/Implementation/NA/3.2/html/Assessment/Assessment_assessmentScoreSetType.html#Link1FC"),"Link")</f>
        <v>Link</v>
      </c>
    </row>
    <row r="1532" spans="1:8" ht="75" x14ac:dyDescent="0.25">
      <c r="A1532" s="3" t="s">
        <v>10085</v>
      </c>
      <c r="B1532" s="3" t="s">
        <v>10162</v>
      </c>
      <c r="C1532" s="3" t="s">
        <v>10163</v>
      </c>
      <c r="D1532" s="3"/>
      <c r="E1532" s="3" t="s">
        <v>10164</v>
      </c>
      <c r="F1532" s="3"/>
      <c r="G1532" s="3" t="s">
        <v>12</v>
      </c>
      <c r="H1532" s="3" t="str">
        <f>HYPERLINK(_xlfn.ENCODEURL("http://specification.sifassociation.org/Implementation/NA/3.2/html/Assessment/Assessment_assessmentScoreTableType.html#Link139"),"Link")</f>
        <v>Link</v>
      </c>
    </row>
    <row r="1533" spans="1:8" ht="105" x14ac:dyDescent="0.25">
      <c r="A1533" s="3" t="s">
        <v>10085</v>
      </c>
      <c r="B1533" s="3" t="s">
        <v>10165</v>
      </c>
      <c r="C1533" s="3" t="s">
        <v>10166</v>
      </c>
      <c r="D1533" s="3"/>
      <c r="E1533" s="3" t="s">
        <v>10096</v>
      </c>
      <c r="F1533" s="3"/>
      <c r="G1533" s="3" t="s">
        <v>12</v>
      </c>
      <c r="H1533" s="3" t="str">
        <f>HYPERLINK(_xlfn.ENCODEURL("http://specification.sifassociation.org/Implementation/NA/3.2/html/Assessment/Assessment_assessmentScoreTableType.html#Link138"),"Link")</f>
        <v>Link</v>
      </c>
    </row>
    <row r="1534" spans="1:8" ht="45" x14ac:dyDescent="0.25">
      <c r="A1534" s="3" t="s">
        <v>10085</v>
      </c>
      <c r="B1534" s="3" t="s">
        <v>10167</v>
      </c>
      <c r="C1534" s="3" t="s">
        <v>10168</v>
      </c>
      <c r="D1534" s="3"/>
      <c r="E1534" s="3" t="s">
        <v>10103</v>
      </c>
      <c r="F1534" s="3"/>
      <c r="G1534" s="3" t="s">
        <v>12</v>
      </c>
      <c r="H1534" s="3" t="str">
        <f>HYPERLINK(_xlfn.ENCODEURL("http://specification.sifassociation.org/Implementation/NA/3.2/html/Assessment/Assessment_assessmentScoreTableType.html#Link20E"),"Link")</f>
        <v>Link</v>
      </c>
    </row>
    <row r="1535" spans="1:8" ht="45" x14ac:dyDescent="0.25">
      <c r="A1535" s="3" t="s">
        <v>10085</v>
      </c>
      <c r="B1535" s="3" t="s">
        <v>10169</v>
      </c>
      <c r="C1535" s="3" t="s">
        <v>10170</v>
      </c>
      <c r="D1535" s="3"/>
      <c r="E1535" s="3" t="s">
        <v>10096</v>
      </c>
      <c r="F1535" s="3"/>
      <c r="G1535" s="3" t="s">
        <v>12</v>
      </c>
      <c r="H1535" s="3" t="str">
        <f>HYPERLINK(_xlfn.ENCODEURL("http://specification.sifassociation.org/Implementation/NA/3.2/html/Assessment/Assessment_assessmentScoreTableType.html#Link20F"),"Link")</f>
        <v>Link</v>
      </c>
    </row>
    <row r="1536" spans="1:8" ht="60" x14ac:dyDescent="0.25">
      <c r="A1536" s="3" t="s">
        <v>10085</v>
      </c>
      <c r="B1536" s="3" t="s">
        <v>10171</v>
      </c>
      <c r="C1536" s="3" t="s">
        <v>10172</v>
      </c>
      <c r="D1536" s="3"/>
      <c r="E1536" s="3" t="s">
        <v>10117</v>
      </c>
      <c r="F1536" s="3"/>
      <c r="G1536" s="3" t="s">
        <v>12</v>
      </c>
      <c r="H1536" s="3" t="str">
        <f>HYPERLINK(_xlfn.ENCODEURL("http://specification.sifassociation.org/Implementation/NA/3.2/html/Assessment/Assessment_assessmentScoreTableType.html#Link209"),"Link")</f>
        <v>Link</v>
      </c>
    </row>
    <row r="1537" spans="1:8" ht="45" x14ac:dyDescent="0.25">
      <c r="A1537" s="3" t="s">
        <v>10085</v>
      </c>
      <c r="B1537" s="3" t="s">
        <v>10173</v>
      </c>
      <c r="C1537" s="3" t="s">
        <v>10174</v>
      </c>
      <c r="D1537" s="3"/>
      <c r="E1537" s="3" t="s">
        <v>10096</v>
      </c>
      <c r="F1537" s="3"/>
      <c r="G1537" s="3" t="s">
        <v>12</v>
      </c>
      <c r="H1537" s="3" t="str">
        <f>HYPERLINK(_xlfn.ENCODEURL("http://specification.sifassociation.org/Implementation/NA/3.2/html/Assessment/Assessment_assessmentSectionType.html#Link144"),"Link")</f>
        <v>Link</v>
      </c>
    </row>
    <row r="1538" spans="1:8" ht="60" x14ac:dyDescent="0.25">
      <c r="A1538" s="3" t="s">
        <v>10085</v>
      </c>
      <c r="B1538" s="3" t="s">
        <v>10175</v>
      </c>
      <c r="C1538" s="3" t="s">
        <v>10176</v>
      </c>
      <c r="D1538" s="3"/>
      <c r="E1538" s="3" t="s">
        <v>10096</v>
      </c>
      <c r="F1538" s="3"/>
      <c r="G1538" s="3" t="s">
        <v>12</v>
      </c>
      <c r="H1538" s="3" t="str">
        <f>HYPERLINK(_xlfn.ENCODEURL("http://specification.sifassociation.org/Implementation/NA/3.2/html/Assessment/Assessment_assessmentSectionType.html#Link143"),"Link")</f>
        <v>Link</v>
      </c>
    </row>
    <row r="1539" spans="1:8" ht="75" x14ac:dyDescent="0.25">
      <c r="A1539" s="3" t="s">
        <v>10085</v>
      </c>
      <c r="B1539" s="3" t="s">
        <v>10177</v>
      </c>
      <c r="C1539" s="3" t="s">
        <v>10178</v>
      </c>
      <c r="D1539" s="3"/>
      <c r="E1539" s="3" t="s">
        <v>10096</v>
      </c>
      <c r="F1539" s="3"/>
      <c r="G1539" s="3" t="s">
        <v>12</v>
      </c>
      <c r="H1539" s="3" t="str">
        <f>HYPERLINK(_xlfn.ENCODEURL("http://specification.sifassociation.org/Implementation/NA/3.2/html/Assessment/Assessment_assessmentSectionType.html#Link214"),"Link")</f>
        <v>Link</v>
      </c>
    </row>
    <row r="1540" spans="1:8" x14ac:dyDescent="0.25">
      <c r="A1540" s="3" t="s">
        <v>10085</v>
      </c>
      <c r="B1540" s="3" t="s">
        <v>10179</v>
      </c>
      <c r="C1540" s="3" t="s">
        <v>10180</v>
      </c>
      <c r="D1540" s="3"/>
      <c r="E1540" s="3" t="s">
        <v>10181</v>
      </c>
      <c r="F1540" s="3"/>
      <c r="G1540" s="3" t="s">
        <v>12</v>
      </c>
      <c r="H1540" s="3" t="str">
        <f>HYPERLINK(_xlfn.ENCODEURL("http://specification.sifassociation.org/Implementation/NA/3.2/html/Assessment/Assessment_assessmentSessionType.html#Link14A"),"Link")</f>
        <v>Link</v>
      </c>
    </row>
    <row r="1541" spans="1:8" ht="60" x14ac:dyDescent="0.25">
      <c r="A1541" s="3" t="s">
        <v>10085</v>
      </c>
      <c r="B1541" s="3" t="s">
        <v>10182</v>
      </c>
      <c r="C1541" s="3" t="s">
        <v>10183</v>
      </c>
      <c r="D1541" s="3"/>
      <c r="E1541" s="3" t="s">
        <v>10184</v>
      </c>
      <c r="F1541" s="3"/>
      <c r="G1541" s="3" t="s">
        <v>12</v>
      </c>
      <c r="H1541" s="3" t="str">
        <f>HYPERLINK(_xlfn.ENCODEURL("http://specification.sifassociation.org/Implementation/NA/3.2/html/Assessment/Assessment_assessmentSubTestType.html#Link165"),"Link")</f>
        <v>Link</v>
      </c>
    </row>
    <row r="1542" spans="1:8" ht="30" x14ac:dyDescent="0.25">
      <c r="A1542" s="3" t="s">
        <v>10085</v>
      </c>
      <c r="B1542" s="3" t="s">
        <v>10185</v>
      </c>
      <c r="C1542" s="3" t="s">
        <v>10087</v>
      </c>
      <c r="D1542" s="3"/>
      <c r="E1542" s="3" t="s">
        <v>10088</v>
      </c>
      <c r="F1542" s="3"/>
      <c r="G1542" s="3" t="s">
        <v>12</v>
      </c>
      <c r="H1542" s="3" t="str">
        <f>HYPERLINK(_xlfn.ENCODEURL("http://specification.sifassociation.org/Implementation/NA/3.2/html/Assessment/Assessment_assessmentSubTestType.html#Link222"),"Link")</f>
        <v>Link</v>
      </c>
    </row>
    <row r="1543" spans="1:8" ht="45" x14ac:dyDescent="0.25">
      <c r="A1543" s="3" t="s">
        <v>10085</v>
      </c>
      <c r="B1543" s="3" t="s">
        <v>10186</v>
      </c>
      <c r="C1543" s="3" t="s">
        <v>10187</v>
      </c>
      <c r="D1543" s="3"/>
      <c r="E1543" s="3" t="s">
        <v>10096</v>
      </c>
      <c r="F1543" s="3"/>
      <c r="G1543" s="3" t="s">
        <v>12</v>
      </c>
      <c r="H1543" s="3" t="str">
        <f>HYPERLINK(_xlfn.ENCODEURL("http://specification.sifassociation.org/Implementation/NA/3.2/html/Entity/EntityObjects_courseType.html#Link13C"),"Link")</f>
        <v>Link</v>
      </c>
    </row>
    <row r="1544" spans="1:8" ht="30" x14ac:dyDescent="0.25">
      <c r="A1544" s="3" t="s">
        <v>10085</v>
      </c>
      <c r="B1544" s="3" t="s">
        <v>10188</v>
      </c>
      <c r="C1544" s="3" t="s">
        <v>10189</v>
      </c>
      <c r="D1544" s="3"/>
      <c r="E1544" s="3" t="s">
        <v>10117</v>
      </c>
      <c r="F1544" s="3"/>
      <c r="G1544" s="3" t="s">
        <v>12</v>
      </c>
      <c r="H1544" s="3" t="str">
        <f>HYPERLINK(_xlfn.ENCODEURL("http://specification.sifassociation.org/Implementation/NA/3.2/html/Entity/EntityObjects_disciplineIncidentType.html#Link28F"),"Link")</f>
        <v>Link</v>
      </c>
    </row>
    <row r="1545" spans="1:8" ht="45" x14ac:dyDescent="0.25">
      <c r="A1545" s="3" t="s">
        <v>10085</v>
      </c>
      <c r="B1545" s="3" t="s">
        <v>10190</v>
      </c>
      <c r="C1545" s="3" t="s">
        <v>10191</v>
      </c>
      <c r="D1545" s="3"/>
      <c r="E1545" s="3" t="s">
        <v>10096</v>
      </c>
      <c r="F1545" s="3"/>
      <c r="G1545" s="3" t="s">
        <v>12</v>
      </c>
      <c r="H1545" s="3" t="str">
        <f>HYPERLINK(_xlfn.ENCODEURL("http://specification.sifassociation.org/Implementation/NA/3.2/html/Entity/EntityObjects_disciplineIncidentType.html#Link147"),"Link")</f>
        <v>Link</v>
      </c>
    </row>
    <row r="1546" spans="1:8" ht="45" x14ac:dyDescent="0.25">
      <c r="A1546" s="3" t="s">
        <v>10085</v>
      </c>
      <c r="B1546" s="3" t="s">
        <v>10192</v>
      </c>
      <c r="C1546" s="3" t="s">
        <v>10193</v>
      </c>
      <c r="D1546" s="3"/>
      <c r="E1546" s="3" t="s">
        <v>10117</v>
      </c>
      <c r="F1546" s="3"/>
      <c r="G1546" s="3" t="s">
        <v>12</v>
      </c>
      <c r="H1546" s="3" t="str">
        <f>HYPERLINK(_xlfn.ENCODEURL("http://specification.sifassociation.org/Implementation/NA/3.2/html/Entity/EntityObjects_disciplineIncidentType.html#Link281"),"Link")</f>
        <v>Link</v>
      </c>
    </row>
    <row r="1547" spans="1:8" ht="30" x14ac:dyDescent="0.25">
      <c r="A1547" s="3" t="s">
        <v>10085</v>
      </c>
      <c r="B1547" s="3" t="s">
        <v>10194</v>
      </c>
      <c r="C1547" s="3" t="s">
        <v>10195</v>
      </c>
      <c r="D1547" s="3"/>
      <c r="E1547" s="3" t="s">
        <v>10117</v>
      </c>
      <c r="F1547" s="3"/>
      <c r="G1547" s="3" t="s">
        <v>12</v>
      </c>
      <c r="H1547" s="3" t="str">
        <f>HYPERLINK(_xlfn.ENCODEURL("http://specification.sifassociation.org/Implementation/NA/3.2/html/Entity/EntityObjects_disciplineIncidentType.html#Link280"),"Link")</f>
        <v>Link</v>
      </c>
    </row>
    <row r="1548" spans="1:8" ht="45" x14ac:dyDescent="0.25">
      <c r="A1548" s="3" t="s">
        <v>10085</v>
      </c>
      <c r="B1548" s="3" t="s">
        <v>10196</v>
      </c>
      <c r="C1548" s="3" t="s">
        <v>10197</v>
      </c>
      <c r="D1548" s="3"/>
      <c r="E1548" s="3" t="s">
        <v>10106</v>
      </c>
      <c r="F1548" s="3"/>
      <c r="G1548" s="3" t="s">
        <v>12</v>
      </c>
      <c r="H1548" s="3" t="str">
        <f>HYPERLINK(_xlfn.ENCODEURL("http://specification.sifassociation.org/Implementation/NA/3.2/html/Entity/EntityObjects_disciplineIncidentType.html#Link274"),"Link")</f>
        <v>Link</v>
      </c>
    </row>
    <row r="1549" spans="1:8" ht="45" x14ac:dyDescent="0.25">
      <c r="A1549" s="3" t="s">
        <v>10085</v>
      </c>
      <c r="B1549" s="3" t="s">
        <v>10198</v>
      </c>
      <c r="C1549" s="3" t="s">
        <v>10199</v>
      </c>
      <c r="D1549" s="3"/>
      <c r="E1549" s="3" t="s">
        <v>10117</v>
      </c>
      <c r="F1549" s="3"/>
      <c r="G1549" s="3" t="s">
        <v>12</v>
      </c>
      <c r="H1549" s="3" t="str">
        <f>HYPERLINK(_xlfn.ENCODEURL("http://specification.sifassociation.org/Implementation/NA/3.2/html/Entity/EntityObjects_disciplineIncidentType.html#Link273"),"Link")</f>
        <v>Link</v>
      </c>
    </row>
    <row r="1550" spans="1:8" ht="60" x14ac:dyDescent="0.25">
      <c r="A1550" s="3" t="s">
        <v>10085</v>
      </c>
      <c r="B1550" s="3" t="s">
        <v>10200</v>
      </c>
      <c r="C1550" s="3" t="s">
        <v>10201</v>
      </c>
      <c r="D1550" s="3"/>
      <c r="E1550" s="3" t="s">
        <v>10103</v>
      </c>
      <c r="F1550" s="3"/>
      <c r="G1550" s="3" t="s">
        <v>12</v>
      </c>
      <c r="H1550" s="3" t="str">
        <f>HYPERLINK(_xlfn.ENCODEURL("http://specification.sifassociation.org/Implementation/NA/3.2/html/Entity/EntityObjects_disciplineIncidentType.html#Link276"),"Link")</f>
        <v>Link</v>
      </c>
    </row>
    <row r="1551" spans="1:8" ht="30" x14ac:dyDescent="0.25">
      <c r="A1551" s="3" t="s">
        <v>10085</v>
      </c>
      <c r="B1551" s="3" t="s">
        <v>10202</v>
      </c>
      <c r="C1551" s="3"/>
      <c r="D1551" s="3"/>
      <c r="E1551" s="3" t="s">
        <v>10181</v>
      </c>
      <c r="F1551" s="3"/>
      <c r="G1551" s="3" t="s">
        <v>12</v>
      </c>
      <c r="H1551" s="3" t="str">
        <f>HYPERLINK(_xlfn.ENCODEURL("http://specification.sifassociation.org/Implementation/NA/3.2/html/Entity/EntityObjects_disciplineIncidentType.html#Link25C"),"Link")</f>
        <v>Link</v>
      </c>
    </row>
    <row r="1552" spans="1:8" ht="30" x14ac:dyDescent="0.25">
      <c r="A1552" s="3" t="s">
        <v>10085</v>
      </c>
      <c r="B1552" s="3" t="s">
        <v>10203</v>
      </c>
      <c r="C1552" s="3" t="s">
        <v>10204</v>
      </c>
      <c r="D1552" s="3"/>
      <c r="E1552" s="3" t="s">
        <v>10096</v>
      </c>
      <c r="F1552" s="3"/>
      <c r="G1552" s="3" t="s">
        <v>12</v>
      </c>
      <c r="H1552" s="3" t="str">
        <f>HYPERLINK(_xlfn.ENCODEURL("http://specification.sifassociation.org/Implementation/NA/3.2/html/Entity/EntityObjects_gAddressType.html#Link11B"),"Link")</f>
        <v>Link</v>
      </c>
    </row>
    <row r="1553" spans="1:8" x14ac:dyDescent="0.25">
      <c r="A1553" s="3" t="s">
        <v>10085</v>
      </c>
      <c r="B1553" s="3" t="s">
        <v>10205</v>
      </c>
      <c r="C1553" s="3"/>
      <c r="D1553" s="3"/>
      <c r="E1553" s="3" t="s">
        <v>10117</v>
      </c>
      <c r="F1553" s="3"/>
      <c r="G1553" s="3" t="s">
        <v>12</v>
      </c>
      <c r="H1553" s="3" t="str">
        <f>HYPERLINK(_xlfn.ENCODEURL("http://specification.sifassociation.org/Implementation/NA/3.2/html/Entity/EntityObjects_gBaseNameType.html#Link4A5"),"Link")</f>
        <v>Link</v>
      </c>
    </row>
    <row r="1554" spans="1:8" x14ac:dyDescent="0.25">
      <c r="A1554" s="3" t="s">
        <v>10085</v>
      </c>
      <c r="B1554" s="3" t="s">
        <v>10206</v>
      </c>
      <c r="C1554" s="3"/>
      <c r="D1554" s="3"/>
      <c r="E1554" s="3" t="s">
        <v>10181</v>
      </c>
      <c r="F1554" s="3"/>
      <c r="G1554" s="3" t="s">
        <v>12</v>
      </c>
      <c r="H1554" s="3" t="str">
        <f>HYPERLINK(_xlfn.ENCODEURL("http://specification.sifassociation.org/Implementation/NA/3.2/html/Entity/EntityObjects_gBaseNameType.html#Link4A4"),"Link")</f>
        <v>Link</v>
      </c>
    </row>
    <row r="1555" spans="1:8" ht="30" x14ac:dyDescent="0.25">
      <c r="A1555" s="3" t="s">
        <v>10085</v>
      </c>
      <c r="B1555" s="3" t="s">
        <v>10207</v>
      </c>
      <c r="C1555" s="3"/>
      <c r="D1555" s="3"/>
      <c r="E1555" s="3" t="s">
        <v>10181</v>
      </c>
      <c r="F1555" s="3"/>
      <c r="G1555" s="3" t="s">
        <v>12</v>
      </c>
      <c r="H1555" s="3" t="str">
        <f>HYPERLINK(_xlfn.ENCODEURL("http://specification.sifassociation.org/Implementation/NA/3.2/html/Entity/EntityObjects_gBaseNameType.html#Link4A1"),"Link")</f>
        <v>Link</v>
      </c>
    </row>
    <row r="1556" spans="1:8" ht="30" x14ac:dyDescent="0.25">
      <c r="A1556" s="3" t="s">
        <v>10085</v>
      </c>
      <c r="B1556" s="3" t="s">
        <v>10208</v>
      </c>
      <c r="C1556" s="3"/>
      <c r="D1556" s="3"/>
      <c r="E1556" s="3" t="s">
        <v>10117</v>
      </c>
      <c r="F1556" s="3"/>
      <c r="G1556" s="3" t="s">
        <v>12</v>
      </c>
      <c r="H1556" s="3" t="str">
        <f>HYPERLINK(_xlfn.ENCODEURL("http://specification.sifassociation.org/Implementation/NA/3.2/html/Entity/EntityObjects_gBaseNameType.html#Link4A6"),"Link")</f>
        <v>Link</v>
      </c>
    </row>
    <row r="1557" spans="1:8" x14ac:dyDescent="0.25">
      <c r="A1557" s="3" t="s">
        <v>10085</v>
      </c>
      <c r="B1557" s="3" t="s">
        <v>10209</v>
      </c>
      <c r="C1557" s="3"/>
      <c r="D1557" s="3"/>
      <c r="E1557" s="3" t="s">
        <v>10181</v>
      </c>
      <c r="F1557" s="3"/>
      <c r="G1557" s="3" t="s">
        <v>12</v>
      </c>
      <c r="H1557" s="3" t="str">
        <f>HYPERLINK(_xlfn.ENCODEURL("http://specification.sifassociation.org/Implementation/NA/3.2/html/Entity/EntityObjects_gBaseNameType.html#Link4A2"),"Link")</f>
        <v>Link</v>
      </c>
    </row>
    <row r="1558" spans="1:8" ht="30" x14ac:dyDescent="0.25">
      <c r="A1558" s="3" t="s">
        <v>10085</v>
      </c>
      <c r="B1558" s="3" t="s">
        <v>10210</v>
      </c>
      <c r="C1558" s="3" t="s">
        <v>10211</v>
      </c>
      <c r="D1558" s="3"/>
      <c r="E1558" s="3" t="s">
        <v>10181</v>
      </c>
      <c r="F1558" s="3"/>
      <c r="G1558" s="3" t="s">
        <v>12</v>
      </c>
      <c r="H1558" s="3" t="str">
        <f>HYPERLINK(_xlfn.ENCODEURL("http://specification.sifassociation.org/Implementation/NA/3.2/html/Entity/EntityObjects_gBaseNameType.html#Link4A3"),"Link")</f>
        <v>Link</v>
      </c>
    </row>
    <row r="1559" spans="1:8" x14ac:dyDescent="0.25">
      <c r="A1559" s="3" t="s">
        <v>10085</v>
      </c>
      <c r="B1559" s="3" t="s">
        <v>10212</v>
      </c>
      <c r="C1559" s="3"/>
      <c r="D1559" s="3"/>
      <c r="E1559" s="3" t="s">
        <v>10117</v>
      </c>
      <c r="F1559" s="3"/>
      <c r="G1559" s="3" t="s">
        <v>12</v>
      </c>
      <c r="H1559" s="3" t="str">
        <f>HYPERLINK(_xlfn.ENCODEURL("http://specification.sifassociation.org/Implementation/NA/3.2/html/Entity/EntityObjects_gBellPeriodType.html#Link2F2"),"Link")</f>
        <v>Link</v>
      </c>
    </row>
    <row r="1560" spans="1:8" ht="30" x14ac:dyDescent="0.25">
      <c r="A1560" s="3" t="s">
        <v>10085</v>
      </c>
      <c r="B1560" s="3" t="s">
        <v>10213</v>
      </c>
      <c r="C1560" s="3"/>
      <c r="D1560" s="3"/>
      <c r="E1560" s="3" t="s">
        <v>10096</v>
      </c>
      <c r="F1560" s="3"/>
      <c r="G1560" s="3" t="s">
        <v>12</v>
      </c>
      <c r="H1560" s="3" t="str">
        <f>HYPERLINK(_xlfn.ENCODEURL("http://specification.sifassociation.org/Implementation/NA/3.2/html/Entity/EntityObjects_gBellPeriodType.html#Link2EF"),"Link")</f>
        <v>Link</v>
      </c>
    </row>
    <row r="1561" spans="1:8" ht="45" x14ac:dyDescent="0.25">
      <c r="A1561" s="3" t="s">
        <v>10085</v>
      </c>
      <c r="B1561" s="3" t="s">
        <v>10214</v>
      </c>
      <c r="C1561" s="3" t="s">
        <v>10215</v>
      </c>
      <c r="D1561" s="3"/>
      <c r="E1561" s="3" t="s">
        <v>10096</v>
      </c>
      <c r="F1561" s="3"/>
      <c r="G1561" s="3" t="s">
        <v>12</v>
      </c>
      <c r="H1561" s="3" t="str">
        <f>HYPERLINK(_xlfn.ENCODEURL("http://specification.sifassociation.org/Implementation/NA/3.2/html/Entity/EntityObjects_gContactPersonAssociationType.html#Link134"),"Link")</f>
        <v>Link</v>
      </c>
    </row>
    <row r="1562" spans="1:8" x14ac:dyDescent="0.25">
      <c r="A1562" s="3" t="s">
        <v>10085</v>
      </c>
      <c r="B1562" s="3" t="s">
        <v>10216</v>
      </c>
      <c r="C1562" s="3"/>
      <c r="D1562" s="3"/>
      <c r="E1562" s="3" t="s">
        <v>10217</v>
      </c>
      <c r="F1562" s="3"/>
      <c r="G1562" s="3" t="s">
        <v>12</v>
      </c>
      <c r="H1562" s="3" t="str">
        <f>HYPERLINK(_xlfn.ENCODEURL("http://specification.sifassociation.org/Implementation/NA/3.2/html/Entity/EntityObjects_gContactPersonType.html#Link12A"),"Link")</f>
        <v>Link</v>
      </c>
    </row>
    <row r="1563" spans="1:8" x14ac:dyDescent="0.25">
      <c r="A1563" s="3" t="s">
        <v>10085</v>
      </c>
      <c r="B1563" s="3" t="s">
        <v>10218</v>
      </c>
      <c r="C1563" s="3"/>
      <c r="D1563" s="3"/>
      <c r="E1563" s="3" t="s">
        <v>10096</v>
      </c>
      <c r="F1563" s="3"/>
      <c r="G1563" s="3" t="s">
        <v>12</v>
      </c>
      <c r="H1563" s="3" t="str">
        <f>HYPERLINK(_xlfn.ENCODEURL("http://specification.sifassociation.org/Implementation/NA/3.2/html/Entity/EntityObjects_gContactPersonType.html#Link12C"),"Link")</f>
        <v>Link</v>
      </c>
    </row>
    <row r="1564" spans="1:8" ht="45" x14ac:dyDescent="0.25">
      <c r="A1564" s="3" t="s">
        <v>10085</v>
      </c>
      <c r="B1564" s="3" t="s">
        <v>10219</v>
      </c>
      <c r="C1564" s="3" t="s">
        <v>10220</v>
      </c>
      <c r="D1564" s="3"/>
      <c r="E1564" s="3" t="s">
        <v>10117</v>
      </c>
      <c r="F1564" s="3"/>
      <c r="G1564" s="3" t="s">
        <v>12</v>
      </c>
      <c r="H1564" s="3" t="str">
        <f>HYPERLINK(_xlfn.ENCODEURL("http://specification.sifassociation.org/Implementation/NA/3.2/html/Entity/EntityObjects_gContactPersonType.html#Link129"),"Link")</f>
        <v>Link</v>
      </c>
    </row>
    <row r="1565" spans="1:8" x14ac:dyDescent="0.25">
      <c r="A1565" s="3" t="s">
        <v>10085</v>
      </c>
      <c r="B1565" s="3" t="s">
        <v>10221</v>
      </c>
      <c r="C1565" s="3"/>
      <c r="D1565" s="3"/>
      <c r="E1565" s="3" t="s">
        <v>10217</v>
      </c>
      <c r="F1565" s="3"/>
      <c r="G1565" s="3" t="s">
        <v>12</v>
      </c>
      <c r="H1565" s="3" t="str">
        <f>HYPERLINK(_xlfn.ENCODEURL("http://specification.sifassociation.org/Implementation/NA/3.2/html/Entity/EntityObjects_gContactPersonType.html#Link12D"),"Link")</f>
        <v>Link</v>
      </c>
    </row>
    <row r="1566" spans="1:8" x14ac:dyDescent="0.25">
      <c r="A1566" s="3" t="s">
        <v>10085</v>
      </c>
      <c r="B1566" s="3" t="s">
        <v>10222</v>
      </c>
      <c r="C1566" s="3"/>
      <c r="D1566" s="3"/>
      <c r="E1566" s="3" t="s">
        <v>10223</v>
      </c>
      <c r="F1566" s="3"/>
      <c r="G1566" s="3" t="s">
        <v>12</v>
      </c>
      <c r="H1566" s="3" t="str">
        <f>HYPERLINK(_xlfn.ENCODEURL("http://specification.sifassociation.org/Implementation/NA/3.2/html/Entity/EntityObjects_gCourseType.html#Link136"),"Link")</f>
        <v>Link</v>
      </c>
    </row>
    <row r="1567" spans="1:8" ht="30" x14ac:dyDescent="0.25">
      <c r="A1567" s="3" t="s">
        <v>10085</v>
      </c>
      <c r="B1567" s="3" t="s">
        <v>10224</v>
      </c>
      <c r="C1567" s="3"/>
      <c r="D1567" s="3"/>
      <c r="E1567" s="3" t="s">
        <v>10106</v>
      </c>
      <c r="F1567" s="3"/>
      <c r="G1567" s="3" t="s">
        <v>12</v>
      </c>
      <c r="H1567" s="3" t="str">
        <f>HYPERLINK(_xlfn.ENCODEURL("http://specification.sifassociation.org/Implementation/NA/3.2/html/Entity/EntityObjects_gDemographicsType.html#Link255"),"Link")</f>
        <v>Link</v>
      </c>
    </row>
    <row r="1568" spans="1:8" ht="30" x14ac:dyDescent="0.25">
      <c r="A1568" s="3" t="s">
        <v>10085</v>
      </c>
      <c r="B1568" s="3" t="s">
        <v>10225</v>
      </c>
      <c r="C1568" s="3"/>
      <c r="D1568" s="3"/>
      <c r="E1568" s="3" t="s">
        <v>10226</v>
      </c>
      <c r="F1568" s="3"/>
      <c r="G1568" s="3" t="s">
        <v>12</v>
      </c>
      <c r="H1568" s="3" t="str">
        <f>HYPERLINK(_xlfn.ENCODEURL("http://specification.sifassociation.org/Implementation/NA/3.2/html/Entity/EntityObjects_gDemographicsType.html#Link4AB"),"Link")</f>
        <v>Link</v>
      </c>
    </row>
    <row r="1569" spans="1:8" ht="30" x14ac:dyDescent="0.25">
      <c r="A1569" s="3" t="s">
        <v>10085</v>
      </c>
      <c r="B1569" s="3" t="s">
        <v>10227</v>
      </c>
      <c r="C1569" s="3"/>
      <c r="D1569" s="3"/>
      <c r="E1569" s="3" t="s">
        <v>10226</v>
      </c>
      <c r="F1569" s="3"/>
      <c r="G1569" s="3" t="s">
        <v>12</v>
      </c>
      <c r="H1569" s="3" t="str">
        <f>HYPERLINK(_xlfn.ENCODEURL("http://specification.sifassociation.org/Implementation/NA/3.2/html/Entity/EntityObjects_gDemographicsType.html#Link254"),"Link")</f>
        <v>Link</v>
      </c>
    </row>
    <row r="1570" spans="1:8" ht="30" x14ac:dyDescent="0.25">
      <c r="A1570" s="3" t="s">
        <v>10085</v>
      </c>
      <c r="B1570" s="3" t="s">
        <v>10228</v>
      </c>
      <c r="C1570" s="3" t="s">
        <v>10229</v>
      </c>
      <c r="D1570" s="3"/>
      <c r="E1570" s="3" t="s">
        <v>10230</v>
      </c>
      <c r="F1570" s="3"/>
      <c r="G1570" s="3" t="s">
        <v>12</v>
      </c>
      <c r="H1570" s="3" t="str">
        <f>HYPERLINK(_xlfn.ENCODEURL("http://specification.sifassociation.org/Implementation/NA/3.2/html/Entity/EntityObjects_gDemographicsType.html#Link259"),"Link")</f>
        <v>Link</v>
      </c>
    </row>
    <row r="1571" spans="1:8" ht="60" x14ac:dyDescent="0.25">
      <c r="A1571" s="3" t="s">
        <v>10085</v>
      </c>
      <c r="B1571" s="3" t="s">
        <v>10231</v>
      </c>
      <c r="C1571" s="3" t="s">
        <v>10232</v>
      </c>
      <c r="D1571" s="3"/>
      <c r="E1571" s="3" t="s">
        <v>10233</v>
      </c>
      <c r="F1571" s="3"/>
      <c r="G1571" s="3" t="s">
        <v>12</v>
      </c>
      <c r="H1571" s="3" t="str">
        <f>HYPERLINK(_xlfn.ENCODEURL("http://specification.sifassociation.org/Implementation/NA/3.2/html/Entity/EntityObjects_gDemographicsType.html#Link257"),"Link")</f>
        <v>Link</v>
      </c>
    </row>
    <row r="1572" spans="1:8" x14ac:dyDescent="0.25">
      <c r="A1572" s="3" t="s">
        <v>10085</v>
      </c>
      <c r="B1572" s="3" t="s">
        <v>10234</v>
      </c>
      <c r="C1572" s="3" t="s">
        <v>10235</v>
      </c>
      <c r="D1572" s="3"/>
      <c r="E1572" s="3" t="s">
        <v>10236</v>
      </c>
      <c r="F1572" s="3"/>
      <c r="G1572" s="3" t="s">
        <v>12</v>
      </c>
      <c r="H1572" s="3" t="str">
        <f>HYPERLINK(_xlfn.ENCODEURL("http://specification.sifassociation.org/Implementation/NA/3.2/html/Entity/EntityObjects_gDemographicsType.html#Link25A"),"Link")</f>
        <v>Link</v>
      </c>
    </row>
    <row r="1573" spans="1:8" x14ac:dyDescent="0.25">
      <c r="A1573" s="3" t="s">
        <v>10085</v>
      </c>
      <c r="B1573" s="3" t="s">
        <v>10237</v>
      </c>
      <c r="C1573" s="3"/>
      <c r="D1573" s="3"/>
      <c r="E1573" s="3" t="s">
        <v>10217</v>
      </c>
      <c r="F1573" s="3"/>
      <c r="G1573" s="3" t="s">
        <v>12</v>
      </c>
      <c r="H1573" s="3" t="str">
        <f>HYPERLINK(_xlfn.ENCODEURL("http://specification.sifassociation.org/Implementation/NA/3.2/html/Entity/EntityObjects_gDemographicsType.html#Link250"),"Link")</f>
        <v>Link</v>
      </c>
    </row>
    <row r="1574" spans="1:8" ht="45" x14ac:dyDescent="0.25">
      <c r="A1574" s="3" t="s">
        <v>10085</v>
      </c>
      <c r="B1574" s="3" t="s">
        <v>10238</v>
      </c>
      <c r="C1574" s="3" t="s">
        <v>10239</v>
      </c>
      <c r="D1574" s="3"/>
      <c r="E1574" s="3" t="s">
        <v>10092</v>
      </c>
      <c r="F1574" s="3"/>
      <c r="G1574" s="3" t="s">
        <v>12</v>
      </c>
      <c r="H1574" s="3" t="str">
        <f>HYPERLINK(_xlfn.ENCODEURL("http://specification.sifassociation.org/Implementation/NA/3.2/html/Entity/EntityObjects_gEducationGroupingType.html#Link15D"),"Link")</f>
        <v>Link</v>
      </c>
    </row>
    <row r="1575" spans="1:8" ht="60" x14ac:dyDescent="0.25">
      <c r="A1575" s="3" t="s">
        <v>10085</v>
      </c>
      <c r="B1575" s="3" t="s">
        <v>10240</v>
      </c>
      <c r="C1575" s="3" t="s">
        <v>10241</v>
      </c>
      <c r="D1575" s="3"/>
      <c r="E1575" s="3" t="s">
        <v>10242</v>
      </c>
      <c r="F1575" s="3"/>
      <c r="G1575" s="3" t="s">
        <v>12</v>
      </c>
      <c r="H1575" s="3" t="str">
        <f>HYPERLINK(_xlfn.ENCODEURL("http://specification.sifassociation.org/Implementation/NA/3.2/html/Entity/EntityObjects_gEventCollectionType.html#Link1D2"),"Link")</f>
        <v>Link</v>
      </c>
    </row>
    <row r="1576" spans="1:8" ht="75" x14ac:dyDescent="0.25">
      <c r="A1576" s="3" t="s">
        <v>10085</v>
      </c>
      <c r="B1576" s="3" t="s">
        <v>10243</v>
      </c>
      <c r="C1576" s="3" t="s">
        <v>10244</v>
      </c>
      <c r="D1576" s="3"/>
      <c r="E1576" s="3" t="s">
        <v>10106</v>
      </c>
      <c r="F1576" s="3"/>
      <c r="G1576" s="3" t="s">
        <v>12</v>
      </c>
      <c r="H1576" s="3" t="str">
        <f>HYPERLINK(_xlfn.ENCODEURL("http://specification.sifassociation.org/Implementation/NA/3.2/html/Entity/EntityObjects_gEventCollectionType.html#Link1D1"),"Link")</f>
        <v>Link</v>
      </c>
    </row>
    <row r="1577" spans="1:8" ht="120" x14ac:dyDescent="0.25">
      <c r="A1577" s="3" t="s">
        <v>10085</v>
      </c>
      <c r="B1577" s="3" t="s">
        <v>10245</v>
      </c>
      <c r="C1577" s="3" t="s">
        <v>10246</v>
      </c>
      <c r="D1577" s="3"/>
      <c r="E1577" s="3" t="s">
        <v>10106</v>
      </c>
      <c r="F1577" s="3"/>
      <c r="G1577" s="3" t="s">
        <v>12</v>
      </c>
      <c r="H1577" s="3" t="str">
        <f>HYPERLINK(_xlfn.ENCODEURL("http://specification.sifassociation.org/Implementation/NA/3.2/html/Entity/EntityObjects_gEventCollectionType.html#Link1D0"),"Link")</f>
        <v>Link</v>
      </c>
    </row>
    <row r="1578" spans="1:8" ht="30" x14ac:dyDescent="0.25">
      <c r="A1578" s="3" t="s">
        <v>10085</v>
      </c>
      <c r="B1578" s="3" t="s">
        <v>10247</v>
      </c>
      <c r="C1578" s="3" t="s">
        <v>10248</v>
      </c>
      <c r="D1578" s="3"/>
      <c r="E1578" s="3" t="s">
        <v>10242</v>
      </c>
      <c r="F1578" s="3"/>
      <c r="G1578" s="3" t="s">
        <v>12</v>
      </c>
      <c r="H1578" s="3" t="str">
        <f>HYPERLINK(_xlfn.ENCODEURL("http://specification.sifassociation.org/Implementation/NA/3.2/html/Entity/EntityObjects_gIntervalEventType.html#Link240"),"Link")</f>
        <v>Link</v>
      </c>
    </row>
    <row r="1579" spans="1:8" x14ac:dyDescent="0.25">
      <c r="A1579" s="3" t="s">
        <v>10085</v>
      </c>
      <c r="B1579" s="3" t="s">
        <v>10249</v>
      </c>
      <c r="C1579" s="3"/>
      <c r="D1579" s="3"/>
      <c r="E1579" s="3" t="s">
        <v>10106</v>
      </c>
      <c r="F1579" s="3"/>
      <c r="G1579" s="3" t="s">
        <v>12</v>
      </c>
      <c r="H1579" s="3" t="str">
        <f>HYPERLINK(_xlfn.ENCODEURL("http://specification.sifassociation.org/Implementation/NA/3.2/html/Entity/EntityObjects_gIntervalEventType.html#Link23F"),"Link")</f>
        <v>Link</v>
      </c>
    </row>
    <row r="1580" spans="1:8" x14ac:dyDescent="0.25">
      <c r="A1580" s="3" t="s">
        <v>10085</v>
      </c>
      <c r="B1580" s="3" t="s">
        <v>10250</v>
      </c>
      <c r="C1580" s="3"/>
      <c r="D1580" s="3"/>
      <c r="E1580" s="3" t="s">
        <v>10106</v>
      </c>
      <c r="F1580" s="3"/>
      <c r="G1580" s="3" t="s">
        <v>12</v>
      </c>
      <c r="H1580" s="3" t="str">
        <f>HYPERLINK(_xlfn.ENCODEURL("http://specification.sifassociation.org/Implementation/NA/3.2/html/Entity/EntityObjects_gIntervalEventType.html#Link23E"),"Link")</f>
        <v>Link</v>
      </c>
    </row>
    <row r="1581" spans="1:8" x14ac:dyDescent="0.25">
      <c r="A1581" s="3" t="s">
        <v>10085</v>
      </c>
      <c r="B1581" s="3" t="s">
        <v>10251</v>
      </c>
      <c r="C1581" s="3"/>
      <c r="D1581" s="3"/>
      <c r="E1581" s="3" t="s">
        <v>10103</v>
      </c>
      <c r="F1581" s="3"/>
      <c r="G1581" s="3" t="s">
        <v>12</v>
      </c>
      <c r="H1581" s="3" t="str">
        <f>HYPERLINK(_xlfn.ENCODEURL("http://specification.sifassociation.org/Implementation/NA/3.2/html/Entity/EntityObjects_gLanguageDescriptionType.html#Link4BC"),"Link")</f>
        <v>Link</v>
      </c>
    </row>
    <row r="1582" spans="1:8" ht="30" x14ac:dyDescent="0.25">
      <c r="A1582" s="3" t="s">
        <v>10085</v>
      </c>
      <c r="B1582" s="3" t="s">
        <v>10252</v>
      </c>
      <c r="C1582" s="3"/>
      <c r="D1582" s="3"/>
      <c r="E1582" s="3" t="s">
        <v>10096</v>
      </c>
      <c r="F1582" s="3"/>
      <c r="G1582" s="3" t="s">
        <v>12</v>
      </c>
      <c r="H1582" s="3" t="str">
        <f>HYPERLINK(_xlfn.ENCODEURL("http://specification.sifassociation.org/Implementation/NA/3.2/html/Entity/EntityObjects_gLearningStandardDocumentType.html#Link301"),"Link")</f>
        <v>Link</v>
      </c>
    </row>
    <row r="1583" spans="1:8" ht="30" x14ac:dyDescent="0.25">
      <c r="A1583" s="3" t="s">
        <v>10085</v>
      </c>
      <c r="B1583" s="3" t="s">
        <v>10253</v>
      </c>
      <c r="C1583" s="3"/>
      <c r="D1583" s="3"/>
      <c r="E1583" s="3" t="s">
        <v>10106</v>
      </c>
      <c r="F1583" s="3"/>
      <c r="G1583" s="3" t="s">
        <v>12</v>
      </c>
      <c r="H1583" s="3" t="str">
        <f>HYPERLINK(_xlfn.ENCODEURL("http://specification.sifassociation.org/Implementation/NA/3.2/html/Entity/EntityObjects_gLearningStandardDocumentType.html#Link191"),"Link")</f>
        <v>Link</v>
      </c>
    </row>
    <row r="1584" spans="1:8" ht="30" x14ac:dyDescent="0.25">
      <c r="A1584" s="3" t="s">
        <v>10085</v>
      </c>
      <c r="B1584" s="3" t="s">
        <v>10254</v>
      </c>
      <c r="C1584" s="3"/>
      <c r="D1584" s="3"/>
      <c r="E1584" s="3" t="s">
        <v>10106</v>
      </c>
      <c r="F1584" s="3"/>
      <c r="G1584" s="3" t="s">
        <v>12</v>
      </c>
      <c r="H1584" s="3" t="str">
        <f>HYPERLINK(_xlfn.ENCODEURL("http://specification.sifassociation.org/Implementation/NA/3.2/html/Entity/EntityObjects_gLearningStandardDocumentType.html#Link18E"),"Link")</f>
        <v>Link</v>
      </c>
    </row>
    <row r="1585" spans="1:8" ht="30" x14ac:dyDescent="0.25">
      <c r="A1585" s="3" t="s">
        <v>10085</v>
      </c>
      <c r="B1585" s="3" t="s">
        <v>10255</v>
      </c>
      <c r="C1585" s="3"/>
      <c r="D1585" s="3"/>
      <c r="E1585" s="3" t="s">
        <v>10106</v>
      </c>
      <c r="F1585" s="3"/>
      <c r="G1585" s="3" t="s">
        <v>12</v>
      </c>
      <c r="H1585" s="3" t="str">
        <f>HYPERLINK(_xlfn.ENCODEURL("http://specification.sifassociation.org/Implementation/NA/3.2/html/Entity/EntityObjects_gLearningStandardDocumentType.html#Link18F"),"Link")</f>
        <v>Link</v>
      </c>
    </row>
    <row r="1586" spans="1:8" ht="30" x14ac:dyDescent="0.25">
      <c r="A1586" s="3" t="s">
        <v>10085</v>
      </c>
      <c r="B1586" s="3" t="s">
        <v>10256</v>
      </c>
      <c r="C1586" s="3"/>
      <c r="D1586" s="3"/>
      <c r="E1586" s="3" t="s">
        <v>10096</v>
      </c>
      <c r="F1586" s="3"/>
      <c r="G1586" s="3" t="s">
        <v>12</v>
      </c>
      <c r="H1586" s="3" t="str">
        <f>HYPERLINK(_xlfn.ENCODEURL("http://specification.sifassociation.org/Implementation/NA/3.2/html/Entity/EntityObjects_gLearningStandardDocumentType.html#Link18A"),"Link")</f>
        <v>Link</v>
      </c>
    </row>
    <row r="1587" spans="1:8" ht="60" x14ac:dyDescent="0.25">
      <c r="A1587" s="3" t="s">
        <v>10085</v>
      </c>
      <c r="B1587" s="3" t="s">
        <v>10257</v>
      </c>
      <c r="C1587" s="3" t="s">
        <v>10258</v>
      </c>
      <c r="D1587" s="3"/>
      <c r="E1587" s="3" t="s">
        <v>10181</v>
      </c>
      <c r="F1587" s="3"/>
      <c r="G1587" s="3" t="s">
        <v>12</v>
      </c>
      <c r="H1587" s="3" t="str">
        <f>HYPERLINK(_xlfn.ENCODEURL("http://specification.sifassociation.org/Implementation/NA/3.2/html/Entity/EntityObjects_gLearningStandardDocumentType.html#Link187"),"Link")</f>
        <v>Link</v>
      </c>
    </row>
    <row r="1588" spans="1:8" ht="30" x14ac:dyDescent="0.25">
      <c r="A1588" s="3" t="s">
        <v>10085</v>
      </c>
      <c r="B1588" s="3" t="s">
        <v>10259</v>
      </c>
      <c r="C1588" s="3"/>
      <c r="D1588" s="3"/>
      <c r="E1588" s="3" t="s">
        <v>10260</v>
      </c>
      <c r="F1588" s="3"/>
      <c r="G1588" s="3" t="s">
        <v>12</v>
      </c>
      <c r="H1588" s="3" t="str">
        <f>HYPERLINK(_xlfn.ENCODEURL("http://specification.sifassociation.org/Implementation/NA/3.2/html/Entity/EntityObjects_gLearningStandardDocumentType.html#Link188"),"Link")</f>
        <v>Link</v>
      </c>
    </row>
    <row r="1589" spans="1:8" ht="30" x14ac:dyDescent="0.25">
      <c r="A1589" s="3" t="s">
        <v>10085</v>
      </c>
      <c r="B1589" s="3" t="s">
        <v>10261</v>
      </c>
      <c r="C1589" s="3"/>
      <c r="D1589" s="3"/>
      <c r="E1589" s="3" t="s">
        <v>10096</v>
      </c>
      <c r="F1589" s="3"/>
      <c r="G1589" s="3" t="s">
        <v>12</v>
      </c>
      <c r="H1589" s="3" t="str">
        <f>HYPERLINK(_xlfn.ENCODEURL("http://specification.sifassociation.org/Implementation/NA/3.2/html/Entity/EntityObjects_gLearningStandardItemType.html#Link1A2"),"Link")</f>
        <v>Link</v>
      </c>
    </row>
    <row r="1590" spans="1:8" ht="30" x14ac:dyDescent="0.25">
      <c r="A1590" s="3" t="s">
        <v>10085</v>
      </c>
      <c r="B1590" s="3" t="s">
        <v>10262</v>
      </c>
      <c r="C1590" s="3"/>
      <c r="D1590" s="3"/>
      <c r="E1590" s="3" t="s">
        <v>10181</v>
      </c>
      <c r="F1590" s="3"/>
      <c r="G1590" s="3" t="s">
        <v>12</v>
      </c>
      <c r="H1590" s="3" t="str">
        <f>HYPERLINK(_xlfn.ENCODEURL("http://specification.sifassociation.org/Implementation/NA/3.2/html/Entity/EntityObjects_gLearningStandardItemType.html#Link199"),"Link")</f>
        <v>Link</v>
      </c>
    </row>
    <row r="1591" spans="1:8" ht="30" x14ac:dyDescent="0.25">
      <c r="A1591" s="3" t="s">
        <v>10085</v>
      </c>
      <c r="B1591" s="3" t="s">
        <v>10263</v>
      </c>
      <c r="C1591" s="3" t="s">
        <v>10264</v>
      </c>
      <c r="D1591" s="3"/>
      <c r="E1591" s="3" t="s">
        <v>10181</v>
      </c>
      <c r="F1591" s="3"/>
      <c r="G1591" s="3" t="s">
        <v>12</v>
      </c>
      <c r="H1591" s="3" t="str">
        <f>HYPERLINK(_xlfn.ENCODEURL("http://specification.sifassociation.org/Implementation/NA/3.2/html/Entity/EntityObjects_gLearningStandardItemType.html#Link304"),"Link")</f>
        <v>Link</v>
      </c>
    </row>
    <row r="1592" spans="1:8" ht="30" x14ac:dyDescent="0.25">
      <c r="A1592" s="3" t="s">
        <v>10085</v>
      </c>
      <c r="B1592" s="3" t="s">
        <v>10265</v>
      </c>
      <c r="C1592" s="3"/>
      <c r="D1592" s="3"/>
      <c r="E1592" s="3" t="s">
        <v>10181</v>
      </c>
      <c r="F1592" s="3"/>
      <c r="G1592" s="3" t="s">
        <v>12</v>
      </c>
      <c r="H1592" s="3" t="str">
        <f>HYPERLINK(_xlfn.ENCODEURL("http://specification.sifassociation.org/Implementation/NA/3.2/html/Entity/EntityObjects_gLearningStandardItemType.html#Link19C"),"Link")</f>
        <v>Link</v>
      </c>
    </row>
    <row r="1593" spans="1:8" ht="30" x14ac:dyDescent="0.25">
      <c r="A1593" s="3" t="s">
        <v>10085</v>
      </c>
      <c r="B1593" s="3" t="s">
        <v>10266</v>
      </c>
      <c r="C1593" s="3"/>
      <c r="D1593" s="3"/>
      <c r="E1593" s="3" t="s">
        <v>10184</v>
      </c>
      <c r="F1593" s="3"/>
      <c r="G1593" s="3" t="s">
        <v>12</v>
      </c>
      <c r="H1593" s="3" t="str">
        <f>HYPERLINK(_xlfn.ENCODEURL("http://specification.sifassociation.org/Implementation/NA/3.2/html/Entity/EntityObjects_gLearningStandardItemType.html#Link19B"),"Link")</f>
        <v>Link</v>
      </c>
    </row>
    <row r="1594" spans="1:8" ht="30" x14ac:dyDescent="0.25">
      <c r="A1594" s="3" t="s">
        <v>10085</v>
      </c>
      <c r="B1594" s="3" t="s">
        <v>10267</v>
      </c>
      <c r="C1594" s="3"/>
      <c r="D1594" s="3"/>
      <c r="E1594" s="3" t="s">
        <v>10090</v>
      </c>
      <c r="F1594" s="3"/>
      <c r="G1594" s="3" t="s">
        <v>12</v>
      </c>
      <c r="H1594" s="3" t="str">
        <f>HYPERLINK(_xlfn.ENCODEURL("http://specification.sifassociation.org/Implementation/NA/3.2/html/Entity/EntityObjects_gLearningStandardItemType.html#Link308"),"Link")</f>
        <v>Link</v>
      </c>
    </row>
    <row r="1595" spans="1:8" x14ac:dyDescent="0.25">
      <c r="A1595" s="3" t="s">
        <v>10085</v>
      </c>
      <c r="B1595" s="3" t="s">
        <v>10268</v>
      </c>
      <c r="C1595" s="3" t="s">
        <v>10269</v>
      </c>
      <c r="D1595" s="3"/>
      <c r="E1595" s="3" t="s">
        <v>10270</v>
      </c>
      <c r="F1595" s="3"/>
      <c r="G1595" s="3" t="s">
        <v>12</v>
      </c>
      <c r="H1595" s="3" t="str">
        <f>HYPERLINK(_xlfn.ENCODEURL("http://specification.sifassociation.org/Implementation/NA/3.2/html/Entity/EntityObjects_gLEAType.html#Link16A"),"Link")</f>
        <v>Link</v>
      </c>
    </row>
    <row r="1596" spans="1:8" ht="30" x14ac:dyDescent="0.25">
      <c r="A1596" s="3" t="s">
        <v>10085</v>
      </c>
      <c r="B1596" s="3" t="s">
        <v>10271</v>
      </c>
      <c r="C1596" s="3" t="s">
        <v>10272</v>
      </c>
      <c r="D1596" s="3"/>
      <c r="E1596" s="3" t="s">
        <v>10273</v>
      </c>
      <c r="F1596" s="3"/>
      <c r="G1596" s="3" t="s">
        <v>12</v>
      </c>
      <c r="H1596" s="3" t="str">
        <f>HYPERLINK(_xlfn.ENCODEURL("http://specification.sifassociation.org/Implementation/NA/3.2/html/Entity/EntityObjects_gMedicalAlertMessageType.html#Link32D"),"Link")</f>
        <v>Link</v>
      </c>
    </row>
    <row r="1597" spans="1:8" ht="75" x14ac:dyDescent="0.25">
      <c r="A1597" s="3" t="s">
        <v>10085</v>
      </c>
      <c r="B1597" s="3" t="s">
        <v>10274</v>
      </c>
      <c r="C1597" s="3" t="s">
        <v>10275</v>
      </c>
      <c r="D1597" s="3"/>
      <c r="E1597" s="3" t="s">
        <v>10276</v>
      </c>
      <c r="F1597" s="3"/>
      <c r="G1597" s="3" t="s">
        <v>12</v>
      </c>
      <c r="H1597" s="3" t="str">
        <f>HYPERLINK(_xlfn.ENCODEURL("http://specification.sifassociation.org/Implementation/NA/3.2/html/Entity/EntityObjects_gNameOfRecordType.html#Link31D"),"Link")</f>
        <v>Link</v>
      </c>
    </row>
    <row r="1598" spans="1:8" ht="30" x14ac:dyDescent="0.25">
      <c r="A1598" s="3" t="s">
        <v>10085</v>
      </c>
      <c r="B1598" s="3" t="s">
        <v>10277</v>
      </c>
      <c r="C1598" s="3" t="s">
        <v>10278</v>
      </c>
      <c r="D1598" s="3"/>
      <c r="E1598" s="3" t="s">
        <v>10096</v>
      </c>
      <c r="F1598" s="3"/>
      <c r="G1598" s="3" t="s">
        <v>12</v>
      </c>
      <c r="H1598" s="3" t="str">
        <f>HYPERLINK(_xlfn.ENCODEURL("http://specification.sifassociation.org/Implementation/NA/3.2/html/Entity/EntityObjects_gOrganizationOrganizationAssociationType.html#Link1A8"),"Link")</f>
        <v>Link</v>
      </c>
    </row>
    <row r="1599" spans="1:8" ht="30" x14ac:dyDescent="0.25">
      <c r="A1599" s="3" t="s">
        <v>10085</v>
      </c>
      <c r="B1599" s="3" t="s">
        <v>10279</v>
      </c>
      <c r="C1599" s="3"/>
      <c r="D1599" s="3"/>
      <c r="E1599" s="3" t="s">
        <v>10106</v>
      </c>
      <c r="F1599" s="3"/>
      <c r="G1599" s="3" t="s">
        <v>12</v>
      </c>
      <c r="H1599" s="3" t="str">
        <f>HYPERLINK(_xlfn.ENCODEURL("http://specification.sifassociation.org/Implementation/NA/3.2/html/Entity/EntityObjects_gOrganizationOrganizationAssociationType.html#Link1AA"),"Link")</f>
        <v>Link</v>
      </c>
    </row>
    <row r="1600" spans="1:8" ht="30" x14ac:dyDescent="0.25">
      <c r="A1600" s="3" t="s">
        <v>10085</v>
      </c>
      <c r="B1600" s="3" t="s">
        <v>10280</v>
      </c>
      <c r="C1600" s="3" t="s">
        <v>10281</v>
      </c>
      <c r="D1600" s="3"/>
      <c r="E1600" s="3" t="s">
        <v>10096</v>
      </c>
      <c r="F1600" s="3"/>
      <c r="G1600" s="3" t="s">
        <v>12</v>
      </c>
      <c r="H1600" s="3" t="str">
        <f>HYPERLINK(_xlfn.ENCODEURL("http://specification.sifassociation.org/Implementation/NA/3.2/html/Entity/EntityObjects_gOrganizationOrganizationAssociationType.html#Link1A6"),"Link")</f>
        <v>Link</v>
      </c>
    </row>
    <row r="1601" spans="1:8" ht="30" x14ac:dyDescent="0.25">
      <c r="A1601" s="3" t="s">
        <v>10085</v>
      </c>
      <c r="B1601" s="3" t="s">
        <v>10282</v>
      </c>
      <c r="C1601" s="3"/>
      <c r="D1601" s="3"/>
      <c r="E1601" s="3" t="s">
        <v>10106</v>
      </c>
      <c r="F1601" s="3"/>
      <c r="G1601" s="3" t="s">
        <v>12</v>
      </c>
      <c r="H1601" s="3" t="str">
        <f>HYPERLINK(_xlfn.ENCODEURL("http://specification.sifassociation.org/Implementation/NA/3.2/html/Entity/EntityObjects_gOrganizationOrganizationAssociationType.html#Link1A9"),"Link")</f>
        <v>Link</v>
      </c>
    </row>
    <row r="1602" spans="1:8" x14ac:dyDescent="0.25">
      <c r="A1602" s="3" t="s">
        <v>10085</v>
      </c>
      <c r="B1602" s="3" t="s">
        <v>10283</v>
      </c>
      <c r="C1602" s="3"/>
      <c r="D1602" s="3"/>
      <c r="E1602" s="3" t="s">
        <v>10106</v>
      </c>
      <c r="F1602" s="3"/>
      <c r="G1602" s="3" t="s">
        <v>12</v>
      </c>
      <c r="H1602" s="3" t="str">
        <f>HYPERLINK(_xlfn.ENCODEURL("http://specification.sifassociation.org/Implementation/NA/3.2/html/Entity/EntityObjects_gOrganizationSubtypeType.html#Link310"),"Link")</f>
        <v>Link</v>
      </c>
    </row>
    <row r="1603" spans="1:8" x14ac:dyDescent="0.25">
      <c r="A1603" s="3" t="s">
        <v>10085</v>
      </c>
      <c r="B1603" s="3" t="s">
        <v>10284</v>
      </c>
      <c r="C1603" s="3"/>
      <c r="D1603" s="3"/>
      <c r="E1603" s="3" t="s">
        <v>10106</v>
      </c>
      <c r="F1603" s="3"/>
      <c r="G1603" s="3" t="s">
        <v>12</v>
      </c>
      <c r="H1603" s="3" t="str">
        <f>HYPERLINK(_xlfn.ENCODEURL("http://specification.sifassociation.org/Implementation/NA/3.2/html/Entity/EntityObjects_gOrganizationSubtypeType.html#Link311"),"Link")</f>
        <v>Link</v>
      </c>
    </row>
    <row r="1604" spans="1:8" x14ac:dyDescent="0.25">
      <c r="A1604" s="3" t="s">
        <v>10085</v>
      </c>
      <c r="B1604" s="3" t="s">
        <v>10285</v>
      </c>
      <c r="C1604" s="3"/>
      <c r="D1604" s="3"/>
      <c r="E1604" s="3" t="s">
        <v>10286</v>
      </c>
      <c r="F1604" s="3"/>
      <c r="G1604" s="3" t="s">
        <v>12</v>
      </c>
      <c r="H1604" s="3" t="str">
        <f>HYPERLINK(_xlfn.ENCODEURL("http://specification.sifassociation.org/Implementation/NA/3.2/html/Entity/EntityObjects_gOrganizationUserType.html#Link313"),"Link")</f>
        <v>Link</v>
      </c>
    </row>
    <row r="1605" spans="1:8" ht="30" x14ac:dyDescent="0.25">
      <c r="A1605" s="3" t="s">
        <v>10085</v>
      </c>
      <c r="B1605" s="3" t="s">
        <v>10287</v>
      </c>
      <c r="C1605" s="3"/>
      <c r="D1605" s="3"/>
      <c r="E1605" s="3" t="s">
        <v>10096</v>
      </c>
      <c r="F1605" s="3"/>
      <c r="G1605" s="3" t="s">
        <v>12</v>
      </c>
      <c r="H1605" s="3" t="str">
        <f>HYPERLINK(_xlfn.ENCODEURL("http://specification.sifassociation.org/Implementation/NA/3.2/html/Entity/EntityObjects_gOrganizationUserType.html#Link312"),"Link")</f>
        <v>Link</v>
      </c>
    </row>
    <row r="1606" spans="1:8" x14ac:dyDescent="0.25">
      <c r="A1606" s="3" t="s">
        <v>10085</v>
      </c>
      <c r="B1606" s="3" t="s">
        <v>10288</v>
      </c>
      <c r="C1606" s="3"/>
      <c r="D1606" s="3"/>
      <c r="E1606" s="3" t="s">
        <v>10106</v>
      </c>
      <c r="F1606" s="3"/>
      <c r="G1606" s="3" t="s">
        <v>12</v>
      </c>
      <c r="H1606" s="3" t="str">
        <f>HYPERLINK(_xlfn.ENCODEURL("http://specification.sifassociation.org/Implementation/NA/3.2/html/Entity/EntityObjects_gOrganizationUserType.html#Link318"),"Link")</f>
        <v>Link</v>
      </c>
    </row>
    <row r="1607" spans="1:8" x14ac:dyDescent="0.25">
      <c r="A1607" s="3" t="s">
        <v>10085</v>
      </c>
      <c r="B1607" s="3" t="s">
        <v>10289</v>
      </c>
      <c r="C1607" s="3"/>
      <c r="D1607" s="3"/>
      <c r="E1607" s="3" t="s">
        <v>10106</v>
      </c>
      <c r="F1607" s="3"/>
      <c r="G1607" s="3" t="s">
        <v>12</v>
      </c>
      <c r="H1607" s="3" t="str">
        <f>HYPERLINK(_xlfn.ENCODEURL("http://specification.sifassociation.org/Implementation/NA/3.2/html/Entity/EntityObjects_gOrganizationUserType.html#Link317"),"Link")</f>
        <v>Link</v>
      </c>
    </row>
    <row r="1608" spans="1:8" ht="75" x14ac:dyDescent="0.25">
      <c r="A1608" s="3" t="s">
        <v>10085</v>
      </c>
      <c r="B1608" s="3" t="s">
        <v>10290</v>
      </c>
      <c r="C1608" s="3" t="s">
        <v>10275</v>
      </c>
      <c r="D1608" s="3"/>
      <c r="E1608" s="3" t="s">
        <v>10276</v>
      </c>
      <c r="F1608" s="3"/>
      <c r="G1608" s="3" t="s">
        <v>12</v>
      </c>
      <c r="H1608" s="3" t="str">
        <f>HYPERLINK(_xlfn.ENCODEURL("http://specification.sifassociation.org/Implementation/NA/3.2/html/Entity/EntityObjects_gOtherNameType.html#Link4C7"),"Link")</f>
        <v>Link</v>
      </c>
    </row>
    <row r="1609" spans="1:8" ht="60" x14ac:dyDescent="0.25">
      <c r="A1609" s="3" t="s">
        <v>10085</v>
      </c>
      <c r="B1609" s="3" t="s">
        <v>10291</v>
      </c>
      <c r="C1609" s="3" t="s">
        <v>10292</v>
      </c>
      <c r="D1609" s="3"/>
      <c r="E1609" s="3" t="s">
        <v>10217</v>
      </c>
      <c r="F1609" s="3"/>
      <c r="G1609" s="3" t="s">
        <v>12</v>
      </c>
      <c r="H1609" s="3" t="str">
        <f>HYPERLINK(_xlfn.ENCODEURL("http://specification.sifassociation.org/Implementation/NA/3.2/html/Entity/EntityObjects_gPartyAddressRelationType.html#Link1AE"),"Link")</f>
        <v>Link</v>
      </c>
    </row>
    <row r="1610" spans="1:8" ht="75" x14ac:dyDescent="0.25">
      <c r="A1610" s="3" t="s">
        <v>10085</v>
      </c>
      <c r="B1610" s="3" t="s">
        <v>10293</v>
      </c>
      <c r="C1610" s="3" t="s">
        <v>10294</v>
      </c>
      <c r="D1610" s="3"/>
      <c r="E1610" s="3" t="s">
        <v>10096</v>
      </c>
      <c r="F1610" s="3"/>
      <c r="G1610" s="3" t="s">
        <v>12</v>
      </c>
      <c r="H1610" s="3" t="str">
        <f>HYPERLINK(_xlfn.ENCODEURL("http://specification.sifassociation.org/Implementation/NA/3.2/html/Entity/EntityObjects_gPartyOrganizationAssociationType.html#Link1B2"),"Link")</f>
        <v>Link</v>
      </c>
    </row>
    <row r="1611" spans="1:8" ht="60" x14ac:dyDescent="0.25">
      <c r="A1611" s="3" t="s">
        <v>10085</v>
      </c>
      <c r="B1611" s="3" t="s">
        <v>10295</v>
      </c>
      <c r="C1611" s="3" t="s">
        <v>10296</v>
      </c>
      <c r="D1611" s="3"/>
      <c r="E1611" s="3" t="s">
        <v>10096</v>
      </c>
      <c r="F1611" s="3"/>
      <c r="G1611" s="3" t="s">
        <v>12</v>
      </c>
      <c r="H1611" s="3" t="str">
        <f>HYPERLINK(_xlfn.ENCODEURL("http://specification.sifassociation.org/Implementation/NA/3.2/html/Entity/EntityObjects_gPersonGroupAssociationType.html#Link1B4"),"Link")</f>
        <v>Link</v>
      </c>
    </row>
    <row r="1612" spans="1:8" ht="30" x14ac:dyDescent="0.25">
      <c r="A1612" s="3" t="s">
        <v>10085</v>
      </c>
      <c r="B1612" s="3" t="s">
        <v>10297</v>
      </c>
      <c r="C1612" s="3" t="s">
        <v>10298</v>
      </c>
      <c r="D1612" s="3"/>
      <c r="E1612" s="3" t="s">
        <v>10106</v>
      </c>
      <c r="F1612" s="3"/>
      <c r="G1612" s="3" t="s">
        <v>12</v>
      </c>
      <c r="H1612" s="3" t="str">
        <f>HYPERLINK(_xlfn.ENCODEURL("http://specification.sifassociation.org/Implementation/NA/3.2/html/Entity/EntityObjects_gPersonGroupAssociationType.html#Link1B6"),"Link")</f>
        <v>Link</v>
      </c>
    </row>
    <row r="1613" spans="1:8" ht="30" x14ac:dyDescent="0.25">
      <c r="A1613" s="3" t="s">
        <v>10085</v>
      </c>
      <c r="B1613" s="3" t="s">
        <v>10299</v>
      </c>
      <c r="C1613" s="3" t="s">
        <v>10300</v>
      </c>
      <c r="D1613" s="3"/>
      <c r="E1613" s="3" t="s">
        <v>10106</v>
      </c>
      <c r="F1613" s="3"/>
      <c r="G1613" s="3" t="s">
        <v>12</v>
      </c>
      <c r="H1613" s="3" t="str">
        <f>HYPERLINK(_xlfn.ENCODEURL("http://specification.sifassociation.org/Implementation/NA/3.2/html/Entity/EntityObjects_gPersonGroupAssociationType.html#Link1B5"),"Link")</f>
        <v>Link</v>
      </c>
    </row>
    <row r="1614" spans="1:8" ht="75" x14ac:dyDescent="0.25">
      <c r="A1614" s="3" t="s">
        <v>10085</v>
      </c>
      <c r="B1614" s="3" t="s">
        <v>10301</v>
      </c>
      <c r="C1614" s="3" t="s">
        <v>10294</v>
      </c>
      <c r="D1614" s="3"/>
      <c r="E1614" s="3" t="s">
        <v>10096</v>
      </c>
      <c r="F1614" s="3"/>
      <c r="G1614" s="3" t="s">
        <v>12</v>
      </c>
      <c r="H1614" s="3" t="str">
        <f>HYPERLINK(_xlfn.ENCODEURL("http://specification.sifassociation.org/Implementation/NA/3.2/html/Entity/EntityObjects_gPersonOrganizationAssociationType.html#Link31A"),"Link")</f>
        <v>Link</v>
      </c>
    </row>
    <row r="1615" spans="1:8" ht="30" x14ac:dyDescent="0.25">
      <c r="A1615" s="3" t="s">
        <v>10085</v>
      </c>
      <c r="B1615" s="3" t="s">
        <v>10302</v>
      </c>
      <c r="C1615" s="3"/>
      <c r="D1615" s="3"/>
      <c r="E1615" s="3" t="s">
        <v>10106</v>
      </c>
      <c r="F1615" s="3"/>
      <c r="G1615" s="3" t="s">
        <v>12</v>
      </c>
      <c r="H1615" s="3" t="str">
        <f>HYPERLINK(_xlfn.ENCODEURL("http://specification.sifassociation.org/Implementation/NA/3.2/html/Entity/EntityObjects_gPersonRoleAssociationType.html#Link1B9"),"Link")</f>
        <v>Link</v>
      </c>
    </row>
    <row r="1616" spans="1:8" x14ac:dyDescent="0.25">
      <c r="A1616" s="3" t="s">
        <v>10085</v>
      </c>
      <c r="B1616" s="3" t="s">
        <v>10303</v>
      </c>
      <c r="C1616" s="3"/>
      <c r="D1616" s="3"/>
      <c r="E1616" s="3" t="s">
        <v>10106</v>
      </c>
      <c r="F1616" s="3"/>
      <c r="G1616" s="3" t="s">
        <v>12</v>
      </c>
      <c r="H1616" s="3" t="str">
        <f>HYPERLINK(_xlfn.ENCODEURL("http://specification.sifassociation.org/Implementation/NA/3.2/html/Entity/EntityObjects_gPersonRoleAssociationType.html#Link1BA"),"Link")</f>
        <v>Link</v>
      </c>
    </row>
    <row r="1617" spans="1:8" ht="90" x14ac:dyDescent="0.25">
      <c r="A1617" s="3" t="s">
        <v>10085</v>
      </c>
      <c r="B1617" s="3" t="s">
        <v>10304</v>
      </c>
      <c r="C1617" s="3" t="s">
        <v>10305</v>
      </c>
      <c r="D1617" s="3"/>
      <c r="E1617" s="3" t="s">
        <v>10306</v>
      </c>
      <c r="F1617" s="3"/>
      <c r="G1617" s="3" t="s">
        <v>12</v>
      </c>
      <c r="H1617" s="3" t="str">
        <f>HYPERLINK(_xlfn.ENCODEURL("http://specification.sifassociation.org/Implementation/NA/3.2/html/Entity/EntityObjects_gPersonType.html#Link123"),"Link")</f>
        <v>Link</v>
      </c>
    </row>
    <row r="1618" spans="1:8" ht="30" x14ac:dyDescent="0.25">
      <c r="A1618" s="3" t="s">
        <v>10085</v>
      </c>
      <c r="B1618" s="3" t="s">
        <v>10307</v>
      </c>
      <c r="C1618" s="3" t="s">
        <v>10308</v>
      </c>
      <c r="D1618" s="3"/>
      <c r="E1618" s="3" t="s">
        <v>10092</v>
      </c>
      <c r="F1618" s="3"/>
      <c r="G1618" s="3" t="s">
        <v>12</v>
      </c>
      <c r="H1618" s="3" t="str">
        <f>HYPERLINK(_xlfn.ENCODEURL("http://specification.sifassociation.org/Implementation/NA/3.2/html/Entity/EntityObjects_gPersonType.html#Link122"),"Link")</f>
        <v>Link</v>
      </c>
    </row>
    <row r="1619" spans="1:8" ht="30" x14ac:dyDescent="0.25">
      <c r="A1619" s="3" t="s">
        <v>10085</v>
      </c>
      <c r="B1619" s="3" t="s">
        <v>10309</v>
      </c>
      <c r="C1619" s="3" t="s">
        <v>10310</v>
      </c>
      <c r="D1619" s="3"/>
      <c r="E1619" s="3" t="s">
        <v>10311</v>
      </c>
      <c r="F1619" s="3"/>
      <c r="G1619" s="3" t="s">
        <v>12</v>
      </c>
      <c r="H1619" s="3" t="str">
        <f>HYPERLINK(_xlfn.ENCODEURL("http://specification.sifassociation.org/Implementation/NA/3.2/html/Entity/EntityObjects_gPhoneNumberType.html#Link29B"),"Link")</f>
        <v>Link</v>
      </c>
    </row>
    <row r="1620" spans="1:8" ht="30" x14ac:dyDescent="0.25">
      <c r="A1620" s="3" t="s">
        <v>10085</v>
      </c>
      <c r="B1620" s="3" t="s">
        <v>10312</v>
      </c>
      <c r="C1620" s="3"/>
      <c r="D1620" s="3"/>
      <c r="E1620" s="3" t="s">
        <v>10313</v>
      </c>
      <c r="F1620" s="3"/>
      <c r="G1620" s="3" t="s">
        <v>12</v>
      </c>
      <c r="H1620" s="3" t="str">
        <f>HYPERLINK(_xlfn.ENCODEURL("http://specification.sifassociation.org/Implementation/NA/3.2/html/Entity/EntityObjects_gRelatedLearningStandardItemList.html#Link303"),"Link")</f>
        <v>Link</v>
      </c>
    </row>
    <row r="1621" spans="1:8" ht="30" x14ac:dyDescent="0.25">
      <c r="A1621" s="3" t="s">
        <v>10085</v>
      </c>
      <c r="B1621" s="3" t="s">
        <v>10314</v>
      </c>
      <c r="C1621" s="3"/>
      <c r="D1621" s="3"/>
      <c r="E1621" s="3" t="s">
        <v>10315</v>
      </c>
      <c r="F1621" s="3"/>
      <c r="G1621" s="3" t="s">
        <v>12</v>
      </c>
      <c r="H1621" s="3" t="str">
        <f>HYPERLINK(_xlfn.ENCODEURL("http://specification.sifassociation.org/Implementation/NA/3.2/html/Entity/EntityObjects_gRelatedLearningStandardItemType.html#Link4C9"),"Link")</f>
        <v>Link</v>
      </c>
    </row>
    <row r="1622" spans="1:8" ht="30" x14ac:dyDescent="0.25">
      <c r="A1622" s="3" t="s">
        <v>10085</v>
      </c>
      <c r="B1622" s="3" t="s">
        <v>10316</v>
      </c>
      <c r="C1622" s="3" t="s">
        <v>10317</v>
      </c>
      <c r="D1622" s="3"/>
      <c r="E1622" s="3" t="s">
        <v>10096</v>
      </c>
      <c r="F1622" s="3"/>
      <c r="G1622" s="3" t="s">
        <v>12</v>
      </c>
      <c r="H1622" s="3" t="str">
        <f>HYPERLINK(_xlfn.ENCODEURL("http://specification.sifassociation.org/Implementation/NA/3.2/html/Entity/EntityObjects_groupType.html#Link15F"),"Link")</f>
        <v>Link</v>
      </c>
    </row>
    <row r="1623" spans="1:8" x14ac:dyDescent="0.25">
      <c r="A1623" s="3" t="s">
        <v>10085</v>
      </c>
      <c r="B1623" s="3" t="s">
        <v>10318</v>
      </c>
      <c r="C1623" s="3" t="s">
        <v>10319</v>
      </c>
      <c r="D1623" s="3"/>
      <c r="E1623" s="3" t="s">
        <v>10106</v>
      </c>
      <c r="F1623" s="3"/>
      <c r="G1623" s="3" t="s">
        <v>12</v>
      </c>
      <c r="H1623" s="3" t="str">
        <f>HYPERLINK(_xlfn.ENCODEURL("http://specification.sifassociation.org/Implementation/NA/3.2/html/Entity/EntityObjects_gSchoolCalendarType.html#Link1DA"),"Link")</f>
        <v>Link</v>
      </c>
    </row>
    <row r="1624" spans="1:8" x14ac:dyDescent="0.25">
      <c r="A1624" s="3" t="s">
        <v>10085</v>
      </c>
      <c r="B1624" s="3" t="s">
        <v>10320</v>
      </c>
      <c r="C1624" s="3"/>
      <c r="D1624" s="3"/>
      <c r="E1624" s="3" t="s">
        <v>10117</v>
      </c>
      <c r="F1624" s="3"/>
      <c r="G1624" s="3" t="s">
        <v>12</v>
      </c>
      <c r="H1624" s="3" t="str">
        <f>HYPERLINK(_xlfn.ENCODEURL("http://specification.sifassociation.org/Implementation/NA/3.2/html/Entity/EntityObjects_gSchoolType.html#Link1CE"),"Link")</f>
        <v>Link</v>
      </c>
    </row>
    <row r="1625" spans="1:8" x14ac:dyDescent="0.25">
      <c r="A1625" s="3" t="s">
        <v>10085</v>
      </c>
      <c r="B1625" s="3" t="s">
        <v>10321</v>
      </c>
      <c r="C1625" s="3" t="s">
        <v>10269</v>
      </c>
      <c r="D1625" s="3"/>
      <c r="E1625" s="3" t="s">
        <v>10270</v>
      </c>
      <c r="F1625" s="3"/>
      <c r="G1625" s="3" t="s">
        <v>12</v>
      </c>
      <c r="H1625" s="3" t="str">
        <f>HYPERLINK(_xlfn.ENCODEURL("http://specification.sifassociation.org/Implementation/NA/3.2/html/Entity/EntityObjects_gSchoolType.html#Link1CB"),"Link")</f>
        <v>Link</v>
      </c>
    </row>
    <row r="1626" spans="1:8" x14ac:dyDescent="0.25">
      <c r="A1626" s="3" t="s">
        <v>10085</v>
      </c>
      <c r="B1626" s="3" t="s">
        <v>10322</v>
      </c>
      <c r="C1626" s="3" t="s">
        <v>10323</v>
      </c>
      <c r="D1626" s="3"/>
      <c r="E1626" s="3" t="s">
        <v>10324</v>
      </c>
      <c r="F1626" s="3"/>
      <c r="G1626" s="3" t="s">
        <v>12</v>
      </c>
      <c r="H1626" s="3" t="str">
        <f>HYPERLINK(_xlfn.ENCODEURL("http://specification.sifassociation.org/Implementation/NA/3.2/html/Entity/EntityObjects_gSchoolType.html#Link1CD"),"Link")</f>
        <v>Link</v>
      </c>
    </row>
    <row r="1627" spans="1:8" ht="60" x14ac:dyDescent="0.25">
      <c r="A1627" s="3" t="s">
        <v>10085</v>
      </c>
      <c r="B1627" s="3" t="s">
        <v>10325</v>
      </c>
      <c r="C1627" s="3" t="s">
        <v>10326</v>
      </c>
      <c r="D1627" s="3"/>
      <c r="E1627" s="3" t="s">
        <v>10327</v>
      </c>
      <c r="F1627" s="3"/>
      <c r="G1627" s="3" t="s">
        <v>12</v>
      </c>
      <c r="H1627" s="3" t="str">
        <f>HYPERLINK(_xlfn.ENCODEURL("http://specification.sifassociation.org/Implementation/NA/3.2/html/Entity/EntityObjects_gSchoolType.html#Link1CC"),"Link")</f>
        <v>Link</v>
      </c>
    </row>
    <row r="1628" spans="1:8" x14ac:dyDescent="0.25">
      <c r="A1628" s="3" t="s">
        <v>10085</v>
      </c>
      <c r="B1628" s="3" t="s">
        <v>10328</v>
      </c>
      <c r="C1628" s="3"/>
      <c r="D1628" s="3"/>
      <c r="E1628" s="3" t="s">
        <v>10096</v>
      </c>
      <c r="F1628" s="3"/>
      <c r="G1628" s="3" t="s">
        <v>12</v>
      </c>
      <c r="H1628" s="3" t="str">
        <f>HYPERLINK(_xlfn.ENCODEURL("http://specification.sifassociation.org/Implementation/NA/3.2/html/Entity/EntityObjects_gSectionType.html#Link1F4"),"Link")</f>
        <v>Link</v>
      </c>
    </row>
    <row r="1629" spans="1:8" ht="30" x14ac:dyDescent="0.25">
      <c r="A1629" s="3" t="s">
        <v>10085</v>
      </c>
      <c r="B1629" s="3" t="s">
        <v>10329</v>
      </c>
      <c r="C1629" s="3"/>
      <c r="D1629" s="3"/>
      <c r="E1629" s="3" t="s">
        <v>10217</v>
      </c>
      <c r="F1629" s="3"/>
      <c r="G1629" s="3" t="s">
        <v>12</v>
      </c>
      <c r="H1629" s="3" t="str">
        <f>HYPERLINK(_xlfn.ENCODEURL("http://specification.sifassociation.org/Implementation/NA/3.2/html/Entity/EntityObjects_gStaffPersonAssignmentType.html#Link203"),"Link")</f>
        <v>Link</v>
      </c>
    </row>
    <row r="1630" spans="1:8" ht="30" x14ac:dyDescent="0.25">
      <c r="A1630" s="3" t="s">
        <v>10085</v>
      </c>
      <c r="B1630" s="3" t="s">
        <v>10330</v>
      </c>
      <c r="C1630" s="3" t="s">
        <v>10331</v>
      </c>
      <c r="D1630" s="3"/>
      <c r="E1630" s="3" t="s">
        <v>10217</v>
      </c>
      <c r="F1630" s="3"/>
      <c r="G1630" s="3" t="s">
        <v>12</v>
      </c>
      <c r="H1630" s="3" t="str">
        <f>HYPERLINK(_xlfn.ENCODEURL("http://specification.sifassociation.org/Implementation/NA/3.2/html/Entity/EntityObjects_gStaffPersonAssignmentType.html#Link204"),"Link")</f>
        <v>Link</v>
      </c>
    </row>
    <row r="1631" spans="1:8" x14ac:dyDescent="0.25">
      <c r="A1631" s="3" t="s">
        <v>10085</v>
      </c>
      <c r="B1631" s="3" t="s">
        <v>10332</v>
      </c>
      <c r="C1631" s="3"/>
      <c r="D1631" s="3"/>
      <c r="E1631" s="3" t="s">
        <v>10096</v>
      </c>
      <c r="F1631" s="3"/>
      <c r="G1631" s="3" t="s">
        <v>12</v>
      </c>
      <c r="H1631" s="3" t="str">
        <f>HYPERLINK(_xlfn.ENCODEURL("http://specification.sifassociation.org/Implementation/NA/3.2/html/Entity/EntityObjects_gStreetType.html#Link2E0"),"Link")</f>
        <v>Link</v>
      </c>
    </row>
    <row r="1632" spans="1:8" x14ac:dyDescent="0.25">
      <c r="A1632" s="3" t="s">
        <v>10085</v>
      </c>
      <c r="B1632" s="3" t="s">
        <v>10333</v>
      </c>
      <c r="C1632" s="3"/>
      <c r="D1632" s="3"/>
      <c r="E1632" s="3" t="s">
        <v>10096</v>
      </c>
      <c r="F1632" s="3"/>
      <c r="G1632" s="3" t="s">
        <v>12</v>
      </c>
      <c r="H1632" s="3" t="str">
        <f>HYPERLINK(_xlfn.ENCODEURL("http://specification.sifassociation.org/Implementation/NA/3.2/html/Entity/EntityObjects_gStreetType.html#Link2E2"),"Link")</f>
        <v>Link</v>
      </c>
    </row>
    <row r="1633" spans="1:8" x14ac:dyDescent="0.25">
      <c r="A1633" s="3" t="s">
        <v>10085</v>
      </c>
      <c r="B1633" s="3" t="s">
        <v>10334</v>
      </c>
      <c r="C1633" s="3"/>
      <c r="D1633" s="3"/>
      <c r="E1633" s="3" t="s">
        <v>10096</v>
      </c>
      <c r="F1633" s="3"/>
      <c r="G1633" s="3" t="s">
        <v>12</v>
      </c>
      <c r="H1633" s="3" t="str">
        <f>HYPERLINK(_xlfn.ENCODEURL("http://specification.sifassociation.org/Implementation/NA/3.2/html/Entity/EntityObjects_gStreetType.html#Link2DF"),"Link")</f>
        <v>Link</v>
      </c>
    </row>
    <row r="1634" spans="1:8" x14ac:dyDescent="0.25">
      <c r="A1634" s="3" t="s">
        <v>10085</v>
      </c>
      <c r="B1634" s="3" t="s">
        <v>10335</v>
      </c>
      <c r="C1634" s="3"/>
      <c r="D1634" s="3"/>
      <c r="E1634" s="3" t="s">
        <v>10181</v>
      </c>
      <c r="F1634" s="3"/>
      <c r="G1634" s="3" t="s">
        <v>12</v>
      </c>
      <c r="H1634" s="3" t="str">
        <f>HYPERLINK(_xlfn.ENCODEURL("http://specification.sifassociation.org/Implementation/NA/3.2/html/Entity/EntityObjects_gStreetType.html#Link2D9"),"Link")</f>
        <v>Link</v>
      </c>
    </row>
    <row r="1635" spans="1:8" x14ac:dyDescent="0.25">
      <c r="A1635" s="3" t="s">
        <v>10085</v>
      </c>
      <c r="B1635" s="3" t="s">
        <v>10336</v>
      </c>
      <c r="C1635" s="3"/>
      <c r="D1635" s="3"/>
      <c r="E1635" s="3" t="s">
        <v>10181</v>
      </c>
      <c r="F1635" s="3"/>
      <c r="G1635" s="3" t="s">
        <v>12</v>
      </c>
      <c r="H1635" s="3" t="str">
        <f>HYPERLINK(_xlfn.ENCODEURL("http://specification.sifassociation.org/Implementation/NA/3.2/html/Entity/EntityObjects_gStreetType.html#Link2D7"),"Link")</f>
        <v>Link</v>
      </c>
    </row>
    <row r="1636" spans="1:8" x14ac:dyDescent="0.25">
      <c r="A1636" s="3" t="s">
        <v>10085</v>
      </c>
      <c r="B1636" s="3" t="s">
        <v>10337</v>
      </c>
      <c r="C1636" s="3"/>
      <c r="D1636" s="3"/>
      <c r="E1636" s="3" t="s">
        <v>10181</v>
      </c>
      <c r="F1636" s="3"/>
      <c r="G1636" s="3" t="s">
        <v>12</v>
      </c>
      <c r="H1636" s="3" t="str">
        <f>HYPERLINK(_xlfn.ENCODEURL("http://specification.sifassociation.org/Implementation/NA/3.2/html/Entity/EntityObjects_gStreetType.html#Link2D8"),"Link")</f>
        <v>Link</v>
      </c>
    </row>
    <row r="1637" spans="1:8" x14ac:dyDescent="0.25">
      <c r="A1637" s="3" t="s">
        <v>10085</v>
      </c>
      <c r="B1637" s="3" t="s">
        <v>10338</v>
      </c>
      <c r="C1637" s="3"/>
      <c r="D1637" s="3"/>
      <c r="E1637" s="3" t="s">
        <v>10181</v>
      </c>
      <c r="F1637" s="3"/>
      <c r="G1637" s="3" t="s">
        <v>12</v>
      </c>
      <c r="H1637" s="3" t="str">
        <f>HYPERLINK(_xlfn.ENCODEURL("http://specification.sifassociation.org/Implementation/NA/3.2/html/Entity/EntityObjects_gStreetType.html#Link2DC"),"Link")</f>
        <v>Link</v>
      </c>
    </row>
    <row r="1638" spans="1:8" x14ac:dyDescent="0.25">
      <c r="A1638" s="3" t="s">
        <v>10085</v>
      </c>
      <c r="B1638" s="3" t="s">
        <v>10339</v>
      </c>
      <c r="C1638" s="3"/>
      <c r="D1638" s="3"/>
      <c r="E1638" s="3" t="s">
        <v>10096</v>
      </c>
      <c r="F1638" s="3"/>
      <c r="G1638" s="3" t="s">
        <v>12</v>
      </c>
      <c r="H1638" s="3" t="str">
        <f>HYPERLINK(_xlfn.ENCODEURL("http://specification.sifassociation.org/Implementation/NA/3.2/html/Entity/EntityObjects_gStreetType.html#Link2DA"),"Link")</f>
        <v>Link</v>
      </c>
    </row>
    <row r="1639" spans="1:8" x14ac:dyDescent="0.25">
      <c r="A1639" s="3" t="s">
        <v>10085</v>
      </c>
      <c r="B1639" s="3" t="s">
        <v>10340</v>
      </c>
      <c r="C1639" s="3"/>
      <c r="D1639" s="3"/>
      <c r="E1639" s="3" t="s">
        <v>10096</v>
      </c>
      <c r="F1639" s="3"/>
      <c r="G1639" s="3" t="s">
        <v>12</v>
      </c>
      <c r="H1639" s="3" t="str">
        <f>HYPERLINK(_xlfn.ENCODEURL("http://specification.sifassociation.org/Implementation/NA/3.2/html/Entity/EntityObjects_gStreetType.html#Link2DB"),"Link")</f>
        <v>Link</v>
      </c>
    </row>
    <row r="1640" spans="1:8" x14ac:dyDescent="0.25">
      <c r="A1640" s="3" t="s">
        <v>10085</v>
      </c>
      <c r="B1640" s="3" t="s">
        <v>10341</v>
      </c>
      <c r="C1640" s="3"/>
      <c r="D1640" s="3"/>
      <c r="E1640" s="3" t="s">
        <v>10096</v>
      </c>
      <c r="F1640" s="3"/>
      <c r="G1640" s="3" t="s">
        <v>12</v>
      </c>
      <c r="H1640" s="3" t="str">
        <f>HYPERLINK(_xlfn.ENCODEURL("http://specification.sifassociation.org/Implementation/NA/3.2/html/Entity/EntityObjects_gStreetType.html#Link2DE"),"Link")</f>
        <v>Link</v>
      </c>
    </row>
    <row r="1641" spans="1:8" x14ac:dyDescent="0.25">
      <c r="A1641" s="3" t="s">
        <v>10085</v>
      </c>
      <c r="B1641" s="3" t="s">
        <v>10342</v>
      </c>
      <c r="C1641" s="3"/>
      <c r="D1641" s="3"/>
      <c r="E1641" s="3" t="s">
        <v>10096</v>
      </c>
      <c r="F1641" s="3"/>
      <c r="G1641" s="3" t="s">
        <v>12</v>
      </c>
      <c r="H1641" s="3" t="str">
        <f>HYPERLINK(_xlfn.ENCODEURL("http://specification.sifassociation.org/Implementation/NA/3.2/html/Entity/EntityObjects_gStreetType.html#Link2DD"),"Link")</f>
        <v>Link</v>
      </c>
    </row>
    <row r="1642" spans="1:8" ht="30" x14ac:dyDescent="0.25">
      <c r="A1642" s="3" t="s">
        <v>10085</v>
      </c>
      <c r="B1642" s="3" t="s">
        <v>10343</v>
      </c>
      <c r="C1642" s="3"/>
      <c r="D1642" s="3"/>
      <c r="E1642" s="3" t="s">
        <v>10117</v>
      </c>
      <c r="F1642" s="3"/>
      <c r="G1642" s="3" t="s">
        <v>12</v>
      </c>
      <c r="H1642" s="3" t="str">
        <f>HYPERLINK(_xlfn.ENCODEURL("http://specification.sifassociation.org/Implementation/NA/3.2/html/Entity/EntityObjects_gStudentSchoolEnrollmentType.html#Link237"),"Link")</f>
        <v>Link</v>
      </c>
    </row>
    <row r="1643" spans="1:8" ht="30" x14ac:dyDescent="0.25">
      <c r="A1643" s="3" t="s">
        <v>10085</v>
      </c>
      <c r="B1643" s="3" t="s">
        <v>10344</v>
      </c>
      <c r="C1643" s="3" t="s">
        <v>10345</v>
      </c>
      <c r="D1643" s="3"/>
      <c r="E1643" s="3" t="s">
        <v>10346</v>
      </c>
      <c r="F1643" s="3"/>
      <c r="G1643" s="3" t="s">
        <v>12</v>
      </c>
      <c r="H1643" s="3" t="str">
        <f>HYPERLINK(_xlfn.ENCODEURL("http://specification.sifassociation.org/Implementation/NA/3.2/html/Entity/EntityObjects_gStudentSchoolEnrollmentType.html#Link22F"),"Link")</f>
        <v>Link</v>
      </c>
    </row>
    <row r="1644" spans="1:8" ht="30" x14ac:dyDescent="0.25">
      <c r="A1644" s="3" t="s">
        <v>10085</v>
      </c>
      <c r="B1644" s="3" t="s">
        <v>10347</v>
      </c>
      <c r="C1644" s="3"/>
      <c r="D1644" s="3"/>
      <c r="E1644" s="3" t="s">
        <v>10217</v>
      </c>
      <c r="F1644" s="3"/>
      <c r="G1644" s="3" t="s">
        <v>12</v>
      </c>
      <c r="H1644" s="3" t="str">
        <f>HYPERLINK(_xlfn.ENCODEURL("http://specification.sifassociation.org/Implementation/NA/3.2/html/Entity/EntityObjects_gStudentSchoolEnrollmentType.html#Link225"),"Link")</f>
        <v>Link</v>
      </c>
    </row>
    <row r="1645" spans="1:8" ht="120" x14ac:dyDescent="0.25">
      <c r="A1645" s="3" t="s">
        <v>10085</v>
      </c>
      <c r="B1645" s="3" t="s">
        <v>10348</v>
      </c>
      <c r="C1645" s="3" t="s">
        <v>10349</v>
      </c>
      <c r="D1645" s="3"/>
      <c r="E1645" s="3" t="s">
        <v>10350</v>
      </c>
      <c r="F1645" s="3"/>
      <c r="G1645" s="3" t="s">
        <v>12</v>
      </c>
      <c r="H1645" s="3" t="str">
        <f>HYPERLINK(_xlfn.ENCODEURL("http://specification.sifassociation.org/Implementation/NA/3.2/html/Entity/EntityObjects_gStudentSchoolEnrollmentType.html#Link233"),"Link")</f>
        <v>Link</v>
      </c>
    </row>
    <row r="1646" spans="1:8" ht="60" x14ac:dyDescent="0.25">
      <c r="A1646" s="3" t="s">
        <v>10085</v>
      </c>
      <c r="B1646" s="3" t="s">
        <v>10351</v>
      </c>
      <c r="C1646" s="3" t="s">
        <v>10352</v>
      </c>
      <c r="D1646" s="3"/>
      <c r="E1646" s="3" t="s">
        <v>10353</v>
      </c>
      <c r="F1646" s="3"/>
      <c r="G1646" s="3" t="s">
        <v>12</v>
      </c>
      <c r="H1646" s="3" t="str">
        <f>HYPERLINK(_xlfn.ENCODEURL("http://specification.sifassociation.org/Implementation/NA/3.2/html/Entity/EntityObjects_gStudentSchoolEnrollmentType.html#Link231"),"Link")</f>
        <v>Link</v>
      </c>
    </row>
    <row r="1647" spans="1:8" ht="60" x14ac:dyDescent="0.25">
      <c r="A1647" s="3" t="s">
        <v>10085</v>
      </c>
      <c r="B1647" s="3" t="s">
        <v>10354</v>
      </c>
      <c r="C1647" s="3" t="s">
        <v>10355</v>
      </c>
      <c r="D1647" s="3"/>
      <c r="E1647" s="3" t="s">
        <v>10356</v>
      </c>
      <c r="F1647" s="3"/>
      <c r="G1647" s="3" t="s">
        <v>12</v>
      </c>
      <c r="H1647" s="3" t="str">
        <f>HYPERLINK(_xlfn.ENCODEURL("http://specification.sifassociation.org/Implementation/NA/3.2/html/Entity/EntityObjects_gStudentSchoolEnrollmentType.html#Link236"),"Link")</f>
        <v>Link</v>
      </c>
    </row>
    <row r="1648" spans="1:8" ht="30" x14ac:dyDescent="0.25">
      <c r="A1648" s="3" t="s">
        <v>10085</v>
      </c>
      <c r="B1648" s="3" t="s">
        <v>10357</v>
      </c>
      <c r="C1648" s="3" t="s">
        <v>10358</v>
      </c>
      <c r="D1648" s="3"/>
      <c r="E1648" s="3" t="s">
        <v>10359</v>
      </c>
      <c r="F1648" s="3"/>
      <c r="G1648" s="3" t="s">
        <v>12</v>
      </c>
      <c r="H1648" s="3" t="str">
        <f>HYPERLINK(_xlfn.ENCODEURL("http://specification.sifassociation.org/Implementation/NA/3.2/html/Entity/EntityObjects_gStudentType.html#Link329"),"Link")</f>
        <v>Link</v>
      </c>
    </row>
    <row r="1649" spans="1:8" ht="30" x14ac:dyDescent="0.25">
      <c r="A1649" s="3" t="s">
        <v>10085</v>
      </c>
      <c r="B1649" s="3" t="s">
        <v>10360</v>
      </c>
      <c r="C1649" s="3" t="s">
        <v>10361</v>
      </c>
      <c r="D1649" s="3"/>
      <c r="E1649" s="3" t="s">
        <v>10362</v>
      </c>
      <c r="F1649" s="3"/>
      <c r="G1649" s="3" t="s">
        <v>12</v>
      </c>
      <c r="H1649" s="3" t="str">
        <f>HYPERLINK(_xlfn.ENCODEURL("http://specification.sifassociation.org/Implementation/NA/3.2/html/Entity/EntityObjects_gStudentType.html#Link32C"),"Link")</f>
        <v>Link</v>
      </c>
    </row>
    <row r="1650" spans="1:8" ht="30" x14ac:dyDescent="0.25">
      <c r="A1650" s="3" t="s">
        <v>10085</v>
      </c>
      <c r="B1650" s="3" t="s">
        <v>10363</v>
      </c>
      <c r="C1650" s="3" t="s">
        <v>10119</v>
      </c>
      <c r="D1650" s="3"/>
      <c r="E1650" s="3" t="s">
        <v>10223</v>
      </c>
      <c r="F1650" s="3"/>
      <c r="G1650" s="3" t="s">
        <v>12</v>
      </c>
      <c r="H1650" s="3" t="str">
        <f>HYPERLINK(_xlfn.ENCODEURL("http://specification.sifassociation.org/Implementation/NA/3.2/html/Entity/EntityObjects_gStudentType.html#Link211"),"Link")</f>
        <v>Link</v>
      </c>
    </row>
    <row r="1651" spans="1:8" x14ac:dyDescent="0.25">
      <c r="A1651" s="3" t="s">
        <v>10085</v>
      </c>
      <c r="B1651" s="3" t="s">
        <v>10364</v>
      </c>
      <c r="C1651" s="3"/>
      <c r="D1651" s="3"/>
      <c r="E1651" s="3" t="s">
        <v>10096</v>
      </c>
      <c r="F1651" s="3"/>
      <c r="G1651" s="3" t="s">
        <v>12</v>
      </c>
      <c r="H1651" s="3" t="str">
        <f>HYPERLINK(_xlfn.ENCODEURL("http://specification.sifassociation.org/Implementation/NA/3.2/html/Entity/EntityObjects_gTermType.html#Link246"),"Link")</f>
        <v>Link</v>
      </c>
    </row>
    <row r="1652" spans="1:8" ht="30" x14ac:dyDescent="0.25">
      <c r="A1652" s="3" t="s">
        <v>10085</v>
      </c>
      <c r="B1652" s="3" t="s">
        <v>10365</v>
      </c>
      <c r="C1652" s="3"/>
      <c r="D1652" s="3"/>
      <c r="E1652" s="3" t="s">
        <v>10103</v>
      </c>
      <c r="F1652" s="3"/>
      <c r="G1652" s="3" t="s">
        <v>12</v>
      </c>
      <c r="H1652" s="3" t="str">
        <f>HYPERLINK(_xlfn.ENCODEURL("http://specification.sifassociation.org/Implementation/NA/3.2/html/CEDS/Common/CEDS_Common_learningGoalCEDSType.html#LinkCF"),"Link")</f>
        <v>Link</v>
      </c>
    </row>
    <row r="1653" spans="1:8" ht="30" x14ac:dyDescent="0.25">
      <c r="A1653" s="3" t="s">
        <v>10085</v>
      </c>
      <c r="B1653" s="3" t="s">
        <v>10366</v>
      </c>
      <c r="C1653" s="3" t="s">
        <v>10367</v>
      </c>
      <c r="D1653" s="3"/>
      <c r="E1653" s="3" t="s">
        <v>10106</v>
      </c>
      <c r="F1653" s="3"/>
      <c r="G1653" s="3" t="s">
        <v>12</v>
      </c>
      <c r="H1653" s="3" t="str">
        <f>HYPERLINK(_xlfn.ENCODEURL("http://specification.sifassociation.org/Implementation/NA/3.2/html/Entity/EntityObjects_learningResourceType.html#Link175"),"Link")</f>
        <v>Link</v>
      </c>
    </row>
    <row r="1654" spans="1:8" ht="30" x14ac:dyDescent="0.25">
      <c r="A1654" s="3" t="s">
        <v>10085</v>
      </c>
      <c r="B1654" s="3" t="s">
        <v>10368</v>
      </c>
      <c r="C1654" s="3" t="s">
        <v>10369</v>
      </c>
      <c r="D1654" s="3"/>
      <c r="E1654" s="3" t="s">
        <v>10106</v>
      </c>
      <c r="F1654" s="3"/>
      <c r="G1654" s="3" t="s">
        <v>12</v>
      </c>
      <c r="H1654" s="3" t="str">
        <f>HYPERLINK(_xlfn.ENCODEURL("http://specification.sifassociation.org/Implementation/NA/3.2/html/Entity/EntityObjects_learningResourceType.html#Link2AA"),"Link")</f>
        <v>Link</v>
      </c>
    </row>
    <row r="1655" spans="1:8" ht="30" x14ac:dyDescent="0.25">
      <c r="A1655" s="3" t="s">
        <v>10085</v>
      </c>
      <c r="B1655" s="3" t="s">
        <v>10370</v>
      </c>
      <c r="C1655" s="3" t="s">
        <v>10371</v>
      </c>
      <c r="D1655" s="3"/>
      <c r="E1655" s="3" t="s">
        <v>10096</v>
      </c>
      <c r="F1655" s="3"/>
      <c r="G1655" s="3" t="s">
        <v>12</v>
      </c>
      <c r="H1655" s="3" t="str">
        <f>HYPERLINK(_xlfn.ENCODEURL("http://specification.sifassociation.org/Implementation/NA/3.2/html/Entity/EntityObjects_learningResourceType.html#Link2A9"),"Link")</f>
        <v>Link</v>
      </c>
    </row>
    <row r="1656" spans="1:8" ht="45" x14ac:dyDescent="0.25">
      <c r="A1656" s="3" t="s">
        <v>10085</v>
      </c>
      <c r="B1656" s="3" t="s">
        <v>10372</v>
      </c>
      <c r="C1656" s="3"/>
      <c r="D1656" s="3"/>
      <c r="E1656" s="3" t="s">
        <v>10373</v>
      </c>
      <c r="F1656" s="3"/>
      <c r="G1656" s="3" t="s">
        <v>12</v>
      </c>
      <c r="H1656" s="3" t="str">
        <f>HYPERLINK(_xlfn.ENCODEURL("http://specification.sifassociation.org/Implementation/NA/3.2/html/Entity/EntityObjects_learningResourceType.html#Link2B7"),"Link")</f>
        <v>Link</v>
      </c>
    </row>
    <row r="1657" spans="1:8" ht="60" x14ac:dyDescent="0.25">
      <c r="A1657" s="3" t="s">
        <v>10085</v>
      </c>
      <c r="B1657" s="3" t="s">
        <v>10374</v>
      </c>
      <c r="C1657" s="3" t="s">
        <v>10375</v>
      </c>
      <c r="D1657" s="3"/>
      <c r="E1657" s="3" t="s">
        <v>10181</v>
      </c>
      <c r="F1657" s="3"/>
      <c r="G1657" s="3" t="s">
        <v>12</v>
      </c>
      <c r="H1657" s="3" t="str">
        <f>HYPERLINK(_xlfn.ENCODEURL("http://specification.sifassociation.org/Implementation/NA/3.2/html/Entity/EntityObjects_learningResourceType.html#Link2B3"),"Link")</f>
        <v>Link</v>
      </c>
    </row>
    <row r="1658" spans="1:8" ht="90" x14ac:dyDescent="0.25">
      <c r="A1658" s="3" t="s">
        <v>10085</v>
      </c>
      <c r="B1658" s="3" t="s">
        <v>10376</v>
      </c>
      <c r="C1658" s="3" t="s">
        <v>10377</v>
      </c>
      <c r="D1658" s="3"/>
      <c r="E1658" s="3" t="s">
        <v>10096</v>
      </c>
      <c r="F1658" s="3"/>
      <c r="G1658" s="3" t="s">
        <v>12</v>
      </c>
      <c r="H1658" s="3" t="str">
        <f>HYPERLINK(_xlfn.ENCODEURL("http://specification.sifassociation.org/Implementation/NA/3.2/html/Entity/EntityObjects_learningResourceType.html#Link2B2"),"Link")</f>
        <v>Link</v>
      </c>
    </row>
    <row r="1659" spans="1:8" ht="45" x14ac:dyDescent="0.25">
      <c r="A1659" s="3" t="s">
        <v>10085</v>
      </c>
      <c r="B1659" s="3" t="s">
        <v>10378</v>
      </c>
      <c r="C1659" s="3" t="s">
        <v>10379</v>
      </c>
      <c r="D1659" s="3"/>
      <c r="E1659" s="3" t="s">
        <v>10096</v>
      </c>
      <c r="F1659" s="3"/>
      <c r="G1659" s="3" t="s">
        <v>12</v>
      </c>
      <c r="H1659" s="3" t="str">
        <f>HYPERLINK(_xlfn.ENCODEURL("http://specification.sifassociation.org/Implementation/NA/3.2/html/Entity/EntityObjects_learningResourceType.html#Link2B1"),"Link")</f>
        <v>Link</v>
      </c>
    </row>
    <row r="1660" spans="1:8" ht="30" x14ac:dyDescent="0.25">
      <c r="A1660" s="3" t="s">
        <v>10085</v>
      </c>
      <c r="B1660" s="3" t="s">
        <v>10380</v>
      </c>
      <c r="C1660" s="3" t="s">
        <v>10381</v>
      </c>
      <c r="D1660" s="3"/>
      <c r="E1660" s="3" t="s">
        <v>10181</v>
      </c>
      <c r="F1660" s="3"/>
      <c r="G1660" s="3" t="s">
        <v>12</v>
      </c>
      <c r="H1660" s="3" t="str">
        <f>HYPERLINK(_xlfn.ENCODEURL("http://specification.sifassociation.org/Implementation/NA/3.2/html/Entity/EntityObjects_learningResourceType.html#Link2B6"),"Link")</f>
        <v>Link</v>
      </c>
    </row>
    <row r="1661" spans="1:8" ht="30" x14ac:dyDescent="0.25">
      <c r="A1661" s="3" t="s">
        <v>10085</v>
      </c>
      <c r="B1661" s="3" t="s">
        <v>10382</v>
      </c>
      <c r="C1661" s="3" t="s">
        <v>10383</v>
      </c>
      <c r="D1661" s="3"/>
      <c r="E1661" s="3" t="s">
        <v>10106</v>
      </c>
      <c r="F1661" s="3"/>
      <c r="G1661" s="3" t="s">
        <v>12</v>
      </c>
      <c r="H1661" s="3" t="str">
        <f>HYPERLINK(_xlfn.ENCODEURL("http://specification.sifassociation.org/Implementation/NA/3.2/html/Entity/EntityObjects_learningResourceType.html#Link2AE"),"Link")</f>
        <v>Link</v>
      </c>
    </row>
    <row r="1662" spans="1:8" ht="30" x14ac:dyDescent="0.25">
      <c r="A1662" s="3" t="s">
        <v>10085</v>
      </c>
      <c r="B1662" s="3" t="s">
        <v>10384</v>
      </c>
      <c r="C1662" s="3" t="s">
        <v>10385</v>
      </c>
      <c r="D1662" s="3"/>
      <c r="E1662" s="3" t="s">
        <v>10181</v>
      </c>
      <c r="F1662" s="3"/>
      <c r="G1662" s="3" t="s">
        <v>12</v>
      </c>
      <c r="H1662" s="3" t="str">
        <f>HYPERLINK(_xlfn.ENCODEURL("http://specification.sifassociation.org/Implementation/NA/3.2/html/Entity/EntityObjects_learningResourceType.html#Link2AD"),"Link")</f>
        <v>Link</v>
      </c>
    </row>
    <row r="1663" spans="1:8" ht="30" x14ac:dyDescent="0.25">
      <c r="A1663" s="3" t="s">
        <v>10085</v>
      </c>
      <c r="B1663" s="3" t="s">
        <v>10386</v>
      </c>
      <c r="C1663" s="3" t="s">
        <v>10387</v>
      </c>
      <c r="D1663" s="3"/>
      <c r="E1663" s="3" t="s">
        <v>10096</v>
      </c>
      <c r="F1663" s="3"/>
      <c r="G1663" s="3" t="s">
        <v>12</v>
      </c>
      <c r="H1663" s="3" t="str">
        <f>HYPERLINK(_xlfn.ENCODEURL("http://specification.sifassociation.org/Implementation/NA/3.2/html/Entity/EntityObjects_learningResourceType.html#Link2AF"),"Link")</f>
        <v>Link</v>
      </c>
    </row>
    <row r="1664" spans="1:8" ht="45" x14ac:dyDescent="0.25">
      <c r="A1664" s="3" t="s">
        <v>10085</v>
      </c>
      <c r="B1664" s="3" t="s">
        <v>10388</v>
      </c>
      <c r="C1664" s="3" t="s">
        <v>10389</v>
      </c>
      <c r="D1664" s="3"/>
      <c r="E1664" s="3" t="s">
        <v>10096</v>
      </c>
      <c r="F1664" s="3"/>
      <c r="G1664" s="3" t="s">
        <v>12</v>
      </c>
      <c r="H1664" s="3" t="str">
        <f>HYPERLINK(_xlfn.ENCODEURL("http://specification.sifassociation.org/Implementation/NA/3.2/html/Entity/EntityObjects_learningResourceType.html#Link29E"),"Link")</f>
        <v>Link</v>
      </c>
    </row>
    <row r="1665" spans="1:8" ht="30" x14ac:dyDescent="0.25">
      <c r="A1665" s="3" t="s">
        <v>10085</v>
      </c>
      <c r="B1665" s="3" t="s">
        <v>10390</v>
      </c>
      <c r="C1665" s="3" t="s">
        <v>10391</v>
      </c>
      <c r="D1665" s="3"/>
      <c r="E1665" s="3" t="s">
        <v>10096</v>
      </c>
      <c r="F1665" s="3"/>
      <c r="G1665" s="3" t="s">
        <v>12</v>
      </c>
      <c r="H1665" s="3" t="str">
        <f>HYPERLINK(_xlfn.ENCODEURL("http://specification.sifassociation.org/Implementation/NA/3.2/html/Entity/EntityObjects_learningResourceType.html#Link16F"),"Link")</f>
        <v>Link</v>
      </c>
    </row>
    <row r="1666" spans="1:8" ht="75" x14ac:dyDescent="0.25">
      <c r="A1666" s="3" t="s">
        <v>10085</v>
      </c>
      <c r="B1666" s="3" t="s">
        <v>10392</v>
      </c>
      <c r="C1666" s="3" t="s">
        <v>10393</v>
      </c>
      <c r="D1666" s="3"/>
      <c r="E1666" s="3" t="s">
        <v>10144</v>
      </c>
      <c r="F1666" s="3"/>
      <c r="G1666" s="3" t="s">
        <v>12</v>
      </c>
      <c r="H1666" s="3" t="str">
        <f>HYPERLINK(_xlfn.ENCODEURL("http://specification.sifassociation.org/Implementation/NA/3.2/html/Entity/EntityObjects_schoolCalendarItemType.html#Link2C5"),"Link")</f>
        <v>Link</v>
      </c>
    </row>
    <row r="1667" spans="1:8" ht="45" x14ac:dyDescent="0.25">
      <c r="A1667" s="3" t="s">
        <v>10085</v>
      </c>
      <c r="B1667" s="3" t="s">
        <v>10394</v>
      </c>
      <c r="C1667" s="3" t="s">
        <v>10395</v>
      </c>
      <c r="D1667" s="3"/>
      <c r="E1667" s="3" t="s">
        <v>10117</v>
      </c>
      <c r="F1667" s="3"/>
      <c r="G1667" s="3" t="s">
        <v>12</v>
      </c>
      <c r="H1667" s="3" t="str">
        <f>HYPERLINK(_xlfn.ENCODEURL("http://specification.sifassociation.org/Implementation/NA/3.2/html/Entity/EntityObjects_schoolCalendarItemType.html#Link2C4"),"Link")</f>
        <v>Link</v>
      </c>
    </row>
    <row r="1668" spans="1:8" ht="30" x14ac:dyDescent="0.25">
      <c r="A1668" s="3" t="s">
        <v>10085</v>
      </c>
      <c r="B1668" s="3" t="s">
        <v>10396</v>
      </c>
      <c r="C1668" s="3" t="s">
        <v>10397</v>
      </c>
      <c r="D1668" s="3"/>
      <c r="E1668" s="3" t="s">
        <v>10184</v>
      </c>
      <c r="F1668" s="3"/>
      <c r="G1668" s="3" t="s">
        <v>12</v>
      </c>
      <c r="H1668" s="3" t="str">
        <f>HYPERLINK(_xlfn.ENCODEURL("http://specification.sifassociation.org/Implementation/NA/3.2/html/Entity/EntityObjects_schoolCalendarItemType.html#Link1E7"),"Link")</f>
        <v>Link</v>
      </c>
    </row>
    <row r="1669" spans="1:8" ht="30" x14ac:dyDescent="0.25">
      <c r="A1669" s="3" t="s">
        <v>10085</v>
      </c>
      <c r="B1669" s="3" t="s">
        <v>10398</v>
      </c>
      <c r="C1669" s="3" t="s">
        <v>10399</v>
      </c>
      <c r="D1669" s="3"/>
      <c r="E1669" s="3" t="s">
        <v>10400</v>
      </c>
      <c r="F1669" s="3"/>
      <c r="G1669" s="3" t="s">
        <v>12</v>
      </c>
      <c r="H1669" s="3" t="str">
        <f>HYPERLINK(_xlfn.ENCODEURL("http://specification.sifassociation.org/Implementation/NA/3.2/html/Entity/EntityObjects_schoolCalendarItemType.html#Link1E6"),"Link")</f>
        <v>Link</v>
      </c>
    </row>
    <row r="1670" spans="1:8" ht="120" x14ac:dyDescent="0.25">
      <c r="A1670" s="3" t="s">
        <v>10085</v>
      </c>
      <c r="B1670" s="3" t="s">
        <v>10401</v>
      </c>
      <c r="C1670" s="3" t="s">
        <v>10402</v>
      </c>
      <c r="D1670" s="3"/>
      <c r="E1670" s="3" t="s">
        <v>10144</v>
      </c>
      <c r="F1670" s="3"/>
      <c r="G1670" s="3" t="s">
        <v>12</v>
      </c>
      <c r="H1670" s="3" t="str">
        <f>HYPERLINK(_xlfn.ENCODEURL("http://specification.sifassociation.org/Implementation/NA/3.2/html/Entity/EntityObjects_schoolCalendarItemType.html#Link2C1"),"Link")</f>
        <v>Link</v>
      </c>
    </row>
    <row r="1671" spans="1:8" ht="45" x14ac:dyDescent="0.25">
      <c r="A1671" s="3" t="s">
        <v>10085</v>
      </c>
      <c r="B1671" s="3" t="s">
        <v>10403</v>
      </c>
      <c r="C1671" s="3" t="s">
        <v>10404</v>
      </c>
      <c r="D1671" s="3"/>
      <c r="E1671" s="3" t="s">
        <v>10117</v>
      </c>
      <c r="F1671" s="3"/>
      <c r="G1671" s="3" t="s">
        <v>12</v>
      </c>
      <c r="H1671" s="3" t="str">
        <f>HYPERLINK(_xlfn.ENCODEURL("http://specification.sifassociation.org/Implementation/NA/3.2/html/Entity/EntityObjects_schoolCalendarItemType.html#Link2C0"),"Link")</f>
        <v>Link</v>
      </c>
    </row>
    <row r="1672" spans="1:8" ht="75" x14ac:dyDescent="0.25">
      <c r="A1672" s="3" t="s">
        <v>10085</v>
      </c>
      <c r="B1672" s="3" t="s">
        <v>10405</v>
      </c>
      <c r="C1672" s="3" t="s">
        <v>10406</v>
      </c>
      <c r="D1672" s="3"/>
      <c r="E1672" s="3" t="s">
        <v>10144</v>
      </c>
      <c r="F1672" s="3"/>
      <c r="G1672" s="3" t="s">
        <v>12</v>
      </c>
      <c r="H1672" s="3" t="str">
        <f>HYPERLINK(_xlfn.ENCODEURL("http://specification.sifassociation.org/Implementation/NA/3.2/html/Entity/EntityObjects_schoolCalendarItemType.html#Link2C3"),"Link")</f>
        <v>Link</v>
      </c>
    </row>
    <row r="1673" spans="1:8" ht="45" x14ac:dyDescent="0.25">
      <c r="A1673" s="3" t="s">
        <v>10085</v>
      </c>
      <c r="B1673" s="3" t="s">
        <v>10407</v>
      </c>
      <c r="C1673" s="3" t="s">
        <v>10408</v>
      </c>
      <c r="D1673" s="3"/>
      <c r="E1673" s="3" t="s">
        <v>10117</v>
      </c>
      <c r="F1673" s="3"/>
      <c r="G1673" s="3" t="s">
        <v>12</v>
      </c>
      <c r="H1673" s="3" t="str">
        <f>HYPERLINK(_xlfn.ENCODEURL("http://specification.sifassociation.org/Implementation/NA/3.2/html/Entity/EntityObjects_schoolCalendarItemType.html#Link2C2"),"Link")</f>
        <v>Link</v>
      </c>
    </row>
    <row r="1674" spans="1:8" ht="30" x14ac:dyDescent="0.25">
      <c r="A1674" s="3" t="s">
        <v>10085</v>
      </c>
      <c r="B1674" s="3" t="s">
        <v>10409</v>
      </c>
      <c r="C1674" s="3" t="s">
        <v>10410</v>
      </c>
      <c r="D1674" s="3"/>
      <c r="E1674" s="3" t="s">
        <v>10096</v>
      </c>
      <c r="F1674" s="3"/>
      <c r="G1674" s="3" t="s">
        <v>12</v>
      </c>
      <c r="H1674" s="3" t="str">
        <f>HYPERLINK(_xlfn.ENCODEURL("http://specification.sifassociation.org/Implementation/NA/3.2/html/Entity/EntityObjects_seaType.html#Link1F0"),"Link")</f>
        <v>Link</v>
      </c>
    </row>
    <row r="1675" spans="1:8" ht="30" x14ac:dyDescent="0.25">
      <c r="A1675" s="3" t="s">
        <v>10085</v>
      </c>
      <c r="B1675" s="3" t="s">
        <v>10411</v>
      </c>
      <c r="C1675" s="3" t="s">
        <v>10412</v>
      </c>
      <c r="D1675" s="3"/>
      <c r="E1675" s="3" t="s">
        <v>10306</v>
      </c>
      <c r="F1675" s="3"/>
      <c r="G1675" s="3" t="s">
        <v>12</v>
      </c>
      <c r="H1675" s="3" t="str">
        <f>HYPERLINK(_xlfn.ENCODEURL("http://specification.sifassociation.org/Implementation/NA/3.2/html/Entity/EntityObjects_seaType.html#Link1ED"),"Link")</f>
        <v>Link</v>
      </c>
    </row>
    <row r="1676" spans="1:8" ht="45" x14ac:dyDescent="0.25">
      <c r="A1676" s="3" t="s">
        <v>10085</v>
      </c>
      <c r="B1676" s="3" t="s">
        <v>10413</v>
      </c>
      <c r="C1676" s="3" t="s">
        <v>10414</v>
      </c>
      <c r="D1676" s="3"/>
      <c r="E1676" s="3" t="s">
        <v>10415</v>
      </c>
      <c r="F1676" s="3"/>
      <c r="G1676" s="3" t="s">
        <v>12</v>
      </c>
      <c r="H1676" s="3" t="str">
        <f>HYPERLINK(_xlfn.ENCODEURL("http://specification.sifassociation.org/Implementation/NA/3.2/html/Report/ReportObjects_sreType.html#LinkF1"),"Link")</f>
        <v>Link</v>
      </c>
    </row>
    <row r="1677" spans="1:8" ht="45" x14ac:dyDescent="0.25">
      <c r="A1677" s="3" t="s">
        <v>10085</v>
      </c>
      <c r="B1677" s="3" t="s">
        <v>10416</v>
      </c>
      <c r="C1677" s="3" t="s">
        <v>10417</v>
      </c>
      <c r="D1677" s="3"/>
      <c r="E1677" s="3" t="s">
        <v>10415</v>
      </c>
      <c r="F1677" s="3"/>
      <c r="G1677" s="3" t="s">
        <v>12</v>
      </c>
      <c r="H1677" s="3" t="str">
        <f>HYPERLINK(_xlfn.ENCODEURL("http://specification.sifassociation.org/Implementation/NA/3.2/html/Report/ReportObjects_sreType.html#Link117"),"Link")</f>
        <v>Link</v>
      </c>
    </row>
    <row r="1678" spans="1:8" ht="45" x14ac:dyDescent="0.25">
      <c r="A1678" s="3" t="s">
        <v>10085</v>
      </c>
      <c r="B1678" s="3" t="s">
        <v>10418</v>
      </c>
      <c r="C1678" s="3" t="s">
        <v>10419</v>
      </c>
      <c r="D1678" s="3"/>
      <c r="E1678" s="3" t="s">
        <v>10096</v>
      </c>
      <c r="F1678" s="3"/>
      <c r="G1678" s="3" t="s">
        <v>12</v>
      </c>
      <c r="H1678" s="3" t="str">
        <f>HYPERLINK(_xlfn.ENCODEURL("http://specification.sifassociation.org/Implementation/NA/3.2/html/Report/ReportObjects_sreType.html#Link11B"),"Link")</f>
        <v>Link</v>
      </c>
    </row>
    <row r="1679" spans="1:8" ht="45" x14ac:dyDescent="0.25">
      <c r="A1679" s="3" t="s">
        <v>10085</v>
      </c>
      <c r="B1679" s="3" t="s">
        <v>10420</v>
      </c>
      <c r="C1679" s="3" t="s">
        <v>10421</v>
      </c>
      <c r="D1679" s="3"/>
      <c r="E1679" s="3" t="s">
        <v>10106</v>
      </c>
      <c r="F1679" s="3"/>
      <c r="G1679" s="3" t="s">
        <v>12</v>
      </c>
      <c r="H1679" s="3" t="str">
        <f>HYPERLINK(_xlfn.ENCODEURL("http://specification.sifassociation.org/Implementation/NA/3.2/html/Report/ReportObjects_sreType.html#Link130"),"Link")</f>
        <v>Link</v>
      </c>
    </row>
    <row r="1680" spans="1:8" ht="45" x14ac:dyDescent="0.25">
      <c r="A1680" s="3" t="s">
        <v>10085</v>
      </c>
      <c r="B1680" s="3" t="s">
        <v>10422</v>
      </c>
      <c r="C1680" s="3" t="s">
        <v>10423</v>
      </c>
      <c r="D1680" s="3"/>
      <c r="E1680" s="3" t="s">
        <v>10096</v>
      </c>
      <c r="F1680" s="3"/>
      <c r="G1680" s="3" t="s">
        <v>12</v>
      </c>
      <c r="H1680" s="3" t="str">
        <f>HYPERLINK(_xlfn.ENCODEURL("http://specification.sifassociation.org/Implementation/NA/3.2/html/Report/ReportObjects_sreType.html#Link12F"),"Link")</f>
        <v>Link</v>
      </c>
    </row>
    <row r="1681" spans="1:8" ht="30" x14ac:dyDescent="0.25">
      <c r="A1681" s="3" t="s">
        <v>10085</v>
      </c>
      <c r="B1681" s="3" t="s">
        <v>10424</v>
      </c>
      <c r="C1681" s="3" t="s">
        <v>10425</v>
      </c>
      <c r="D1681" s="3"/>
      <c r="E1681" s="3" t="s">
        <v>10103</v>
      </c>
      <c r="F1681" s="3"/>
      <c r="G1681" s="3" t="s">
        <v>12</v>
      </c>
      <c r="H1681" s="3" t="str">
        <f>HYPERLINK(_xlfn.ENCODEURL("http://specification.sifassociation.org/Implementation/NA/3.2/html/Report/ReportObjects_sreType.html#Link131"),"Link")</f>
        <v>Link</v>
      </c>
    </row>
    <row r="1682" spans="1:8" ht="45" x14ac:dyDescent="0.25">
      <c r="A1682" s="3" t="s">
        <v>10085</v>
      </c>
      <c r="B1682" s="3" t="s">
        <v>10426</v>
      </c>
      <c r="C1682" s="3" t="s">
        <v>10427</v>
      </c>
      <c r="D1682" s="3"/>
      <c r="E1682" s="3" t="s">
        <v>10103</v>
      </c>
      <c r="F1682" s="3"/>
      <c r="G1682" s="3" t="s">
        <v>12</v>
      </c>
      <c r="H1682" s="3" t="str">
        <f>HYPERLINK(_xlfn.ENCODEURL("http://specification.sifassociation.org/Implementation/NA/3.2/html/Report/ReportObjects_sreType.html#Link148"),"Link")</f>
        <v>Link</v>
      </c>
    </row>
    <row r="1683" spans="1:8" ht="30" x14ac:dyDescent="0.25">
      <c r="A1683" s="3" t="s">
        <v>10085</v>
      </c>
      <c r="B1683" s="3" t="s">
        <v>10428</v>
      </c>
      <c r="C1683" s="3" t="s">
        <v>10429</v>
      </c>
      <c r="D1683" s="3"/>
      <c r="E1683" s="3" t="s">
        <v>10096</v>
      </c>
      <c r="F1683" s="3"/>
      <c r="G1683" s="3" t="s">
        <v>12</v>
      </c>
      <c r="H1683" s="3" t="str">
        <f>HYPERLINK(_xlfn.ENCODEURL("http://specification.sifassociation.org/Implementation/NA/3.2/html/Report/ReportObjects_sreType.html#Link146"),"Link")</f>
        <v>Link</v>
      </c>
    </row>
    <row r="1684" spans="1:8" ht="75" x14ac:dyDescent="0.25">
      <c r="A1684" s="3" t="s">
        <v>10085</v>
      </c>
      <c r="B1684" s="3" t="s">
        <v>10430</v>
      </c>
      <c r="C1684" s="3" t="s">
        <v>10431</v>
      </c>
      <c r="D1684" s="3"/>
      <c r="E1684" s="3" t="s">
        <v>10181</v>
      </c>
      <c r="F1684" s="3"/>
      <c r="G1684" s="3" t="s">
        <v>12</v>
      </c>
      <c r="H1684" s="3" t="str">
        <f>HYPERLINK(_xlfn.ENCODEURL("http://specification.sifassociation.org/Implementation/NA/3.2/html/Report/ReportObjects_sreType.html#Link14B"),"Link")</f>
        <v>Link</v>
      </c>
    </row>
    <row r="1685" spans="1:8" ht="45" x14ac:dyDescent="0.25">
      <c r="A1685" s="3" t="s">
        <v>10085</v>
      </c>
      <c r="B1685" s="3" t="s">
        <v>10432</v>
      </c>
      <c r="C1685" s="3" t="s">
        <v>10433</v>
      </c>
      <c r="D1685" s="3"/>
      <c r="E1685" s="3" t="s">
        <v>10106</v>
      </c>
      <c r="F1685" s="3"/>
      <c r="G1685" s="3" t="s">
        <v>12</v>
      </c>
      <c r="H1685" s="3" t="str">
        <f>HYPERLINK(_xlfn.ENCODEURL("http://specification.sifassociation.org/Implementation/NA/3.2/html/Report/ReportObjects_sreType.html#Link15E"),"Link")</f>
        <v>Link</v>
      </c>
    </row>
    <row r="1686" spans="1:8" ht="45" x14ac:dyDescent="0.25">
      <c r="A1686" s="3" t="s">
        <v>10085</v>
      </c>
      <c r="B1686" s="3" t="s">
        <v>10434</v>
      </c>
      <c r="C1686" s="3" t="s">
        <v>10435</v>
      </c>
      <c r="D1686" s="3"/>
      <c r="E1686" s="3" t="s">
        <v>10106</v>
      </c>
      <c r="F1686" s="3"/>
      <c r="G1686" s="3" t="s">
        <v>12</v>
      </c>
      <c r="H1686" s="3" t="str">
        <f>HYPERLINK(_xlfn.ENCODEURL("http://specification.sifassociation.org/Implementation/NA/3.2/html/Report/ReportObjects_sreType.html#Link15D"),"Link")</f>
        <v>Link</v>
      </c>
    </row>
    <row r="1687" spans="1:8" ht="30" x14ac:dyDescent="0.25">
      <c r="A1687" s="3" t="s">
        <v>10085</v>
      </c>
      <c r="B1687" s="3" t="s">
        <v>10436</v>
      </c>
      <c r="C1687" s="3"/>
      <c r="D1687" s="3"/>
      <c r="E1687" s="3" t="s">
        <v>10103</v>
      </c>
      <c r="F1687" s="3"/>
      <c r="G1687" s="3" t="s">
        <v>12</v>
      </c>
      <c r="H1687" s="3" t="str">
        <f>HYPERLINK(_xlfn.ENCODEURL("http://specification.sifassociation.org/Implementation/NA/3.2/html/Report/ReportObjects_sreType.html#Link163"),"Link")</f>
        <v>Link</v>
      </c>
    </row>
    <row r="1688" spans="1:8" ht="30" x14ac:dyDescent="0.25">
      <c r="A1688" s="3" t="s">
        <v>10085</v>
      </c>
      <c r="B1688" s="3" t="s">
        <v>10437</v>
      </c>
      <c r="C1688" s="3"/>
      <c r="D1688" s="3"/>
      <c r="E1688" s="3" t="s">
        <v>10096</v>
      </c>
      <c r="F1688" s="3"/>
      <c r="G1688" s="3" t="s">
        <v>12</v>
      </c>
      <c r="H1688" s="3" t="str">
        <f>HYPERLINK(_xlfn.ENCODEURL("http://specification.sifassociation.org/Implementation/NA/3.2/html/Report/ReportObjects_sreType.html#Link162"),"Link")</f>
        <v>Link</v>
      </c>
    </row>
    <row r="1689" spans="1:8" ht="45" x14ac:dyDescent="0.25">
      <c r="A1689" s="3" t="s">
        <v>10085</v>
      </c>
      <c r="B1689" s="3" t="s">
        <v>10438</v>
      </c>
      <c r="C1689" s="3" t="s">
        <v>10439</v>
      </c>
      <c r="D1689" s="3"/>
      <c r="E1689" s="3" t="s">
        <v>10096</v>
      </c>
      <c r="F1689" s="3"/>
      <c r="G1689" s="3" t="s">
        <v>12</v>
      </c>
      <c r="H1689" s="3" t="str">
        <f>HYPERLINK(_xlfn.ENCODEURL("http://specification.sifassociation.org/Implementation/NA/3.2/html/Report/ReportObjects_sreType.html#Link16E"),"Link")</f>
        <v>Link</v>
      </c>
    </row>
    <row r="1690" spans="1:8" ht="60" x14ac:dyDescent="0.25">
      <c r="A1690" s="3" t="s">
        <v>10085</v>
      </c>
      <c r="B1690" s="3" t="s">
        <v>10440</v>
      </c>
      <c r="C1690" s="3" t="s">
        <v>10441</v>
      </c>
      <c r="D1690" s="3"/>
      <c r="E1690" s="3" t="s">
        <v>10103</v>
      </c>
      <c r="F1690" s="3"/>
      <c r="G1690" s="3" t="s">
        <v>12</v>
      </c>
      <c r="H1690" s="3" t="str">
        <f>HYPERLINK(_xlfn.ENCODEURL("http://specification.sifassociation.org/Implementation/NA/3.2/html/Report/ReportObjects_sreType.html#Link16F"),"Link")</f>
        <v>Link</v>
      </c>
    </row>
    <row r="1691" spans="1:8" ht="45" x14ac:dyDescent="0.25">
      <c r="A1691" s="3" t="s">
        <v>10085</v>
      </c>
      <c r="B1691" s="3" t="s">
        <v>10442</v>
      </c>
      <c r="C1691" s="3" t="s">
        <v>10443</v>
      </c>
      <c r="D1691" s="3"/>
      <c r="E1691" s="3" t="s">
        <v>10144</v>
      </c>
      <c r="F1691" s="3"/>
      <c r="G1691" s="3" t="s">
        <v>12</v>
      </c>
      <c r="H1691" s="3" t="str">
        <f>HYPERLINK(_xlfn.ENCODEURL("http://specification.sifassociation.org/Implementation/NA/3.2/html/Report/ReportObjects_sreType.html#Link190"),"Link")</f>
        <v>Link</v>
      </c>
    </row>
    <row r="1692" spans="1:8" ht="45" x14ac:dyDescent="0.25">
      <c r="A1692" s="3" t="s">
        <v>10085</v>
      </c>
      <c r="B1692" s="3" t="s">
        <v>10444</v>
      </c>
      <c r="C1692" s="3" t="s">
        <v>10445</v>
      </c>
      <c r="D1692" s="3"/>
      <c r="E1692" s="3" t="s">
        <v>10144</v>
      </c>
      <c r="F1692" s="3"/>
      <c r="G1692" s="3" t="s">
        <v>12</v>
      </c>
      <c r="H1692" s="3" t="str">
        <f>HYPERLINK(_xlfn.ENCODEURL("http://specification.sifassociation.org/Implementation/NA/3.2/html/Report/ReportObjects_sreType.html#Link18F"),"Link")</f>
        <v>Link</v>
      </c>
    </row>
    <row r="1693" spans="1:8" ht="30" x14ac:dyDescent="0.25">
      <c r="A1693" s="3" t="s">
        <v>10085</v>
      </c>
      <c r="B1693" s="3" t="s">
        <v>10446</v>
      </c>
      <c r="C1693" s="3" t="s">
        <v>10447</v>
      </c>
      <c r="D1693" s="3"/>
      <c r="E1693" s="3" t="s">
        <v>10144</v>
      </c>
      <c r="F1693" s="3"/>
      <c r="G1693" s="3" t="s">
        <v>12</v>
      </c>
      <c r="H1693" s="3" t="str">
        <f>HYPERLINK(_xlfn.ENCODEURL("http://specification.sifassociation.org/Implementation/NA/3.2/html/Report/ReportObjects_sreType.html#Link18D"),"Link")</f>
        <v>Link</v>
      </c>
    </row>
    <row r="1694" spans="1:8" ht="105" x14ac:dyDescent="0.25">
      <c r="A1694" s="3" t="s">
        <v>10085</v>
      </c>
      <c r="B1694" s="3" t="s">
        <v>10448</v>
      </c>
      <c r="C1694" s="3" t="s">
        <v>10449</v>
      </c>
      <c r="D1694" s="3"/>
      <c r="E1694" s="3" t="s">
        <v>10144</v>
      </c>
      <c r="F1694" s="3"/>
      <c r="G1694" s="3" t="s">
        <v>12</v>
      </c>
      <c r="H1694" s="3" t="str">
        <f>HYPERLINK(_xlfn.ENCODEURL("http://specification.sifassociation.org/Implementation/NA/3.2/html/Report/ReportObjects_sreType.html#Link17E"),"Link")</f>
        <v>Link</v>
      </c>
    </row>
    <row r="1695" spans="1:8" ht="30" x14ac:dyDescent="0.25">
      <c r="A1695" s="3" t="s">
        <v>10085</v>
      </c>
      <c r="B1695" s="3" t="s">
        <v>10450</v>
      </c>
      <c r="C1695" s="3" t="s">
        <v>10451</v>
      </c>
      <c r="D1695" s="3"/>
      <c r="E1695" s="3" t="s">
        <v>10096</v>
      </c>
      <c r="F1695" s="3"/>
      <c r="G1695" s="3" t="s">
        <v>12</v>
      </c>
      <c r="H1695" s="3" t="str">
        <f>HYPERLINK(_xlfn.ENCODEURL("http://specification.sifassociation.org/Implementation/NA/3.2/html/Entity/EntityObjects_staffPersonType.html#Link1FA"),"Link")</f>
        <v>Link</v>
      </c>
    </row>
    <row r="1696" spans="1:8" ht="45" x14ac:dyDescent="0.25">
      <c r="A1696" s="3" t="s">
        <v>10085</v>
      </c>
      <c r="B1696" s="3" t="s">
        <v>12165</v>
      </c>
      <c r="C1696" s="3" t="s">
        <v>12166</v>
      </c>
      <c r="D1696" s="3"/>
      <c r="E1696" s="3" t="s">
        <v>12167</v>
      </c>
      <c r="F1696" s="3"/>
      <c r="G1696" s="3" t="s">
        <v>12</v>
      </c>
      <c r="H1696" s="3" t="str">
        <f>HYPERLINK(_xlfn.ENCODEURL("http://specification.sifassociation.org/Implementation/NA/3.3/Collections/studentActivityParticipations.xhtml#/studentActivityParticipations/studentActivityParticipation/participationComment"),"Link")</f>
        <v>Link</v>
      </c>
    </row>
    <row r="1697" spans="1:8" ht="30" x14ac:dyDescent="0.25">
      <c r="A1697" s="3" t="s">
        <v>10085</v>
      </c>
      <c r="B1697" s="3" t="s">
        <v>12168</v>
      </c>
      <c r="C1697" s="3" t="s">
        <v>12169</v>
      </c>
      <c r="D1697" s="3"/>
      <c r="E1697" s="3" t="s">
        <v>12170</v>
      </c>
      <c r="F1697" s="3"/>
      <c r="G1697" s="3" t="s">
        <v>12</v>
      </c>
      <c r="H1697" s="3" t="str">
        <f>HYPERLINK(_xlfn.ENCODEURL("http://specification.sifassociation.org/Implementation/NA/3.3/Collections/studentActivitys.xhtml#/studentActivitys/studentActivity/location"),"Link")</f>
        <v>Link</v>
      </c>
    </row>
    <row r="1698" spans="1:8" ht="30" x14ac:dyDescent="0.25">
      <c r="A1698" s="3" t="s">
        <v>10085</v>
      </c>
      <c r="B1698" s="3" t="s">
        <v>10452</v>
      </c>
      <c r="C1698" s="3" t="s">
        <v>10453</v>
      </c>
      <c r="D1698" s="3"/>
      <c r="E1698" s="3" t="s">
        <v>10096</v>
      </c>
      <c r="F1698" s="3"/>
      <c r="G1698" s="3" t="s">
        <v>12</v>
      </c>
      <c r="H1698" s="3" t="str">
        <f>HYPERLINK(_xlfn.ENCODEURL("http://specification.sifassociation.org/Implementation/NA/3.2/html/Composite/Composite_studentCoreType.html#LinkC9"),"Link")</f>
        <v>Link</v>
      </c>
    </row>
    <row r="1699" spans="1:8" ht="30" x14ac:dyDescent="0.25">
      <c r="A1699" s="3" t="s">
        <v>10085</v>
      </c>
      <c r="B1699" s="3" t="s">
        <v>10454</v>
      </c>
      <c r="C1699" s="3" t="s">
        <v>10453</v>
      </c>
      <c r="D1699" s="3"/>
      <c r="E1699" s="3" t="s">
        <v>10096</v>
      </c>
      <c r="F1699" s="3"/>
      <c r="G1699" s="3" t="s">
        <v>12</v>
      </c>
      <c r="H1699" s="3" t="str">
        <f>HYPERLINK(_xlfn.ENCODEURL("http://specification.sifassociation.org/Implementation/NA/3.2/html/Composite/Composite_studentCoreType.html#LinkB6"),"Link")</f>
        <v>Link</v>
      </c>
    </row>
    <row r="1700" spans="1:8" ht="30" x14ac:dyDescent="0.25">
      <c r="A1700" s="3" t="s">
        <v>10085</v>
      </c>
      <c r="B1700" s="3" t="s">
        <v>10455</v>
      </c>
      <c r="C1700" s="3" t="s">
        <v>10345</v>
      </c>
      <c r="D1700" s="3"/>
      <c r="E1700" s="3" t="s">
        <v>10346</v>
      </c>
      <c r="F1700" s="3"/>
      <c r="G1700" s="3" t="s">
        <v>12</v>
      </c>
      <c r="H1700" s="3" t="str">
        <f>HYPERLINK(_xlfn.ENCODEURL("http://specification.sifassociation.org/Implementation/NA/3.2/html/Entity/EntityObjects_studentProgramAssociationType.html#Link21F"),"Link")</f>
        <v>Link</v>
      </c>
    </row>
  </sheetData>
  <autoFilter ref="A1:H1700" xr:uid="{47E7593E-6651-4695-8328-DB7BE619D6C9}"/>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New</vt:lpstr>
      <vt:lpstr>Changed</vt:lpstr>
      <vt:lpstr>Removed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Hall</dc:creator>
  <cp:lastModifiedBy>Andrea Hall</cp:lastModifiedBy>
  <dcterms:created xsi:type="dcterms:W3CDTF">2016-06-29T00:52:27Z</dcterms:created>
  <dcterms:modified xsi:type="dcterms:W3CDTF">2019-11-14T17:18:07Z</dcterms:modified>
</cp:coreProperties>
</file>